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2.xml" ContentType="application/vnd.openxmlformats-officedocument.drawing+xml"/>
  <Override PartName="/xl/comments1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filterPrivacy="1" defaultThemeVersion="124226"/>
  <xr:revisionPtr revIDLastSave="0" documentId="8_{B834E594-A2EF-4494-B63A-D3DB7110498E}" xr6:coauthVersionLast="36" xr6:coauthVersionMax="36" xr10:uidLastSave="{00000000-0000-0000-0000-000000000000}"/>
  <bookViews>
    <workbookView xWindow="495" yWindow="1575" windowWidth="24135" windowHeight="9090" tabRatio="891" firstSheet="3" activeTab="4" xr2:uid="{00000000-000D-0000-FFFF-FFFF00000000}"/>
  </bookViews>
  <sheets>
    <sheet name="Runout targets" sheetId="10" r:id="rId1"/>
    <sheet name="Type 1" sheetId="1" r:id="rId2"/>
    <sheet name="Type1c" sheetId="2" r:id="rId3"/>
    <sheet name="Type 1d" sheetId="7" r:id="rId4"/>
    <sheet name="Type1e" sheetId="15" r:id="rId5"/>
    <sheet name="Type18" sheetId="29" r:id="rId6"/>
    <sheet name="Type 22" sheetId="58" r:id="rId7"/>
    <sheet name="Type 19" sheetId="30" r:id="rId8"/>
    <sheet name="Type1G" sheetId="25" r:id="rId9"/>
    <sheet name="Type1F" sheetId="20" r:id="rId10"/>
    <sheet name="Type4" sheetId="3" r:id="rId11"/>
    <sheet name="Type5a" sheetId="14" r:id="rId12"/>
    <sheet name="Type5" sheetId="4" r:id="rId13"/>
    <sheet name="Type6a" sheetId="8" r:id="rId14"/>
    <sheet name="Type6" sheetId="5" r:id="rId15"/>
    <sheet name="Type6b" sheetId="9" r:id="rId16"/>
    <sheet name="Type6c" sheetId="12" r:id="rId17"/>
    <sheet name="Type8" sheetId="18" r:id="rId18"/>
    <sheet name="Type9" sheetId="16" r:id="rId19"/>
    <sheet name="Type 10" sheetId="24" r:id="rId20"/>
    <sheet name="Type 20" sheetId="56" r:id="rId21"/>
    <sheet name="Type 21" sheetId="57" r:id="rId22"/>
    <sheet name="Type 12" sheetId="13" r:id="rId23"/>
    <sheet name="Type 13" sheetId="22" r:id="rId24"/>
    <sheet name="Type 14" sheetId="23" r:id="rId25"/>
    <sheet name="Type15" sheetId="28" r:id="rId26"/>
    <sheet name="Type16" sheetId="26" r:id="rId27"/>
    <sheet name="development" sheetId="11" r:id="rId28"/>
    <sheet name="Statistics" sheetId="19" r:id="rId29"/>
    <sheet name="comparisons" sheetId="21" r:id="rId30"/>
    <sheet name="100Gbar" sheetId="27" r:id="rId31"/>
    <sheet name="Sheet2" sheetId="32" r:id="rId32"/>
  </sheets>
  <definedNames>
    <definedName name="folder">Type1e!$Q$1642</definedName>
    <definedName name="_xlnm.Print_Area" localSheetId="5">Type18!$A$12:$M$23</definedName>
    <definedName name="_xlnm.Print_Area" localSheetId="4">Type1e!$A$1397:$W$1408</definedName>
  </definedNames>
  <calcPr calcId="191029"/>
</workbook>
</file>

<file path=xl/calcChain.xml><?xml version="1.0" encoding="utf-8"?>
<calcChain xmlns="http://schemas.openxmlformats.org/spreadsheetml/2006/main">
  <c r="I1" i="15" l="1"/>
  <c r="I2" i="15"/>
  <c r="K1" i="15" l="1"/>
  <c r="P5" i="58"/>
  <c r="P6" i="58"/>
  <c r="P7" i="58"/>
  <c r="P4" i="58"/>
  <c r="I2" i="58"/>
  <c r="T1" i="58"/>
  <c r="I1" i="58"/>
  <c r="Q1026" i="15"/>
  <c r="Q1029" i="15"/>
  <c r="Q1030" i="15"/>
  <c r="Q1028" i="15"/>
  <c r="Q1027" i="15"/>
  <c r="Q1025" i="15"/>
  <c r="Q1024" i="15"/>
  <c r="Q1023" i="15"/>
  <c r="Q1022" i="15"/>
  <c r="Q1021" i="15"/>
  <c r="Q1020" i="15"/>
  <c r="Q1019" i="15"/>
  <c r="Q1018" i="15"/>
  <c r="Q1017" i="15"/>
  <c r="Q1016" i="15"/>
  <c r="Q1015" i="15"/>
  <c r="Q1014" i="15"/>
  <c r="Q1013" i="15"/>
  <c r="Q1012" i="15"/>
  <c r="Q1011" i="15"/>
  <c r="Q1010" i="15"/>
  <c r="Q1009" i="15"/>
  <c r="Q1008" i="15"/>
  <c r="Q1007" i="15"/>
  <c r="Q1006" i="15"/>
  <c r="Q1005" i="15"/>
  <c r="Q1004" i="15"/>
  <c r="Q1002" i="15"/>
  <c r="Q999" i="15"/>
  <c r="Q1001" i="15"/>
  <c r="Q1000" i="15"/>
  <c r="Q998" i="15"/>
  <c r="Q997" i="15"/>
  <c r="Q996" i="15"/>
  <c r="Q995" i="15"/>
  <c r="Q994" i="15"/>
  <c r="Q993" i="15"/>
  <c r="Q992" i="15"/>
  <c r="Q991" i="15"/>
  <c r="Q990" i="15"/>
  <c r="Q989" i="15"/>
  <c r="Q988" i="15"/>
  <c r="Q987" i="15"/>
  <c r="Q986" i="15"/>
  <c r="Q985" i="15"/>
  <c r="Q984" i="15"/>
  <c r="Q983" i="15"/>
  <c r="Q980" i="15"/>
  <c r="Q979" i="15"/>
  <c r="Q982" i="15"/>
  <c r="Q981" i="15"/>
  <c r="Q978" i="15"/>
  <c r="Q977" i="15"/>
  <c r="Q976" i="15"/>
  <c r="Q975" i="15"/>
  <c r="Q974" i="15"/>
  <c r="Q969" i="15"/>
  <c r="Q973" i="15"/>
  <c r="Q972" i="15"/>
  <c r="Q971" i="15"/>
  <c r="Q970" i="15"/>
  <c r="Q968" i="15"/>
  <c r="Q967" i="15"/>
  <c r="Q966" i="15"/>
  <c r="Q965" i="15"/>
  <c r="Q964" i="15"/>
  <c r="Q963" i="15"/>
  <c r="Q962" i="15"/>
  <c r="Q961" i="15"/>
  <c r="Q960" i="15"/>
  <c r="Q959" i="15"/>
  <c r="Q958" i="15"/>
  <c r="Q957" i="15"/>
  <c r="Q956" i="15"/>
  <c r="Q955" i="15"/>
  <c r="Q954" i="15"/>
  <c r="Q953" i="15"/>
  <c r="Q951" i="15"/>
  <c r="Q952" i="15"/>
  <c r="Q950" i="15"/>
  <c r="Q949" i="15"/>
  <c r="Q941" i="15"/>
  <c r="Q948" i="15"/>
  <c r="Q947" i="15"/>
  <c r="Q946" i="15"/>
  <c r="Q945" i="15"/>
  <c r="Q944" i="15"/>
  <c r="Q943" i="15"/>
  <c r="Q942" i="15"/>
  <c r="Q940" i="15"/>
  <c r="Q939" i="15"/>
  <c r="Q938" i="15"/>
  <c r="Q937" i="15"/>
  <c r="Q936" i="15"/>
  <c r="Q935" i="15"/>
  <c r="Q934" i="15"/>
  <c r="Q933" i="15"/>
  <c r="Q932" i="15"/>
  <c r="Q931" i="15"/>
  <c r="Q930" i="15"/>
  <c r="Q929" i="15"/>
  <c r="Q928" i="15"/>
  <c r="Q927" i="15"/>
  <c r="Q926" i="15"/>
  <c r="Q925" i="15"/>
  <c r="Q922" i="15"/>
  <c r="Q923" i="15"/>
  <c r="Q918" i="15"/>
  <c r="Q921" i="15"/>
  <c r="Q920" i="15"/>
  <c r="Q919" i="15"/>
  <c r="Q924" i="15"/>
  <c r="Q917" i="15"/>
  <c r="Q916" i="15"/>
  <c r="Q915" i="15"/>
  <c r="Q914" i="15"/>
  <c r="Q913" i="15"/>
  <c r="Q912" i="15"/>
  <c r="Q911" i="15"/>
  <c r="Q910" i="15"/>
  <c r="Q909" i="15"/>
  <c r="Q899" i="15"/>
  <c r="Q900" i="15"/>
  <c r="Q901" i="15"/>
  <c r="Q903" i="15"/>
  <c r="Q904" i="15"/>
  <c r="Q905" i="15"/>
  <c r="Q906" i="15"/>
  <c r="Q908" i="15"/>
  <c r="Q902" i="15"/>
  <c r="Q907" i="15"/>
  <c r="Q898" i="15"/>
  <c r="Q897" i="15"/>
  <c r="Q894" i="15"/>
  <c r="Q888" i="15"/>
  <c r="Q896" i="15"/>
  <c r="Q895" i="15"/>
  <c r="Q893" i="15"/>
  <c r="Q892" i="15"/>
  <c r="Q891" i="15"/>
  <c r="Q890" i="15"/>
  <c r="Q889" i="15"/>
  <c r="Q886" i="15"/>
  <c r="Q885" i="15"/>
  <c r="Q884" i="15"/>
  <c r="Q883" i="15"/>
  <c r="Q876" i="15"/>
  <c r="Q882" i="15"/>
  <c r="Q881" i="15"/>
  <c r="Q879" i="15"/>
  <c r="Q873" i="15"/>
  <c r="Q880" i="15"/>
  <c r="Q878" i="15"/>
  <c r="Q877" i="15"/>
  <c r="Q875" i="15"/>
  <c r="Q874" i="15"/>
  <c r="Q872" i="15"/>
  <c r="Q871" i="15"/>
  <c r="Q855" i="15"/>
  <c r="Q870" i="15"/>
  <c r="Q869" i="15"/>
  <c r="Q859" i="15"/>
  <c r="Q867" i="15"/>
  <c r="Q865" i="15"/>
  <c r="Q868" i="15"/>
  <c r="Q866" i="15"/>
  <c r="Q856" i="15"/>
  <c r="Q862" i="15"/>
  <c r="Q861" i="15"/>
  <c r="Q860" i="15"/>
  <c r="Q857" i="15"/>
  <c r="Q837" i="15"/>
  <c r="Q836" i="15"/>
  <c r="Q835" i="15"/>
  <c r="Q851" i="15"/>
  <c r="Q854" i="15"/>
  <c r="Q852" i="15"/>
  <c r="Q850" i="15"/>
  <c r="Q849" i="15"/>
  <c r="Q848" i="15"/>
  <c r="Q847" i="15"/>
  <c r="Q846" i="15"/>
  <c r="Q845" i="15"/>
  <c r="Q844" i="15"/>
  <c r="Q843" i="15"/>
  <c r="Q842" i="15"/>
  <c r="Q841" i="15"/>
  <c r="Q840" i="15"/>
  <c r="Q838" i="15"/>
  <c r="Q839" i="15"/>
  <c r="Q832" i="15"/>
  <c r="Q831" i="15"/>
  <c r="Q830" i="15"/>
  <c r="Q829" i="15"/>
  <c r="Q828" i="15"/>
  <c r="Q827" i="15"/>
  <c r="Q826" i="15"/>
  <c r="Q825" i="15"/>
  <c r="Q824" i="15"/>
  <c r="Q823" i="15"/>
  <c r="Q822" i="15"/>
  <c r="Q821" i="15"/>
  <c r="Q820" i="15"/>
  <c r="Q819" i="15"/>
  <c r="L7" i="30"/>
  <c r="L6" i="30"/>
  <c r="L4" i="30"/>
  <c r="L5" i="30"/>
  <c r="Q818" i="15"/>
  <c r="Q817" i="15"/>
  <c r="Q816" i="15"/>
  <c r="Q815" i="15"/>
  <c r="Q814" i="15"/>
  <c r="Q813" i="15"/>
  <c r="Q812" i="15"/>
  <c r="Q811" i="15"/>
  <c r="Q810" i="15"/>
  <c r="Q809" i="15"/>
  <c r="Q808" i="15"/>
  <c r="Q807" i="15"/>
  <c r="Q806" i="15"/>
  <c r="Q799" i="15"/>
  <c r="Q801" i="15"/>
  <c r="Q797" i="15"/>
  <c r="Q805" i="15"/>
  <c r="Q804" i="15"/>
  <c r="Q803" i="15"/>
  <c r="Q802" i="15"/>
  <c r="Q800" i="15"/>
  <c r="Q798" i="15"/>
  <c r="Q796" i="15"/>
  <c r="Q795" i="15"/>
  <c r="Q794" i="15"/>
  <c r="Q793" i="15"/>
  <c r="Q792" i="15"/>
  <c r="Q791" i="15"/>
  <c r="Q790" i="15"/>
  <c r="Q789" i="15"/>
  <c r="Q785" i="15"/>
  <c r="Q781" i="15"/>
  <c r="Q788" i="15"/>
  <c r="Q787" i="15"/>
  <c r="Q786" i="15"/>
  <c r="Q784" i="15"/>
  <c r="Q783" i="15"/>
  <c r="Q782" i="15"/>
  <c r="Q780" i="15"/>
  <c r="Q779" i="15"/>
  <c r="Q778" i="15"/>
  <c r="Q777" i="15"/>
  <c r="Q776" i="15"/>
  <c r="Q775" i="15"/>
  <c r="Q774" i="15"/>
  <c r="Q773" i="15"/>
  <c r="Q772" i="15"/>
  <c r="N22" i="29"/>
  <c r="N21" i="29"/>
  <c r="N12" i="29"/>
  <c r="N14" i="29"/>
  <c r="N11" i="29"/>
  <c r="N17" i="29"/>
  <c r="N23" i="29"/>
  <c r="N20" i="29"/>
  <c r="N19" i="29"/>
  <c r="N18" i="29"/>
  <c r="N16" i="29"/>
  <c r="N15" i="29"/>
  <c r="Q771" i="15"/>
  <c r="Q770" i="15"/>
  <c r="Q769" i="15"/>
  <c r="Q768" i="15"/>
  <c r="Q767" i="15"/>
  <c r="Q766" i="15"/>
  <c r="Q765" i="15"/>
  <c r="Q764" i="15"/>
  <c r="Q763" i="15"/>
  <c r="Q758" i="15"/>
  <c r="Q755" i="15"/>
  <c r="Q757" i="15"/>
  <c r="Q752" i="15"/>
  <c r="Q759" i="15"/>
  <c r="Q756" i="15"/>
  <c r="Q754" i="15"/>
  <c r="Q753" i="15"/>
  <c r="Q751" i="15"/>
  <c r="Q750" i="15"/>
  <c r="Q749" i="15"/>
  <c r="N9" i="29"/>
  <c r="Q744" i="15"/>
  <c r="Q748" i="15"/>
  <c r="Q747" i="15"/>
  <c r="Q746" i="15"/>
  <c r="Q745" i="15"/>
  <c r="Q742" i="15"/>
  <c r="Q741" i="15"/>
  <c r="Q740" i="15"/>
  <c r="Q739" i="15"/>
  <c r="N8" i="29"/>
  <c r="N7" i="29"/>
  <c r="Q730" i="15"/>
  <c r="Q729" i="15"/>
  <c r="Q738" i="15"/>
  <c r="Q737" i="15"/>
  <c r="Q736" i="15"/>
  <c r="Q731" i="15"/>
  <c r="Q735" i="15"/>
  <c r="Q734" i="15"/>
  <c r="Q733" i="15"/>
  <c r="Q728" i="15"/>
  <c r="Q727" i="15"/>
  <c r="Q726" i="15"/>
  <c r="N6" i="29"/>
  <c r="N5" i="29"/>
  <c r="N4" i="29"/>
  <c r="Q725" i="15"/>
  <c r="Q724" i="15"/>
  <c r="Q723" i="15"/>
  <c r="Q722" i="15"/>
  <c r="Q721" i="15"/>
  <c r="Q720" i="15"/>
  <c r="Q719" i="15"/>
  <c r="Q718" i="15"/>
  <c r="Q713" i="15"/>
  <c r="Q711" i="15"/>
  <c r="Q717" i="15"/>
  <c r="Q716" i="15"/>
  <c r="Q715" i="15"/>
  <c r="Q708" i="15"/>
  <c r="Q706" i="15"/>
  <c r="Q714" i="15"/>
  <c r="Q712" i="15"/>
  <c r="Q710" i="15"/>
  <c r="Q709" i="15"/>
  <c r="Q707" i="15"/>
  <c r="Q705" i="15"/>
  <c r="Q655" i="15"/>
  <c r="Q704" i="15"/>
  <c r="Q703" i="15"/>
  <c r="Q702" i="15"/>
  <c r="Q696" i="15"/>
  <c r="Q699" i="15"/>
  <c r="Q701" i="15"/>
  <c r="Q700" i="15"/>
  <c r="Q698" i="15"/>
  <c r="Q697" i="15"/>
  <c r="Q695" i="15"/>
  <c r="Q694" i="15"/>
  <c r="Q693" i="15"/>
  <c r="Q691" i="15"/>
  <c r="Q692" i="15"/>
  <c r="Q690" i="15"/>
  <c r="Q689" i="15"/>
  <c r="Q688" i="15"/>
  <c r="Q687" i="15"/>
  <c r="Q686" i="15"/>
  <c r="Q685" i="15"/>
  <c r="Q684" i="15"/>
  <c r="Q683" i="15"/>
  <c r="Q682" i="15"/>
  <c r="M1" i="1"/>
  <c r="Q678" i="15"/>
  <c r="Q673" i="15"/>
  <c r="Q677" i="15"/>
  <c r="Q676" i="15"/>
  <c r="Q675" i="15"/>
  <c r="Q674" i="15"/>
  <c r="Q672" i="15"/>
  <c r="Q671" i="15"/>
  <c r="Q670" i="15"/>
  <c r="Q669" i="15"/>
  <c r="Q668" i="15"/>
  <c r="Q667" i="15"/>
  <c r="Q666" i="15"/>
  <c r="Q665" i="15"/>
  <c r="Q664" i="15"/>
  <c r="Q663" i="15"/>
  <c r="Q661" i="15"/>
  <c r="Q660" i="15"/>
  <c r="Q659" i="15"/>
  <c r="Q658" i="15"/>
  <c r="Q657" i="15"/>
  <c r="Q656" i="15"/>
  <c r="Q654" i="15"/>
  <c r="Q650" i="15"/>
  <c r="Q640" i="15"/>
  <c r="Q643" i="15"/>
  <c r="Q641" i="15"/>
  <c r="Q638" i="15"/>
  <c r="Q649" i="15"/>
  <c r="Q648" i="15"/>
  <c r="Q647" i="15"/>
  <c r="Q646" i="15"/>
  <c r="Q645" i="15"/>
  <c r="Q644" i="15"/>
  <c r="Q642" i="15"/>
  <c r="Q639" i="15"/>
  <c r="Q637" i="15"/>
  <c r="Q636" i="15"/>
  <c r="Q635" i="15"/>
  <c r="Q634" i="15"/>
  <c r="Q632" i="15"/>
  <c r="Q631" i="15"/>
  <c r="Q630" i="15"/>
  <c r="Q629" i="15"/>
  <c r="Q628" i="15"/>
  <c r="Q627" i="15"/>
  <c r="Q626" i="15"/>
  <c r="Q625" i="15"/>
  <c r="Q619" i="15"/>
  <c r="Q622" i="15"/>
  <c r="Q624" i="15"/>
  <c r="Q621" i="15"/>
  <c r="Q620" i="15"/>
  <c r="Q618" i="15"/>
  <c r="Q617" i="15"/>
  <c r="Q616" i="15"/>
  <c r="Q612" i="15"/>
  <c r="Q605" i="15"/>
  <c r="Q610" i="15"/>
  <c r="Q608" i="15"/>
  <c r="Q606" i="15"/>
  <c r="Q615" i="15"/>
  <c r="Q614" i="15"/>
  <c r="Q613" i="15"/>
  <c r="Q611" i="15"/>
  <c r="Q609" i="15"/>
  <c r="Q607" i="15"/>
  <c r="Q604" i="15"/>
  <c r="Q603" i="15"/>
  <c r="Q602" i="15"/>
  <c r="Q601" i="15"/>
  <c r="Q600" i="15"/>
  <c r="Q599" i="15"/>
  <c r="Q598" i="15"/>
  <c r="Q597" i="15"/>
  <c r="Q596" i="15"/>
  <c r="Q595" i="15"/>
  <c r="Q591" i="15"/>
  <c r="Q594" i="15"/>
  <c r="Q593" i="15"/>
  <c r="Q592" i="15"/>
  <c r="Q590" i="15"/>
  <c r="Q589" i="15"/>
  <c r="Q588" i="15"/>
  <c r="Q587" i="15"/>
  <c r="Q586" i="15"/>
  <c r="Q585" i="15"/>
  <c r="Q584" i="15"/>
  <c r="Q583" i="15"/>
  <c r="Q582" i="15"/>
  <c r="Q581" i="15"/>
  <c r="Q580" i="15"/>
  <c r="Q579" i="15"/>
  <c r="Q578" i="15"/>
  <c r="Q577" i="15"/>
  <c r="Q576" i="15"/>
  <c r="Q575" i="15"/>
  <c r="Q574" i="15"/>
  <c r="Q573" i="15"/>
  <c r="Q572" i="15"/>
  <c r="S13" i="19"/>
  <c r="S12" i="19"/>
  <c r="S11" i="19"/>
  <c r="S8" i="19"/>
  <c r="Q567" i="15"/>
  <c r="Q569" i="15"/>
  <c r="Q568" i="15"/>
  <c r="Q525" i="15"/>
  <c r="Q571" i="15"/>
  <c r="Q570" i="15"/>
  <c r="Q566" i="15"/>
  <c r="Q565" i="15"/>
  <c r="Q564" i="15"/>
  <c r="Q563" i="15"/>
  <c r="Q562" i="15"/>
  <c r="Q561" i="15"/>
  <c r="Q560" i="15"/>
  <c r="Q559" i="15"/>
  <c r="Q558" i="15"/>
  <c r="Q557" i="15"/>
  <c r="Q556" i="15"/>
  <c r="Q555" i="15"/>
  <c r="Q554" i="15"/>
  <c r="Q553" i="15"/>
  <c r="Q552" i="15"/>
  <c r="Q551" i="15"/>
  <c r="Q550" i="15"/>
  <c r="Q549" i="15"/>
  <c r="Q548" i="15"/>
  <c r="Q547" i="15"/>
  <c r="Q546" i="15"/>
  <c r="Q532" i="15"/>
  <c r="B545" i="15"/>
  <c r="B530" i="15"/>
  <c r="B544" i="15"/>
  <c r="Q545" i="15"/>
  <c r="Q544" i="15"/>
  <c r="Q540" i="15"/>
  <c r="Q530" i="15"/>
  <c r="Q543" i="15"/>
  <c r="Q542" i="15"/>
  <c r="Q541" i="15"/>
  <c r="Q538" i="15"/>
  <c r="Q528" i="15"/>
  <c r="Q527" i="15"/>
  <c r="Q526" i="15"/>
  <c r="Q524" i="15"/>
  <c r="Q523" i="15"/>
  <c r="Q522" i="15"/>
  <c r="Q521" i="15"/>
  <c r="Q520" i="15"/>
  <c r="Q519" i="15"/>
  <c r="Q518" i="15"/>
  <c r="Q517" i="15"/>
  <c r="Q516" i="15"/>
  <c r="Q514" i="15"/>
  <c r="Q515" i="15"/>
  <c r="Q513" i="15"/>
  <c r="Q508" i="15"/>
  <c r="Q511" i="15"/>
  <c r="Q512" i="15"/>
  <c r="Q510" i="15"/>
  <c r="Q509" i="15"/>
  <c r="Q502" i="15"/>
  <c r="Q498" i="15"/>
  <c r="Q495" i="15"/>
  <c r="Q493" i="15"/>
  <c r="Q507" i="15"/>
  <c r="Q506" i="15"/>
  <c r="Q505" i="15"/>
  <c r="Q504" i="15"/>
  <c r="Q503" i="15"/>
  <c r="Q501" i="15"/>
  <c r="Q500" i="15"/>
  <c r="Q499" i="15"/>
  <c r="Q497" i="15"/>
  <c r="Q496" i="15"/>
  <c r="Q494" i="15"/>
  <c r="Q492" i="15"/>
  <c r="Q485" i="15"/>
  <c r="Q489" i="15"/>
  <c r="Q486" i="15"/>
  <c r="Q482" i="15"/>
  <c r="Q491" i="15"/>
  <c r="Q490" i="15"/>
  <c r="Q488" i="15"/>
  <c r="Q487" i="15"/>
  <c r="Q484" i="15"/>
  <c r="Q483" i="15"/>
  <c r="Q481" i="15"/>
  <c r="Q480" i="15"/>
  <c r="Q479" i="15"/>
  <c r="Q478" i="15"/>
  <c r="Q477" i="15"/>
  <c r="Q472" i="15"/>
  <c r="Q476" i="15"/>
  <c r="Q475" i="15"/>
  <c r="Q474" i="15"/>
  <c r="Q473" i="15"/>
  <c r="Q471" i="15"/>
  <c r="Q470" i="15"/>
  <c r="Q469" i="15"/>
  <c r="Q468" i="15"/>
  <c r="Q466" i="15"/>
  <c r="Q465" i="15"/>
  <c r="U438" i="15"/>
  <c r="Q385" i="15"/>
  <c r="Q384" i="15"/>
  <c r="Q464" i="15"/>
  <c r="Q463" i="15"/>
  <c r="Q462" i="15"/>
  <c r="Q461" i="15"/>
  <c r="Q460" i="15"/>
  <c r="Q459" i="15"/>
  <c r="Q458" i="15"/>
  <c r="Q457" i="15"/>
  <c r="Q456" i="15"/>
  <c r="Q455" i="15"/>
  <c r="Q454" i="15"/>
  <c r="Q453" i="15"/>
  <c r="Q438" i="15"/>
  <c r="Q445" i="15"/>
  <c r="Q441" i="15"/>
  <c r="Q452" i="15"/>
  <c r="Q451" i="15"/>
  <c r="Q450" i="15"/>
  <c r="Q449" i="15"/>
  <c r="Q448" i="15"/>
  <c r="Q447" i="15"/>
  <c r="Q446" i="15"/>
  <c r="Q443" i="15"/>
  <c r="Q444" i="15"/>
  <c r="Q442" i="15"/>
  <c r="U437" i="15"/>
  <c r="Q437" i="15"/>
  <c r="U440" i="15"/>
  <c r="Q440" i="15"/>
  <c r="Q260" i="1"/>
  <c r="Q259" i="1"/>
  <c r="Q258" i="1"/>
  <c r="Q257" i="1"/>
  <c r="Q424" i="15"/>
  <c r="Q421" i="15"/>
  <c r="Q430" i="15"/>
  <c r="Q427" i="15"/>
  <c r="Q425" i="15"/>
  <c r="Q422" i="15"/>
  <c r="Q436" i="15"/>
  <c r="Q435" i="15"/>
  <c r="Q434" i="15"/>
  <c r="Q433" i="15"/>
  <c r="Q432" i="15"/>
  <c r="Q431" i="15"/>
  <c r="Q429" i="15"/>
  <c r="Q428" i="15"/>
  <c r="Q426" i="15"/>
  <c r="Q423" i="15"/>
  <c r="Q420" i="15"/>
  <c r="Q419" i="15"/>
  <c r="Q418" i="15"/>
  <c r="Q417" i="15"/>
  <c r="Q416" i="15"/>
  <c r="Q415" i="15"/>
  <c r="Q414" i="15"/>
  <c r="Q413" i="15"/>
  <c r="Q412" i="15"/>
  <c r="Q411" i="15"/>
  <c r="Q410" i="15"/>
  <c r="Q409" i="15"/>
  <c r="Q408" i="15"/>
  <c r="Q407" i="15"/>
  <c r="Q406" i="15"/>
  <c r="Q405" i="15"/>
  <c r="Q404" i="15"/>
  <c r="Q392" i="15"/>
  <c r="Q398" i="15"/>
  <c r="Q394" i="15"/>
  <c r="Q391" i="15"/>
  <c r="Q389" i="15"/>
  <c r="Q402" i="15"/>
  <c r="Q401" i="15"/>
  <c r="Q400" i="15"/>
  <c r="Q399" i="15"/>
  <c r="Q397" i="15"/>
  <c r="Q396" i="15"/>
  <c r="Q395" i="15"/>
  <c r="Q393" i="15"/>
  <c r="Q390" i="15"/>
  <c r="Q388" i="15"/>
  <c r="Q387" i="15"/>
  <c r="Q386" i="15"/>
  <c r="Q383" i="15"/>
  <c r="Q377" i="15"/>
  <c r="Q374" i="15"/>
  <c r="Q379" i="15"/>
  <c r="Q382" i="15"/>
  <c r="Q381" i="15"/>
  <c r="Q380" i="15"/>
  <c r="Q378" i="15"/>
  <c r="Q376" i="15"/>
  <c r="Q375" i="15"/>
  <c r="Q372" i="15"/>
  <c r="Q371" i="15"/>
  <c r="Q370" i="15"/>
  <c r="Q369" i="15"/>
  <c r="Q368" i="15"/>
  <c r="Q367" i="15"/>
  <c r="Q337" i="15"/>
  <c r="Q336" i="15"/>
  <c r="Q366" i="15"/>
  <c r="Q365" i="15"/>
  <c r="Q364" i="15"/>
  <c r="Q363" i="15"/>
  <c r="Q362" i="15"/>
  <c r="Q361" i="15"/>
  <c r="Q360" i="15"/>
  <c r="Q359" i="15"/>
  <c r="Q358" i="15"/>
  <c r="Q357" i="15"/>
  <c r="Q356" i="15"/>
  <c r="Q355" i="15"/>
  <c r="Q6" i="26"/>
  <c r="Q350" i="15"/>
  <c r="Q354" i="15"/>
  <c r="Q353" i="15"/>
  <c r="Q352" i="15"/>
  <c r="Q351" i="15"/>
  <c r="Q349" i="15"/>
  <c r="Q341" i="15"/>
  <c r="Q348" i="15"/>
  <c r="Q347" i="15"/>
  <c r="Q346" i="15"/>
  <c r="Q345" i="15"/>
  <c r="Q344" i="15"/>
  <c r="Q343" i="15"/>
  <c r="Q342" i="15"/>
  <c r="Q340" i="15"/>
  <c r="Q339" i="15"/>
  <c r="Q338" i="15"/>
  <c r="P51" i="25"/>
  <c r="P50" i="25"/>
  <c r="P53" i="25"/>
  <c r="P54" i="25"/>
  <c r="P52" i="25"/>
  <c r="P49" i="25"/>
  <c r="P48" i="25"/>
  <c r="P47" i="25"/>
  <c r="P46" i="25"/>
  <c r="P45" i="25"/>
  <c r="P44" i="25"/>
  <c r="Q335" i="15"/>
  <c r="Q334" i="15"/>
  <c r="Q177" i="1"/>
  <c r="Q135" i="1"/>
  <c r="Q332" i="15"/>
  <c r="Q326" i="15"/>
  <c r="Q333" i="15"/>
  <c r="Q330" i="15"/>
  <c r="Q329" i="15"/>
  <c r="Q328" i="15"/>
  <c r="Q327" i="15"/>
  <c r="Q325" i="15"/>
  <c r="Q324" i="15"/>
  <c r="Q323" i="15"/>
  <c r="Q322" i="15"/>
  <c r="Q321" i="15"/>
  <c r="Q320" i="15"/>
  <c r="Q319" i="15"/>
  <c r="Q318" i="15"/>
  <c r="P42" i="25"/>
  <c r="P40" i="25"/>
  <c r="P38" i="25"/>
  <c r="P36" i="25"/>
  <c r="P34" i="25"/>
  <c r="P32" i="25"/>
  <c r="P35" i="25"/>
  <c r="P31" i="25"/>
  <c r="P30" i="25"/>
  <c r="Q312" i="15"/>
  <c r="Q308" i="15"/>
  <c r="B308" i="15"/>
  <c r="Q317" i="15"/>
  <c r="Q316" i="15"/>
  <c r="Q315" i="15"/>
  <c r="Q314" i="15"/>
  <c r="Q313" i="15"/>
  <c r="Q311" i="15"/>
  <c r="Q310" i="15"/>
  <c r="Q309" i="15"/>
  <c r="Q306" i="15"/>
  <c r="Q305" i="15"/>
  <c r="Q279" i="15"/>
  <c r="P29" i="25"/>
  <c r="P28" i="25"/>
  <c r="Q303" i="15"/>
  <c r="Q298" i="15"/>
  <c r="Q300" i="15"/>
  <c r="Q304" i="15"/>
  <c r="Q302" i="15"/>
  <c r="Q301" i="15"/>
  <c r="Q299" i="15"/>
  <c r="Q297" i="15"/>
  <c r="Q296" i="15"/>
  <c r="Q295" i="15"/>
  <c r="P21" i="25"/>
  <c r="P26" i="25"/>
  <c r="P16" i="25"/>
  <c r="P24" i="25"/>
  <c r="P18" i="25"/>
  <c r="P27" i="25"/>
  <c r="P25" i="25"/>
  <c r="P23" i="25"/>
  <c r="P22" i="25"/>
  <c r="P19" i="25"/>
  <c r="P17" i="25"/>
  <c r="P15" i="25"/>
  <c r="P14" i="25"/>
  <c r="Q278" i="15"/>
  <c r="B294" i="15"/>
  <c r="Q294" i="15"/>
  <c r="Q293" i="15"/>
  <c r="Q284" i="15"/>
  <c r="Q292" i="15"/>
  <c r="Q290" i="15"/>
  <c r="Q287" i="15"/>
  <c r="Q288" i="15"/>
  <c r="Q286" i="15"/>
  <c r="Q283" i="15"/>
  <c r="Q282" i="15"/>
  <c r="Q281" i="15"/>
  <c r="Q280" i="15"/>
  <c r="Q276" i="15"/>
  <c r="Q273" i="15"/>
  <c r="Q277" i="15"/>
  <c r="Q275" i="15"/>
  <c r="Q274" i="15"/>
  <c r="Q272" i="15"/>
  <c r="Q271" i="15"/>
  <c r="Q270" i="15"/>
  <c r="Q268" i="15"/>
  <c r="Q269" i="15"/>
  <c r="Q267" i="15"/>
  <c r="Q266" i="15"/>
  <c r="Q265" i="15"/>
  <c r="Q263" i="15"/>
  <c r="Q264" i="15"/>
  <c r="Q262" i="15"/>
  <c r="Q261" i="15"/>
  <c r="Q260" i="15"/>
  <c r="Q259" i="15"/>
  <c r="Q258" i="15"/>
  <c r="Q257" i="15"/>
  <c r="Q256" i="15"/>
  <c r="Q255" i="15"/>
  <c r="Q254" i="15"/>
  <c r="P9" i="25"/>
  <c r="P6" i="25"/>
  <c r="P8" i="25"/>
  <c r="P5" i="25"/>
  <c r="P4" i="25"/>
  <c r="P3" i="25"/>
  <c r="P7" i="25"/>
  <c r="Q253" i="15"/>
  <c r="Q252" i="15"/>
  <c r="Q251" i="15"/>
  <c r="Q250" i="15"/>
  <c r="Q249" i="15"/>
  <c r="Q248" i="15"/>
  <c r="Q238" i="15"/>
  <c r="Q242" i="15"/>
  <c r="Q241" i="15"/>
  <c r="Q240" i="15"/>
  <c r="Q239" i="15"/>
  <c r="Q237" i="15"/>
  <c r="Q236" i="15"/>
  <c r="Q223" i="15"/>
  <c r="Q225" i="15"/>
  <c r="Q229" i="15"/>
  <c r="Q228" i="15"/>
  <c r="Q227" i="15"/>
  <c r="Q226" i="15"/>
  <c r="Q224" i="15"/>
  <c r="Q210" i="15"/>
  <c r="Q222" i="15"/>
  <c r="Q221" i="15"/>
  <c r="Q219" i="15"/>
  <c r="Q220" i="15"/>
  <c r="Q218" i="15"/>
  <c r="Q217" i="15"/>
  <c r="Q216" i="15"/>
  <c r="Q215" i="15"/>
  <c r="Q214" i="15"/>
  <c r="Q213" i="15"/>
  <c r="Q212" i="15"/>
  <c r="Q208" i="15"/>
  <c r="Q211" i="15"/>
  <c r="Q209" i="15"/>
  <c r="Q199" i="15"/>
  <c r="Q202" i="15"/>
  <c r="Q203" i="15"/>
  <c r="Q206" i="15"/>
  <c r="Q195" i="15"/>
  <c r="Q201" i="15"/>
  <c r="Q200" i="15"/>
  <c r="Q198" i="15"/>
  <c r="Q197" i="15"/>
  <c r="Q196" i="15"/>
  <c r="Q194" i="15"/>
  <c r="Q190" i="15"/>
  <c r="Q189" i="15"/>
  <c r="Q188" i="15"/>
  <c r="Q187" i="15"/>
  <c r="Q185" i="15"/>
  <c r="Q184" i="15"/>
  <c r="Q183" i="15"/>
  <c r="Q181" i="15"/>
  <c r="Q180" i="15"/>
  <c r="Q179" i="15"/>
  <c r="Q177" i="15"/>
  <c r="Q176" i="15"/>
  <c r="Q175" i="15"/>
  <c r="Q174" i="15"/>
  <c r="Q172" i="15"/>
  <c r="Q170" i="15"/>
  <c r="Q168" i="15"/>
  <c r="Q167" i="15"/>
  <c r="Q163" i="15"/>
  <c r="Q164" i="15"/>
  <c r="Q166" i="15"/>
  <c r="Q165" i="15"/>
  <c r="Q162" i="15"/>
  <c r="Q121" i="15"/>
  <c r="Q160" i="15"/>
  <c r="Q161" i="15"/>
  <c r="Q159" i="15"/>
  <c r="Q158" i="15"/>
  <c r="Q157" i="15"/>
  <c r="Q154" i="15"/>
  <c r="Q152" i="15"/>
  <c r="Q149" i="15"/>
  <c r="Q156" i="15"/>
  <c r="Q155" i="15"/>
  <c r="Q153" i="15"/>
  <c r="Q150" i="15"/>
  <c r="Q148" i="15"/>
  <c r="Q147" i="15"/>
  <c r="Q146" i="15"/>
  <c r="Q145" i="15"/>
  <c r="Q144" i="15"/>
  <c r="Q143" i="15"/>
  <c r="Q141" i="15"/>
  <c r="Q140" i="15"/>
  <c r="Q139" i="15"/>
  <c r="Q137" i="15"/>
  <c r="Q135" i="15"/>
  <c r="Q129" i="15"/>
  <c r="Q136" i="15"/>
  <c r="Q134" i="15"/>
  <c r="Q133" i="15"/>
  <c r="Q132" i="15"/>
  <c r="Q131" i="15"/>
  <c r="Q130" i="15"/>
  <c r="Q256" i="1"/>
  <c r="Q255" i="1"/>
  <c r="Q254" i="1"/>
  <c r="Q127" i="15"/>
  <c r="Q126" i="15"/>
  <c r="Q125" i="15"/>
  <c r="Q124" i="15"/>
  <c r="Q123" i="15"/>
  <c r="Q122" i="15"/>
  <c r="Q120" i="15"/>
  <c r="Q119" i="15"/>
  <c r="Q251" i="1"/>
  <c r="Q250" i="1"/>
  <c r="Q249" i="1"/>
  <c r="Q248" i="1"/>
  <c r="Q253" i="1"/>
  <c r="Q252" i="1"/>
  <c r="R11" i="22"/>
  <c r="R10" i="22"/>
  <c r="Q117" i="15"/>
  <c r="Q112" i="15"/>
  <c r="Q118" i="15"/>
  <c r="Q116" i="15"/>
  <c r="Q115" i="15"/>
  <c r="Q114" i="15"/>
  <c r="Q113" i="15"/>
  <c r="P21" i="18"/>
  <c r="Q111" i="15"/>
  <c r="Q110" i="15"/>
  <c r="Q109" i="15"/>
  <c r="Q108" i="15"/>
  <c r="Q107" i="15"/>
  <c r="Q106" i="15"/>
  <c r="Q105" i="15"/>
  <c r="Q104" i="15"/>
  <c r="Q103" i="15"/>
  <c r="Q102" i="15"/>
  <c r="Q101" i="15"/>
  <c r="Q100" i="15"/>
  <c r="Q99" i="15"/>
  <c r="Q98" i="15"/>
  <c r="Q85" i="15"/>
  <c r="Q97" i="15"/>
  <c r="Q92" i="15"/>
  <c r="Q96" i="15"/>
  <c r="Q95" i="15"/>
  <c r="Q94" i="15"/>
  <c r="Q93" i="15"/>
  <c r="Q91" i="15"/>
  <c r="Q90" i="15"/>
  <c r="Q89" i="15"/>
  <c r="Q88" i="15"/>
  <c r="Q87" i="15"/>
  <c r="Q86" i="15"/>
  <c r="Q84" i="15"/>
  <c r="Q83" i="15"/>
  <c r="Q82" i="15"/>
  <c r="Q81" i="15"/>
  <c r="Q80" i="15"/>
  <c r="Q73" i="15"/>
  <c r="Q72" i="15"/>
  <c r="Q71" i="15"/>
  <c r="Q70" i="15"/>
  <c r="Q69" i="15"/>
  <c r="Q68" i="15"/>
  <c r="Q67" i="15"/>
  <c r="Q66" i="15"/>
  <c r="P10" i="24"/>
  <c r="P9" i="24"/>
  <c r="P7" i="24"/>
  <c r="P8" i="24"/>
  <c r="V3" i="24"/>
  <c r="V2" i="24"/>
  <c r="Q65" i="15"/>
  <c r="Q64" i="15"/>
  <c r="Q58" i="15"/>
  <c r="Q63" i="15"/>
  <c r="Q61" i="15"/>
  <c r="Q60" i="15"/>
  <c r="Q59" i="15"/>
  <c r="Q56" i="15"/>
  <c r="Q55" i="15"/>
  <c r="Q53" i="15"/>
  <c r="R9" i="22"/>
  <c r="Q50" i="15"/>
  <c r="Q43" i="15"/>
  <c r="Q48" i="15"/>
  <c r="Q38" i="15"/>
  <c r="Q52" i="15"/>
  <c r="Q51" i="15"/>
  <c r="Q49" i="15"/>
  <c r="Q47" i="15"/>
  <c r="Q46" i="15"/>
  <c r="Q45" i="15"/>
  <c r="Q44" i="15"/>
  <c r="Q42" i="15"/>
  <c r="Q41" i="15"/>
  <c r="Q35" i="15"/>
  <c r="Q232" i="1"/>
  <c r="Q238" i="1"/>
  <c r="Q40" i="15"/>
  <c r="Q39" i="15"/>
  <c r="Q237" i="1"/>
  <c r="Q37" i="15"/>
  <c r="Q36" i="15"/>
  <c r="Q34" i="15"/>
  <c r="Q236" i="1"/>
  <c r="Q235" i="1"/>
  <c r="R8" i="22"/>
  <c r="R7" i="22"/>
  <c r="Q30" i="15"/>
  <c r="Q33" i="15"/>
  <c r="Q234" i="1"/>
  <c r="Q233" i="1"/>
  <c r="Q32" i="15"/>
  <c r="Q31" i="15"/>
  <c r="Q231" i="1"/>
  <c r="Q29" i="15"/>
  <c r="Q228" i="1"/>
  <c r="Q230" i="1"/>
  <c r="Q226" i="1"/>
  <c r="Q229" i="1"/>
  <c r="Q227" i="1"/>
  <c r="Q225" i="1"/>
  <c r="Q28" i="15"/>
  <c r="Q27" i="15"/>
  <c r="Q26" i="15"/>
  <c r="R6" i="22"/>
  <c r="Q24" i="15"/>
  <c r="Q224" i="1"/>
  <c r="Q223" i="1"/>
  <c r="R35" i="16"/>
  <c r="R34" i="16"/>
  <c r="Q25" i="15"/>
  <c r="Q23" i="15"/>
  <c r="Q22" i="15"/>
  <c r="Q222" i="1"/>
  <c r="Q221" i="1"/>
  <c r="Q220" i="1"/>
  <c r="Q219" i="1"/>
  <c r="Q218" i="1"/>
  <c r="Q217" i="1"/>
  <c r="B6" i="22"/>
  <c r="B206" i="1"/>
  <c r="C1" i="23"/>
  <c r="D1" i="22"/>
  <c r="Q4" i="23"/>
  <c r="R5" i="22"/>
  <c r="R4" i="22"/>
  <c r="P19" i="18"/>
  <c r="P20" i="18"/>
  <c r="Q106" i="1"/>
  <c r="D30" i="19"/>
  <c r="E30" i="19"/>
  <c r="F30" i="19"/>
  <c r="G30" i="19"/>
  <c r="H30" i="19"/>
  <c r="I30" i="19"/>
  <c r="J30" i="19"/>
  <c r="C17" i="19"/>
  <c r="C18" i="19"/>
  <c r="C19" i="19"/>
  <c r="C20" i="19"/>
  <c r="C21" i="19"/>
  <c r="C22" i="19"/>
  <c r="C23" i="19"/>
  <c r="C24" i="19"/>
  <c r="C25" i="19"/>
  <c r="C26" i="19"/>
  <c r="C27" i="19"/>
  <c r="C28" i="19"/>
  <c r="C29" i="19"/>
  <c r="C16" i="19"/>
  <c r="C11" i="19"/>
  <c r="B11" i="19"/>
  <c r="D6" i="19"/>
  <c r="D7" i="19"/>
  <c r="D8" i="19"/>
  <c r="D9" i="19"/>
  <c r="D10" i="19"/>
  <c r="D5" i="19"/>
  <c r="X2" i="16"/>
  <c r="X1" i="16"/>
  <c r="U2" i="18"/>
  <c r="U1" i="18"/>
  <c r="X2" i="5"/>
  <c r="X1" i="5"/>
  <c r="X2" i="14"/>
  <c r="X1" i="14"/>
  <c r="Y1" i="15"/>
  <c r="X1" i="1"/>
  <c r="X2" i="1"/>
  <c r="M2" i="1"/>
  <c r="Q20" i="15"/>
  <c r="Q215" i="1"/>
  <c r="Q214" i="1"/>
  <c r="Q213" i="1"/>
  <c r="Q212" i="1"/>
  <c r="Q211" i="1"/>
  <c r="Q210" i="1"/>
  <c r="Q208" i="1"/>
  <c r="B20" i="15"/>
  <c r="B21" i="15"/>
  <c r="Q207" i="1"/>
  <c r="Q206" i="1"/>
  <c r="Q205" i="1"/>
  <c r="Q202" i="1"/>
  <c r="Q201" i="1"/>
  <c r="Q200" i="1"/>
  <c r="Q199" i="1"/>
  <c r="Q198" i="1"/>
  <c r="Q197" i="1"/>
  <c r="Q204" i="1"/>
  <c r="Q203" i="1"/>
  <c r="B197" i="1"/>
  <c r="B202" i="1"/>
  <c r="B201" i="1"/>
  <c r="B200" i="1"/>
  <c r="B199" i="1"/>
  <c r="B198" i="1"/>
  <c r="P8" i="20"/>
  <c r="P7" i="20"/>
  <c r="B8" i="20"/>
  <c r="C1" i="20"/>
  <c r="P6" i="20"/>
  <c r="B6" i="20"/>
  <c r="B7" i="20"/>
  <c r="R32" i="16"/>
  <c r="Q196" i="1"/>
  <c r="R30" i="16"/>
  <c r="R29" i="16"/>
  <c r="Q195" i="1"/>
  <c r="R33" i="16"/>
  <c r="R31" i="16"/>
  <c r="R28" i="16"/>
  <c r="Q194" i="1"/>
  <c r="Q193" i="1"/>
  <c r="Q192" i="1"/>
  <c r="Q191" i="1"/>
  <c r="Q190" i="1"/>
  <c r="R24" i="16"/>
  <c r="R23" i="16"/>
  <c r="R22" i="16"/>
  <c r="P18" i="18"/>
  <c r="B10" i="18"/>
  <c r="P10" i="18"/>
  <c r="R20" i="16"/>
  <c r="P12" i="18"/>
  <c r="P11" i="18"/>
  <c r="P9" i="18"/>
  <c r="P8" i="18"/>
  <c r="R18" i="16"/>
  <c r="R21" i="16"/>
  <c r="B18" i="16"/>
  <c r="B189" i="1"/>
  <c r="Q189" i="1"/>
  <c r="Q188" i="1"/>
  <c r="B187" i="1"/>
  <c r="Q187" i="1"/>
  <c r="Q186" i="1"/>
  <c r="Q185" i="1"/>
  <c r="Q182" i="1"/>
  <c r="Q184" i="1"/>
  <c r="Q183" i="1"/>
  <c r="R17" i="16"/>
  <c r="R16" i="16"/>
  <c r="R15" i="16"/>
  <c r="R14" i="16"/>
  <c r="P17" i="18"/>
  <c r="Q15" i="15"/>
  <c r="Q17" i="15"/>
  <c r="P16" i="18"/>
  <c r="P15" i="18"/>
  <c r="Q16" i="15"/>
  <c r="Q14" i="15"/>
  <c r="Q181" i="1"/>
  <c r="Q180" i="1"/>
  <c r="Q179" i="1"/>
  <c r="Q178" i="1"/>
  <c r="Q176" i="1"/>
  <c r="Q12" i="15"/>
  <c r="P14" i="18"/>
  <c r="P13" i="18"/>
  <c r="Q11" i="15"/>
  <c r="Q13" i="15"/>
  <c r="Q175" i="1"/>
  <c r="Q174" i="1"/>
  <c r="Q173" i="1"/>
  <c r="Q172" i="1"/>
  <c r="Q171" i="1"/>
  <c r="Q170" i="1"/>
  <c r="Q169" i="1"/>
  <c r="R12" i="16"/>
  <c r="R13" i="16"/>
  <c r="R11" i="16"/>
  <c r="R10" i="16"/>
  <c r="C1" i="16"/>
  <c r="C2" i="18"/>
  <c r="Q23" i="14"/>
  <c r="Q168" i="1"/>
  <c r="Q167" i="1"/>
  <c r="Q166" i="1"/>
  <c r="Q165" i="1"/>
  <c r="Q164" i="1"/>
  <c r="Q163" i="1"/>
  <c r="Q162" i="1"/>
  <c r="Q22" i="14"/>
  <c r="Q21" i="14"/>
  <c r="Q161" i="1"/>
  <c r="Q20" i="14"/>
  <c r="Q160" i="1"/>
  <c r="Q159" i="1"/>
  <c r="P7" i="18"/>
  <c r="P6" i="18"/>
  <c r="P5" i="18"/>
  <c r="Q10" i="15"/>
  <c r="Q9" i="15"/>
  <c r="Q8" i="15"/>
  <c r="Q158" i="1"/>
  <c r="Q157" i="1"/>
  <c r="Q156" i="1"/>
  <c r="Q155" i="1"/>
  <c r="Q154" i="1"/>
  <c r="Q153" i="1"/>
  <c r="Q19" i="14"/>
  <c r="Q18" i="14"/>
  <c r="Q15" i="11"/>
  <c r="Q21" i="11"/>
  <c r="Q20" i="11"/>
  <c r="Q25" i="11"/>
  <c r="Q24" i="11"/>
  <c r="R9" i="16"/>
  <c r="R8" i="16"/>
  <c r="R7" i="16"/>
  <c r="R6" i="16"/>
  <c r="Q23" i="11"/>
  <c r="Q22" i="11"/>
  <c r="Q19" i="11"/>
  <c r="Q18" i="11"/>
  <c r="Q17" i="11"/>
  <c r="G3" i="16"/>
  <c r="Q17" i="14"/>
  <c r="Q15" i="14"/>
  <c r="Q152" i="1"/>
  <c r="Q16" i="14"/>
  <c r="Q14" i="14"/>
  <c r="Q150" i="1"/>
  <c r="Q144" i="1"/>
  <c r="Q149" i="1"/>
  <c r="Q148" i="1"/>
  <c r="Q147" i="1"/>
  <c r="Q146" i="1"/>
  <c r="Q145" i="1"/>
  <c r="B1" i="14"/>
  <c r="B1" i="15"/>
  <c r="Q7" i="15"/>
  <c r="Q6" i="15"/>
  <c r="Q5" i="15"/>
  <c r="Q4" i="15"/>
  <c r="Q14" i="11"/>
  <c r="Q13" i="11"/>
  <c r="Q12" i="11"/>
  <c r="Q11" i="11"/>
  <c r="Q10" i="11"/>
  <c r="Q143" i="1"/>
  <c r="Q142" i="1"/>
  <c r="Q141" i="1"/>
  <c r="Q140" i="1"/>
  <c r="Q139" i="1"/>
  <c r="Q138" i="1"/>
  <c r="Q137" i="1"/>
  <c r="Q136" i="1"/>
  <c r="Q134" i="1"/>
  <c r="Q132" i="1"/>
  <c r="Q133" i="1"/>
  <c r="Q13" i="14"/>
  <c r="Q12" i="14"/>
  <c r="Q11" i="14"/>
  <c r="Q10" i="14"/>
  <c r="F5" i="11"/>
  <c r="Q29" i="5"/>
  <c r="Q28" i="5"/>
  <c r="Q123" i="1"/>
  <c r="Q124" i="1"/>
  <c r="Q125" i="1"/>
  <c r="Q126" i="1"/>
  <c r="Q127" i="1"/>
  <c r="Q128" i="1"/>
  <c r="Q129" i="1"/>
  <c r="Q130" i="1"/>
  <c r="Q52" i="3"/>
  <c r="Q51" i="3"/>
  <c r="Q50" i="3"/>
  <c r="Q111" i="1"/>
  <c r="Q112" i="1"/>
  <c r="P7" i="13"/>
  <c r="Q121" i="1"/>
  <c r="P6" i="13"/>
  <c r="Q6" i="12"/>
  <c r="Q122" i="1"/>
  <c r="Q120" i="1"/>
  <c r="Q119" i="1"/>
  <c r="Q118" i="1"/>
  <c r="Q114" i="1"/>
  <c r="Q30" i="1"/>
  <c r="Q41" i="1"/>
  <c r="Q117" i="1"/>
  <c r="Q115" i="1"/>
  <c r="Q113" i="1"/>
  <c r="Q110" i="1"/>
  <c r="Q109" i="1"/>
  <c r="Q108" i="1"/>
  <c r="Q107" i="1"/>
  <c r="Q105" i="1"/>
  <c r="Q104" i="1"/>
  <c r="Q11" i="9"/>
  <c r="F4" i="11"/>
  <c r="F3" i="11"/>
  <c r="Q103" i="1"/>
  <c r="Q102" i="1"/>
  <c r="Q100" i="1"/>
  <c r="Q99" i="1"/>
  <c r="Q98" i="1"/>
  <c r="Q97" i="1"/>
  <c r="Q101" i="1"/>
  <c r="Q27" i="5"/>
  <c r="Q96" i="1"/>
  <c r="Q10" i="9"/>
  <c r="Q9" i="9"/>
  <c r="Q9" i="4"/>
  <c r="Q8" i="4"/>
  <c r="Q24" i="5"/>
  <c r="Q25" i="5"/>
  <c r="Q26" i="5"/>
  <c r="Q7" i="4"/>
  <c r="Q23" i="5"/>
  <c r="Q22" i="5"/>
  <c r="Q21" i="5"/>
  <c r="Q20" i="5"/>
  <c r="Q19" i="5"/>
  <c r="Q18" i="5"/>
  <c r="Q6" i="4"/>
  <c r="M3" i="1"/>
  <c r="Q17" i="5"/>
  <c r="Q8" i="9"/>
  <c r="Q7" i="9"/>
  <c r="Q6" i="9"/>
  <c r="Q47" i="3"/>
  <c r="Q60" i="1"/>
  <c r="Q47" i="1"/>
  <c r="Q46" i="1"/>
  <c r="Q50" i="1"/>
  <c r="Q93" i="1"/>
  <c r="Q95" i="1"/>
  <c r="Q94" i="1"/>
  <c r="Q92" i="1"/>
  <c r="Q91" i="1"/>
  <c r="Q90" i="1"/>
  <c r="Q85" i="1"/>
  <c r="Q84" i="1"/>
  <c r="Q83" i="1"/>
  <c r="Q82" i="1"/>
  <c r="Q79" i="1"/>
  <c r="Q78" i="1"/>
  <c r="Q77" i="1"/>
  <c r="Q89" i="1"/>
  <c r="Q88" i="1"/>
  <c r="Q76" i="1"/>
  <c r="Q74" i="1"/>
  <c r="Q70" i="1"/>
  <c r="Q68" i="1"/>
  <c r="Q67" i="1"/>
  <c r="Q65" i="1"/>
  <c r="Q62" i="1"/>
  <c r="Q87" i="1"/>
  <c r="Q86" i="1"/>
  <c r="Q58" i="1"/>
  <c r="Q81" i="1"/>
  <c r="Q75" i="1"/>
  <c r="Q72" i="1"/>
  <c r="Q71" i="1"/>
  <c r="Q73" i="1"/>
  <c r="Q63" i="1"/>
  <c r="Q31" i="3"/>
  <c r="Q69" i="1"/>
  <c r="Q66" i="1"/>
  <c r="Q61" i="1"/>
  <c r="Q64" i="1"/>
  <c r="X3" i="1"/>
  <c r="U3" i="18"/>
  <c r="V4" i="24"/>
  <c r="X3" i="5"/>
  <c r="X3" i="16"/>
  <c r="X3" i="14"/>
  <c r="C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0" authorId="0" shapeId="0" xr:uid="{00000000-0006-0000-0100-000001000000}">
      <text>
        <r>
          <rPr>
            <b/>
            <sz val="8"/>
            <color indexed="81"/>
            <rFont val="Tahoma"/>
            <family val="2"/>
          </rPr>
          <t>Author:</t>
        </r>
        <r>
          <rPr>
            <sz val="8"/>
            <color indexed="81"/>
            <rFont val="Tahoma"/>
            <family val="2"/>
          </rPr>
          <t xml:space="preserve">
remounted shell on new
mount 2080; orig. 2691</t>
        </r>
      </text>
    </comment>
    <comment ref="S75" authorId="0" shapeId="0" xr:uid="{00000000-0006-0000-0100-000002000000}">
      <text>
        <r>
          <rPr>
            <b/>
            <sz val="8"/>
            <color indexed="81"/>
            <rFont val="Tahoma"/>
            <family val="2"/>
          </rPr>
          <t>Author:</t>
        </r>
        <r>
          <rPr>
            <sz val="8"/>
            <color indexed="81"/>
            <rFont val="Tahoma"/>
            <family val="2"/>
          </rPr>
          <t xml:space="preserve">
per 14 Nov 2011, tip profile angles &lt;30deg is acceptable</t>
        </r>
      </text>
    </comment>
    <comment ref="J78" authorId="0" shapeId="0" xr:uid="{00000000-0006-0000-0100-000003000000}">
      <text>
        <r>
          <rPr>
            <b/>
            <sz val="8"/>
            <color indexed="81"/>
            <rFont val="Tahoma"/>
            <family val="2"/>
          </rPr>
          <t>Author:</t>
        </r>
        <r>
          <rPr>
            <sz val="8"/>
            <color indexed="81"/>
            <rFont val="Tahoma"/>
            <family val="2"/>
          </rPr>
          <t xml:space="preserve">
PP NOA 65 5 Dec 2011
71F, 40.2 %RH</t>
        </r>
      </text>
    </comment>
    <comment ref="A86" authorId="0" shapeId="0" xr:uid="{00000000-0006-0000-0100-000004000000}">
      <text>
        <r>
          <rPr>
            <b/>
            <sz val="8"/>
            <color indexed="81"/>
            <rFont val="Tahoma"/>
            <family val="2"/>
          </rPr>
          <t>Author:</t>
        </r>
        <r>
          <rPr>
            <sz val="8"/>
            <color indexed="81"/>
            <rFont val="Tahoma"/>
            <family val="2"/>
          </rPr>
          <t xml:space="preserve">
reuse for another shell</t>
        </r>
      </text>
    </comment>
    <comment ref="G86" authorId="0" shapeId="0" xr:uid="{00000000-0006-0000-0100-000005000000}">
      <text>
        <r>
          <rPr>
            <b/>
            <sz val="8"/>
            <color indexed="81"/>
            <rFont val="Tahoma"/>
            <family val="2"/>
          </rPr>
          <t>Author:</t>
        </r>
        <r>
          <rPr>
            <sz val="8"/>
            <color indexed="81"/>
            <rFont val="Tahoma"/>
            <family val="2"/>
          </rPr>
          <t xml:space="preserve">
shell has defects that make it useless</t>
        </r>
      </text>
    </comment>
    <comment ref="N94" authorId="0" shapeId="0" xr:uid="{00000000-0006-0000-0100-000006000000}">
      <text>
        <r>
          <rPr>
            <b/>
            <sz val="8"/>
            <color indexed="81"/>
            <rFont val="Tahoma"/>
            <family val="2"/>
          </rPr>
          <t>Author:</t>
        </r>
        <r>
          <rPr>
            <sz val="8"/>
            <color indexed="81"/>
            <rFont val="Tahoma"/>
            <family val="2"/>
          </rPr>
          <t xml:space="preserve">
data on shaker not saved, but target survived the testing</t>
        </r>
      </text>
    </comment>
    <comment ref="J104" authorId="0" shapeId="0" xr:uid="{00000000-0006-0000-0100-000007000000}">
      <text>
        <r>
          <rPr>
            <b/>
            <sz val="8"/>
            <color indexed="81"/>
            <rFont val="Tahoma"/>
            <family val="2"/>
          </rPr>
          <t>Author:</t>
        </r>
        <r>
          <rPr>
            <sz val="8"/>
            <color indexed="81"/>
            <rFont val="Tahoma"/>
            <family val="2"/>
          </rPr>
          <t xml:space="preserve">
orig:  5 May2011, SN</t>
        </r>
      </text>
    </comment>
    <comment ref="A105" authorId="0" shapeId="0" xr:uid="{00000000-0006-0000-0100-000008000000}">
      <text>
        <r>
          <rPr>
            <b/>
            <sz val="8"/>
            <color indexed="81"/>
            <rFont val="Tahoma"/>
            <family val="2"/>
          </rPr>
          <t>Author:</t>
        </r>
        <r>
          <rPr>
            <sz val="8"/>
            <color indexed="81"/>
            <rFont val="Tahoma"/>
            <family val="2"/>
          </rPr>
          <t xml:space="preserve">
27deg angled stalk</t>
        </r>
      </text>
    </comment>
    <comment ref="A106" authorId="0" shapeId="0" xr:uid="{00000000-0006-0000-0100-000009000000}">
      <text>
        <r>
          <rPr>
            <b/>
            <sz val="8"/>
            <color indexed="81"/>
            <rFont val="Tahoma"/>
            <family val="2"/>
          </rPr>
          <t>Author:</t>
        </r>
        <r>
          <rPr>
            <sz val="8"/>
            <color indexed="81"/>
            <rFont val="Tahoma"/>
            <family val="2"/>
          </rPr>
          <t xml:space="preserve">
27deg angled stalk</t>
        </r>
      </text>
    </comment>
    <comment ref="G106" authorId="0" shapeId="0" xr:uid="{00000000-0006-0000-0100-00000A000000}">
      <text>
        <r>
          <rPr>
            <b/>
            <sz val="8"/>
            <color indexed="81"/>
            <rFont val="Tahoma"/>
            <family val="2"/>
          </rPr>
          <t>Author:</t>
        </r>
        <r>
          <rPr>
            <sz val="8"/>
            <color indexed="81"/>
            <rFont val="Tahoma"/>
            <family val="2"/>
          </rPr>
          <t xml:space="preserve">
based on when 2028 was built and the interferogram comparison, 9.3um wall</t>
        </r>
      </text>
    </comment>
    <comment ref="A107" authorId="0" shapeId="0" xr:uid="{00000000-0006-0000-0100-00000B000000}">
      <text>
        <r>
          <rPr>
            <b/>
            <sz val="8"/>
            <color indexed="81"/>
            <rFont val="Tahoma"/>
            <family val="2"/>
          </rPr>
          <t>Author:</t>
        </r>
        <r>
          <rPr>
            <sz val="8"/>
            <color indexed="81"/>
            <rFont val="Tahoma"/>
            <family val="2"/>
          </rPr>
          <t xml:space="preserve">
improve glue; mount out of spec</t>
        </r>
      </text>
    </comment>
    <comment ref="A111" authorId="0" shapeId="0" xr:uid="{00000000-0006-0000-0100-00000C000000}">
      <text>
        <r>
          <rPr>
            <b/>
            <sz val="8"/>
            <color indexed="81"/>
            <rFont val="Tahoma"/>
            <family val="2"/>
          </rPr>
          <t>Author:</t>
        </r>
        <r>
          <rPr>
            <sz val="8"/>
            <color indexed="81"/>
            <rFont val="Tahoma"/>
            <family val="2"/>
          </rPr>
          <t xml:space="preserve">
mount out of spec</t>
        </r>
      </text>
    </comment>
    <comment ref="G111" authorId="0" shapeId="0" xr:uid="{00000000-0006-0000-0100-00000D000000}">
      <text>
        <r>
          <rPr>
            <b/>
            <sz val="8"/>
            <color indexed="81"/>
            <rFont val="Tahoma"/>
            <family val="2"/>
          </rPr>
          <t>Author:</t>
        </r>
        <r>
          <rPr>
            <sz val="8"/>
            <color indexed="81"/>
            <rFont val="Tahoma"/>
            <family val="2"/>
          </rPr>
          <t xml:space="preserve">
43um glue; out of spec</t>
        </r>
      </text>
    </comment>
    <comment ref="A112" authorId="0" shapeId="0" xr:uid="{00000000-0006-0000-0100-00000E000000}">
      <text>
        <r>
          <rPr>
            <b/>
            <sz val="8"/>
            <color indexed="81"/>
            <rFont val="Tahoma"/>
            <family val="2"/>
          </rPr>
          <t>Author:</t>
        </r>
        <r>
          <rPr>
            <sz val="8"/>
            <color indexed="81"/>
            <rFont val="Tahoma"/>
            <family val="2"/>
          </rPr>
          <t xml:space="preserve">
mount out of spec</t>
        </r>
      </text>
    </comment>
    <comment ref="G112" authorId="0" shapeId="0" xr:uid="{00000000-0006-0000-0100-00000F000000}">
      <text>
        <r>
          <rPr>
            <b/>
            <sz val="8"/>
            <color indexed="81"/>
            <rFont val="Tahoma"/>
            <family val="2"/>
          </rPr>
          <t>Author:</t>
        </r>
        <r>
          <rPr>
            <sz val="8"/>
            <color indexed="81"/>
            <rFont val="Tahoma"/>
            <family val="2"/>
          </rPr>
          <t xml:space="preserve">
Shell removed to reuse the mount</t>
        </r>
      </text>
    </comment>
    <comment ref="G113" authorId="0" shapeId="0" xr:uid="{00000000-0006-0000-0100-000010000000}">
      <text>
        <r>
          <rPr>
            <b/>
            <sz val="8"/>
            <color indexed="81"/>
            <rFont val="Tahoma"/>
            <family val="2"/>
          </rPr>
          <t>Author:</t>
        </r>
        <r>
          <rPr>
            <sz val="8"/>
            <color indexed="81"/>
            <rFont val="Tahoma"/>
            <family val="2"/>
          </rPr>
          <t xml:space="preserve">
34um glue; out of spec</t>
        </r>
      </text>
    </comment>
    <comment ref="N114" authorId="0" shapeId="0" xr:uid="{00000000-0006-0000-0100-000011000000}">
      <text>
        <r>
          <rPr>
            <b/>
            <sz val="8"/>
            <color indexed="81"/>
            <rFont val="Tahoma"/>
            <family val="2"/>
          </rPr>
          <t>Author:</t>
        </r>
        <r>
          <rPr>
            <sz val="8"/>
            <color indexed="81"/>
            <rFont val="Tahoma"/>
            <family val="2"/>
          </rPr>
          <t xml:space="preserve">
Wr data not saved; computer wont allow</t>
        </r>
      </text>
    </comment>
    <comment ref="G115" authorId="0" shapeId="0" xr:uid="{00000000-0006-0000-0100-000012000000}">
      <text>
        <r>
          <rPr>
            <b/>
            <sz val="8"/>
            <color indexed="81"/>
            <rFont val="Tahoma"/>
            <family val="2"/>
          </rPr>
          <t>Author:</t>
        </r>
        <r>
          <rPr>
            <sz val="8"/>
            <color indexed="81"/>
            <rFont val="Tahoma"/>
            <family val="2"/>
          </rPr>
          <t xml:space="preserve">
12um spot, un removable</t>
        </r>
      </text>
    </comment>
    <comment ref="G116" authorId="0" shapeId="0" xr:uid="{00000000-0006-0000-0100-000013000000}">
      <text>
        <r>
          <rPr>
            <b/>
            <sz val="8"/>
            <color indexed="81"/>
            <rFont val="Tahoma"/>
            <family val="2"/>
          </rPr>
          <t>Author:</t>
        </r>
        <r>
          <rPr>
            <sz val="8"/>
            <color indexed="81"/>
            <rFont val="Tahoma"/>
            <family val="2"/>
          </rPr>
          <t xml:space="preserve">
13um defect; out of spec</t>
        </r>
      </text>
    </comment>
    <comment ref="A117" authorId="0" shapeId="0" xr:uid="{00000000-0006-0000-0100-000014000000}">
      <text>
        <r>
          <rPr>
            <b/>
            <sz val="8"/>
            <color indexed="81"/>
            <rFont val="Tahoma"/>
            <family val="2"/>
          </rPr>
          <t>Author:</t>
        </r>
        <r>
          <rPr>
            <sz val="8"/>
            <color indexed="81"/>
            <rFont val="Tahoma"/>
            <family val="2"/>
          </rPr>
          <t xml:space="preserve">
mount out of spec</t>
        </r>
      </text>
    </comment>
    <comment ref="G117" authorId="0" shapeId="0" xr:uid="{00000000-0006-0000-0100-000015000000}">
      <text>
        <r>
          <rPr>
            <b/>
            <sz val="8"/>
            <color indexed="81"/>
            <rFont val="Tahoma"/>
            <family val="2"/>
          </rPr>
          <t>Author:</t>
        </r>
        <r>
          <rPr>
            <sz val="8"/>
            <color indexed="81"/>
            <rFont val="Tahoma"/>
            <family val="2"/>
          </rPr>
          <t xml:space="preserve">
spots on capsule</t>
        </r>
      </text>
    </comment>
    <comment ref="N118" authorId="0" shapeId="0" xr:uid="{00000000-0006-0000-0100-000016000000}">
      <text>
        <r>
          <rPr>
            <b/>
            <sz val="8"/>
            <color indexed="81"/>
            <rFont val="Tahoma"/>
            <family val="2"/>
          </rPr>
          <t>Author:</t>
        </r>
        <r>
          <rPr>
            <sz val="8"/>
            <color indexed="81"/>
            <rFont val="Tahoma"/>
            <family val="2"/>
          </rPr>
          <t xml:space="preserve">
Wr data not saved; computer wont allow</t>
        </r>
      </text>
    </comment>
    <comment ref="G123" authorId="0" shapeId="0" xr:uid="{00000000-0006-0000-0100-000017000000}">
      <text>
        <r>
          <rPr>
            <b/>
            <sz val="8"/>
            <color indexed="81"/>
            <rFont val="Tahoma"/>
            <family val="2"/>
          </rPr>
          <t>Author:</t>
        </r>
        <r>
          <rPr>
            <sz val="8"/>
            <color indexed="81"/>
            <rFont val="Tahoma"/>
            <family val="2"/>
          </rPr>
          <t xml:space="preserve">
12.8um defect: OOS</t>
        </r>
      </text>
    </comment>
    <comment ref="G126" authorId="0" shapeId="0" xr:uid="{00000000-0006-0000-0100-000018000000}">
      <text>
        <r>
          <rPr>
            <b/>
            <sz val="8"/>
            <color indexed="81"/>
            <rFont val="Tahoma"/>
            <family val="2"/>
          </rPr>
          <t>Author:</t>
        </r>
        <r>
          <rPr>
            <sz val="8"/>
            <color indexed="81"/>
            <rFont val="Tahoma"/>
            <family val="2"/>
          </rPr>
          <t xml:space="preserve">
glue spot out of spec</t>
        </r>
      </text>
    </comment>
    <comment ref="G128" authorId="0" shapeId="0" xr:uid="{00000000-0006-0000-0100-000019000000}">
      <text>
        <r>
          <rPr>
            <b/>
            <sz val="8"/>
            <color indexed="81"/>
            <rFont val="Tahoma"/>
            <family val="2"/>
          </rPr>
          <t>Author:</t>
        </r>
        <r>
          <rPr>
            <sz val="8"/>
            <color indexed="81"/>
            <rFont val="Tahoma"/>
            <family val="2"/>
          </rPr>
          <t xml:space="preserve">
12um shell defect</t>
        </r>
      </text>
    </comment>
    <comment ref="A131" authorId="0" shapeId="0" xr:uid="{00000000-0006-0000-0100-00001A000000}">
      <text>
        <r>
          <rPr>
            <b/>
            <sz val="8"/>
            <color indexed="81"/>
            <rFont val="Tahoma"/>
            <family val="2"/>
          </rPr>
          <t>Author:</t>
        </r>
        <r>
          <rPr>
            <sz val="8"/>
            <color indexed="81"/>
            <rFont val="Tahoma"/>
            <family val="2"/>
          </rPr>
          <t xml:space="preserve">
extra glue added to SiC fiber to enhance damping, per B. Rice</t>
        </r>
      </text>
    </comment>
    <comment ref="G132" authorId="0" shapeId="0" xr:uid="{00000000-0006-0000-0100-00001B000000}">
      <text>
        <r>
          <rPr>
            <b/>
            <sz val="8"/>
            <color indexed="81"/>
            <rFont val="Tahoma"/>
            <family val="2"/>
          </rPr>
          <t>Author:</t>
        </r>
        <r>
          <rPr>
            <sz val="8"/>
            <color indexed="81"/>
            <rFont val="Tahoma"/>
            <family val="2"/>
          </rPr>
          <t xml:space="preserve">
spare; non ideal glue</t>
        </r>
      </text>
    </comment>
    <comment ref="G134" authorId="0" shapeId="0" xr:uid="{00000000-0006-0000-0100-00001C000000}">
      <text>
        <r>
          <rPr>
            <b/>
            <sz val="8"/>
            <color indexed="81"/>
            <rFont val="Tahoma"/>
            <family val="2"/>
          </rPr>
          <t>Author:</t>
        </r>
        <r>
          <rPr>
            <sz val="8"/>
            <color indexed="81"/>
            <rFont val="Tahoma"/>
            <family val="2"/>
          </rPr>
          <t xml:space="preserve">
12.6 x 16um defect</t>
        </r>
      </text>
    </comment>
    <comment ref="G138" authorId="0" shapeId="0" xr:uid="{00000000-0006-0000-0100-00001D000000}">
      <text>
        <r>
          <rPr>
            <b/>
            <sz val="8"/>
            <color indexed="81"/>
            <rFont val="Tahoma"/>
            <family val="2"/>
          </rPr>
          <t>Author:</t>
        </r>
        <r>
          <rPr>
            <sz val="8"/>
            <color indexed="81"/>
            <rFont val="Tahoma"/>
            <family val="2"/>
          </rPr>
          <t xml:space="preserve">
shell has debris field</t>
        </r>
      </text>
    </comment>
    <comment ref="N139" authorId="0" shapeId="0" xr:uid="{00000000-0006-0000-0100-00001E000000}">
      <text>
        <r>
          <rPr>
            <b/>
            <sz val="8"/>
            <color indexed="81"/>
            <rFont val="Tahoma"/>
            <family val="2"/>
          </rPr>
          <t>Author:</t>
        </r>
        <r>
          <rPr>
            <sz val="8"/>
            <color indexed="81"/>
            <rFont val="Tahoma"/>
            <family val="2"/>
          </rPr>
          <t xml:space="preserve">
shaker program  won't save properly</t>
        </r>
      </text>
    </comment>
    <comment ref="N140" authorId="0" shapeId="0" xr:uid="{00000000-0006-0000-0100-00001F000000}">
      <text>
        <r>
          <rPr>
            <b/>
            <sz val="8"/>
            <color indexed="81"/>
            <rFont val="Tahoma"/>
            <family val="2"/>
          </rPr>
          <t>Author:</t>
        </r>
        <r>
          <rPr>
            <sz val="8"/>
            <color indexed="81"/>
            <rFont val="Tahoma"/>
            <family val="2"/>
          </rPr>
          <t xml:space="preserve">
shaker won't save data or copy of data</t>
        </r>
      </text>
    </comment>
    <comment ref="G141" authorId="0" shapeId="0" xr:uid="{00000000-0006-0000-0100-000020000000}">
      <text>
        <r>
          <rPr>
            <b/>
            <sz val="8"/>
            <color indexed="81"/>
            <rFont val="Tahoma"/>
            <family val="2"/>
          </rPr>
          <t>Author:</t>
        </r>
        <r>
          <rPr>
            <sz val="8"/>
            <color indexed="81"/>
            <rFont val="Tahoma"/>
            <family val="2"/>
          </rPr>
          <t xml:space="preserve">
sticky in shaker</t>
        </r>
      </text>
    </comment>
    <comment ref="G142" authorId="0" shapeId="0" xr:uid="{00000000-0006-0000-0100-000021000000}">
      <text>
        <r>
          <rPr>
            <b/>
            <sz val="8"/>
            <color indexed="81"/>
            <rFont val="Tahoma"/>
            <family val="2"/>
          </rPr>
          <t>Author:</t>
        </r>
        <r>
          <rPr>
            <sz val="8"/>
            <color indexed="81"/>
            <rFont val="Tahoma"/>
            <family val="2"/>
          </rPr>
          <t xml:space="preserve">
less force on pin in shaker</t>
        </r>
      </text>
    </comment>
    <comment ref="B145" authorId="0" shapeId="0" xr:uid="{00000000-0006-0000-0100-000022000000}">
      <text>
        <r>
          <rPr>
            <b/>
            <sz val="8"/>
            <color indexed="81"/>
            <rFont val="Tahoma"/>
            <family val="2"/>
          </rPr>
          <t>Author:</t>
        </r>
        <r>
          <rPr>
            <sz val="8"/>
            <color indexed="81"/>
            <rFont val="Tahoma"/>
            <family val="2"/>
          </rPr>
          <t xml:space="preserve">
measured by distance between 2 lines</t>
        </r>
      </text>
    </comment>
    <comment ref="B146" authorId="0" shapeId="0" xr:uid="{00000000-0006-0000-0100-000023000000}">
      <text>
        <r>
          <rPr>
            <b/>
            <sz val="8"/>
            <color indexed="81"/>
            <rFont val="Tahoma"/>
            <family val="2"/>
          </rPr>
          <t>Author:</t>
        </r>
        <r>
          <rPr>
            <sz val="8"/>
            <color indexed="81"/>
            <rFont val="Tahoma"/>
            <family val="2"/>
          </rPr>
          <t xml:space="preserve">
measured by distance between 2 lines</t>
        </r>
      </text>
    </comment>
    <comment ref="G151" authorId="0" shapeId="0" xr:uid="{00000000-0006-0000-0100-000024000000}">
      <text>
        <r>
          <rPr>
            <b/>
            <sz val="8"/>
            <color indexed="81"/>
            <rFont val="Tahoma"/>
            <family val="2"/>
          </rPr>
          <t>Author:</t>
        </r>
        <r>
          <rPr>
            <sz val="8"/>
            <color indexed="81"/>
            <rFont val="Tahoma"/>
            <family val="2"/>
          </rPr>
          <t xml:space="preserve">
GLUE OUT OF SPEC 35UM; rejected 18 Jun 2012, recycled pin</t>
        </r>
      </text>
    </comment>
    <comment ref="G161" authorId="0" shapeId="0" xr:uid="{00000000-0006-0000-0100-000025000000}">
      <text>
        <r>
          <rPr>
            <b/>
            <sz val="8"/>
            <color indexed="81"/>
            <rFont val="Tahoma"/>
            <family val="2"/>
          </rPr>
          <t>Author:</t>
        </r>
        <r>
          <rPr>
            <sz val="8"/>
            <color indexed="81"/>
            <rFont val="Tahoma"/>
            <family val="2"/>
          </rPr>
          <t xml:space="preserve">
shell removed to reuse mount</t>
        </r>
      </text>
    </comment>
    <comment ref="B162" authorId="0" shapeId="0" xr:uid="{00000000-0006-0000-0100-000026000000}">
      <text>
        <r>
          <rPr>
            <b/>
            <sz val="8"/>
            <color indexed="81"/>
            <rFont val="Tahoma"/>
            <family val="2"/>
          </rPr>
          <t>Author:</t>
        </r>
        <r>
          <rPr>
            <sz val="8"/>
            <color indexed="81"/>
            <rFont val="Tahoma"/>
            <family val="2"/>
          </rPr>
          <t xml:space="preserve">
glue over fiber</t>
        </r>
      </text>
    </comment>
    <comment ref="G162" authorId="0" shapeId="0" xr:uid="{00000000-0006-0000-0100-000027000000}">
      <text>
        <r>
          <rPr>
            <b/>
            <sz val="8"/>
            <color indexed="81"/>
            <rFont val="Tahoma"/>
            <family val="2"/>
          </rPr>
          <t>Author:</t>
        </r>
        <r>
          <rPr>
            <sz val="8"/>
            <color indexed="81"/>
            <rFont val="Tahoma"/>
            <family val="2"/>
          </rPr>
          <t xml:space="preserve">
capsule OOS</t>
        </r>
      </text>
    </comment>
    <comment ref="G168" authorId="0" shapeId="0" xr:uid="{00000000-0006-0000-0100-000028000000}">
      <text>
        <r>
          <rPr>
            <b/>
            <sz val="8"/>
            <color indexed="81"/>
            <rFont val="Tahoma"/>
            <family val="2"/>
          </rPr>
          <t>Author:</t>
        </r>
        <r>
          <rPr>
            <sz val="8"/>
            <color indexed="81"/>
            <rFont val="Tahoma"/>
            <family val="2"/>
          </rPr>
          <t xml:space="preserve">
broken during operatiions of He glovebox debris test</t>
        </r>
      </text>
    </comment>
    <comment ref="G182" authorId="0" shapeId="0" xr:uid="{00000000-0006-0000-0100-000029000000}">
      <text>
        <r>
          <rPr>
            <b/>
            <sz val="8"/>
            <color indexed="81"/>
            <rFont val="Tahoma"/>
            <family val="2"/>
          </rPr>
          <t>Author:</t>
        </r>
        <r>
          <rPr>
            <sz val="8"/>
            <color indexed="81"/>
            <rFont val="Tahoma"/>
            <family val="2"/>
          </rPr>
          <t xml:space="preserve">
shell defects OOS</t>
        </r>
      </text>
    </comment>
    <comment ref="G186" authorId="0" shapeId="0" xr:uid="{00000000-0006-0000-0100-00002A000000}">
      <text>
        <r>
          <rPr>
            <b/>
            <sz val="8"/>
            <color indexed="81"/>
            <rFont val="Tahoma"/>
            <family val="2"/>
          </rPr>
          <t>Author:</t>
        </r>
        <r>
          <rPr>
            <sz val="8"/>
            <color indexed="81"/>
            <rFont val="Tahoma"/>
            <family val="2"/>
          </rPr>
          <t xml:space="preserve">
capsule OOS</t>
        </r>
      </text>
    </comment>
    <comment ref="G194" authorId="0" shapeId="0" xr:uid="{00000000-0006-0000-0100-00002B000000}">
      <text>
        <r>
          <rPr>
            <b/>
            <sz val="8"/>
            <color indexed="81"/>
            <rFont val="Tahoma"/>
            <family val="2"/>
          </rPr>
          <t>Author:</t>
        </r>
        <r>
          <rPr>
            <sz val="8"/>
            <color indexed="81"/>
            <rFont val="Tahoma"/>
            <family val="2"/>
          </rPr>
          <t xml:space="preserve">
reject:  glue spot OOS</t>
        </r>
      </text>
    </comment>
    <comment ref="G195" authorId="0" shapeId="0" xr:uid="{00000000-0006-0000-0100-00002C000000}">
      <text>
        <r>
          <rPr>
            <b/>
            <sz val="8"/>
            <color indexed="81"/>
            <rFont val="Tahoma"/>
            <family val="2"/>
          </rPr>
          <t>Author:</t>
        </r>
        <r>
          <rPr>
            <sz val="8"/>
            <color indexed="81"/>
            <rFont val="Tahoma"/>
            <family val="2"/>
          </rPr>
          <t xml:space="preserve">
12um defect on equator OOS</t>
        </r>
      </text>
    </comment>
    <comment ref="E197" authorId="0" shapeId="0" xr:uid="{00000000-0006-0000-0100-00002D000000}">
      <text>
        <r>
          <rPr>
            <b/>
            <sz val="8"/>
            <color indexed="81"/>
            <rFont val="Tahoma"/>
            <family val="2"/>
          </rPr>
          <t>Author:</t>
        </r>
        <r>
          <rPr>
            <sz val="8"/>
            <color indexed="81"/>
            <rFont val="Tahoma"/>
            <family val="2"/>
          </rPr>
          <t xml:space="preserve">
new measurement, 17 Sep 2012</t>
        </r>
      </text>
    </comment>
    <comment ref="G198" authorId="0" shapeId="0" xr:uid="{00000000-0006-0000-0100-00002E000000}">
      <text>
        <r>
          <rPr>
            <b/>
            <sz val="9"/>
            <color indexed="81"/>
            <rFont val="Tahoma"/>
            <family val="2"/>
          </rPr>
          <t>Author:</t>
        </r>
        <r>
          <rPr>
            <sz val="9"/>
            <color indexed="81"/>
            <rFont val="Tahoma"/>
            <family val="2"/>
          </rPr>
          <t xml:space="preserve">
Broken shell, shell removed to reuse the mount</t>
        </r>
      </text>
    </comment>
    <comment ref="G201" authorId="0" shapeId="0" xr:uid="{00000000-0006-0000-0100-00002F000000}">
      <text>
        <r>
          <rPr>
            <b/>
            <sz val="8"/>
            <color indexed="81"/>
            <rFont val="Tahoma"/>
            <family val="2"/>
          </rPr>
          <t>Author:</t>
        </r>
        <r>
          <rPr>
            <sz val="8"/>
            <color indexed="81"/>
            <rFont val="Tahoma"/>
            <family val="2"/>
          </rPr>
          <t xml:space="preserve">
watermark</t>
        </r>
      </text>
    </comment>
    <comment ref="G202" authorId="0" shapeId="0" xr:uid="{00000000-0006-0000-0100-000030000000}">
      <text>
        <r>
          <rPr>
            <b/>
            <sz val="8"/>
            <color indexed="81"/>
            <rFont val="Tahoma"/>
            <family val="2"/>
          </rPr>
          <t>Author:</t>
        </r>
        <r>
          <rPr>
            <sz val="8"/>
            <color indexed="81"/>
            <rFont val="Tahoma"/>
            <family val="2"/>
          </rPr>
          <t xml:space="preserve">
~8um 180deg</t>
        </r>
      </text>
    </comment>
    <comment ref="G203" authorId="0" shapeId="0" xr:uid="{00000000-0006-0000-0100-000031000000}">
      <text>
        <r>
          <rPr>
            <b/>
            <sz val="8"/>
            <color indexed="81"/>
            <rFont val="Tahoma"/>
            <family val="2"/>
          </rPr>
          <t>Author:</t>
        </r>
        <r>
          <rPr>
            <sz val="8"/>
            <color indexed="81"/>
            <rFont val="Tahoma"/>
            <family val="2"/>
          </rPr>
          <t xml:space="preserve">
8um at 270</t>
        </r>
      </text>
    </comment>
    <comment ref="G204" authorId="0" shapeId="0" xr:uid="{00000000-0006-0000-0100-000032000000}">
      <text>
        <r>
          <rPr>
            <b/>
            <sz val="8"/>
            <color indexed="81"/>
            <rFont val="Tahoma"/>
            <family val="2"/>
          </rPr>
          <t>Author:</t>
        </r>
        <r>
          <rPr>
            <sz val="8"/>
            <color indexed="81"/>
            <rFont val="Tahoma"/>
            <family val="2"/>
          </rPr>
          <t xml:space="preserve">
defects at 270
</t>
        </r>
      </text>
    </comment>
    <comment ref="G209" authorId="0" shapeId="0" xr:uid="{00000000-0006-0000-0100-000033000000}">
      <text>
        <r>
          <rPr>
            <b/>
            <sz val="8"/>
            <color indexed="81"/>
            <rFont val="Tahoma"/>
            <family val="2"/>
          </rPr>
          <t>Author:</t>
        </r>
        <r>
          <rPr>
            <sz val="8"/>
            <color indexed="81"/>
            <rFont val="Tahoma"/>
            <family val="2"/>
          </rPr>
          <t xml:space="preserve">
capsule out of spec</t>
        </r>
      </text>
    </comment>
    <comment ref="A217" authorId="0" shapeId="0" xr:uid="{00000000-0006-0000-0100-000034000000}">
      <text>
        <r>
          <rPr>
            <b/>
            <sz val="8"/>
            <color indexed="81"/>
            <rFont val="Tahoma"/>
            <family val="2"/>
          </rPr>
          <t>Author:</t>
        </r>
        <r>
          <rPr>
            <sz val="8"/>
            <color indexed="81"/>
            <rFont val="Tahoma"/>
            <family val="2"/>
          </rPr>
          <t xml:space="preserve">
In joint SSt/holder</t>
        </r>
      </text>
    </comment>
    <comment ref="R218" authorId="0" shapeId="0" xr:uid="{00000000-0006-0000-0100-000035000000}">
      <text>
        <r>
          <rPr>
            <b/>
            <sz val="9"/>
            <color indexed="81"/>
            <rFont val="Tahoma"/>
            <family val="2"/>
          </rPr>
          <t>Author:</t>
        </r>
        <r>
          <rPr>
            <sz val="9"/>
            <color indexed="81"/>
            <rFont val="Tahoma"/>
            <family val="2"/>
          </rPr>
          <t xml:space="preserve">
FEWER DEFECTS</t>
        </r>
      </text>
    </comment>
    <comment ref="G221" authorId="0" shapeId="0" xr:uid="{00000000-0006-0000-0100-000036000000}">
      <text>
        <r>
          <rPr>
            <b/>
            <sz val="8"/>
            <color indexed="81"/>
            <rFont val="Tahoma"/>
            <family val="2"/>
          </rPr>
          <t>Author:</t>
        </r>
        <r>
          <rPr>
            <sz val="8"/>
            <color indexed="81"/>
            <rFont val="Tahoma"/>
            <family val="2"/>
          </rPr>
          <t xml:space="preserve">
confocal characterization</t>
        </r>
      </text>
    </comment>
    <comment ref="G230" authorId="0" shapeId="0" xr:uid="{00000000-0006-0000-0100-000037000000}">
      <text>
        <r>
          <rPr>
            <b/>
            <sz val="8"/>
            <color indexed="81"/>
            <rFont val="Tahoma"/>
            <family val="2"/>
          </rPr>
          <t>Author:</t>
        </r>
        <r>
          <rPr>
            <sz val="8"/>
            <color indexed="81"/>
            <rFont val="Tahoma"/>
            <family val="2"/>
          </rPr>
          <t xml:space="preserve">
used for glue fillet study</t>
        </r>
      </text>
    </comment>
    <comment ref="G231" authorId="0" shapeId="0" xr:uid="{00000000-0006-0000-0100-000038000000}">
      <text>
        <r>
          <rPr>
            <b/>
            <sz val="8"/>
            <color indexed="81"/>
            <rFont val="Tahoma"/>
            <family val="2"/>
          </rPr>
          <t>Author:</t>
        </r>
        <r>
          <rPr>
            <sz val="8"/>
            <color indexed="81"/>
            <rFont val="Tahoma"/>
            <family val="2"/>
          </rPr>
          <t xml:space="preserve">
confocal microscope data</t>
        </r>
      </text>
    </comment>
    <comment ref="G234" authorId="0" shapeId="0" xr:uid="{00000000-0006-0000-0100-000039000000}">
      <text>
        <r>
          <rPr>
            <b/>
            <sz val="8"/>
            <color indexed="81"/>
            <rFont val="Tahoma"/>
            <family val="2"/>
          </rPr>
          <t>Author:</t>
        </r>
        <r>
          <rPr>
            <sz val="8"/>
            <color indexed="81"/>
            <rFont val="Tahoma"/>
            <family val="2"/>
          </rPr>
          <t xml:space="preserve">
used for measuring the fillet with confocal uscope</t>
        </r>
      </text>
    </comment>
    <comment ref="A237" authorId="0" shapeId="0" xr:uid="{00000000-0006-0000-0100-00003A000000}">
      <text>
        <r>
          <rPr>
            <b/>
            <sz val="8"/>
            <color indexed="81"/>
            <rFont val="Tahoma"/>
            <family val="2"/>
          </rPr>
          <t>Author:</t>
        </r>
        <r>
          <rPr>
            <sz val="8"/>
            <color indexed="81"/>
            <rFont val="Tahoma"/>
            <family val="2"/>
          </rPr>
          <t xml:space="preserve">
In joint b/w SSt/holder</t>
        </r>
      </text>
    </comment>
    <comment ref="G237" authorId="0" shapeId="0" xr:uid="{00000000-0006-0000-0100-00003B000000}">
      <text>
        <r>
          <rPr>
            <b/>
            <sz val="8"/>
            <color indexed="81"/>
            <rFont val="Tahoma"/>
            <family val="2"/>
          </rPr>
          <t>Author:</t>
        </r>
        <r>
          <rPr>
            <sz val="8"/>
            <color indexed="81"/>
            <rFont val="Tahoma"/>
            <family val="2"/>
          </rPr>
          <t xml:space="preserve">
confocal</t>
        </r>
      </text>
    </comment>
    <comment ref="G238" authorId="0" shapeId="0" xr:uid="{00000000-0006-0000-0100-00003C000000}">
      <text>
        <r>
          <rPr>
            <b/>
            <sz val="9"/>
            <color indexed="81"/>
            <rFont val="Tahoma"/>
            <family val="2"/>
          </rPr>
          <t>Author:</t>
        </r>
        <r>
          <rPr>
            <sz val="9"/>
            <color indexed="81"/>
            <rFont val="Tahoma"/>
            <family val="2"/>
          </rPr>
          <t xml:space="preserve">
HAS .25MM SiC fiber 1.5mm from capsule</t>
        </r>
      </text>
    </comment>
    <comment ref="G244" authorId="0" shapeId="0" xr:uid="{00000000-0006-0000-0100-00003D000000}">
      <text>
        <r>
          <rPr>
            <b/>
            <sz val="8"/>
            <color indexed="81"/>
            <rFont val="Tahoma"/>
            <family val="2"/>
          </rPr>
          <t>Author:</t>
        </r>
        <r>
          <rPr>
            <sz val="8"/>
            <color indexed="81"/>
            <rFont val="Tahoma"/>
            <family val="2"/>
          </rPr>
          <t xml:space="preserve">
37um wall GDP</t>
        </r>
      </text>
    </comment>
    <comment ref="G245" authorId="0" shapeId="0" xr:uid="{00000000-0006-0000-0100-00003E000000}">
      <text>
        <r>
          <rPr>
            <b/>
            <sz val="8"/>
            <color indexed="81"/>
            <rFont val="Tahoma"/>
            <family val="2"/>
          </rPr>
          <t>Author:</t>
        </r>
        <r>
          <rPr>
            <sz val="8"/>
            <color indexed="81"/>
            <rFont val="Tahoma"/>
            <family val="2"/>
          </rPr>
          <t xml:space="preserve">
37um wall GDP</t>
        </r>
      </text>
    </comment>
    <comment ref="A248" authorId="0" shapeId="0" xr:uid="{00000000-0006-0000-0100-00003F000000}">
      <text>
        <r>
          <rPr>
            <b/>
            <sz val="8"/>
            <color indexed="81"/>
            <rFont val="Tahoma"/>
            <family val="2"/>
          </rPr>
          <t>Author:</t>
        </r>
        <r>
          <rPr>
            <sz val="8"/>
            <color indexed="81"/>
            <rFont val="Tahoma"/>
            <family val="2"/>
          </rPr>
          <t xml:space="preserve">
silicon coated shells, rollover coating 1min 40s</t>
        </r>
      </text>
    </comment>
    <comment ref="G251" authorId="0" shapeId="0" xr:uid="{00000000-0006-0000-0100-000040000000}">
      <text>
        <r>
          <rPr>
            <b/>
            <sz val="8"/>
            <color indexed="81"/>
            <rFont val="Tahoma"/>
            <family val="2"/>
          </rPr>
          <t>Author:</t>
        </r>
        <r>
          <rPr>
            <sz val="8"/>
            <color indexed="81"/>
            <rFont val="Tahoma"/>
            <family val="2"/>
          </rPr>
          <t xml:space="preserve">
measured TC, thickness</t>
        </r>
      </text>
    </comment>
    <comment ref="G254" authorId="0" shapeId="0" xr:uid="{00000000-0006-0000-0100-000041000000}">
      <text>
        <r>
          <rPr>
            <b/>
            <sz val="8"/>
            <color indexed="81"/>
            <rFont val="Tahoma"/>
            <family val="2"/>
          </rPr>
          <t>Author:</t>
        </r>
        <r>
          <rPr>
            <sz val="8"/>
            <color indexed="81"/>
            <rFont val="Tahoma"/>
            <family val="2"/>
          </rPr>
          <t xml:space="preserve">
from same coating batch as -5; no TC measured</t>
        </r>
      </text>
    </comment>
    <comment ref="G255" authorId="0" shapeId="0" xr:uid="{00000000-0006-0000-0100-000042000000}">
      <text>
        <r>
          <rPr>
            <b/>
            <sz val="8"/>
            <color indexed="81"/>
            <rFont val="Tahoma"/>
            <family val="2"/>
          </rPr>
          <t>Author:</t>
        </r>
        <r>
          <rPr>
            <sz val="8"/>
            <color indexed="81"/>
            <rFont val="Tahoma"/>
            <family val="2"/>
          </rPr>
          <t xml:space="preserve">
measured TC; thickness</t>
        </r>
      </text>
    </comment>
    <comment ref="G256" authorId="0" shapeId="0" xr:uid="{00000000-0006-0000-0100-000043000000}">
      <text>
        <r>
          <rPr>
            <b/>
            <sz val="8"/>
            <color indexed="81"/>
            <rFont val="Tahoma"/>
            <family val="2"/>
          </rPr>
          <t>Author:</t>
        </r>
        <r>
          <rPr>
            <sz val="8"/>
            <color indexed="81"/>
            <rFont val="Tahoma"/>
            <family val="2"/>
          </rPr>
          <t xml:space="preserve">
measured TC, thickenss</t>
        </r>
      </text>
    </comment>
    <comment ref="G257" authorId="0" shapeId="0" xr:uid="{00000000-0006-0000-0100-000044000000}">
      <text>
        <r>
          <rPr>
            <b/>
            <sz val="8"/>
            <color indexed="81"/>
            <rFont val="Tahoma"/>
            <family val="2"/>
          </rPr>
          <t>Author:</t>
        </r>
        <r>
          <rPr>
            <sz val="8"/>
            <color indexed="81"/>
            <rFont val="Tahoma"/>
            <family val="2"/>
          </rPr>
          <t xml:space="preserve">
75um footprint, 42um at 7um glue</t>
        </r>
      </text>
    </comment>
    <comment ref="G258" authorId="0" shapeId="0" xr:uid="{00000000-0006-0000-0100-000045000000}">
      <text>
        <r>
          <rPr>
            <b/>
            <sz val="8"/>
            <color indexed="81"/>
            <rFont val="Tahoma"/>
            <family val="2"/>
          </rPr>
          <t>Author:</t>
        </r>
        <r>
          <rPr>
            <sz val="8"/>
            <color indexed="81"/>
            <rFont val="Tahoma"/>
            <family val="2"/>
          </rPr>
          <t xml:space="preserve">
55um at 7um, 75um footprint glue</t>
        </r>
      </text>
    </comment>
    <comment ref="G260" authorId="0" shapeId="0" xr:uid="{00000000-0006-0000-0100-000046000000}">
      <text>
        <r>
          <rPr>
            <b/>
            <sz val="8"/>
            <color indexed="81"/>
            <rFont val="Tahoma"/>
            <family val="2"/>
          </rPr>
          <t>Author:</t>
        </r>
        <r>
          <rPr>
            <sz val="8"/>
            <color indexed="81"/>
            <rFont val="Tahoma"/>
            <family val="2"/>
          </rPr>
          <t xml:space="preserve">
86um footprint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00000000-0006-0000-1500-000001000000}">
      <text>
        <r>
          <rPr>
            <b/>
            <sz val="9"/>
            <color indexed="81"/>
            <rFont val="Tahoma"/>
            <family val="2"/>
          </rPr>
          <t>Author:</t>
        </r>
        <r>
          <rPr>
            <sz val="9"/>
            <color indexed="81"/>
            <rFont val="Tahoma"/>
            <family val="2"/>
          </rPr>
          <t xml:space="preserve">
MEQ, type 21 Target assembly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6" authorId="0" shapeId="0" xr:uid="{00000000-0006-0000-1600-000001000000}">
      <text>
        <r>
          <rPr>
            <b/>
            <sz val="8"/>
            <color indexed="81"/>
            <rFont val="Tahoma"/>
            <family val="2"/>
          </rPr>
          <t>Author:</t>
        </r>
        <r>
          <rPr>
            <sz val="8"/>
            <color indexed="81"/>
            <rFont val="Tahoma"/>
            <family val="2"/>
          </rPr>
          <t xml:space="preserve">
32, 34um glue spot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7" authorId="0" shapeId="0" xr:uid="{00000000-0006-0000-1700-000001000000}">
      <text>
        <r>
          <rPr>
            <b/>
            <sz val="8"/>
            <color indexed="81"/>
            <rFont val="Tahoma"/>
            <family val="2"/>
          </rPr>
          <t>Author:</t>
        </r>
        <r>
          <rPr>
            <sz val="8"/>
            <color indexed="81"/>
            <rFont val="Tahoma"/>
            <family val="2"/>
          </rPr>
          <t xml:space="preserve">
bad capsule</t>
        </r>
      </text>
    </comment>
    <comment ref="H8" authorId="0" shapeId="0" xr:uid="{00000000-0006-0000-1700-000002000000}">
      <text>
        <r>
          <rPr>
            <b/>
            <sz val="9"/>
            <color indexed="81"/>
            <rFont val="Tahoma"/>
            <family val="2"/>
          </rPr>
          <t>Author:</t>
        </r>
        <r>
          <rPr>
            <sz val="9"/>
            <color indexed="81"/>
            <rFont val="Tahoma"/>
            <family val="2"/>
          </rPr>
          <t xml:space="preserve">
point spot characterization with confocal
</t>
        </r>
      </text>
    </comment>
    <comment ref="H9" authorId="0" shapeId="0" xr:uid="{00000000-0006-0000-1700-000003000000}">
      <text>
        <r>
          <rPr>
            <b/>
            <sz val="8"/>
            <color indexed="81"/>
            <rFont val="Tahoma"/>
            <family val="2"/>
          </rPr>
          <t>Author:</t>
        </r>
        <r>
          <rPr>
            <sz val="8"/>
            <color indexed="81"/>
            <rFont val="Tahoma"/>
            <family val="2"/>
          </rPr>
          <t xml:space="preserve">
Type13 for B. Rice, 15um glue gap b/w stalk and shell; 3/28/13, DT</t>
        </r>
      </text>
    </comment>
    <comment ref="B10" authorId="0" shapeId="0" xr:uid="{00000000-0006-0000-1700-000004000000}">
      <text>
        <r>
          <rPr>
            <b/>
            <sz val="8"/>
            <color indexed="81"/>
            <rFont val="Tahoma"/>
            <family val="2"/>
          </rPr>
          <t>Author:</t>
        </r>
        <r>
          <rPr>
            <sz val="8"/>
            <color indexed="81"/>
            <rFont val="Tahoma"/>
            <family val="2"/>
          </rPr>
          <t xml:space="preserve">
M5 fiber group 2 fiber 1
 from DDC1481</t>
        </r>
      </text>
    </comment>
    <comment ref="B11" authorId="0" shapeId="0" xr:uid="{00000000-0006-0000-1700-000005000000}">
      <text>
        <r>
          <rPr>
            <b/>
            <sz val="8"/>
            <color indexed="81"/>
            <rFont val="Tahoma"/>
            <family val="2"/>
          </rPr>
          <t>Author:</t>
        </r>
        <r>
          <rPr>
            <sz val="8"/>
            <color indexed="81"/>
            <rFont val="Tahoma"/>
            <family val="2"/>
          </rPr>
          <t xml:space="preserve">
M5 fiber group 2 fiber 2
from DDC1481</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 authorId="0" shapeId="0" xr:uid="{00000000-0006-0000-1A00-000001000000}">
      <text>
        <r>
          <rPr>
            <b/>
            <sz val="8"/>
            <color indexed="81"/>
            <rFont val="Tahoma"/>
            <family val="2"/>
          </rPr>
          <t>Author:</t>
        </r>
        <r>
          <rPr>
            <sz val="8"/>
            <color indexed="81"/>
            <rFont val="Tahoma"/>
            <family val="2"/>
          </rPr>
          <t xml:space="preserve">
ok'ed by Rice; target fiber broke and was re-glued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00000000-0006-0000-1C00-000001000000}">
      <text>
        <r>
          <rPr>
            <b/>
            <sz val="9"/>
            <color indexed="81"/>
            <rFont val="Tahoma"/>
            <family val="2"/>
          </rPr>
          <t>Author:</t>
        </r>
        <r>
          <rPr>
            <sz val="9"/>
            <color indexed="81"/>
            <rFont val="Tahoma"/>
            <family val="2"/>
          </rPr>
          <t xml:space="preserve">
from stalk mount testing xls spreadsheet</t>
        </r>
      </text>
    </comment>
    <comment ref="D21" authorId="0" shapeId="0" xr:uid="{00000000-0006-0000-1C00-000002000000}">
      <text>
        <r>
          <rPr>
            <b/>
            <sz val="9"/>
            <color indexed="81"/>
            <rFont val="Tahoma"/>
            <family val="2"/>
          </rPr>
          <t>Author:</t>
        </r>
        <r>
          <rPr>
            <sz val="9"/>
            <color indexed="81"/>
            <rFont val="Tahoma"/>
            <family val="2"/>
          </rPr>
          <t xml:space="preserve">
5 type1's , 1 Type5a were delivered.  Type 1 in "slot6" (reportedly) was broken due to over tight set screw.  A Type5a was delivered to hand load.  Sal realized the broken target was from slot 5 instead.  Therefore slots 5 and 6 had Type 5a.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1" authorId="0" shapeId="0" xr:uid="{00000000-0006-0000-0400-000001000000}">
      <text>
        <r>
          <rPr>
            <b/>
            <sz val="8"/>
            <color indexed="81"/>
            <rFont val="Tahoma"/>
            <family val="2"/>
          </rPr>
          <t>Author:</t>
        </r>
        <r>
          <rPr>
            <sz val="8"/>
            <color indexed="81"/>
            <rFont val="Tahoma"/>
            <family val="2"/>
          </rPr>
          <t xml:space="preserve">
glue out of spec</t>
        </r>
      </text>
    </comment>
    <comment ref="F14" authorId="0" shapeId="0" xr:uid="{00000000-0006-0000-0400-000002000000}">
      <text>
        <r>
          <rPr>
            <b/>
            <sz val="8"/>
            <color indexed="81"/>
            <rFont val="Tahoma"/>
            <family val="2"/>
          </rPr>
          <t>Author:</t>
        </r>
        <r>
          <rPr>
            <sz val="8"/>
            <color indexed="81"/>
            <rFont val="Tahoma"/>
            <family val="2"/>
          </rPr>
          <t xml:space="preserve">
rejected bad mount</t>
        </r>
      </text>
    </comment>
    <comment ref="F16" authorId="0" shapeId="0" xr:uid="{00000000-0006-0000-0400-000003000000}">
      <text>
        <r>
          <rPr>
            <b/>
            <sz val="8"/>
            <color indexed="81"/>
            <rFont val="Tahoma"/>
            <family val="2"/>
          </rPr>
          <t>Author:</t>
        </r>
        <r>
          <rPr>
            <sz val="8"/>
            <color indexed="81"/>
            <rFont val="Tahoma"/>
            <family val="2"/>
          </rPr>
          <t xml:space="preserve">
Glue OOS</t>
        </r>
      </text>
    </comment>
    <comment ref="F22" authorId="0" shapeId="0" xr:uid="{00000000-0006-0000-0400-000004000000}">
      <text>
        <r>
          <rPr>
            <b/>
            <sz val="8"/>
            <color indexed="81"/>
            <rFont val="Tahoma"/>
            <family val="2"/>
          </rPr>
          <t>Author:</t>
        </r>
        <r>
          <rPr>
            <sz val="8"/>
            <color indexed="81"/>
            <rFont val="Tahoma"/>
            <family val="2"/>
          </rPr>
          <t xml:space="preserve">
glue spot OOS</t>
        </r>
      </text>
    </comment>
    <comment ref="F26" authorId="0" shapeId="0" xr:uid="{00000000-0006-0000-0400-000005000000}">
      <text>
        <r>
          <rPr>
            <b/>
            <sz val="8"/>
            <color indexed="81"/>
            <rFont val="Tahoma"/>
            <family val="2"/>
          </rPr>
          <t>Author:</t>
        </r>
        <r>
          <rPr>
            <sz val="8"/>
            <color indexed="81"/>
            <rFont val="Tahoma"/>
            <family val="2"/>
          </rPr>
          <t xml:space="preserve">
confocal uscope metrology</t>
        </r>
      </text>
    </comment>
    <comment ref="A29" authorId="0" shapeId="0" xr:uid="{00000000-0006-0000-0400-000006000000}">
      <text>
        <r>
          <rPr>
            <b/>
            <sz val="8"/>
            <color indexed="81"/>
            <rFont val="Tahoma"/>
            <family val="2"/>
          </rPr>
          <t>Author:</t>
        </r>
        <r>
          <rPr>
            <sz val="8"/>
            <color indexed="81"/>
            <rFont val="Tahoma"/>
            <family val="2"/>
          </rPr>
          <t xml:space="preserve">
indium joint between SST and target holder</t>
        </r>
      </text>
    </comment>
    <comment ref="L29" authorId="0" shapeId="0" xr:uid="{00000000-0006-0000-0400-000007000000}">
      <text>
        <r>
          <rPr>
            <b/>
            <sz val="8"/>
            <color indexed="81"/>
            <rFont val="Tahoma"/>
            <family val="2"/>
          </rPr>
          <t>Author:</t>
        </r>
        <r>
          <rPr>
            <sz val="8"/>
            <color indexed="81"/>
            <rFont val="Tahoma"/>
            <family val="2"/>
          </rPr>
          <t xml:space="preserve">
moved to spec.</t>
        </r>
      </text>
    </comment>
    <comment ref="F31" authorId="0" shapeId="0" xr:uid="{00000000-0006-0000-0400-000008000000}">
      <text>
        <r>
          <rPr>
            <b/>
            <sz val="8"/>
            <color indexed="81"/>
            <rFont val="Tahoma"/>
            <family val="2"/>
          </rPr>
          <t>Author:</t>
        </r>
        <r>
          <rPr>
            <sz val="8"/>
            <color indexed="81"/>
            <rFont val="Tahoma"/>
            <family val="2"/>
          </rPr>
          <t xml:space="preserve">
confocal</t>
        </r>
      </text>
    </comment>
    <comment ref="F32" authorId="0" shapeId="0" xr:uid="{00000000-0006-0000-0400-000009000000}">
      <text>
        <r>
          <rPr>
            <b/>
            <sz val="8"/>
            <color indexed="81"/>
            <rFont val="Tahoma"/>
            <family val="2"/>
          </rPr>
          <t>Author:</t>
        </r>
        <r>
          <rPr>
            <sz val="8"/>
            <color indexed="81"/>
            <rFont val="Tahoma"/>
            <family val="2"/>
          </rPr>
          <t xml:space="preserve">
confocal , remounted after failure in confocal</t>
        </r>
      </text>
    </comment>
    <comment ref="A34" authorId="0" shapeId="0" xr:uid="{00000000-0006-0000-0400-00000A000000}">
      <text>
        <r>
          <rPr>
            <b/>
            <sz val="8"/>
            <color indexed="81"/>
            <rFont val="Tahoma"/>
            <family val="2"/>
          </rPr>
          <t>Author:</t>
        </r>
        <r>
          <rPr>
            <sz val="8"/>
            <color indexed="81"/>
            <rFont val="Tahoma"/>
            <family val="2"/>
          </rPr>
          <t xml:space="preserve">
bold red = indium joint</t>
        </r>
      </text>
    </comment>
    <comment ref="F34" authorId="0" shapeId="0" xr:uid="{00000000-0006-0000-0400-00000B000000}">
      <text>
        <r>
          <rPr>
            <b/>
            <sz val="8"/>
            <color indexed="81"/>
            <rFont val="Tahoma"/>
            <family val="2"/>
          </rPr>
          <t>Author:</t>
        </r>
        <r>
          <rPr>
            <sz val="8"/>
            <color indexed="81"/>
            <rFont val="Tahoma"/>
            <family val="2"/>
          </rPr>
          <t xml:space="preserve">
confocal measurement</t>
        </r>
      </text>
    </comment>
    <comment ref="F38" authorId="0" shapeId="0" xr:uid="{00000000-0006-0000-0400-00000C000000}">
      <text>
        <r>
          <rPr>
            <b/>
            <sz val="8"/>
            <color indexed="81"/>
            <rFont val="Tahoma"/>
            <family val="2"/>
          </rPr>
          <t>Author:</t>
        </r>
        <r>
          <rPr>
            <sz val="8"/>
            <color indexed="81"/>
            <rFont val="Tahoma"/>
            <family val="2"/>
          </rPr>
          <t xml:space="preserve">
shell lost
</t>
        </r>
      </text>
    </comment>
    <comment ref="M40" authorId="0" shapeId="0" xr:uid="{00000000-0006-0000-0400-00000D000000}">
      <text>
        <r>
          <rPr>
            <b/>
            <sz val="8"/>
            <color indexed="81"/>
            <rFont val="Tahoma"/>
            <family val="2"/>
          </rPr>
          <t>Author:</t>
        </r>
        <r>
          <rPr>
            <sz val="8"/>
            <color indexed="81"/>
            <rFont val="Tahoma"/>
            <family val="2"/>
          </rPr>
          <t xml:space="preserve">
motion about sst/holder joint</t>
        </r>
      </text>
    </comment>
    <comment ref="F42" authorId="0" shapeId="0" xr:uid="{00000000-0006-0000-0400-00000E000000}">
      <text>
        <r>
          <rPr>
            <b/>
            <sz val="8"/>
            <color indexed="81"/>
            <rFont val="Tahoma"/>
            <family val="2"/>
          </rPr>
          <t>Author:</t>
        </r>
        <r>
          <rPr>
            <sz val="8"/>
            <color indexed="81"/>
            <rFont val="Tahoma"/>
            <family val="2"/>
          </rPr>
          <t xml:space="preserve">
SHELL REJECTED DUE TO OOS FEATURES</t>
        </r>
      </text>
    </comment>
    <comment ref="F45" authorId="0" shapeId="0" xr:uid="{00000000-0006-0000-0400-00000F000000}">
      <text>
        <r>
          <rPr>
            <b/>
            <sz val="8"/>
            <color indexed="81"/>
            <rFont val="Tahoma"/>
            <family val="2"/>
          </rPr>
          <t>Author:</t>
        </r>
        <r>
          <rPr>
            <sz val="8"/>
            <color indexed="81"/>
            <rFont val="Tahoma"/>
            <family val="2"/>
          </rPr>
          <t xml:space="preserve">
fell off during final insp, remounted  cleaned, but orientation about axis lost, remounted with NOA65</t>
        </r>
      </text>
    </comment>
    <comment ref="F47" authorId="0" shapeId="0" xr:uid="{00000000-0006-0000-0400-000010000000}">
      <text>
        <r>
          <rPr>
            <b/>
            <sz val="8"/>
            <color indexed="81"/>
            <rFont val="Tahoma"/>
            <family val="2"/>
          </rPr>
          <t>Author:</t>
        </r>
        <r>
          <rPr>
            <sz val="8"/>
            <color indexed="81"/>
            <rFont val="Tahoma"/>
            <family val="2"/>
          </rPr>
          <t xml:space="preserve">
1.5X15um line defect</t>
        </r>
      </text>
    </comment>
    <comment ref="F49" authorId="0" shapeId="0" xr:uid="{00000000-0006-0000-0400-000011000000}">
      <text>
        <r>
          <rPr>
            <b/>
            <sz val="8"/>
            <color indexed="81"/>
            <rFont val="Tahoma"/>
            <family val="2"/>
          </rPr>
          <t>Author:</t>
        </r>
        <r>
          <rPr>
            <sz val="8"/>
            <color indexed="81"/>
            <rFont val="Tahoma"/>
            <family val="2"/>
          </rPr>
          <t xml:space="preserve">
lost in Tfab, routine handling</t>
        </r>
      </text>
    </comment>
    <comment ref="A53" authorId="0" shapeId="0" xr:uid="{00000000-0006-0000-0400-000012000000}">
      <text>
        <r>
          <rPr>
            <b/>
            <sz val="8"/>
            <color indexed="81"/>
            <rFont val="Tahoma"/>
            <family val="2"/>
          </rPr>
          <t>Author:</t>
        </r>
        <r>
          <rPr>
            <sz val="8"/>
            <color indexed="81"/>
            <rFont val="Tahoma"/>
            <family val="2"/>
          </rPr>
          <t xml:space="preserve">
Si coated 300-500A, highlighted orange</t>
        </r>
      </text>
    </comment>
    <comment ref="F53" authorId="0" shapeId="0" xr:uid="{00000000-0006-0000-0400-000013000000}">
      <text>
        <r>
          <rPr>
            <b/>
            <sz val="8"/>
            <color indexed="81"/>
            <rFont val="Tahoma"/>
            <family val="2"/>
          </rPr>
          <t>Author:</t>
        </r>
        <r>
          <rPr>
            <sz val="8"/>
            <color indexed="81"/>
            <rFont val="Tahoma"/>
            <family val="2"/>
          </rPr>
          <t xml:space="preserve">
19um long defect 90deg</t>
        </r>
      </text>
    </comment>
    <comment ref="F54" authorId="0" shapeId="0" xr:uid="{00000000-0006-0000-0400-000014000000}">
      <text>
        <r>
          <rPr>
            <b/>
            <sz val="8"/>
            <color indexed="81"/>
            <rFont val="Tahoma"/>
            <family val="2"/>
          </rPr>
          <t>Author:</t>
        </r>
        <r>
          <rPr>
            <sz val="8"/>
            <color indexed="81"/>
            <rFont val="Tahoma"/>
            <family val="2"/>
          </rPr>
          <t xml:space="preserve">
lost in coater</t>
        </r>
      </text>
    </comment>
    <comment ref="F56" authorId="0" shapeId="0" xr:uid="{00000000-0006-0000-0400-000015000000}">
      <text>
        <r>
          <rPr>
            <b/>
            <sz val="8"/>
            <color indexed="81"/>
            <rFont val="Tahoma"/>
            <family val="2"/>
          </rPr>
          <t>Author:</t>
        </r>
        <r>
          <rPr>
            <sz val="8"/>
            <color indexed="81"/>
            <rFont val="Tahoma"/>
            <family val="2"/>
          </rPr>
          <t xml:space="preserve">
glue OOS</t>
        </r>
      </text>
    </comment>
    <comment ref="F57" authorId="0" shapeId="0" xr:uid="{00000000-0006-0000-0400-000016000000}">
      <text>
        <r>
          <rPr>
            <b/>
            <sz val="8"/>
            <color indexed="81"/>
            <rFont val="Tahoma"/>
            <family val="2"/>
          </rPr>
          <t>Author:</t>
        </r>
        <r>
          <rPr>
            <sz val="8"/>
            <color indexed="81"/>
            <rFont val="Tahoma"/>
            <family val="2"/>
          </rPr>
          <t xml:space="preserve">
broken during assembly</t>
        </r>
      </text>
    </comment>
    <comment ref="A64" authorId="0" shapeId="0" xr:uid="{00000000-0006-0000-0400-000017000000}">
      <text>
        <r>
          <rPr>
            <b/>
            <sz val="9"/>
            <color indexed="81"/>
            <rFont val="Tahoma"/>
            <family val="2"/>
          </rPr>
          <t xml:space="preserve">Author:
</t>
        </r>
      </text>
    </comment>
    <comment ref="A66" authorId="0" shapeId="0" xr:uid="{00000000-0006-0000-0400-000018000000}">
      <text>
        <r>
          <rPr>
            <b/>
            <sz val="8"/>
            <color indexed="81"/>
            <rFont val="Tahoma"/>
            <family val="2"/>
          </rPr>
          <t>Author:
Silicon coating, 300 to 500A, highlighted orange</t>
        </r>
      </text>
    </comment>
    <comment ref="F66" authorId="0" shapeId="0" xr:uid="{00000000-0006-0000-0400-000019000000}">
      <text>
        <r>
          <rPr>
            <b/>
            <sz val="8"/>
            <color indexed="81"/>
            <rFont val="Tahoma"/>
            <family val="2"/>
          </rPr>
          <t>Author:</t>
        </r>
        <r>
          <rPr>
            <sz val="8"/>
            <color indexed="81"/>
            <rFont val="Tahoma"/>
            <family val="2"/>
          </rPr>
          <t xml:space="preserve">
used for destructive testing of Si coatings</t>
        </r>
      </text>
    </comment>
    <comment ref="F67" authorId="0" shapeId="0" xr:uid="{00000000-0006-0000-0400-00001A000000}">
      <text>
        <r>
          <rPr>
            <b/>
            <sz val="8"/>
            <color indexed="81"/>
            <rFont val="Tahoma"/>
            <family val="2"/>
          </rPr>
          <t>Author:</t>
        </r>
        <r>
          <rPr>
            <sz val="8"/>
            <color indexed="81"/>
            <rFont val="Tahoma"/>
            <family val="2"/>
          </rPr>
          <t xml:space="preserve">
used for destructive testing for Si coatings</t>
        </r>
      </text>
    </comment>
    <comment ref="M67" authorId="0" shapeId="0" xr:uid="{00000000-0006-0000-0400-00001B000000}">
      <text>
        <r>
          <rPr>
            <b/>
            <sz val="8"/>
            <color indexed="81"/>
            <rFont val="Tahoma"/>
            <family val="2"/>
          </rPr>
          <t>Author:</t>
        </r>
        <r>
          <rPr>
            <sz val="8"/>
            <color indexed="81"/>
            <rFont val="Tahoma"/>
            <family val="2"/>
          </rPr>
          <t xml:space="preserve">
double peak</t>
        </r>
      </text>
    </comment>
    <comment ref="F70" authorId="0" shapeId="0" xr:uid="{00000000-0006-0000-0400-00001C000000}">
      <text>
        <r>
          <rPr>
            <b/>
            <sz val="8"/>
            <color indexed="81"/>
            <rFont val="Tahoma"/>
            <family val="2"/>
          </rPr>
          <t>Author:</t>
        </r>
        <r>
          <rPr>
            <sz val="8"/>
            <color indexed="81"/>
            <rFont val="Tahoma"/>
            <family val="2"/>
          </rPr>
          <t xml:space="preserve">
NOA65 on SiC fiber length</t>
        </r>
      </text>
    </comment>
    <comment ref="F77" authorId="0" shapeId="0" xr:uid="{00000000-0006-0000-0400-00001D000000}">
      <text>
        <r>
          <rPr>
            <b/>
            <sz val="8"/>
            <color indexed="81"/>
            <rFont val="Tahoma"/>
            <family val="2"/>
          </rPr>
          <t>Author:</t>
        </r>
        <r>
          <rPr>
            <sz val="8"/>
            <color indexed="81"/>
            <rFont val="Tahoma"/>
            <family val="2"/>
          </rPr>
          <t xml:space="preserve">
2 targets for CH coat, then Si coat;
24um /22</t>
        </r>
      </text>
    </comment>
    <comment ref="F78" authorId="0" shapeId="0" xr:uid="{00000000-0006-0000-0400-00001E000000}">
      <text>
        <r>
          <rPr>
            <b/>
            <sz val="8"/>
            <color indexed="81"/>
            <rFont val="Tahoma"/>
            <family val="2"/>
          </rPr>
          <t>Author:</t>
        </r>
        <r>
          <rPr>
            <sz val="8"/>
            <color indexed="81"/>
            <rFont val="Tahoma"/>
            <family val="2"/>
          </rPr>
          <t xml:space="preserve">
23/23um</t>
        </r>
      </text>
    </comment>
    <comment ref="F79" authorId="0" shapeId="0" xr:uid="{00000000-0006-0000-0400-00001F000000}">
      <text>
        <r>
          <rPr>
            <b/>
            <sz val="8"/>
            <color indexed="81"/>
            <rFont val="Tahoma"/>
            <family val="2"/>
          </rPr>
          <t>Author:</t>
        </r>
        <r>
          <rPr>
            <sz val="8"/>
            <color indexed="81"/>
            <rFont val="Tahoma"/>
            <family val="2"/>
          </rPr>
          <t xml:space="preserve">
witness target</t>
        </r>
      </text>
    </comment>
    <comment ref="F84" authorId="0" shapeId="0" xr:uid="{00000000-0006-0000-0400-000020000000}">
      <text>
        <r>
          <rPr>
            <b/>
            <sz val="8"/>
            <color indexed="81"/>
            <rFont val="Tahoma"/>
            <family val="2"/>
          </rPr>
          <t>Author:</t>
        </r>
        <r>
          <rPr>
            <sz val="8"/>
            <color indexed="81"/>
            <rFont val="Tahoma"/>
            <family val="2"/>
          </rPr>
          <t xml:space="preserve">
debris un removable</t>
        </r>
      </text>
    </comment>
    <comment ref="F85" authorId="0" shapeId="0" xr:uid="{00000000-0006-0000-0400-000021000000}">
      <text>
        <r>
          <rPr>
            <b/>
            <sz val="8"/>
            <color indexed="81"/>
            <rFont val="Tahoma"/>
            <family val="2"/>
          </rPr>
          <t>Author:</t>
        </r>
        <r>
          <rPr>
            <sz val="8"/>
            <color indexed="81"/>
            <rFont val="Tahoma"/>
            <family val="2"/>
          </rPr>
          <t xml:space="preserve">
rollover Si coating 500A
</t>
        </r>
      </text>
    </comment>
    <comment ref="F86" authorId="0" shapeId="0" xr:uid="{00000000-0006-0000-0400-000022000000}">
      <text>
        <r>
          <rPr>
            <b/>
            <sz val="8"/>
            <color indexed="81"/>
            <rFont val="Tahoma"/>
            <family val="2"/>
          </rPr>
          <t>Author:</t>
        </r>
        <r>
          <rPr>
            <sz val="8"/>
            <color indexed="81"/>
            <rFont val="Tahoma"/>
            <family val="2"/>
          </rPr>
          <t xml:space="preserve">
0.1um PaN coated, 500A Si coated; oversized glue on stalk</t>
        </r>
      </text>
    </comment>
    <comment ref="F87" authorId="0" shapeId="0" xr:uid="{00000000-0006-0000-0400-000023000000}">
      <text>
        <r>
          <rPr>
            <b/>
            <sz val="8"/>
            <color indexed="81"/>
            <rFont val="Tahoma"/>
            <family val="2"/>
          </rPr>
          <t>Author:</t>
        </r>
        <r>
          <rPr>
            <sz val="8"/>
            <color indexed="81"/>
            <rFont val="Tahoma"/>
            <family val="2"/>
          </rPr>
          <t xml:space="preserve">
0.1um PaN coated, 500A Si coated</t>
        </r>
      </text>
    </comment>
    <comment ref="M87" authorId="0" shapeId="0" xr:uid="{00000000-0006-0000-0400-000024000000}">
      <text>
        <r>
          <rPr>
            <b/>
            <sz val="8"/>
            <color indexed="81"/>
            <rFont val="Tahoma"/>
            <family val="2"/>
          </rPr>
          <t>Author:</t>
        </r>
        <r>
          <rPr>
            <sz val="8"/>
            <color indexed="81"/>
            <rFont val="Tahoma"/>
            <family val="2"/>
          </rPr>
          <t xml:space="preserve">
+/-2V signal</t>
        </r>
      </text>
    </comment>
    <comment ref="F88" authorId="0" shapeId="0" xr:uid="{00000000-0006-0000-0400-000025000000}">
      <text>
        <r>
          <rPr>
            <b/>
            <sz val="8"/>
            <color indexed="81"/>
            <rFont val="Tahoma"/>
            <family val="2"/>
          </rPr>
          <t>Author:</t>
        </r>
        <r>
          <rPr>
            <sz val="8"/>
            <color indexed="81"/>
            <rFont val="Tahoma"/>
            <family val="2"/>
          </rPr>
          <t xml:space="preserve">
Si rollover coating; used for time constant measurement</t>
        </r>
      </text>
    </comment>
    <comment ref="M88" authorId="0" shapeId="0" xr:uid="{00000000-0006-0000-0400-000026000000}">
      <text>
        <r>
          <rPr>
            <b/>
            <sz val="8"/>
            <color indexed="81"/>
            <rFont val="Tahoma"/>
            <family val="2"/>
          </rPr>
          <t>Author:</t>
        </r>
        <r>
          <rPr>
            <sz val="8"/>
            <color indexed="81"/>
            <rFont val="Tahoma"/>
            <family val="2"/>
          </rPr>
          <t xml:space="preserve">
+/-1.5V signal</t>
        </r>
      </text>
    </comment>
    <comment ref="A102" authorId="0" shapeId="0" xr:uid="{00000000-0006-0000-0400-000027000000}">
      <text>
        <r>
          <rPr>
            <b/>
            <sz val="8"/>
            <color indexed="81"/>
            <rFont val="Tahoma"/>
            <family val="2"/>
          </rPr>
          <t>Author:</t>
        </r>
        <r>
          <rPr>
            <sz val="8"/>
            <color indexed="81"/>
            <rFont val="Tahoma"/>
            <family val="2"/>
          </rPr>
          <t xml:space="preserve">
orange indicates Si coating on shell; 450A, or 570 ti 750A for rollover coatings</t>
        </r>
      </text>
    </comment>
    <comment ref="M102" authorId="0" shapeId="0" xr:uid="{00000000-0006-0000-0400-000028000000}">
      <text>
        <r>
          <rPr>
            <b/>
            <sz val="8"/>
            <color indexed="81"/>
            <rFont val="Tahoma"/>
            <family val="2"/>
          </rPr>
          <t>Author:</t>
        </r>
        <r>
          <rPr>
            <sz val="8"/>
            <color indexed="81"/>
            <rFont val="Tahoma"/>
            <family val="2"/>
          </rPr>
          <t xml:space="preserve">
+/-1.5V; restart +/-1.6V</t>
        </r>
      </text>
    </comment>
    <comment ref="M103" authorId="0" shapeId="0" xr:uid="{00000000-0006-0000-0400-000029000000}">
      <text>
        <r>
          <rPr>
            <b/>
            <sz val="8"/>
            <color indexed="81"/>
            <rFont val="Tahoma"/>
            <family val="2"/>
          </rPr>
          <t>Author:</t>
        </r>
        <r>
          <rPr>
            <sz val="8"/>
            <color indexed="81"/>
            <rFont val="Tahoma"/>
            <family val="2"/>
          </rPr>
          <t xml:space="preserve">
+/-1.5V</t>
        </r>
      </text>
    </comment>
    <comment ref="M104" authorId="0" shapeId="0" xr:uid="{00000000-0006-0000-0400-00002A000000}">
      <text>
        <r>
          <rPr>
            <b/>
            <sz val="8"/>
            <color indexed="81"/>
            <rFont val="Tahoma"/>
            <family val="2"/>
          </rPr>
          <t>Target Fabrication Operations:+/-1.5V</t>
        </r>
      </text>
    </comment>
    <comment ref="M105" authorId="0" shapeId="0" xr:uid="{00000000-0006-0000-0400-00002B000000}">
      <text>
        <r>
          <rPr>
            <b/>
            <sz val="8"/>
            <color indexed="81"/>
            <rFont val="Tahoma"/>
            <family val="2"/>
          </rPr>
          <t>Author:</t>
        </r>
        <r>
          <rPr>
            <sz val="8"/>
            <color indexed="81"/>
            <rFont val="Tahoma"/>
            <family val="2"/>
          </rPr>
          <t xml:space="preserve">
+/-2V</t>
        </r>
      </text>
    </comment>
    <comment ref="M106" authorId="0" shapeId="0" xr:uid="{00000000-0006-0000-0400-00002C000000}">
      <text>
        <r>
          <rPr>
            <b/>
            <sz val="8"/>
            <color indexed="81"/>
            <rFont val="Tahoma"/>
            <family val="2"/>
          </rPr>
          <t>Author:</t>
        </r>
        <r>
          <rPr>
            <sz val="8"/>
            <color indexed="81"/>
            <rFont val="Tahoma"/>
            <family val="2"/>
          </rPr>
          <t xml:space="preserve">
+/-2.1V; 1.7V after restart; rotate 90deg, 2.2V</t>
        </r>
      </text>
    </comment>
    <comment ref="M107" authorId="0" shapeId="0" xr:uid="{00000000-0006-0000-0400-00002D000000}">
      <text>
        <r>
          <rPr>
            <b/>
            <sz val="8"/>
            <color indexed="81"/>
            <rFont val="Tahoma"/>
            <family val="2"/>
          </rPr>
          <t>Author:</t>
        </r>
        <r>
          <rPr>
            <sz val="8"/>
            <color indexed="81"/>
            <rFont val="Tahoma"/>
            <family val="2"/>
          </rPr>
          <t xml:space="preserve">
+/-1.8V</t>
        </r>
      </text>
    </comment>
    <comment ref="M108" authorId="0" shapeId="0" xr:uid="{00000000-0006-0000-0400-00002E000000}">
      <text>
        <r>
          <rPr>
            <b/>
            <sz val="8"/>
            <color indexed="81"/>
            <rFont val="Tahoma"/>
            <family val="2"/>
          </rPr>
          <t>Author:</t>
        </r>
        <r>
          <rPr>
            <sz val="8"/>
            <color indexed="81"/>
            <rFont val="Tahoma"/>
            <family val="2"/>
          </rPr>
          <t xml:space="preserve">
+/-2V</t>
        </r>
      </text>
    </comment>
    <comment ref="M109" authorId="0" shapeId="0" xr:uid="{00000000-0006-0000-0400-00002F000000}">
      <text>
        <r>
          <rPr>
            <b/>
            <sz val="8"/>
            <color indexed="81"/>
            <rFont val="Tahoma"/>
            <family val="2"/>
          </rPr>
          <t>Author:</t>
        </r>
        <r>
          <rPr>
            <sz val="8"/>
            <color indexed="81"/>
            <rFont val="Tahoma"/>
            <family val="2"/>
          </rPr>
          <t xml:space="preserve">
+/-1.6V</t>
        </r>
      </text>
    </comment>
    <comment ref="M110" authorId="0" shapeId="0" xr:uid="{00000000-0006-0000-0400-000030000000}">
      <text>
        <r>
          <rPr>
            <b/>
            <sz val="8"/>
            <color indexed="81"/>
            <rFont val="Tahoma"/>
            <family val="2"/>
          </rPr>
          <t>Author:</t>
        </r>
        <r>
          <rPr>
            <sz val="8"/>
            <color indexed="81"/>
            <rFont val="Tahoma"/>
            <family val="2"/>
          </rPr>
          <t xml:space="preserve">
+/-1.6V</t>
        </r>
      </text>
    </comment>
    <comment ref="M111" authorId="0" shapeId="0" xr:uid="{00000000-0006-0000-0400-000031000000}">
      <text>
        <r>
          <rPr>
            <b/>
            <sz val="8"/>
            <color indexed="81"/>
            <rFont val="Tahoma"/>
            <family val="2"/>
          </rPr>
          <t>Author:</t>
        </r>
        <r>
          <rPr>
            <sz val="8"/>
            <color indexed="81"/>
            <rFont val="Tahoma"/>
            <family val="2"/>
          </rPr>
          <t xml:space="preserve">
+/-1.6V; restart +/-1.8V</t>
        </r>
      </text>
    </comment>
    <comment ref="F112" authorId="0" shapeId="0" xr:uid="{00000000-0006-0000-0400-000032000000}">
      <text>
        <r>
          <rPr>
            <b/>
            <sz val="8"/>
            <color indexed="81"/>
            <rFont val="Tahoma"/>
            <family val="2"/>
          </rPr>
          <t>Author:</t>
        </r>
        <r>
          <rPr>
            <sz val="8"/>
            <color indexed="81"/>
            <rFont val="Tahoma"/>
            <family val="2"/>
          </rPr>
          <t xml:space="preserve">
All targets from this group used pre-characterized polyimide in Montana cryostat</t>
        </r>
      </text>
    </comment>
    <comment ref="D119" authorId="0" shapeId="0" xr:uid="{00000000-0006-0000-0400-000033000000}">
      <text>
        <r>
          <rPr>
            <b/>
            <sz val="8"/>
            <color indexed="81"/>
            <rFont val="Tahoma"/>
            <family val="2"/>
          </rPr>
          <t>Author:</t>
        </r>
        <r>
          <rPr>
            <sz val="8"/>
            <color indexed="81"/>
            <rFont val="Tahoma"/>
            <family val="2"/>
          </rPr>
          <t xml:space="preserve">
comb 1, tube 4</t>
        </r>
      </text>
    </comment>
    <comment ref="D120" authorId="0" shapeId="0" xr:uid="{00000000-0006-0000-0400-000034000000}">
      <text>
        <r>
          <rPr>
            <b/>
            <sz val="8"/>
            <color indexed="81"/>
            <rFont val="Tahoma"/>
            <family val="2"/>
          </rPr>
          <t>Author:</t>
        </r>
        <r>
          <rPr>
            <sz val="8"/>
            <color indexed="81"/>
            <rFont val="Tahoma"/>
            <family val="2"/>
          </rPr>
          <t xml:space="preserve">
comb 2, tube 9</t>
        </r>
      </text>
    </comment>
    <comment ref="D121" authorId="0" shapeId="0" xr:uid="{00000000-0006-0000-0400-000035000000}">
      <text>
        <r>
          <rPr>
            <b/>
            <sz val="8"/>
            <color indexed="81"/>
            <rFont val="Tahoma"/>
            <family val="2"/>
          </rPr>
          <t>Author:</t>
        </r>
        <r>
          <rPr>
            <sz val="8"/>
            <color indexed="81"/>
            <rFont val="Tahoma"/>
            <family val="2"/>
          </rPr>
          <t xml:space="preserve">
comb 2, tube 2</t>
        </r>
      </text>
    </comment>
    <comment ref="D122" authorId="0" shapeId="0" xr:uid="{00000000-0006-0000-0400-000036000000}">
      <text>
        <r>
          <rPr>
            <b/>
            <sz val="8"/>
            <color indexed="81"/>
            <rFont val="Tahoma"/>
            <family val="2"/>
          </rPr>
          <t>Author:</t>
        </r>
        <r>
          <rPr>
            <sz val="8"/>
            <color indexed="81"/>
            <rFont val="Tahoma"/>
            <family val="2"/>
          </rPr>
          <t xml:space="preserve">
comb 2, tube 1</t>
        </r>
      </text>
    </comment>
    <comment ref="D123" authorId="0" shapeId="0" xr:uid="{00000000-0006-0000-0400-000037000000}">
      <text>
        <r>
          <rPr>
            <b/>
            <sz val="8"/>
            <color indexed="81"/>
            <rFont val="Tahoma"/>
            <family val="2"/>
          </rPr>
          <t>Author:</t>
        </r>
        <r>
          <rPr>
            <sz val="8"/>
            <color indexed="81"/>
            <rFont val="Tahoma"/>
            <family val="2"/>
          </rPr>
          <t xml:space="preserve">
comb 2, tube 4</t>
        </r>
      </text>
    </comment>
    <comment ref="D124" authorId="0" shapeId="0" xr:uid="{00000000-0006-0000-0400-000038000000}">
      <text>
        <r>
          <rPr>
            <b/>
            <sz val="8"/>
            <color indexed="81"/>
            <rFont val="Tahoma"/>
            <family val="2"/>
          </rPr>
          <t>Author:</t>
        </r>
        <r>
          <rPr>
            <sz val="8"/>
            <color indexed="81"/>
            <rFont val="Tahoma"/>
            <family val="2"/>
          </rPr>
          <t xml:space="preserve">
comb 2, tube 10</t>
        </r>
      </text>
    </comment>
    <comment ref="D125" authorId="0" shapeId="0" xr:uid="{00000000-0006-0000-0400-000039000000}">
      <text>
        <r>
          <rPr>
            <b/>
            <sz val="8"/>
            <color indexed="81"/>
            <rFont val="Tahoma"/>
            <family val="2"/>
          </rPr>
          <t>Author:</t>
        </r>
        <r>
          <rPr>
            <sz val="8"/>
            <color indexed="81"/>
            <rFont val="Tahoma"/>
            <family val="2"/>
          </rPr>
          <t xml:space="preserve">
comb 4, tube 9</t>
        </r>
      </text>
    </comment>
    <comment ref="D126" authorId="0" shapeId="0" xr:uid="{00000000-0006-0000-0400-00003A000000}">
      <text>
        <r>
          <rPr>
            <b/>
            <sz val="8"/>
            <color indexed="81"/>
            <rFont val="Tahoma"/>
            <family val="2"/>
          </rPr>
          <t>Author:</t>
        </r>
        <r>
          <rPr>
            <sz val="8"/>
            <color indexed="81"/>
            <rFont val="Tahoma"/>
            <family val="2"/>
          </rPr>
          <t xml:space="preserve">
comb 4, tube 4</t>
        </r>
      </text>
    </comment>
    <comment ref="D127" authorId="0" shapeId="0" xr:uid="{00000000-0006-0000-0400-00003B000000}">
      <text>
        <r>
          <rPr>
            <b/>
            <sz val="8"/>
            <color indexed="81"/>
            <rFont val="Tahoma"/>
            <family val="2"/>
          </rPr>
          <t>Author:</t>
        </r>
        <r>
          <rPr>
            <sz val="8"/>
            <color indexed="81"/>
            <rFont val="Tahoma"/>
            <family val="2"/>
          </rPr>
          <t xml:space="preserve">
comb 4, tube 3</t>
        </r>
      </text>
    </comment>
    <comment ref="F127" authorId="0" shapeId="0" xr:uid="{00000000-0006-0000-0400-00003C000000}">
      <text>
        <r>
          <rPr>
            <b/>
            <sz val="8"/>
            <color indexed="81"/>
            <rFont val="Tahoma"/>
            <family val="2"/>
          </rPr>
          <t>Author:</t>
        </r>
        <r>
          <rPr>
            <sz val="8"/>
            <color indexed="81"/>
            <rFont val="Tahoma"/>
            <family val="2"/>
          </rPr>
          <t xml:space="preserve">
glue OOS</t>
        </r>
      </text>
    </comment>
    <comment ref="D128" authorId="0" shapeId="0" xr:uid="{00000000-0006-0000-0400-00003D000000}">
      <text>
        <r>
          <rPr>
            <b/>
            <sz val="8"/>
            <color indexed="81"/>
            <rFont val="Tahoma"/>
            <family val="2"/>
          </rPr>
          <t>Author:</t>
        </r>
        <r>
          <rPr>
            <sz val="8"/>
            <color indexed="81"/>
            <rFont val="Tahoma"/>
            <family val="2"/>
          </rPr>
          <t xml:space="preserve">
comb 4, tube 8</t>
        </r>
      </text>
    </comment>
    <comment ref="F128" authorId="0" shapeId="0" xr:uid="{00000000-0006-0000-0400-00003E000000}">
      <text>
        <r>
          <rPr>
            <b/>
            <sz val="8"/>
            <color indexed="81"/>
            <rFont val="Tahoma"/>
            <family val="2"/>
          </rPr>
          <t>Author:</t>
        </r>
        <r>
          <rPr>
            <sz val="8"/>
            <color indexed="81"/>
            <rFont val="Tahoma"/>
            <family val="2"/>
          </rPr>
          <t xml:space="preserve">
OOS capsule</t>
        </r>
      </text>
    </comment>
    <comment ref="D129" authorId="0" shapeId="0" xr:uid="{00000000-0006-0000-0400-00003F000000}">
      <text>
        <r>
          <rPr>
            <b/>
            <sz val="8"/>
            <color indexed="81"/>
            <rFont val="Tahoma"/>
            <family val="2"/>
          </rPr>
          <t>Author:</t>
        </r>
        <r>
          <rPr>
            <sz val="8"/>
            <color indexed="81"/>
            <rFont val="Tahoma"/>
            <family val="2"/>
          </rPr>
          <t xml:space="preserve">
comb 4, tube 6</t>
        </r>
      </text>
    </comment>
    <comment ref="M134" authorId="0" shapeId="0" xr:uid="{00000000-0006-0000-0400-000040000000}">
      <text>
        <r>
          <rPr>
            <b/>
            <sz val="8"/>
            <color indexed="81"/>
            <rFont val="Tahoma"/>
            <family val="2"/>
          </rPr>
          <t>Author:</t>
        </r>
        <r>
          <rPr>
            <sz val="8"/>
            <color indexed="81"/>
            <rFont val="Tahoma"/>
            <family val="2"/>
          </rPr>
          <t xml:space="preserve">
under spec due to fiber dia.</t>
        </r>
      </text>
    </comment>
    <comment ref="F136" authorId="0" shapeId="0" xr:uid="{00000000-0006-0000-0400-000041000000}">
      <text>
        <r>
          <rPr>
            <b/>
            <sz val="8"/>
            <color indexed="81"/>
            <rFont val="Tahoma"/>
            <family val="2"/>
          </rPr>
          <t>Author:</t>
        </r>
        <r>
          <rPr>
            <sz val="8"/>
            <color indexed="81"/>
            <rFont val="Tahoma"/>
            <family val="2"/>
          </rPr>
          <t xml:space="preserve">
backup glue shape; rejected, used for another shell 7/14/14</t>
        </r>
      </text>
    </comment>
    <comment ref="M137" authorId="0" shapeId="0" xr:uid="{00000000-0006-0000-0400-000042000000}">
      <text>
        <r>
          <rPr>
            <b/>
            <sz val="8"/>
            <color indexed="81"/>
            <rFont val="Tahoma"/>
            <family val="2"/>
          </rPr>
          <t>Author:</t>
        </r>
        <r>
          <rPr>
            <sz val="8"/>
            <color indexed="81"/>
            <rFont val="Tahoma"/>
            <family val="2"/>
          </rPr>
          <t xml:space="preserve">
second measurement 5/12/14</t>
        </r>
      </text>
    </comment>
    <comment ref="D139" authorId="0" shapeId="0" xr:uid="{00000000-0006-0000-0400-000043000000}">
      <text>
        <r>
          <rPr>
            <b/>
            <sz val="8"/>
            <color indexed="81"/>
            <rFont val="Tahoma"/>
            <family val="2"/>
          </rPr>
          <t>Author:</t>
        </r>
        <r>
          <rPr>
            <sz val="8"/>
            <color indexed="81"/>
            <rFont val="Tahoma"/>
            <family val="2"/>
          </rPr>
          <t xml:space="preserve">
comb 4 tube 7</t>
        </r>
      </text>
    </comment>
    <comment ref="D140" authorId="0" shapeId="0" xr:uid="{00000000-0006-0000-0400-000044000000}">
      <text>
        <r>
          <rPr>
            <b/>
            <sz val="8"/>
            <color indexed="81"/>
            <rFont val="Tahoma"/>
            <family val="2"/>
          </rPr>
          <t>Author:</t>
        </r>
        <r>
          <rPr>
            <sz val="8"/>
            <color indexed="81"/>
            <rFont val="Tahoma"/>
            <family val="2"/>
          </rPr>
          <t xml:space="preserve">
comb 4 tube 5</t>
        </r>
      </text>
    </comment>
    <comment ref="D141" authorId="0" shapeId="0" xr:uid="{00000000-0006-0000-0400-000045000000}">
      <text>
        <r>
          <rPr>
            <b/>
            <sz val="8"/>
            <color indexed="81"/>
            <rFont val="Tahoma"/>
            <family val="2"/>
          </rPr>
          <t>Author:</t>
        </r>
        <r>
          <rPr>
            <sz val="8"/>
            <color indexed="81"/>
            <rFont val="Tahoma"/>
            <family val="2"/>
          </rPr>
          <t xml:space="preserve">
comb 4 tube 1</t>
        </r>
      </text>
    </comment>
    <comment ref="F141" authorId="0" shapeId="0" xr:uid="{00000000-0006-0000-0400-000046000000}">
      <text>
        <r>
          <rPr>
            <b/>
            <sz val="9"/>
            <color indexed="81"/>
            <rFont val="Tahoma"/>
            <family val="2"/>
          </rPr>
          <t>Author:</t>
        </r>
        <r>
          <rPr>
            <sz val="9"/>
            <color indexed="81"/>
            <rFont val="Tahoma"/>
            <family val="2"/>
          </rPr>
          <t xml:space="preserve">
glue is OOS</t>
        </r>
      </text>
    </comment>
    <comment ref="D143" authorId="0" shapeId="0" xr:uid="{00000000-0006-0000-0400-000047000000}">
      <text>
        <r>
          <rPr>
            <b/>
            <sz val="8"/>
            <color indexed="81"/>
            <rFont val="Tahoma"/>
            <family val="2"/>
          </rPr>
          <t>Author:</t>
        </r>
        <r>
          <rPr>
            <sz val="8"/>
            <color indexed="81"/>
            <rFont val="Tahoma"/>
            <family val="2"/>
          </rPr>
          <t xml:space="preserve">
comb 4 tube 11</t>
        </r>
      </text>
    </comment>
    <comment ref="F143" authorId="0" shapeId="0" xr:uid="{00000000-0006-0000-0400-000048000000}">
      <text>
        <r>
          <rPr>
            <b/>
            <sz val="8"/>
            <color indexed="81"/>
            <rFont val="Tahoma"/>
            <family val="2"/>
          </rPr>
          <t>Author:</t>
        </r>
        <r>
          <rPr>
            <sz val="8"/>
            <color indexed="81"/>
            <rFont val="Tahoma"/>
            <family val="2"/>
          </rPr>
          <t xml:space="preserve">
shell fell off during confocal measurement</t>
        </r>
      </text>
    </comment>
    <comment ref="D144" authorId="0" shapeId="0" xr:uid="{00000000-0006-0000-0400-000049000000}">
      <text>
        <r>
          <rPr>
            <b/>
            <sz val="8"/>
            <color indexed="81"/>
            <rFont val="Tahoma"/>
            <family val="2"/>
          </rPr>
          <t>Author:</t>
        </r>
        <r>
          <rPr>
            <sz val="8"/>
            <color indexed="81"/>
            <rFont val="Tahoma"/>
            <family val="2"/>
          </rPr>
          <t xml:space="preserve">
comb 4 tube 2</t>
        </r>
      </text>
    </comment>
    <comment ref="D145" authorId="0" shapeId="0" xr:uid="{00000000-0006-0000-0400-00004A000000}">
      <text>
        <r>
          <rPr>
            <b/>
            <sz val="8"/>
            <color indexed="81"/>
            <rFont val="Tahoma"/>
            <family val="2"/>
          </rPr>
          <t>Author:</t>
        </r>
        <r>
          <rPr>
            <sz val="8"/>
            <color indexed="81"/>
            <rFont val="Tahoma"/>
            <family val="2"/>
          </rPr>
          <t xml:space="preserve">
comb 4 tube 10</t>
        </r>
      </text>
    </comment>
    <comment ref="F145" authorId="0" shapeId="0" xr:uid="{00000000-0006-0000-0400-00004B000000}">
      <text>
        <r>
          <rPr>
            <b/>
            <sz val="8"/>
            <color indexed="81"/>
            <rFont val="Tahoma"/>
            <family val="2"/>
          </rPr>
          <t>Author:</t>
        </r>
        <r>
          <rPr>
            <sz val="8"/>
            <color indexed="81"/>
            <rFont val="Tahoma"/>
            <family val="2"/>
          </rPr>
          <t xml:space="preserve">
shell fell off during confocal measurements</t>
        </r>
      </text>
    </comment>
    <comment ref="D146" authorId="0" shapeId="0" xr:uid="{00000000-0006-0000-0400-00004C000000}">
      <text>
        <r>
          <rPr>
            <b/>
            <sz val="8"/>
            <color indexed="81"/>
            <rFont val="Tahoma"/>
            <family val="2"/>
          </rPr>
          <t>Author:</t>
        </r>
        <r>
          <rPr>
            <sz val="8"/>
            <color indexed="81"/>
            <rFont val="Tahoma"/>
            <family val="2"/>
          </rPr>
          <t xml:space="preserve">
comb 1 tube 11</t>
        </r>
      </text>
    </comment>
    <comment ref="D147" authorId="0" shapeId="0" xr:uid="{00000000-0006-0000-0400-00004D000000}">
      <text>
        <r>
          <rPr>
            <b/>
            <sz val="8"/>
            <color indexed="81"/>
            <rFont val="Tahoma"/>
            <family val="2"/>
          </rPr>
          <t>Author:</t>
        </r>
        <r>
          <rPr>
            <sz val="8"/>
            <color indexed="81"/>
            <rFont val="Tahoma"/>
            <family val="2"/>
          </rPr>
          <t xml:space="preserve">
comb 1 tube 2</t>
        </r>
      </text>
    </comment>
    <comment ref="D148" authorId="0" shapeId="0" xr:uid="{00000000-0006-0000-0400-00004E000000}">
      <text>
        <r>
          <rPr>
            <b/>
            <sz val="8"/>
            <color indexed="81"/>
            <rFont val="Tahoma"/>
            <family val="2"/>
          </rPr>
          <t>Author:</t>
        </r>
        <r>
          <rPr>
            <sz val="8"/>
            <color indexed="81"/>
            <rFont val="Tahoma"/>
            <family val="2"/>
          </rPr>
          <t xml:space="preserve">
comb 1 tube 1</t>
        </r>
      </text>
    </comment>
    <comment ref="F148" authorId="0" shapeId="0" xr:uid="{00000000-0006-0000-0400-00004F000000}">
      <text>
        <r>
          <rPr>
            <b/>
            <sz val="8"/>
            <color indexed="81"/>
            <rFont val="Tahoma"/>
            <family val="2"/>
          </rPr>
          <t>Author:</t>
        </r>
        <r>
          <rPr>
            <sz val="8"/>
            <color indexed="81"/>
            <rFont val="Tahoma"/>
            <family val="2"/>
          </rPr>
          <t xml:space="preserve">
glue OOS</t>
        </r>
      </text>
    </comment>
    <comment ref="D150" authorId="0" shapeId="0" xr:uid="{00000000-0006-0000-0400-000050000000}">
      <text>
        <r>
          <rPr>
            <b/>
            <sz val="8"/>
            <color indexed="81"/>
            <rFont val="Tahoma"/>
            <family val="2"/>
          </rPr>
          <t>Author:</t>
        </r>
        <r>
          <rPr>
            <sz val="8"/>
            <color indexed="81"/>
            <rFont val="Tahoma"/>
            <family val="2"/>
          </rPr>
          <t xml:space="preserve">
comb 2 tube 11</t>
        </r>
      </text>
    </comment>
    <comment ref="F150" authorId="0" shapeId="0" xr:uid="{00000000-0006-0000-0400-000051000000}">
      <text>
        <r>
          <rPr>
            <b/>
            <sz val="8"/>
            <color indexed="81"/>
            <rFont val="Tahoma"/>
            <family val="2"/>
          </rPr>
          <t>Author:</t>
        </r>
        <r>
          <rPr>
            <sz val="8"/>
            <color indexed="81"/>
            <rFont val="Tahoma"/>
            <family val="2"/>
          </rPr>
          <t xml:space="preserve">
glue OOS</t>
        </r>
      </text>
    </comment>
    <comment ref="D153" authorId="0" shapeId="0" xr:uid="{00000000-0006-0000-0400-000052000000}">
      <text>
        <r>
          <rPr>
            <b/>
            <sz val="8"/>
            <color indexed="81"/>
            <rFont val="Tahoma"/>
            <family val="2"/>
          </rPr>
          <t>Author:</t>
        </r>
        <r>
          <rPr>
            <sz val="8"/>
            <color indexed="81"/>
            <rFont val="Tahoma"/>
            <family val="2"/>
          </rPr>
          <t xml:space="preserve">
comb 2 tube 3</t>
        </r>
      </text>
    </comment>
    <comment ref="F153" authorId="0" shapeId="0" xr:uid="{00000000-0006-0000-0400-000053000000}">
      <text>
        <r>
          <rPr>
            <b/>
            <sz val="8"/>
            <color indexed="81"/>
            <rFont val="Tahoma"/>
            <family val="2"/>
          </rPr>
          <t>Author:</t>
        </r>
        <r>
          <rPr>
            <sz val="8"/>
            <color indexed="81"/>
            <rFont val="Tahoma"/>
            <family val="2"/>
          </rPr>
          <t xml:space="preserve">
defect &gt;10um</t>
        </r>
      </text>
    </comment>
    <comment ref="D155" authorId="0" shapeId="0" xr:uid="{00000000-0006-0000-0400-000054000000}">
      <text>
        <r>
          <rPr>
            <b/>
            <sz val="8"/>
            <color indexed="81"/>
            <rFont val="Tahoma"/>
            <family val="2"/>
          </rPr>
          <t>Author:</t>
        </r>
        <r>
          <rPr>
            <sz val="8"/>
            <color indexed="81"/>
            <rFont val="Tahoma"/>
            <family val="2"/>
          </rPr>
          <t xml:space="preserve">
comb 2 tube 5</t>
        </r>
      </text>
    </comment>
    <comment ref="F167" authorId="0" shapeId="0" xr:uid="{00000000-0006-0000-0400-000055000000}">
      <text>
        <r>
          <rPr>
            <b/>
            <sz val="8"/>
            <color indexed="81"/>
            <rFont val="Tahoma"/>
            <family val="2"/>
          </rPr>
          <t>Author:</t>
        </r>
        <r>
          <rPr>
            <sz val="8"/>
            <color indexed="81"/>
            <rFont val="Tahoma"/>
            <family val="2"/>
          </rPr>
          <t xml:space="preserve">
Pd contam?</t>
        </r>
      </text>
    </comment>
    <comment ref="F168" authorId="0" shapeId="0" xr:uid="{00000000-0006-0000-0400-000056000000}">
      <text>
        <r>
          <rPr>
            <b/>
            <sz val="8"/>
            <color indexed="81"/>
            <rFont val="Tahoma"/>
            <family val="2"/>
          </rPr>
          <t>Author:</t>
        </r>
        <r>
          <rPr>
            <sz val="8"/>
            <color indexed="81"/>
            <rFont val="Tahoma"/>
            <family val="2"/>
          </rPr>
          <t xml:space="preserve">
fail debris</t>
        </r>
      </text>
    </comment>
    <comment ref="F170" authorId="0" shapeId="0" xr:uid="{00000000-0006-0000-0400-000057000000}">
      <text>
        <r>
          <rPr>
            <b/>
            <sz val="8"/>
            <color indexed="81"/>
            <rFont val="Tahoma"/>
            <family val="2"/>
          </rPr>
          <t>Author:</t>
        </r>
        <r>
          <rPr>
            <sz val="8"/>
            <color indexed="81"/>
            <rFont val="Tahoma"/>
            <family val="2"/>
          </rPr>
          <t xml:space="preserve">
unremovable debris &gt;10um</t>
        </r>
      </text>
    </comment>
    <comment ref="F172" authorId="0" shapeId="0" xr:uid="{00000000-0006-0000-0400-000058000000}">
      <text>
        <r>
          <rPr>
            <b/>
            <sz val="8"/>
            <color indexed="81"/>
            <rFont val="Tahoma"/>
            <family val="2"/>
          </rPr>
          <t>Author:</t>
        </r>
        <r>
          <rPr>
            <sz val="8"/>
            <color indexed="81"/>
            <rFont val="Tahoma"/>
            <family val="2"/>
          </rPr>
          <t xml:space="preserve">
30x50um defect</t>
        </r>
      </text>
    </comment>
    <comment ref="F177" authorId="0" shapeId="0" xr:uid="{00000000-0006-0000-0400-000059000000}">
      <text>
        <r>
          <rPr>
            <b/>
            <sz val="8"/>
            <color indexed="81"/>
            <rFont val="Tahoma"/>
            <family val="2"/>
          </rPr>
          <t>Author:</t>
        </r>
        <r>
          <rPr>
            <sz val="8"/>
            <color indexed="81"/>
            <rFont val="Tahoma"/>
            <family val="2"/>
          </rPr>
          <t xml:space="preserve">
patch confocal</t>
        </r>
      </text>
    </comment>
    <comment ref="M177" authorId="0" shapeId="0" xr:uid="{00000000-0006-0000-0400-00005A000000}">
      <text>
        <r>
          <rPr>
            <b/>
            <sz val="8"/>
            <color indexed="81"/>
            <rFont val="Tahoma"/>
            <family val="2"/>
          </rPr>
          <t>Author:</t>
        </r>
        <r>
          <rPr>
            <sz val="8"/>
            <color indexed="81"/>
            <rFont val="Tahoma"/>
            <family val="2"/>
          </rPr>
          <t xml:space="preserve">
second measurement 5/12/14</t>
        </r>
      </text>
    </comment>
    <comment ref="F178" authorId="0" shapeId="0" xr:uid="{00000000-0006-0000-0400-00005B000000}">
      <text>
        <r>
          <rPr>
            <b/>
            <sz val="8"/>
            <color indexed="81"/>
            <rFont val="Tahoma"/>
            <family val="2"/>
          </rPr>
          <t>Author:</t>
        </r>
        <r>
          <rPr>
            <sz val="8"/>
            <color indexed="81"/>
            <rFont val="Tahoma"/>
            <family val="2"/>
          </rPr>
          <t xml:space="preserve">
glue splash onto shell, OOS</t>
        </r>
      </text>
    </comment>
    <comment ref="F181" authorId="0" shapeId="0" xr:uid="{00000000-0006-0000-0400-00005C000000}">
      <text>
        <r>
          <rPr>
            <b/>
            <sz val="8"/>
            <color indexed="81"/>
            <rFont val="Tahoma"/>
            <family val="2"/>
          </rPr>
          <t>Author:</t>
        </r>
        <r>
          <rPr>
            <sz val="8"/>
            <color indexed="81"/>
            <rFont val="Tahoma"/>
            <family val="2"/>
          </rPr>
          <t xml:space="preserve">
scratch in coating</t>
        </r>
      </text>
    </comment>
    <comment ref="F185" authorId="0" shapeId="0" xr:uid="{00000000-0006-0000-0400-00005D000000}">
      <text>
        <r>
          <rPr>
            <b/>
            <sz val="8"/>
            <color indexed="81"/>
            <rFont val="Tahoma"/>
            <family val="2"/>
          </rPr>
          <t>Author:</t>
        </r>
        <r>
          <rPr>
            <sz val="8"/>
            <color indexed="81"/>
            <rFont val="Tahoma"/>
            <family val="2"/>
          </rPr>
          <t xml:space="preserve">
scratch</t>
        </r>
      </text>
    </comment>
    <comment ref="F189" authorId="0" shapeId="0" xr:uid="{00000000-0006-0000-0400-00005E000000}">
      <text>
        <r>
          <rPr>
            <b/>
            <sz val="8"/>
            <color indexed="81"/>
            <rFont val="Tahoma"/>
            <family val="2"/>
          </rPr>
          <t>Author:</t>
        </r>
        <r>
          <rPr>
            <sz val="8"/>
            <color indexed="81"/>
            <rFont val="Tahoma"/>
            <family val="2"/>
          </rPr>
          <t xml:space="preserve">
patch confocal at 135deg phi</t>
        </r>
      </text>
    </comment>
    <comment ref="F191" authorId="0" shapeId="0" xr:uid="{00000000-0006-0000-0400-00005F000000}">
      <text>
        <r>
          <rPr>
            <b/>
            <sz val="8"/>
            <color indexed="81"/>
            <rFont val="Tahoma"/>
            <family val="2"/>
          </rPr>
          <t>Author:</t>
        </r>
        <r>
          <rPr>
            <sz val="8"/>
            <color indexed="81"/>
            <rFont val="Tahoma"/>
            <family val="2"/>
          </rPr>
          <t xml:space="preserve">
scratch in coating, Si coating 1/24/14</t>
        </r>
      </text>
    </comment>
    <comment ref="I194" authorId="0" shapeId="0" xr:uid="{00000000-0006-0000-0400-000060000000}">
      <text>
        <r>
          <rPr>
            <b/>
            <sz val="8"/>
            <color indexed="81"/>
            <rFont val="Tahoma"/>
            <family val="2"/>
          </rPr>
          <t>Author:</t>
        </r>
        <r>
          <rPr>
            <sz val="8"/>
            <color indexed="81"/>
            <rFont val="Tahoma"/>
            <family val="2"/>
          </rPr>
          <t xml:space="preserve">
switch over to new camera, software, and fill tube assembly setup</t>
        </r>
      </text>
    </comment>
    <comment ref="M199" authorId="0" shapeId="0" xr:uid="{00000000-0006-0000-0400-000061000000}">
      <text>
        <r>
          <rPr>
            <b/>
            <sz val="9"/>
            <color indexed="81"/>
            <rFont val="Tahoma"/>
            <family val="2"/>
          </rPr>
          <t>&gt;500Hz.  Over the upper limit of frequency.</t>
        </r>
      </text>
    </comment>
    <comment ref="M201" authorId="0" shapeId="0" xr:uid="{00000000-0006-0000-0400-000062000000}">
      <text>
        <r>
          <rPr>
            <b/>
            <sz val="9"/>
            <color indexed="81"/>
            <rFont val="Tahoma"/>
            <family val="2"/>
          </rPr>
          <t>&gt;500Hz.  Over the upper limit of frequency.</t>
        </r>
      </text>
    </comment>
    <comment ref="M203" authorId="0" shapeId="0" xr:uid="{00000000-0006-0000-0400-000063000000}">
      <text>
        <r>
          <rPr>
            <b/>
            <sz val="9"/>
            <color indexed="81"/>
            <rFont val="Tahoma"/>
            <family val="2"/>
          </rPr>
          <t>&gt;500Hz.  Over the upper limit of frequency.</t>
        </r>
      </text>
    </comment>
    <comment ref="M214" authorId="0" shapeId="0" xr:uid="{00000000-0006-0000-0400-000064000000}">
      <text>
        <r>
          <rPr>
            <b/>
            <sz val="8"/>
            <color indexed="81"/>
            <rFont val="Tahoma"/>
            <family val="2"/>
          </rPr>
          <t>Author:</t>
        </r>
        <r>
          <rPr>
            <sz val="8"/>
            <color indexed="81"/>
            <rFont val="Tahoma"/>
            <family val="2"/>
          </rPr>
          <t xml:space="preserve">
weak signal</t>
        </r>
      </text>
    </comment>
    <comment ref="F215" authorId="0" shapeId="0" xr:uid="{00000000-0006-0000-0400-000065000000}">
      <text>
        <r>
          <rPr>
            <b/>
            <sz val="8"/>
            <color indexed="81"/>
            <rFont val="Tahoma"/>
            <family val="2"/>
          </rPr>
          <t>Author:</t>
        </r>
        <r>
          <rPr>
            <sz val="8"/>
            <color indexed="81"/>
            <rFont val="Tahoma"/>
            <family val="2"/>
          </rPr>
          <t xml:space="preserve">
OOS glue size</t>
        </r>
      </text>
    </comment>
    <comment ref="F218" authorId="0" shapeId="0" xr:uid="{00000000-0006-0000-0400-000066000000}">
      <text>
        <r>
          <rPr>
            <b/>
            <sz val="8"/>
            <color indexed="81"/>
            <rFont val="Tahoma"/>
            <family val="2"/>
          </rPr>
          <t>Author:</t>
        </r>
        <r>
          <rPr>
            <sz val="8"/>
            <color indexed="81"/>
            <rFont val="Tahoma"/>
            <family val="2"/>
          </rPr>
          <t xml:space="preserve">
glue spot OOS</t>
        </r>
      </text>
    </comment>
    <comment ref="A221" authorId="0" shapeId="0" xr:uid="{00000000-0006-0000-0400-000067000000}">
      <text>
        <r>
          <rPr>
            <b/>
            <sz val="8"/>
            <color indexed="81"/>
            <rFont val="Tahoma"/>
            <family val="2"/>
          </rPr>
          <t>Author:</t>
        </r>
        <r>
          <rPr>
            <sz val="8"/>
            <color indexed="81"/>
            <rFont val="Tahoma"/>
            <family val="2"/>
          </rPr>
          <t xml:space="preserve">
re-used assembly</t>
        </r>
      </text>
    </comment>
    <comment ref="F221" authorId="0" shapeId="0" xr:uid="{00000000-0006-0000-0400-000068000000}">
      <text>
        <r>
          <rPr>
            <b/>
            <sz val="8"/>
            <color indexed="81"/>
            <rFont val="Tahoma"/>
            <family val="2"/>
          </rPr>
          <t>Author:</t>
        </r>
        <r>
          <rPr>
            <sz val="8"/>
            <color indexed="81"/>
            <rFont val="Tahoma"/>
            <family val="2"/>
          </rPr>
          <t xml:space="preserve">
patch confocal</t>
        </r>
      </text>
    </comment>
    <comment ref="A222" authorId="0" shapeId="0" xr:uid="{00000000-0006-0000-0400-000069000000}">
      <text>
        <r>
          <rPr>
            <b/>
            <sz val="8"/>
            <color indexed="81"/>
            <rFont val="Tahoma"/>
            <family val="2"/>
          </rPr>
          <t>Author:</t>
        </r>
        <r>
          <rPr>
            <sz val="8"/>
            <color indexed="81"/>
            <rFont val="Tahoma"/>
            <family val="2"/>
          </rPr>
          <t xml:space="preserve">
re-used assembly</t>
        </r>
      </text>
    </comment>
    <comment ref="F222" authorId="0" shapeId="0" xr:uid="{00000000-0006-0000-0400-00006A000000}">
      <text>
        <r>
          <rPr>
            <b/>
            <sz val="8"/>
            <color indexed="81"/>
            <rFont val="Tahoma"/>
            <family val="2"/>
          </rPr>
          <t>Author:</t>
        </r>
        <r>
          <rPr>
            <sz val="8"/>
            <color indexed="81"/>
            <rFont val="Tahoma"/>
            <family val="2"/>
          </rPr>
          <t xml:space="preserve">
patch confocal</t>
        </r>
      </text>
    </comment>
    <comment ref="F223" authorId="0" shapeId="0" xr:uid="{00000000-0006-0000-0400-00006B000000}">
      <text>
        <r>
          <rPr>
            <b/>
            <sz val="8"/>
            <color indexed="81"/>
            <rFont val="Tahoma"/>
            <family val="2"/>
          </rPr>
          <t>Author:</t>
        </r>
        <r>
          <rPr>
            <sz val="8"/>
            <color indexed="81"/>
            <rFont val="Tahoma"/>
            <family val="2"/>
          </rPr>
          <t xml:space="preserve">
patch confocal scan</t>
        </r>
      </text>
    </comment>
    <comment ref="M227" authorId="0" shapeId="0" xr:uid="{00000000-0006-0000-0400-00006C000000}">
      <text>
        <r>
          <rPr>
            <b/>
            <sz val="8"/>
            <color indexed="81"/>
            <rFont val="Tahoma"/>
            <family val="2"/>
          </rPr>
          <t>Author:</t>
        </r>
        <r>
          <rPr>
            <sz val="8"/>
            <color indexed="81"/>
            <rFont val="Tahoma"/>
            <family val="2"/>
          </rPr>
          <t xml:space="preserve">
second measurement 5/12/14</t>
        </r>
      </text>
    </comment>
    <comment ref="F256" authorId="0" shapeId="0" xr:uid="{00000000-0006-0000-0400-00006D000000}">
      <text>
        <r>
          <rPr>
            <b/>
            <sz val="8"/>
            <color indexed="81"/>
            <rFont val="Tahoma"/>
            <family val="2"/>
          </rPr>
          <t>Author:</t>
        </r>
        <r>
          <rPr>
            <sz val="8"/>
            <color indexed="81"/>
            <rFont val="Tahoma"/>
            <family val="2"/>
          </rPr>
          <t xml:space="preserve">
dome</t>
        </r>
      </text>
    </comment>
    <comment ref="F259" authorId="0" shapeId="0" xr:uid="{00000000-0006-0000-0400-00006E000000}">
      <text>
        <r>
          <rPr>
            <b/>
            <sz val="8"/>
            <color indexed="81"/>
            <rFont val="Tahoma"/>
            <family val="2"/>
          </rPr>
          <t>Author:</t>
        </r>
        <r>
          <rPr>
            <sz val="8"/>
            <color indexed="81"/>
            <rFont val="Tahoma"/>
            <family val="2"/>
          </rPr>
          <t xml:space="preserve">
PP glue spot OOS</t>
        </r>
      </text>
    </comment>
    <comment ref="F261" authorId="0" shapeId="0" xr:uid="{00000000-0006-0000-0400-00006F000000}">
      <text>
        <r>
          <rPr>
            <b/>
            <sz val="8"/>
            <color indexed="81"/>
            <rFont val="Tahoma"/>
            <family val="2"/>
          </rPr>
          <t>Author:</t>
        </r>
        <r>
          <rPr>
            <sz val="8"/>
            <color indexed="81"/>
            <rFont val="Tahoma"/>
            <family val="2"/>
          </rPr>
          <t xml:space="preserve">
dome</t>
        </r>
      </text>
    </comment>
    <comment ref="F262" authorId="0" shapeId="0" xr:uid="{00000000-0006-0000-0400-000070000000}">
      <text>
        <r>
          <rPr>
            <b/>
            <sz val="8"/>
            <color indexed="81"/>
            <rFont val="Tahoma"/>
            <family val="2"/>
          </rPr>
          <t>Author:</t>
        </r>
        <r>
          <rPr>
            <sz val="8"/>
            <color indexed="81"/>
            <rFont val="Tahoma"/>
            <family val="2"/>
          </rPr>
          <t xml:space="preserve">
golf tee, adhesion failure
</t>
        </r>
      </text>
    </comment>
    <comment ref="F266" authorId="0" shapeId="0" xr:uid="{00000000-0006-0000-0400-000071000000}">
      <text>
        <r>
          <rPr>
            <b/>
            <sz val="8"/>
            <color indexed="81"/>
            <rFont val="Tahoma"/>
            <family val="2"/>
          </rPr>
          <t>Author:</t>
        </r>
        <r>
          <rPr>
            <sz val="8"/>
            <color indexed="81"/>
            <rFont val="Tahoma"/>
            <family val="2"/>
          </rPr>
          <t xml:space="preserve">
dome</t>
        </r>
      </text>
    </comment>
    <comment ref="F272" authorId="0" shapeId="0" xr:uid="{00000000-0006-0000-0400-000072000000}">
      <text>
        <r>
          <rPr>
            <b/>
            <sz val="8"/>
            <color indexed="81"/>
            <rFont val="Tahoma"/>
            <family val="2"/>
          </rPr>
          <t>Author:</t>
        </r>
        <r>
          <rPr>
            <sz val="8"/>
            <color indexed="81"/>
            <rFont val="Tahoma"/>
            <family val="2"/>
          </rPr>
          <t xml:space="preserve">
capsule defect number OOS</t>
        </r>
      </text>
    </comment>
    <comment ref="F275" authorId="0" shapeId="0" xr:uid="{00000000-0006-0000-0400-000073000000}">
      <text>
        <r>
          <rPr>
            <b/>
            <sz val="8"/>
            <color indexed="81"/>
            <rFont val="Tahoma"/>
            <family val="2"/>
          </rPr>
          <t>Author:</t>
        </r>
        <r>
          <rPr>
            <sz val="8"/>
            <color indexed="81"/>
            <rFont val="Tahoma"/>
            <family val="2"/>
          </rPr>
          <t xml:space="preserve">
capsule OOS</t>
        </r>
      </text>
    </comment>
    <comment ref="F278" authorId="0" shapeId="0" xr:uid="{00000000-0006-0000-0400-000074000000}">
      <text>
        <r>
          <rPr>
            <b/>
            <sz val="8"/>
            <color indexed="81"/>
            <rFont val="Tahoma"/>
            <family val="2"/>
          </rPr>
          <t>Author:</t>
        </r>
        <r>
          <rPr>
            <sz val="8"/>
            <color indexed="81"/>
            <rFont val="Tahoma"/>
            <family val="2"/>
          </rPr>
          <t xml:space="preserve">
shell defect</t>
        </r>
      </text>
    </comment>
    <comment ref="F283" authorId="0" shapeId="0" xr:uid="{00000000-0006-0000-0400-000075000000}">
      <text>
        <r>
          <rPr>
            <b/>
            <sz val="8"/>
            <color indexed="81"/>
            <rFont val="Tahoma"/>
            <family val="2"/>
          </rPr>
          <t>Author:</t>
        </r>
        <r>
          <rPr>
            <sz val="8"/>
            <color indexed="81"/>
            <rFont val="Tahoma"/>
            <family val="2"/>
          </rPr>
          <t xml:space="preserve">
glue spot OOS</t>
        </r>
      </text>
    </comment>
    <comment ref="F285" authorId="0" shapeId="0" xr:uid="{00000000-0006-0000-0400-000076000000}">
      <text>
        <r>
          <rPr>
            <b/>
            <sz val="8"/>
            <color indexed="81"/>
            <rFont val="Tahoma"/>
            <family val="2"/>
          </rPr>
          <t>Author:</t>
        </r>
        <r>
          <rPr>
            <sz val="8"/>
            <color indexed="81"/>
            <rFont val="Tahoma"/>
            <family val="2"/>
          </rPr>
          <t xml:space="preserve">
capsule fell off, glue joint failed
</t>
        </r>
      </text>
    </comment>
    <comment ref="F286" authorId="0" shapeId="0" xr:uid="{00000000-0006-0000-0400-000077000000}">
      <text>
        <r>
          <rPr>
            <b/>
            <sz val="8"/>
            <color indexed="81"/>
            <rFont val="Tahoma"/>
            <family val="2"/>
          </rPr>
          <t>Author:</t>
        </r>
        <r>
          <rPr>
            <sz val="8"/>
            <color indexed="81"/>
            <rFont val="Tahoma"/>
            <family val="2"/>
          </rPr>
          <t xml:space="preserve">
pp glue NOA68 OOS</t>
        </r>
      </text>
    </comment>
    <comment ref="F287" authorId="0" shapeId="0" xr:uid="{00000000-0006-0000-0400-000078000000}">
      <text>
        <r>
          <rPr>
            <b/>
            <sz val="8"/>
            <color indexed="81"/>
            <rFont val="Tahoma"/>
            <family val="2"/>
          </rPr>
          <t>Author:</t>
        </r>
        <r>
          <rPr>
            <sz val="8"/>
            <color indexed="81"/>
            <rFont val="Tahoma"/>
            <family val="2"/>
          </rPr>
          <t xml:space="preserve">
PP glue OOS, &gt;60um footprint; used for TMA pull test</t>
        </r>
      </text>
    </comment>
    <comment ref="F288" authorId="0" shapeId="0" xr:uid="{00000000-0006-0000-0400-000079000000}">
      <text>
        <r>
          <rPr>
            <b/>
            <sz val="8"/>
            <color indexed="81"/>
            <rFont val="Tahoma"/>
            <family val="2"/>
          </rPr>
          <t>Author:</t>
        </r>
        <r>
          <rPr>
            <sz val="8"/>
            <color indexed="81"/>
            <rFont val="Tahoma"/>
            <family val="2"/>
          </rPr>
          <t xml:space="preserve">
capsule defect OOS; used for TMA pull test; MB broken during handling</t>
        </r>
      </text>
    </comment>
    <comment ref="F289" authorId="0" shapeId="0" xr:uid="{00000000-0006-0000-0400-00007A000000}">
      <text>
        <r>
          <rPr>
            <b/>
            <sz val="8"/>
            <color indexed="81"/>
            <rFont val="Tahoma"/>
            <family val="2"/>
          </rPr>
          <t>Author:</t>
        </r>
        <r>
          <rPr>
            <sz val="8"/>
            <color indexed="81"/>
            <rFont val="Tahoma"/>
            <family val="2"/>
          </rPr>
          <t xml:space="preserve">
SiC too short
</t>
        </r>
      </text>
    </comment>
    <comment ref="F291" authorId="0" shapeId="0" xr:uid="{00000000-0006-0000-0400-00007B000000}">
      <text>
        <r>
          <rPr>
            <b/>
            <sz val="8"/>
            <color indexed="81"/>
            <rFont val="Tahoma"/>
            <family val="2"/>
          </rPr>
          <t>Author:</t>
        </r>
        <r>
          <rPr>
            <sz val="8"/>
            <color indexed="81"/>
            <rFont val="Tahoma"/>
            <family val="2"/>
          </rPr>
          <t xml:space="preserve">
Glue spot too large</t>
        </r>
      </text>
    </comment>
    <comment ref="F294" authorId="0" shapeId="0" xr:uid="{00000000-0006-0000-0400-00007C000000}">
      <text>
        <r>
          <rPr>
            <b/>
            <sz val="8"/>
            <color indexed="81"/>
            <rFont val="Tahoma"/>
            <family val="2"/>
          </rPr>
          <t>Author:</t>
        </r>
        <r>
          <rPr>
            <sz val="8"/>
            <color indexed="81"/>
            <rFont val="Tahoma"/>
            <family val="2"/>
          </rPr>
          <t xml:space="preserve">
remounted, fell off during TIR adjustment</t>
        </r>
      </text>
    </comment>
    <comment ref="F295" authorId="0" shapeId="0" xr:uid="{00000000-0006-0000-0400-00007D000000}">
      <text>
        <r>
          <rPr>
            <b/>
            <sz val="9"/>
            <color indexed="81"/>
            <rFont val="Tahoma"/>
            <family val="2"/>
          </rPr>
          <t>Author:</t>
        </r>
        <r>
          <rPr>
            <sz val="9"/>
            <color indexed="81"/>
            <rFont val="Tahoma"/>
            <family val="2"/>
          </rPr>
          <t xml:space="preserve">
OOS capsule</t>
        </r>
      </text>
    </comment>
    <comment ref="M296" authorId="0" shapeId="0" xr:uid="{00000000-0006-0000-0400-00007E000000}">
      <text>
        <r>
          <rPr>
            <b/>
            <sz val="8"/>
            <color indexed="81"/>
            <rFont val="Tahoma"/>
            <family val="2"/>
          </rPr>
          <t>Author:</t>
        </r>
        <r>
          <rPr>
            <sz val="8"/>
            <color indexed="81"/>
            <rFont val="Tahoma"/>
            <family val="2"/>
          </rPr>
          <t xml:space="preserve">
before fiber was added 374Hz; after 375Hz</t>
        </r>
      </text>
    </comment>
    <comment ref="F297" authorId="0" shapeId="0" xr:uid="{00000000-0006-0000-0400-00007F000000}">
      <text>
        <r>
          <rPr>
            <b/>
            <sz val="8"/>
            <color indexed="81"/>
            <rFont val="Tahoma"/>
            <family val="2"/>
          </rPr>
          <t>Author:</t>
        </r>
        <r>
          <rPr>
            <sz val="8"/>
            <color indexed="81"/>
            <rFont val="Tahoma"/>
            <family val="2"/>
          </rPr>
          <t xml:space="preserve">
bad glue spot
</t>
        </r>
      </text>
    </comment>
    <comment ref="F298" authorId="0" shapeId="0" xr:uid="{00000000-0006-0000-0400-000080000000}">
      <text>
        <r>
          <rPr>
            <b/>
            <sz val="9"/>
            <color indexed="81"/>
            <rFont val="Tahoma"/>
            <family val="2"/>
          </rPr>
          <t>Author:</t>
        </r>
        <r>
          <rPr>
            <sz val="9"/>
            <color indexed="81"/>
            <rFont val="Tahoma"/>
            <family val="2"/>
          </rPr>
          <t xml:space="preserve">
fiber target</t>
        </r>
      </text>
    </comment>
    <comment ref="F302" authorId="0" shapeId="0" xr:uid="{00000000-0006-0000-0400-000081000000}">
      <text>
        <r>
          <rPr>
            <b/>
            <sz val="8"/>
            <color indexed="81"/>
            <rFont val="Tahoma"/>
            <family val="2"/>
          </rPr>
          <t>Author:</t>
        </r>
        <r>
          <rPr>
            <sz val="8"/>
            <color indexed="81"/>
            <rFont val="Tahoma"/>
            <family val="2"/>
          </rPr>
          <t xml:space="preserve">
glue oos</t>
        </r>
      </text>
    </comment>
    <comment ref="F305" authorId="0" shapeId="0" xr:uid="{00000000-0006-0000-0400-000082000000}">
      <text>
        <r>
          <rPr>
            <b/>
            <sz val="8"/>
            <color indexed="81"/>
            <rFont val="Tahoma"/>
            <family val="2"/>
          </rPr>
          <t>Author:</t>
        </r>
        <r>
          <rPr>
            <sz val="8"/>
            <color indexed="81"/>
            <rFont val="Tahoma"/>
            <family val="2"/>
          </rPr>
          <t xml:space="preserve">
irregular glue</t>
        </r>
      </text>
    </comment>
    <comment ref="F306" authorId="0" shapeId="0" xr:uid="{00000000-0006-0000-0400-000083000000}">
      <text>
        <r>
          <rPr>
            <b/>
            <sz val="8"/>
            <color indexed="81"/>
            <rFont val="Tahoma"/>
            <family val="2"/>
          </rPr>
          <t>Author:</t>
        </r>
        <r>
          <rPr>
            <sz val="8"/>
            <color indexed="81"/>
            <rFont val="Tahoma"/>
            <family val="2"/>
          </rPr>
          <t xml:space="preserve">
TARGET FELL OFF removing from CF collet</t>
        </r>
      </text>
    </comment>
    <comment ref="F307" authorId="0" shapeId="0" xr:uid="{00000000-0006-0000-0400-000084000000}">
      <text>
        <r>
          <rPr>
            <b/>
            <sz val="8"/>
            <color indexed="81"/>
            <rFont val="Tahoma"/>
            <family val="2"/>
          </rPr>
          <t>Author:</t>
        </r>
        <r>
          <rPr>
            <sz val="8"/>
            <color indexed="81"/>
            <rFont val="Tahoma"/>
            <family val="2"/>
          </rPr>
          <t xml:space="preserve">
TARGET FELL OFF</t>
        </r>
      </text>
    </comment>
    <comment ref="F311" authorId="0" shapeId="0" xr:uid="{00000000-0006-0000-0400-000085000000}">
      <text>
        <r>
          <rPr>
            <b/>
            <sz val="8"/>
            <color indexed="81"/>
            <rFont val="Tahoma"/>
            <family val="2"/>
          </rPr>
          <t>Author:</t>
        </r>
        <r>
          <rPr>
            <sz val="8"/>
            <color indexed="81"/>
            <rFont val="Tahoma"/>
            <family val="2"/>
          </rPr>
          <t xml:space="preserve">
glue OOS
</t>
        </r>
      </text>
    </comment>
    <comment ref="F314" authorId="0" shapeId="0" xr:uid="{00000000-0006-0000-0400-000086000000}">
      <text>
        <r>
          <rPr>
            <b/>
            <sz val="8"/>
            <color indexed="81"/>
            <rFont val="Tahoma"/>
            <family val="2"/>
          </rPr>
          <t>Author:</t>
        </r>
        <r>
          <rPr>
            <sz val="8"/>
            <color indexed="81"/>
            <rFont val="Tahoma"/>
            <family val="2"/>
          </rPr>
          <t xml:space="preserve">
sacrificed for AFM surface measurement, 2-20-15</t>
        </r>
      </text>
    </comment>
    <comment ref="M318" authorId="0" shapeId="0" xr:uid="{00000000-0006-0000-0400-000087000000}">
      <text>
        <r>
          <rPr>
            <b/>
            <sz val="8"/>
            <color indexed="81"/>
            <rFont val="Tahoma"/>
            <family val="2"/>
          </rPr>
          <t>Author:</t>
        </r>
        <r>
          <rPr>
            <sz val="8"/>
            <color indexed="81"/>
            <rFont val="Tahoma"/>
            <family val="2"/>
          </rPr>
          <t xml:space="preserve">
pre- and post-FTS2 measurements</t>
        </r>
      </text>
    </comment>
    <comment ref="F325" authorId="0" shapeId="0" xr:uid="{00000000-0006-0000-0400-000088000000}">
      <text>
        <r>
          <rPr>
            <b/>
            <sz val="8"/>
            <color indexed="81"/>
            <rFont val="Tahoma"/>
            <family val="2"/>
          </rPr>
          <t>Author:</t>
        </r>
        <r>
          <rPr>
            <sz val="8"/>
            <color indexed="81"/>
            <rFont val="Tahoma"/>
            <family val="2"/>
          </rPr>
          <t xml:space="preserve">
OOS</t>
        </r>
      </text>
    </comment>
    <comment ref="F327" authorId="0" shapeId="0" xr:uid="{00000000-0006-0000-0400-000089000000}">
      <text>
        <r>
          <rPr>
            <b/>
            <sz val="8"/>
            <color indexed="81"/>
            <rFont val="Tahoma"/>
            <family val="2"/>
          </rPr>
          <t>Author:</t>
        </r>
        <r>
          <rPr>
            <sz val="8"/>
            <color indexed="81"/>
            <rFont val="Tahoma"/>
            <family val="2"/>
          </rPr>
          <t xml:space="preserve">
shell fell off</t>
        </r>
      </text>
    </comment>
    <comment ref="F328" authorId="0" shapeId="0" xr:uid="{00000000-0006-0000-0400-00008A000000}">
      <text>
        <r>
          <rPr>
            <b/>
            <sz val="8"/>
            <color indexed="81"/>
            <rFont val="Tahoma"/>
            <family val="2"/>
          </rPr>
          <t>Author:</t>
        </r>
        <r>
          <rPr>
            <sz val="8"/>
            <color indexed="81"/>
            <rFont val="Tahoma"/>
            <family val="2"/>
          </rPr>
          <t xml:space="preserve">
quantity of defects OOS</t>
        </r>
      </text>
    </comment>
    <comment ref="F331" authorId="0" shapeId="0" xr:uid="{00000000-0006-0000-0400-00008B000000}">
      <text>
        <r>
          <rPr>
            <b/>
            <sz val="8"/>
            <color indexed="81"/>
            <rFont val="Tahoma"/>
            <family val="2"/>
          </rPr>
          <t>Author:</t>
        </r>
        <r>
          <rPr>
            <sz val="8"/>
            <color indexed="81"/>
            <rFont val="Tahoma"/>
            <family val="2"/>
          </rPr>
          <t xml:space="preserve">
fell off inspecting</t>
        </r>
      </text>
    </comment>
    <comment ref="F333" authorId="0" shapeId="0" xr:uid="{00000000-0006-0000-0400-00008C000000}">
      <text>
        <r>
          <rPr>
            <b/>
            <sz val="8"/>
            <color indexed="81"/>
            <rFont val="Tahoma"/>
            <family val="2"/>
          </rPr>
          <t>Author:</t>
        </r>
        <r>
          <rPr>
            <sz val="8"/>
            <color indexed="81"/>
            <rFont val="Tahoma"/>
            <family val="2"/>
          </rPr>
          <t xml:space="preserve">
Remounted after inspection</t>
        </r>
      </text>
    </comment>
    <comment ref="F334" authorId="0" shapeId="0" xr:uid="{00000000-0006-0000-0400-00008D000000}">
      <text>
        <r>
          <rPr>
            <b/>
            <sz val="9"/>
            <color indexed="81"/>
            <rFont val="Tahoma"/>
            <family val="2"/>
          </rPr>
          <t>Author:</t>
        </r>
        <r>
          <rPr>
            <sz val="9"/>
            <color indexed="81"/>
            <rFont val="Tahoma"/>
            <family val="2"/>
          </rPr>
          <t xml:space="preserve">
OOS, scrapped 4/3/15; FOR DHAR TEST</t>
        </r>
      </text>
    </comment>
    <comment ref="F335" authorId="0" shapeId="0" xr:uid="{00000000-0006-0000-0400-00008E000000}">
      <text>
        <r>
          <rPr>
            <b/>
            <sz val="9"/>
            <color indexed="81"/>
            <rFont val="Tahoma"/>
            <family val="2"/>
          </rPr>
          <t>Author:</t>
        </r>
        <r>
          <rPr>
            <sz val="9"/>
            <color indexed="81"/>
            <rFont val="Tahoma"/>
            <family val="2"/>
          </rPr>
          <t xml:space="preserve">
OOS capsule, scrapped 4/3/15; FOR DHAR TEST</t>
        </r>
      </text>
    </comment>
    <comment ref="F336" authorId="0" shapeId="0" xr:uid="{00000000-0006-0000-0400-00008F000000}">
      <text>
        <r>
          <rPr>
            <b/>
            <sz val="9"/>
            <color indexed="81"/>
            <rFont val="Tahoma"/>
            <family val="2"/>
          </rPr>
          <t>Author:</t>
        </r>
        <r>
          <rPr>
            <sz val="9"/>
            <color indexed="81"/>
            <rFont val="Tahoma"/>
            <family val="2"/>
          </rPr>
          <t xml:space="preserve">
used for DHAR layering test</t>
        </r>
      </text>
    </comment>
    <comment ref="F337" authorId="0" shapeId="0" xr:uid="{00000000-0006-0000-0400-000090000000}">
      <text>
        <r>
          <rPr>
            <b/>
            <sz val="9"/>
            <color indexed="81"/>
            <rFont val="Tahoma"/>
            <family val="2"/>
          </rPr>
          <t>Author:</t>
        </r>
        <r>
          <rPr>
            <sz val="9"/>
            <color indexed="81"/>
            <rFont val="Tahoma"/>
            <family val="2"/>
          </rPr>
          <t xml:space="preserve">
used for DHAR layering test</t>
        </r>
      </text>
    </comment>
    <comment ref="F341" authorId="0" shapeId="0" xr:uid="{00000000-0006-0000-0400-000091000000}">
      <text>
        <r>
          <rPr>
            <b/>
            <sz val="9"/>
            <color indexed="81"/>
            <rFont val="Tahoma"/>
            <family val="2"/>
          </rPr>
          <t>Author:</t>
        </r>
        <r>
          <rPr>
            <sz val="9"/>
            <color indexed="81"/>
            <rFont val="Tahoma"/>
            <family val="2"/>
          </rPr>
          <t xml:space="preserve">
Surface defect (comet)
measures 13x7um</t>
        </r>
      </text>
    </comment>
    <comment ref="F342" authorId="0" shapeId="0" xr:uid="{00000000-0006-0000-0400-000092000000}">
      <text>
        <r>
          <rPr>
            <b/>
            <sz val="9"/>
            <color indexed="81"/>
            <rFont val="Tahoma"/>
            <family val="2"/>
          </rPr>
          <t>Author:</t>
        </r>
        <r>
          <rPr>
            <sz val="9"/>
            <color indexed="81"/>
            <rFont val="Tahoma"/>
            <family val="2"/>
          </rPr>
          <t xml:space="preserve">
Glue spot &gt; 30um</t>
        </r>
      </text>
    </comment>
    <comment ref="F346" authorId="0" shapeId="0" xr:uid="{00000000-0006-0000-0400-000093000000}">
      <text>
        <r>
          <rPr>
            <b/>
            <sz val="9"/>
            <color indexed="81"/>
            <rFont val="Tahoma"/>
            <family val="2"/>
          </rPr>
          <t>Author:</t>
        </r>
        <r>
          <rPr>
            <sz val="9"/>
            <color indexed="81"/>
            <rFont val="Tahoma"/>
            <family val="2"/>
          </rPr>
          <t xml:space="preserve">
shell and SiC fiber coated
ahead then mounted on
Type 1E mount</t>
        </r>
      </text>
    </comment>
    <comment ref="F347" authorId="0" shapeId="0" xr:uid="{00000000-0006-0000-0400-000094000000}">
      <text>
        <r>
          <rPr>
            <b/>
            <sz val="9"/>
            <color indexed="81"/>
            <rFont val="Tahoma"/>
            <family val="2"/>
          </rPr>
          <t>Author:</t>
        </r>
        <r>
          <rPr>
            <sz val="9"/>
            <color indexed="81"/>
            <rFont val="Tahoma"/>
            <family val="2"/>
          </rPr>
          <t xml:space="preserve">
shell and SiC fiber coated
ahead then mounted on
Type 1E mount</t>
        </r>
      </text>
    </comment>
    <comment ref="F348" authorId="0" shapeId="0" xr:uid="{00000000-0006-0000-0400-000095000000}">
      <text>
        <r>
          <rPr>
            <b/>
            <sz val="8"/>
            <color indexed="81"/>
            <rFont val="Tahoma"/>
            <family val="2"/>
          </rPr>
          <t>Author:</t>
        </r>
        <r>
          <rPr>
            <sz val="8"/>
            <color indexed="81"/>
            <rFont val="Tahoma"/>
            <family val="2"/>
          </rPr>
          <t xml:space="preserve">
OOS glue spot and 
component lengths</t>
        </r>
      </text>
    </comment>
    <comment ref="F354" authorId="0" shapeId="0" xr:uid="{00000000-0006-0000-0400-000096000000}">
      <text>
        <r>
          <rPr>
            <b/>
            <sz val="8"/>
            <color indexed="81"/>
            <rFont val="Tahoma"/>
            <family val="2"/>
          </rPr>
          <t>Author:</t>
        </r>
        <r>
          <rPr>
            <sz val="8"/>
            <color indexed="81"/>
            <rFont val="Tahoma"/>
            <family val="2"/>
          </rPr>
          <t xml:space="preserve">
Shell fell off during 4 slot rack loading</t>
        </r>
      </text>
    </comment>
    <comment ref="F356" authorId="0" shapeId="0" xr:uid="{00000000-0006-0000-0400-000097000000}">
      <text>
        <r>
          <rPr>
            <b/>
            <sz val="8"/>
            <color indexed="81"/>
            <rFont val="Tahoma"/>
            <family val="2"/>
          </rPr>
          <t>Author:</t>
        </r>
        <r>
          <rPr>
            <sz val="8"/>
            <color indexed="81"/>
            <rFont val="Tahoma"/>
            <family val="2"/>
          </rPr>
          <t xml:space="preserve">
fell off in dry box; glue failure, golf tee</t>
        </r>
      </text>
    </comment>
    <comment ref="F357" authorId="0" shapeId="0" xr:uid="{00000000-0006-0000-0400-000098000000}">
      <text>
        <r>
          <rPr>
            <b/>
            <sz val="8"/>
            <color indexed="81"/>
            <rFont val="Tahoma"/>
            <family val="2"/>
          </rPr>
          <t>Author:</t>
        </r>
        <r>
          <rPr>
            <sz val="8"/>
            <color indexed="81"/>
            <rFont val="Tahoma"/>
            <family val="2"/>
          </rPr>
          <t xml:space="preserve">
fell off during inspection, adhesion failure, golf tee</t>
        </r>
      </text>
    </comment>
    <comment ref="F363" authorId="0" shapeId="0" xr:uid="{00000000-0006-0000-0400-000099000000}">
      <text>
        <r>
          <rPr>
            <b/>
            <sz val="8"/>
            <color indexed="81"/>
            <rFont val="Tahoma"/>
            <family val="2"/>
          </rPr>
          <t>Author:</t>
        </r>
        <r>
          <rPr>
            <sz val="8"/>
            <color indexed="81"/>
            <rFont val="Tahoma"/>
            <family val="2"/>
          </rPr>
          <t xml:space="preserve">
irregular glue</t>
        </r>
      </text>
    </comment>
    <comment ref="F366" authorId="0" shapeId="0" xr:uid="{00000000-0006-0000-0400-00009A000000}">
      <text>
        <r>
          <rPr>
            <b/>
            <sz val="8"/>
            <color indexed="81"/>
            <rFont val="Tahoma"/>
            <family val="2"/>
          </rPr>
          <t>Author:</t>
        </r>
        <r>
          <rPr>
            <sz val="8"/>
            <color indexed="81"/>
            <rFont val="Tahoma"/>
            <family val="2"/>
          </rPr>
          <t xml:space="preserve">
used for thickness uniformity test at GA 6/10/15</t>
        </r>
      </text>
    </comment>
    <comment ref="F367" authorId="0" shapeId="0" xr:uid="{00000000-0006-0000-0400-00009B000000}">
      <text>
        <r>
          <rPr>
            <b/>
            <sz val="8"/>
            <color indexed="81"/>
            <rFont val="Tahoma"/>
            <family val="2"/>
          </rPr>
          <t>Author:</t>
        </r>
        <r>
          <rPr>
            <sz val="8"/>
            <color indexed="81"/>
            <rFont val="Tahoma"/>
            <family val="2"/>
          </rPr>
          <t xml:space="preserve">
capsule defects OOS</t>
        </r>
      </text>
    </comment>
    <comment ref="F370" authorId="0" shapeId="0" xr:uid="{00000000-0006-0000-0400-00009C000000}">
      <text>
        <r>
          <rPr>
            <b/>
            <sz val="8"/>
            <color indexed="81"/>
            <rFont val="Tahoma"/>
            <family val="2"/>
          </rPr>
          <t>Author:</t>
        </r>
        <r>
          <rPr>
            <sz val="8"/>
            <color indexed="81"/>
            <rFont val="Tahoma"/>
            <family val="2"/>
          </rPr>
          <t xml:space="preserve">
OOS defects</t>
        </r>
      </text>
    </comment>
    <comment ref="F373" authorId="0" shapeId="0" xr:uid="{00000000-0006-0000-0400-00009D000000}">
      <text>
        <r>
          <rPr>
            <b/>
            <sz val="8"/>
            <color indexed="81"/>
            <rFont val="Tahoma"/>
            <family val="2"/>
          </rPr>
          <t>Author:</t>
        </r>
        <r>
          <rPr>
            <sz val="8"/>
            <color indexed="81"/>
            <rFont val="Tahoma"/>
            <family val="2"/>
          </rPr>
          <t xml:space="preserve">
glue OOS</t>
        </r>
      </text>
    </comment>
    <comment ref="F378" authorId="0" shapeId="0" xr:uid="{00000000-0006-0000-0400-00009E000000}">
      <text>
        <r>
          <rPr>
            <b/>
            <sz val="8"/>
            <color indexed="81"/>
            <rFont val="Tahoma"/>
            <family val="2"/>
          </rPr>
          <t>Author:</t>
        </r>
        <r>
          <rPr>
            <sz val="8"/>
            <color indexed="81"/>
            <rFont val="Tahoma"/>
            <family val="2"/>
          </rPr>
          <t xml:space="preserve">
Fell Off in dry box</t>
        </r>
      </text>
    </comment>
    <comment ref="F389" authorId="0" shapeId="0" xr:uid="{00000000-0006-0000-0400-00009F000000}">
      <text>
        <r>
          <rPr>
            <b/>
            <sz val="8"/>
            <color indexed="81"/>
            <rFont val="Tahoma"/>
            <family val="2"/>
          </rPr>
          <t>Author:</t>
        </r>
        <r>
          <rPr>
            <sz val="8"/>
            <color indexed="81"/>
            <rFont val="Tahoma"/>
            <family val="2"/>
          </rPr>
          <t xml:space="preserve">
defect &gt;10um oos</t>
        </r>
      </text>
    </comment>
    <comment ref="F390" authorId="0" shapeId="0" xr:uid="{00000000-0006-0000-0400-0000A0000000}">
      <text>
        <r>
          <rPr>
            <b/>
            <sz val="8"/>
            <color indexed="81"/>
            <rFont val="Tahoma"/>
            <family val="2"/>
          </rPr>
          <t>Author:</t>
        </r>
        <r>
          <rPr>
            <sz val="8"/>
            <color indexed="81"/>
            <rFont val="Tahoma"/>
            <family val="2"/>
          </rPr>
          <t xml:space="preserve">
scratches on shell surface OOS</t>
        </r>
      </text>
    </comment>
    <comment ref="F391" authorId="0" shapeId="0" xr:uid="{00000000-0006-0000-0400-0000A1000000}">
      <text>
        <r>
          <rPr>
            <b/>
            <sz val="8"/>
            <color indexed="81"/>
            <rFont val="Tahoma"/>
            <family val="2"/>
          </rPr>
          <t>Author:</t>
        </r>
        <r>
          <rPr>
            <sz val="8"/>
            <color indexed="81"/>
            <rFont val="Tahoma"/>
            <family val="2"/>
          </rPr>
          <t xml:space="preserve">
PP glue OOS, bumped in CF</t>
        </r>
      </text>
    </comment>
    <comment ref="F393" authorId="0" shapeId="0" xr:uid="{00000000-0006-0000-0400-0000A2000000}">
      <text>
        <r>
          <rPr>
            <b/>
            <sz val="8"/>
            <color indexed="81"/>
            <rFont val="Tahoma"/>
            <family val="2"/>
          </rPr>
          <t>Author:</t>
        </r>
        <r>
          <rPr>
            <sz val="8"/>
            <color indexed="81"/>
            <rFont val="Tahoma"/>
            <family val="2"/>
          </rPr>
          <t xml:space="preserve">
Shell too dirty</t>
        </r>
      </text>
    </comment>
    <comment ref="F394" authorId="0" shapeId="0" xr:uid="{00000000-0006-0000-0400-0000A3000000}">
      <text>
        <r>
          <rPr>
            <b/>
            <sz val="8"/>
            <color indexed="81"/>
            <rFont val="Tahoma"/>
            <family val="2"/>
          </rPr>
          <t>Author:</t>
        </r>
        <r>
          <rPr>
            <sz val="8"/>
            <color indexed="81"/>
            <rFont val="Tahoma"/>
            <family val="2"/>
          </rPr>
          <t xml:space="preserve">
PP glue OOS</t>
        </r>
      </text>
    </comment>
    <comment ref="F395" authorId="0" shapeId="0" xr:uid="{00000000-0006-0000-0400-0000A4000000}">
      <text>
        <r>
          <rPr>
            <b/>
            <sz val="8"/>
            <color indexed="81"/>
            <rFont val="Tahoma"/>
            <family val="2"/>
          </rPr>
          <t>Author:</t>
        </r>
        <r>
          <rPr>
            <sz val="8"/>
            <color indexed="81"/>
            <rFont val="Tahoma"/>
            <family val="2"/>
          </rPr>
          <t xml:space="preserve">
defects OOS</t>
        </r>
      </text>
    </comment>
    <comment ref="F397" authorId="0" shapeId="0" xr:uid="{00000000-0006-0000-0400-0000A5000000}">
      <text>
        <r>
          <rPr>
            <b/>
            <sz val="8"/>
            <color indexed="81"/>
            <rFont val="Tahoma"/>
            <family val="2"/>
          </rPr>
          <t>Author:</t>
        </r>
        <r>
          <rPr>
            <sz val="8"/>
            <color indexed="81"/>
            <rFont val="Tahoma"/>
            <family val="2"/>
          </rPr>
          <t xml:space="preserve">
OOS glue spot</t>
        </r>
      </text>
    </comment>
    <comment ref="F400" authorId="0" shapeId="0" xr:uid="{00000000-0006-0000-0400-0000A6000000}">
      <text>
        <r>
          <rPr>
            <b/>
            <sz val="8"/>
            <color indexed="81"/>
            <rFont val="Tahoma"/>
            <family val="2"/>
          </rPr>
          <t>Author:</t>
        </r>
        <r>
          <rPr>
            <sz val="8"/>
            <color indexed="81"/>
            <rFont val="Tahoma"/>
            <family val="2"/>
          </rPr>
          <t xml:space="preserve">
6 defects OOS</t>
        </r>
      </text>
    </comment>
    <comment ref="F402" authorId="0" shapeId="0" xr:uid="{00000000-0006-0000-0400-0000A7000000}">
      <text>
        <r>
          <rPr>
            <b/>
            <sz val="8"/>
            <color indexed="81"/>
            <rFont val="Tahoma"/>
            <family val="2"/>
          </rPr>
          <t>Author:</t>
        </r>
        <r>
          <rPr>
            <sz val="8"/>
            <color indexed="81"/>
            <rFont val="Tahoma"/>
            <family val="2"/>
          </rPr>
          <t xml:space="preserve">
OOS defect quantity</t>
        </r>
      </text>
    </comment>
    <comment ref="F403" authorId="0" shapeId="0" xr:uid="{00000000-0006-0000-0400-0000A8000000}">
      <text>
        <r>
          <rPr>
            <b/>
            <sz val="8"/>
            <color indexed="81"/>
            <rFont val="Tahoma"/>
            <family val="2"/>
          </rPr>
          <t>Author:</t>
        </r>
        <r>
          <rPr>
            <sz val="8"/>
            <color indexed="81"/>
            <rFont val="Tahoma"/>
            <family val="2"/>
          </rPr>
          <t xml:space="preserve">
DEFECT 4UM PV</t>
        </r>
      </text>
    </comment>
    <comment ref="F407" authorId="0" shapeId="0" xr:uid="{00000000-0006-0000-0400-0000A9000000}">
      <text>
        <r>
          <rPr>
            <b/>
            <sz val="8"/>
            <color indexed="81"/>
            <rFont val="Tahoma"/>
            <family val="2"/>
          </rPr>
          <t>Author:</t>
        </r>
        <r>
          <rPr>
            <sz val="8"/>
            <color indexed="81"/>
            <rFont val="Tahoma"/>
            <family val="2"/>
          </rPr>
          <t xml:space="preserve">
5 defects, OOS</t>
        </r>
      </text>
    </comment>
    <comment ref="F408" authorId="0" shapeId="0" xr:uid="{00000000-0006-0000-0400-0000AA000000}">
      <text>
        <r>
          <rPr>
            <b/>
            <sz val="8"/>
            <color indexed="81"/>
            <rFont val="Tahoma"/>
            <family val="2"/>
          </rPr>
          <t>Author:</t>
        </r>
        <r>
          <rPr>
            <sz val="8"/>
            <color indexed="81"/>
            <rFont val="Tahoma"/>
            <family val="2"/>
          </rPr>
          <t xml:space="preserve">
&gt;10um defect OOS</t>
        </r>
      </text>
    </comment>
    <comment ref="F409" authorId="0" shapeId="0" xr:uid="{00000000-0006-0000-0400-0000AB000000}">
      <text>
        <r>
          <rPr>
            <b/>
            <sz val="8"/>
            <color indexed="81"/>
            <rFont val="Tahoma"/>
            <family val="2"/>
          </rPr>
          <t>Author:</t>
        </r>
        <r>
          <rPr>
            <sz val="8"/>
            <color indexed="81"/>
            <rFont val="Tahoma"/>
            <family val="2"/>
          </rPr>
          <t xml:space="preserve">
shell fell off</t>
        </r>
      </text>
    </comment>
    <comment ref="F417" authorId="0" shapeId="0" xr:uid="{00000000-0006-0000-0400-0000AC000000}">
      <text>
        <r>
          <rPr>
            <b/>
            <sz val="8"/>
            <color indexed="81"/>
            <rFont val="Tahoma"/>
            <family val="2"/>
          </rPr>
          <t>Author:</t>
        </r>
        <r>
          <rPr>
            <sz val="8"/>
            <color indexed="81"/>
            <rFont val="Tahoma"/>
            <family val="2"/>
          </rPr>
          <t xml:space="preserve">
glue OOS</t>
        </r>
      </text>
    </comment>
    <comment ref="F419" authorId="0" shapeId="0" xr:uid="{00000000-0006-0000-0400-0000AD000000}">
      <text>
        <r>
          <rPr>
            <b/>
            <sz val="8"/>
            <color indexed="81"/>
            <rFont val="Tahoma"/>
            <family val="2"/>
          </rPr>
          <t>Author:</t>
        </r>
        <r>
          <rPr>
            <sz val="8"/>
            <color indexed="81"/>
            <rFont val="Tahoma"/>
            <family val="2"/>
          </rPr>
          <t xml:space="preserve">
big defects, greater than 5 quantity</t>
        </r>
      </text>
    </comment>
    <comment ref="F422" authorId="0" shapeId="0" xr:uid="{00000000-0006-0000-0400-0000AE000000}">
      <text>
        <r>
          <rPr>
            <b/>
            <sz val="9"/>
            <color indexed="81"/>
            <rFont val="Tahoma"/>
            <family val="2"/>
          </rPr>
          <t>Author:</t>
        </r>
        <r>
          <rPr>
            <sz val="9"/>
            <color indexed="81"/>
            <rFont val="Tahoma"/>
            <family val="2"/>
          </rPr>
          <t xml:space="preserve">
Debris field OOS</t>
        </r>
      </text>
    </comment>
    <comment ref="F423" authorId="0" shapeId="0" xr:uid="{00000000-0006-0000-0400-0000AF000000}">
      <text>
        <r>
          <rPr>
            <b/>
            <sz val="8"/>
            <color indexed="81"/>
            <rFont val="Tahoma"/>
            <family val="2"/>
          </rPr>
          <t>Author:</t>
        </r>
        <r>
          <rPr>
            <sz val="8"/>
            <color indexed="81"/>
            <rFont val="Tahoma"/>
            <family val="2"/>
          </rPr>
          <t xml:space="preserve">
glue oos</t>
        </r>
      </text>
    </comment>
    <comment ref="F424" authorId="0" shapeId="0" xr:uid="{00000000-0006-0000-0400-0000B0000000}">
      <text>
        <r>
          <rPr>
            <b/>
            <sz val="8"/>
            <color indexed="81"/>
            <rFont val="Tahoma"/>
            <family val="2"/>
          </rPr>
          <t>Author:</t>
        </r>
        <r>
          <rPr>
            <sz val="8"/>
            <color indexed="81"/>
            <rFont val="Tahoma"/>
            <family val="2"/>
          </rPr>
          <t xml:space="preserve">
glue fracture</t>
        </r>
      </text>
    </comment>
    <comment ref="F425" authorId="0" shapeId="0" xr:uid="{00000000-0006-0000-0400-0000B1000000}">
      <text>
        <r>
          <rPr>
            <b/>
            <sz val="9"/>
            <color indexed="81"/>
            <rFont val="Tahoma"/>
            <family val="2"/>
          </rPr>
          <t>Author:</t>
        </r>
        <r>
          <rPr>
            <sz val="9"/>
            <color indexed="81"/>
            <rFont val="Tahoma"/>
            <family val="2"/>
          </rPr>
          <t xml:space="preserve">
quantity of defects &gt;5um OOS</t>
        </r>
      </text>
    </comment>
    <comment ref="F426" authorId="0" shapeId="0" xr:uid="{00000000-0006-0000-0400-0000B2000000}">
      <text>
        <r>
          <rPr>
            <b/>
            <sz val="8"/>
            <color indexed="81"/>
            <rFont val="Tahoma"/>
            <family val="2"/>
          </rPr>
          <t>Author:</t>
        </r>
        <r>
          <rPr>
            <sz val="8"/>
            <color indexed="81"/>
            <rFont val="Tahoma"/>
            <family val="2"/>
          </rPr>
          <t xml:space="preserve">
glue oos</t>
        </r>
      </text>
    </comment>
    <comment ref="F428" authorId="0" shapeId="0" xr:uid="{00000000-0006-0000-0400-0000B3000000}">
      <text>
        <r>
          <rPr>
            <b/>
            <sz val="8"/>
            <color indexed="81"/>
            <rFont val="Tahoma"/>
            <family val="2"/>
          </rPr>
          <t>Author:</t>
        </r>
        <r>
          <rPr>
            <sz val="8"/>
            <color indexed="81"/>
            <rFont val="Tahoma"/>
            <family val="2"/>
          </rPr>
          <t xml:space="preserve">
glue oos</t>
        </r>
      </text>
    </comment>
    <comment ref="F429" authorId="0" shapeId="0" xr:uid="{00000000-0006-0000-0400-0000B4000000}">
      <text>
        <r>
          <rPr>
            <b/>
            <sz val="8"/>
            <color indexed="81"/>
            <rFont val="Tahoma"/>
            <family val="2"/>
          </rPr>
          <t>Author:</t>
        </r>
        <r>
          <rPr>
            <sz val="8"/>
            <color indexed="81"/>
            <rFont val="Tahoma"/>
            <family val="2"/>
          </rPr>
          <t xml:space="preserve">
glue oos</t>
        </r>
      </text>
    </comment>
    <comment ref="F431" authorId="0" shapeId="0" xr:uid="{00000000-0006-0000-0400-0000B5000000}">
      <text>
        <r>
          <rPr>
            <b/>
            <sz val="8"/>
            <color indexed="81"/>
            <rFont val="Tahoma"/>
            <family val="2"/>
          </rPr>
          <t>Author:</t>
        </r>
        <r>
          <rPr>
            <sz val="8"/>
            <color indexed="81"/>
            <rFont val="Tahoma"/>
            <family val="2"/>
          </rPr>
          <t xml:space="preserve">
bad mounting job</t>
        </r>
      </text>
    </comment>
    <comment ref="F435" authorId="0" shapeId="0" xr:uid="{00000000-0006-0000-0400-0000B6000000}">
      <text>
        <r>
          <rPr>
            <b/>
            <sz val="9"/>
            <color indexed="81"/>
            <rFont val="Tahoma"/>
            <family val="2"/>
          </rPr>
          <t>Author:</t>
        </r>
        <r>
          <rPr>
            <sz val="9"/>
            <color indexed="81"/>
            <rFont val="Tahoma"/>
            <family val="2"/>
          </rPr>
          <t xml:space="preserve">
deformed shell from curing</t>
        </r>
      </text>
    </comment>
    <comment ref="F441" authorId="0" shapeId="0" xr:uid="{00000000-0006-0000-0400-0000B7000000}">
      <text>
        <r>
          <rPr>
            <b/>
            <sz val="8"/>
            <color indexed="81"/>
            <rFont val="Tahoma"/>
            <family val="2"/>
          </rPr>
          <t>Author:</t>
        </r>
        <r>
          <rPr>
            <sz val="8"/>
            <color indexed="81"/>
            <rFont val="Tahoma"/>
            <family val="2"/>
          </rPr>
          <t xml:space="preserve">
glue out of spec 54um; added NOA65 for Perkins test, 150um footprint</t>
        </r>
      </text>
    </comment>
    <comment ref="F446" authorId="0" shapeId="0" xr:uid="{00000000-0006-0000-0400-0000B8000000}">
      <text>
        <r>
          <rPr>
            <b/>
            <sz val="8"/>
            <color indexed="81"/>
            <rFont val="Tahoma"/>
            <family val="2"/>
          </rPr>
          <t>Author:</t>
        </r>
        <r>
          <rPr>
            <sz val="8"/>
            <color indexed="81"/>
            <rFont val="Tahoma"/>
            <family val="2"/>
          </rPr>
          <t xml:space="preserve">
assymetric glue shape</t>
        </r>
      </text>
    </comment>
    <comment ref="F447" authorId="0" shapeId="0" xr:uid="{00000000-0006-0000-0400-0000B9000000}">
      <text>
        <r>
          <rPr>
            <b/>
            <sz val="8"/>
            <color indexed="81"/>
            <rFont val="Tahoma"/>
            <family val="2"/>
          </rPr>
          <t>Author:</t>
        </r>
        <r>
          <rPr>
            <sz val="8"/>
            <color indexed="81"/>
            <rFont val="Tahoma"/>
            <family val="2"/>
          </rPr>
          <t xml:space="preserve">
Glue oos</t>
        </r>
      </text>
    </comment>
    <comment ref="F449" authorId="0" shapeId="0" xr:uid="{00000000-0006-0000-0400-0000BA000000}">
      <text>
        <r>
          <rPr>
            <b/>
            <sz val="8"/>
            <color indexed="81"/>
            <rFont val="Tahoma"/>
            <family val="2"/>
          </rPr>
          <t>Author:</t>
        </r>
        <r>
          <rPr>
            <sz val="8"/>
            <color indexed="81"/>
            <rFont val="Tahoma"/>
            <family val="2"/>
          </rPr>
          <t xml:space="preserve">
OOS too many defects</t>
        </r>
      </text>
    </comment>
    <comment ref="F453" authorId="0" shapeId="0" xr:uid="{00000000-0006-0000-0400-0000BB000000}">
      <text>
        <r>
          <rPr>
            <b/>
            <sz val="8"/>
            <color indexed="81"/>
            <rFont val="Tahoma"/>
            <family val="2"/>
          </rPr>
          <t>Author:</t>
        </r>
        <r>
          <rPr>
            <sz val="8"/>
            <color indexed="81"/>
            <rFont val="Tahoma"/>
            <family val="2"/>
          </rPr>
          <t xml:space="preserve">
Glue oos</t>
        </r>
      </text>
    </comment>
    <comment ref="F456" authorId="0" shapeId="0" xr:uid="{00000000-0006-0000-0400-0000BC000000}">
      <text>
        <r>
          <rPr>
            <b/>
            <sz val="8"/>
            <color indexed="81"/>
            <rFont val="Tahoma"/>
            <family val="2"/>
          </rPr>
          <t>Author:</t>
        </r>
        <r>
          <rPr>
            <sz val="8"/>
            <color indexed="81"/>
            <rFont val="Tahoma"/>
            <family val="2"/>
          </rPr>
          <t xml:space="preserve">
oos glue, big defects</t>
        </r>
      </text>
    </comment>
    <comment ref="F457" authorId="0" shapeId="0" xr:uid="{00000000-0006-0000-0400-0000BD000000}">
      <text>
        <r>
          <rPr>
            <b/>
            <sz val="8"/>
            <color indexed="81"/>
            <rFont val="Tahoma"/>
            <family val="2"/>
          </rPr>
          <t>Author:</t>
        </r>
        <r>
          <rPr>
            <sz val="8"/>
            <color indexed="81"/>
            <rFont val="Tahoma"/>
            <family val="2"/>
          </rPr>
          <t xml:space="preserve">
BIG defects</t>
        </r>
      </text>
    </comment>
    <comment ref="F459" authorId="0" shapeId="0" xr:uid="{00000000-0006-0000-0400-0000BE000000}">
      <text>
        <r>
          <rPr>
            <b/>
            <sz val="8"/>
            <color indexed="81"/>
            <rFont val="Tahoma"/>
            <family val="2"/>
          </rPr>
          <t>Author:</t>
        </r>
        <r>
          <rPr>
            <sz val="8"/>
            <color indexed="81"/>
            <rFont val="Tahoma"/>
            <family val="2"/>
          </rPr>
          <t xml:space="preserve">
OOS glue 37um</t>
        </r>
      </text>
    </comment>
    <comment ref="F460" authorId="0" shapeId="0" xr:uid="{00000000-0006-0000-0400-0000BF000000}">
      <text>
        <r>
          <rPr>
            <b/>
            <sz val="8"/>
            <color indexed="81"/>
            <rFont val="Tahoma"/>
            <family val="2"/>
          </rPr>
          <t>Author:</t>
        </r>
        <r>
          <rPr>
            <sz val="8"/>
            <color indexed="81"/>
            <rFont val="Tahoma"/>
            <family val="2"/>
          </rPr>
          <t xml:space="preserve">
glue spot 38um OOS</t>
        </r>
      </text>
    </comment>
    <comment ref="F462" authorId="0" shapeId="0" xr:uid="{00000000-0006-0000-0400-0000C0000000}">
      <text>
        <r>
          <rPr>
            <b/>
            <sz val="8"/>
            <color indexed="81"/>
            <rFont val="Tahoma"/>
            <family val="2"/>
          </rPr>
          <t>Author:</t>
        </r>
        <r>
          <rPr>
            <sz val="8"/>
            <color indexed="81"/>
            <rFont val="Tahoma"/>
            <family val="2"/>
          </rPr>
          <t xml:space="preserve">
glue spot OOS 37um</t>
        </r>
      </text>
    </comment>
    <comment ref="F463" authorId="0" shapeId="0" xr:uid="{00000000-0006-0000-0400-0000C1000000}">
      <text>
        <r>
          <rPr>
            <b/>
            <sz val="8"/>
            <color indexed="81"/>
            <rFont val="Tahoma"/>
            <family val="2"/>
          </rPr>
          <t>Author:</t>
        </r>
        <r>
          <rPr>
            <sz val="8"/>
            <color indexed="81"/>
            <rFont val="Tahoma"/>
            <family val="2"/>
          </rPr>
          <t xml:space="preserve">
mount is bent, adds to TIR</t>
        </r>
      </text>
    </comment>
    <comment ref="F464" authorId="0" shapeId="0" xr:uid="{00000000-0006-0000-0400-0000C2000000}">
      <text>
        <r>
          <rPr>
            <b/>
            <sz val="8"/>
            <color indexed="81"/>
            <rFont val="Tahoma"/>
            <family val="2"/>
          </rPr>
          <t>Author:</t>
        </r>
        <r>
          <rPr>
            <sz val="8"/>
            <color indexed="81"/>
            <rFont val="Tahoma"/>
            <family val="2"/>
          </rPr>
          <t xml:space="preserve">
glue spot 37um OOS</t>
        </r>
      </text>
    </comment>
    <comment ref="F465" authorId="0" shapeId="0" xr:uid="{00000000-0006-0000-0400-0000C3000000}">
      <text>
        <r>
          <rPr>
            <b/>
            <sz val="8"/>
            <color indexed="81"/>
            <rFont val="Tahoma"/>
            <family val="2"/>
          </rPr>
          <t>Author:</t>
        </r>
        <r>
          <rPr>
            <sz val="8"/>
            <color indexed="81"/>
            <rFont val="Tahoma"/>
            <family val="2"/>
          </rPr>
          <t xml:space="preserve">
Large glue footprint 75um</t>
        </r>
      </text>
    </comment>
    <comment ref="F466" authorId="0" shapeId="0" xr:uid="{00000000-0006-0000-0400-0000C4000000}">
      <text>
        <r>
          <rPr>
            <b/>
            <sz val="8"/>
            <color indexed="81"/>
            <rFont val="Tahoma"/>
            <family val="2"/>
          </rPr>
          <t>Author:</t>
        </r>
        <r>
          <rPr>
            <sz val="8"/>
            <color indexed="81"/>
            <rFont val="Tahoma"/>
            <family val="2"/>
          </rPr>
          <t xml:space="preserve">
glove snapped in shaker MB broke target</t>
        </r>
      </text>
    </comment>
    <comment ref="F467" authorId="0" shapeId="0" xr:uid="{00000000-0006-0000-0400-0000C5000000}">
      <text>
        <r>
          <rPr>
            <b/>
            <sz val="8"/>
            <color indexed="81"/>
            <rFont val="Tahoma"/>
            <family val="2"/>
          </rPr>
          <t>Author:</t>
        </r>
        <r>
          <rPr>
            <sz val="8"/>
            <color indexed="81"/>
            <rFont val="Tahoma"/>
            <family val="2"/>
          </rPr>
          <t xml:space="preserve">
irregular glue shape
</t>
        </r>
      </text>
    </comment>
    <comment ref="F472" authorId="0" shapeId="0" xr:uid="{00000000-0006-0000-0400-0000C6000000}">
      <text>
        <r>
          <rPr>
            <b/>
            <sz val="8"/>
            <color indexed="81"/>
            <rFont val="Tahoma"/>
            <family val="2"/>
          </rPr>
          <t>Author:</t>
        </r>
        <r>
          <rPr>
            <sz val="8"/>
            <color indexed="81"/>
            <rFont val="Tahoma"/>
            <family val="2"/>
          </rPr>
          <t xml:space="preserve">
needs repair</t>
        </r>
      </text>
    </comment>
    <comment ref="F483" authorId="0" shapeId="0" xr:uid="{00000000-0006-0000-0400-0000C7000000}">
      <text>
        <r>
          <rPr>
            <b/>
            <sz val="8"/>
            <color indexed="81"/>
            <rFont val="Tahoma"/>
            <family val="2"/>
          </rPr>
          <t>Author:</t>
        </r>
        <r>
          <rPr>
            <sz val="8"/>
            <color indexed="81"/>
            <rFont val="Tahoma"/>
            <family val="2"/>
          </rPr>
          <t xml:space="preserve">
too many defects OOS</t>
        </r>
      </text>
    </comment>
    <comment ref="F486" authorId="0" shapeId="0" xr:uid="{00000000-0006-0000-0400-0000C8000000}">
      <text>
        <r>
          <rPr>
            <b/>
            <sz val="8"/>
            <color indexed="81"/>
            <rFont val="Tahoma"/>
            <family val="2"/>
          </rPr>
          <t>Author:</t>
        </r>
        <r>
          <rPr>
            <sz val="8"/>
            <color indexed="81"/>
            <rFont val="Tahoma"/>
            <family val="2"/>
          </rPr>
          <t xml:space="preserve">
OOS too many defects</t>
        </r>
      </text>
    </comment>
    <comment ref="F487" authorId="0" shapeId="0" xr:uid="{00000000-0006-0000-0400-0000C9000000}">
      <text>
        <r>
          <rPr>
            <b/>
            <sz val="8"/>
            <color indexed="81"/>
            <rFont val="Tahoma"/>
            <family val="2"/>
          </rPr>
          <t>Author:</t>
        </r>
        <r>
          <rPr>
            <sz val="8"/>
            <color indexed="81"/>
            <rFont val="Tahoma"/>
            <family val="2"/>
          </rPr>
          <t xml:space="preserve">
too many defects OOS</t>
        </r>
      </text>
    </comment>
    <comment ref="F490" authorId="0" shapeId="0" xr:uid="{00000000-0006-0000-0400-0000CA000000}">
      <text>
        <r>
          <rPr>
            <b/>
            <sz val="8"/>
            <color indexed="81"/>
            <rFont val="Tahoma"/>
            <family val="2"/>
          </rPr>
          <t>Author:</t>
        </r>
        <r>
          <rPr>
            <sz val="8"/>
            <color indexed="81"/>
            <rFont val="Tahoma"/>
            <family val="2"/>
          </rPr>
          <t xml:space="preserve">
glue spot, defect number OOS</t>
        </r>
      </text>
    </comment>
    <comment ref="F492" authorId="0" shapeId="0" xr:uid="{00000000-0006-0000-0400-0000CB000000}">
      <text>
        <r>
          <rPr>
            <b/>
            <sz val="8"/>
            <color indexed="81"/>
            <rFont val="Tahoma"/>
            <family val="2"/>
          </rPr>
          <t>Author:</t>
        </r>
        <r>
          <rPr>
            <sz val="8"/>
            <color indexed="81"/>
            <rFont val="Tahoma"/>
            <family val="2"/>
          </rPr>
          <t xml:space="preserve">
glue oos
</t>
        </r>
      </text>
    </comment>
    <comment ref="F494" authorId="0" shapeId="0" xr:uid="{00000000-0006-0000-0400-0000CC000000}">
      <text>
        <r>
          <rPr>
            <b/>
            <sz val="8"/>
            <color indexed="81"/>
            <rFont val="Tahoma"/>
            <family val="2"/>
          </rPr>
          <t>Author:</t>
        </r>
        <r>
          <rPr>
            <sz val="8"/>
            <color indexed="81"/>
            <rFont val="Tahoma"/>
            <family val="2"/>
          </rPr>
          <t xml:space="preserve">
glue oos</t>
        </r>
      </text>
    </comment>
    <comment ref="F497" authorId="0" shapeId="0" xr:uid="{00000000-0006-0000-0400-0000CD000000}">
      <text>
        <r>
          <rPr>
            <b/>
            <sz val="8"/>
            <color indexed="81"/>
            <rFont val="Tahoma"/>
            <family val="2"/>
          </rPr>
          <t>Author:</t>
        </r>
        <r>
          <rPr>
            <sz val="8"/>
            <color indexed="81"/>
            <rFont val="Tahoma"/>
            <family val="2"/>
          </rPr>
          <t xml:space="preserve">
glue failure</t>
        </r>
      </text>
    </comment>
    <comment ref="F499" authorId="0" shapeId="0" xr:uid="{00000000-0006-0000-0400-0000CE000000}">
      <text>
        <r>
          <rPr>
            <b/>
            <sz val="8"/>
            <color indexed="81"/>
            <rFont val="Tahoma"/>
            <family val="2"/>
          </rPr>
          <t>Author:</t>
        </r>
        <r>
          <rPr>
            <sz val="8"/>
            <color indexed="81"/>
            <rFont val="Tahoma"/>
            <family val="2"/>
          </rPr>
          <t xml:space="preserve">
glue oos</t>
        </r>
      </text>
    </comment>
    <comment ref="F503" authorId="0" shapeId="0" xr:uid="{00000000-0006-0000-0400-0000CF000000}">
      <text>
        <r>
          <rPr>
            <b/>
            <sz val="8"/>
            <color indexed="81"/>
            <rFont val="Tahoma"/>
            <family val="2"/>
          </rPr>
          <t>Author:</t>
        </r>
        <r>
          <rPr>
            <sz val="8"/>
            <color indexed="81"/>
            <rFont val="Tahoma"/>
            <family val="2"/>
          </rPr>
          <t xml:space="preserve">
glue oos</t>
        </r>
      </text>
    </comment>
    <comment ref="F506" authorId="0" shapeId="0" xr:uid="{00000000-0006-0000-0400-0000D0000000}">
      <text>
        <r>
          <rPr>
            <b/>
            <sz val="9"/>
            <color indexed="81"/>
            <rFont val="Tahoma"/>
            <family val="2"/>
          </rPr>
          <t>Author:</t>
        </r>
        <r>
          <rPr>
            <sz val="9"/>
            <color indexed="81"/>
            <rFont val="Tahoma"/>
            <family val="2"/>
          </rPr>
          <t xml:space="preserve">
glue OOS</t>
        </r>
      </text>
    </comment>
    <comment ref="F507" authorId="0" shapeId="0" xr:uid="{00000000-0006-0000-0400-0000D1000000}">
      <text>
        <r>
          <rPr>
            <b/>
            <sz val="9"/>
            <color indexed="81"/>
            <rFont val="Tahoma"/>
            <family val="2"/>
          </rPr>
          <t>Author:</t>
        </r>
        <r>
          <rPr>
            <sz val="9"/>
            <color indexed="81"/>
            <rFont val="Tahoma"/>
            <family val="2"/>
          </rPr>
          <t xml:space="preserve">
glue OOS</t>
        </r>
      </text>
    </comment>
    <comment ref="F511" authorId="0" shapeId="0" xr:uid="{00000000-0006-0000-0400-0000D2000000}">
      <text>
        <r>
          <rPr>
            <b/>
            <sz val="9"/>
            <color indexed="81"/>
            <rFont val="Tahoma"/>
            <family val="2"/>
          </rPr>
          <t>Author:</t>
        </r>
        <r>
          <rPr>
            <sz val="9"/>
            <color indexed="81"/>
            <rFont val="Tahoma"/>
            <family val="2"/>
          </rPr>
          <t xml:space="preserve">
used for vacuole data on AFM</t>
        </r>
      </text>
    </comment>
    <comment ref="F517" authorId="0" shapeId="0" xr:uid="{00000000-0006-0000-0400-0000D3000000}">
      <text>
        <r>
          <rPr>
            <b/>
            <sz val="8"/>
            <color indexed="81"/>
            <rFont val="Tahoma"/>
            <family val="2"/>
          </rPr>
          <t>Author:</t>
        </r>
        <r>
          <rPr>
            <sz val="8"/>
            <color indexed="81"/>
            <rFont val="Tahoma"/>
            <family val="2"/>
          </rPr>
          <t xml:space="preserve">
glue shape poor</t>
        </r>
      </text>
    </comment>
    <comment ref="F519" authorId="0" shapeId="0" xr:uid="{00000000-0006-0000-0400-0000D4000000}">
      <text>
        <r>
          <rPr>
            <b/>
            <sz val="8"/>
            <color indexed="81"/>
            <rFont val="Tahoma"/>
            <family val="2"/>
          </rPr>
          <t>Author:</t>
        </r>
        <r>
          <rPr>
            <sz val="8"/>
            <color indexed="81"/>
            <rFont val="Tahoma"/>
            <family val="2"/>
          </rPr>
          <t xml:space="preserve">
defect spot</t>
        </r>
      </text>
    </comment>
    <comment ref="F521" authorId="0" shapeId="0" xr:uid="{00000000-0006-0000-0400-0000D5000000}">
      <text>
        <r>
          <rPr>
            <b/>
            <sz val="8"/>
            <color indexed="81"/>
            <rFont val="Tahoma"/>
            <family val="2"/>
          </rPr>
          <t>Author:</t>
        </r>
        <r>
          <rPr>
            <sz val="8"/>
            <color indexed="81"/>
            <rFont val="Tahoma"/>
            <family val="2"/>
          </rPr>
          <t xml:space="preserve">
glue OOS</t>
        </r>
      </text>
    </comment>
    <comment ref="F523" authorId="0" shapeId="0" xr:uid="{00000000-0006-0000-0400-0000D6000000}">
      <text>
        <r>
          <rPr>
            <b/>
            <sz val="8"/>
            <color indexed="81"/>
            <rFont val="Tahoma"/>
            <family val="2"/>
          </rPr>
          <t>Author:</t>
        </r>
        <r>
          <rPr>
            <sz val="8"/>
            <color indexed="81"/>
            <rFont val="Tahoma"/>
            <family val="2"/>
          </rPr>
          <t xml:space="preserve">
10um defect</t>
        </r>
      </text>
    </comment>
    <comment ref="F524" authorId="0" shapeId="0" xr:uid="{00000000-0006-0000-0400-0000D7000000}">
      <text>
        <r>
          <rPr>
            <b/>
            <sz val="8"/>
            <color indexed="81"/>
            <rFont val="Tahoma"/>
            <family val="2"/>
          </rPr>
          <t>Author:</t>
        </r>
        <r>
          <rPr>
            <sz val="8"/>
            <color indexed="81"/>
            <rFont val="Tahoma"/>
            <family val="2"/>
          </rPr>
          <t xml:space="preserve">
oil features on surface</t>
        </r>
      </text>
    </comment>
    <comment ref="F529" authorId="0" shapeId="0" xr:uid="{00000000-0006-0000-0400-0000D8000000}">
      <text>
        <r>
          <rPr>
            <b/>
            <sz val="8"/>
            <color indexed="81"/>
            <rFont val="Tahoma"/>
            <family val="2"/>
          </rPr>
          <t>Author:</t>
        </r>
        <r>
          <rPr>
            <sz val="8"/>
            <color indexed="81"/>
            <rFont val="Tahoma"/>
            <family val="2"/>
          </rPr>
          <t xml:space="preserve">
glue OOS</t>
        </r>
      </text>
    </comment>
    <comment ref="F531" authorId="0" shapeId="0" xr:uid="{00000000-0006-0000-0400-0000D9000000}">
      <text>
        <r>
          <rPr>
            <b/>
            <sz val="8"/>
            <color indexed="81"/>
            <rFont val="Tahoma"/>
            <family val="2"/>
          </rPr>
          <t>Author:</t>
        </r>
        <r>
          <rPr>
            <sz val="8"/>
            <color indexed="81"/>
            <rFont val="Tahoma"/>
            <family val="2"/>
          </rPr>
          <t xml:space="preserve">
broken in handling</t>
        </r>
      </text>
    </comment>
    <comment ref="F533" authorId="0" shapeId="0" xr:uid="{00000000-0006-0000-0400-0000DA000000}">
      <text>
        <r>
          <rPr>
            <b/>
            <sz val="8"/>
            <color indexed="81"/>
            <rFont val="Tahoma"/>
            <family val="2"/>
          </rPr>
          <t>Author:</t>
        </r>
        <r>
          <rPr>
            <sz val="8"/>
            <color indexed="81"/>
            <rFont val="Tahoma"/>
            <family val="2"/>
          </rPr>
          <t xml:space="preserve">
OOS glue/broken</t>
        </r>
      </text>
    </comment>
    <comment ref="F534" authorId="0" shapeId="0" xr:uid="{00000000-0006-0000-0400-0000DB000000}">
      <text>
        <r>
          <rPr>
            <b/>
            <sz val="8"/>
            <color indexed="81"/>
            <rFont val="Tahoma"/>
            <family val="2"/>
          </rPr>
          <t>Author:</t>
        </r>
        <r>
          <rPr>
            <sz val="8"/>
            <color indexed="81"/>
            <rFont val="Tahoma"/>
            <family val="2"/>
          </rPr>
          <t xml:space="preserve">
OOS glue/broken</t>
        </r>
      </text>
    </comment>
    <comment ref="F535" authorId="0" shapeId="0" xr:uid="{00000000-0006-0000-0400-0000DC000000}">
      <text>
        <r>
          <rPr>
            <b/>
            <sz val="8"/>
            <color indexed="81"/>
            <rFont val="Tahoma"/>
            <family val="2"/>
          </rPr>
          <t>Author:</t>
        </r>
        <r>
          <rPr>
            <sz val="8"/>
            <color indexed="81"/>
            <rFont val="Tahoma"/>
            <family val="2"/>
          </rPr>
          <t xml:space="preserve">
OOS glue/broken</t>
        </r>
      </text>
    </comment>
    <comment ref="F536" authorId="0" shapeId="0" xr:uid="{00000000-0006-0000-0400-0000DD000000}">
      <text>
        <r>
          <rPr>
            <b/>
            <sz val="8"/>
            <color indexed="81"/>
            <rFont val="Tahoma"/>
            <family val="2"/>
          </rPr>
          <t>Author:</t>
        </r>
        <r>
          <rPr>
            <sz val="8"/>
            <color indexed="81"/>
            <rFont val="Tahoma"/>
            <family val="2"/>
          </rPr>
          <t xml:space="preserve">
OOS glue/broken</t>
        </r>
      </text>
    </comment>
    <comment ref="F537" authorId="0" shapeId="0" xr:uid="{00000000-0006-0000-0400-0000DE000000}">
      <text>
        <r>
          <rPr>
            <b/>
            <sz val="8"/>
            <color indexed="81"/>
            <rFont val="Tahoma"/>
            <family val="2"/>
          </rPr>
          <t>Author:</t>
        </r>
        <r>
          <rPr>
            <sz val="8"/>
            <color indexed="81"/>
            <rFont val="Tahoma"/>
            <family val="2"/>
          </rPr>
          <t xml:space="preserve">
OOS glue/broken</t>
        </r>
      </text>
    </comment>
    <comment ref="F538" authorId="0" shapeId="0" xr:uid="{00000000-0006-0000-0400-0000DF000000}">
      <text>
        <r>
          <rPr>
            <b/>
            <sz val="8"/>
            <color indexed="81"/>
            <rFont val="Tahoma"/>
            <family val="2"/>
          </rPr>
          <t>Author:</t>
        </r>
        <r>
          <rPr>
            <sz val="8"/>
            <color indexed="81"/>
            <rFont val="Tahoma"/>
            <family val="2"/>
          </rPr>
          <t xml:space="preserve">
defect size OOS</t>
        </r>
      </text>
    </comment>
    <comment ref="F539" authorId="0" shapeId="0" xr:uid="{00000000-0006-0000-0400-0000E0000000}">
      <text>
        <r>
          <rPr>
            <b/>
            <sz val="8"/>
            <color indexed="81"/>
            <rFont val="Tahoma"/>
            <family val="2"/>
          </rPr>
          <t>Author:</t>
        </r>
        <r>
          <rPr>
            <sz val="8"/>
            <color indexed="81"/>
            <rFont val="Tahoma"/>
            <family val="2"/>
          </rPr>
          <t xml:space="preserve">
glue OOS</t>
        </r>
      </text>
    </comment>
    <comment ref="F547" authorId="0" shapeId="0" xr:uid="{00000000-0006-0000-0400-0000E1000000}">
      <text>
        <r>
          <rPr>
            <b/>
            <sz val="8"/>
            <color indexed="81"/>
            <rFont val="Tahoma"/>
            <family val="2"/>
          </rPr>
          <t>Target Fabrication:
capsule cracked</t>
        </r>
      </text>
    </comment>
    <comment ref="F549" authorId="0" shapeId="0" xr:uid="{00000000-0006-0000-0400-0000E2000000}">
      <text>
        <r>
          <rPr>
            <b/>
            <sz val="8"/>
            <color indexed="81"/>
            <rFont val="Tahoma"/>
            <family val="2"/>
          </rPr>
          <t>Author:</t>
        </r>
        <r>
          <rPr>
            <sz val="8"/>
            <color indexed="81"/>
            <rFont val="Tahoma"/>
            <family val="2"/>
          </rPr>
          <t xml:space="preserve">
glue OOS</t>
        </r>
      </text>
    </comment>
    <comment ref="F553" authorId="0" shapeId="0" xr:uid="{00000000-0006-0000-0400-0000E3000000}">
      <text>
        <r>
          <rPr>
            <b/>
            <sz val="8"/>
            <color indexed="81"/>
            <rFont val="Tahoma"/>
            <family val="2"/>
          </rPr>
          <t>Author:</t>
        </r>
        <r>
          <rPr>
            <sz val="8"/>
            <color indexed="81"/>
            <rFont val="Tahoma"/>
            <family val="2"/>
          </rPr>
          <t xml:space="preserve">
broken loading into rack</t>
        </r>
      </text>
    </comment>
    <comment ref="F555" authorId="0" shapeId="0" xr:uid="{00000000-0006-0000-0400-0000E4000000}">
      <text>
        <r>
          <rPr>
            <b/>
            <sz val="8"/>
            <color indexed="81"/>
            <rFont val="Tahoma"/>
            <family val="2"/>
          </rPr>
          <t>Author:</t>
        </r>
        <r>
          <rPr>
            <sz val="8"/>
            <color indexed="81"/>
            <rFont val="Tahoma"/>
            <family val="2"/>
          </rPr>
          <t xml:space="preserve">
glue footprint OOS
lost during rack loading practice</t>
        </r>
      </text>
    </comment>
    <comment ref="F566" authorId="0" shapeId="0" xr:uid="{00000000-0006-0000-0400-0000E5000000}">
      <text>
        <r>
          <rPr>
            <b/>
            <sz val="8"/>
            <color indexed="81"/>
            <rFont val="Tahoma"/>
            <family val="2"/>
          </rPr>
          <t>Author:</t>
        </r>
        <r>
          <rPr>
            <sz val="8"/>
            <color indexed="81"/>
            <rFont val="Tahoma"/>
            <family val="2"/>
          </rPr>
          <t xml:space="preserve">
asymmetric glue spot</t>
        </r>
      </text>
    </comment>
    <comment ref="F567" authorId="0" shapeId="0" xr:uid="{00000000-0006-0000-0400-0000E6000000}">
      <text>
        <r>
          <rPr>
            <b/>
            <sz val="8"/>
            <color indexed="81"/>
            <rFont val="Tahoma"/>
            <family val="2"/>
          </rPr>
          <t>Author:</t>
        </r>
        <r>
          <rPr>
            <sz val="8"/>
            <color indexed="81"/>
            <rFont val="Tahoma"/>
            <family val="2"/>
          </rPr>
          <t xml:space="preserve">
capsule defect, OOS</t>
        </r>
      </text>
    </comment>
    <comment ref="F568" authorId="0" shapeId="0" xr:uid="{00000000-0006-0000-0400-0000E7000000}">
      <text>
        <r>
          <rPr>
            <b/>
            <sz val="8"/>
            <color indexed="81"/>
            <rFont val="Tahoma"/>
            <family val="2"/>
          </rPr>
          <t>Author:</t>
        </r>
        <r>
          <rPr>
            <sz val="8"/>
            <color indexed="81"/>
            <rFont val="Tahoma"/>
            <family val="2"/>
          </rPr>
          <t xml:space="preserve">
scratch defect on capsule</t>
        </r>
      </text>
    </comment>
    <comment ref="F570" authorId="0" shapeId="0" xr:uid="{00000000-0006-0000-0400-0000E8000000}">
      <text>
        <r>
          <rPr>
            <b/>
            <sz val="8"/>
            <color indexed="81"/>
            <rFont val="Tahoma"/>
            <family val="2"/>
          </rPr>
          <t>Author:</t>
        </r>
        <r>
          <rPr>
            <sz val="8"/>
            <color indexed="81"/>
            <rFont val="Tahoma"/>
            <family val="2"/>
          </rPr>
          <t xml:space="preserve">
glue OOS</t>
        </r>
      </text>
    </comment>
    <comment ref="F572" authorId="0" shapeId="0" xr:uid="{00000000-0006-0000-0400-0000E9000000}">
      <text>
        <r>
          <rPr>
            <b/>
            <sz val="8"/>
            <color indexed="81"/>
            <rFont val="Tahoma"/>
            <family val="2"/>
          </rPr>
          <t>Author:</t>
        </r>
        <r>
          <rPr>
            <sz val="8"/>
            <color indexed="81"/>
            <rFont val="Tahoma"/>
            <family val="2"/>
          </rPr>
          <t xml:space="preserve">
fiducial at pole; lost fell off in dry box; recovered remounted</t>
        </r>
      </text>
    </comment>
    <comment ref="F574" authorId="0" shapeId="0" xr:uid="{00000000-0006-0000-0400-0000EA000000}">
      <text>
        <r>
          <rPr>
            <b/>
            <sz val="8"/>
            <color indexed="81"/>
            <rFont val="Tahoma"/>
            <family val="2"/>
          </rPr>
          <t>Author:</t>
        </r>
        <r>
          <rPr>
            <sz val="8"/>
            <color indexed="81"/>
            <rFont val="Tahoma"/>
            <family val="2"/>
          </rPr>
          <t xml:space="preserve">
lost, fell off in dry box</t>
        </r>
      </text>
    </comment>
    <comment ref="F576" authorId="0" shapeId="0" xr:uid="{00000000-0006-0000-0400-0000EB000000}">
      <text>
        <r>
          <rPr>
            <b/>
            <sz val="8"/>
            <color indexed="81"/>
            <rFont val="Tahoma"/>
            <family val="2"/>
          </rPr>
          <t>Author:</t>
        </r>
        <r>
          <rPr>
            <sz val="8"/>
            <color indexed="81"/>
            <rFont val="Tahoma"/>
            <family val="2"/>
          </rPr>
          <t xml:space="preserve">
Shell fell off at Mitutoyo and remounted</t>
        </r>
      </text>
    </comment>
    <comment ref="F577" authorId="0" shapeId="0" xr:uid="{00000000-0006-0000-0400-0000EC000000}">
      <text>
        <r>
          <rPr>
            <b/>
            <sz val="8"/>
            <color indexed="81"/>
            <rFont val="Tahoma"/>
            <family val="2"/>
          </rPr>
          <t>Author:</t>
        </r>
        <r>
          <rPr>
            <sz val="8"/>
            <color indexed="81"/>
            <rFont val="Tahoma"/>
            <family val="2"/>
          </rPr>
          <t xml:space="preserve">
NOA 65 added to glue spot &lt;20um</t>
        </r>
      </text>
    </comment>
    <comment ref="M577" authorId="0" shapeId="0" xr:uid="{00000000-0006-0000-0400-0000ED000000}">
      <text>
        <r>
          <rPr>
            <b/>
            <sz val="8"/>
            <color indexed="81"/>
            <rFont val="Tahoma"/>
            <family val="2"/>
          </rPr>
          <t>Author:</t>
        </r>
        <r>
          <rPr>
            <sz val="8"/>
            <color indexed="81"/>
            <rFont val="Tahoma"/>
            <family val="2"/>
          </rPr>
          <t xml:space="preserve">
no screenshot</t>
        </r>
      </text>
    </comment>
    <comment ref="F578" authorId="0" shapeId="0" xr:uid="{00000000-0006-0000-0400-0000EE000000}">
      <text>
        <r>
          <rPr>
            <b/>
            <sz val="8"/>
            <color indexed="81"/>
            <rFont val="Tahoma"/>
            <family val="2"/>
          </rPr>
          <t>Author:</t>
        </r>
        <r>
          <rPr>
            <sz val="8"/>
            <color indexed="81"/>
            <rFont val="Tahoma"/>
            <family val="2"/>
          </rPr>
          <t xml:space="preserve">
glue oos</t>
        </r>
      </text>
    </comment>
    <comment ref="F584" authorId="0" shapeId="0" xr:uid="{00000000-0006-0000-0400-0000EF000000}">
      <text>
        <r>
          <rPr>
            <b/>
            <sz val="8"/>
            <color indexed="81"/>
            <rFont val="Tahoma"/>
            <family val="2"/>
          </rPr>
          <t>Author:</t>
        </r>
        <r>
          <rPr>
            <sz val="8"/>
            <color indexed="81"/>
            <rFont val="Tahoma"/>
            <family val="2"/>
          </rPr>
          <t xml:space="preserve">
38um glue OOS</t>
        </r>
      </text>
    </comment>
    <comment ref="F605" authorId="0" shapeId="0" xr:uid="{00000000-0006-0000-0400-0000F0000000}">
      <text>
        <r>
          <rPr>
            <b/>
            <sz val="8"/>
            <color indexed="81"/>
            <rFont val="Tahoma"/>
            <family val="2"/>
          </rPr>
          <t>Author:</t>
        </r>
        <r>
          <rPr>
            <sz val="8"/>
            <color indexed="81"/>
            <rFont val="Tahoma"/>
            <family val="2"/>
          </rPr>
          <t xml:space="preserve">
tested in CMR before fill</t>
        </r>
      </text>
    </comment>
    <comment ref="F609" authorId="0" shapeId="0" xr:uid="{00000000-0006-0000-0400-0000F1000000}">
      <text>
        <r>
          <rPr>
            <b/>
            <sz val="8"/>
            <color indexed="81"/>
            <rFont val="Tahoma"/>
            <family val="2"/>
          </rPr>
          <t>Author:</t>
        </r>
        <r>
          <rPr>
            <sz val="8"/>
            <color indexed="81"/>
            <rFont val="Tahoma"/>
            <family val="2"/>
          </rPr>
          <t xml:space="preserve">
glue spot OOS</t>
        </r>
      </text>
    </comment>
    <comment ref="F611" authorId="0" shapeId="0" xr:uid="{00000000-0006-0000-0400-0000F2000000}">
      <text>
        <r>
          <rPr>
            <b/>
            <sz val="8"/>
            <color indexed="81"/>
            <rFont val="Tahoma"/>
            <family val="2"/>
          </rPr>
          <t>Author:</t>
        </r>
        <r>
          <rPr>
            <sz val="8"/>
            <color indexed="81"/>
            <rFont val="Tahoma"/>
            <family val="2"/>
          </rPr>
          <t xml:space="preserve">
glue spot OOS</t>
        </r>
      </text>
    </comment>
    <comment ref="F612" authorId="0" shapeId="0" xr:uid="{00000000-0006-0000-0400-0000F3000000}">
      <text>
        <r>
          <rPr>
            <b/>
            <sz val="9"/>
            <color indexed="81"/>
            <rFont val="Tahoma"/>
            <family val="2"/>
          </rPr>
          <t>Author:</t>
        </r>
        <r>
          <rPr>
            <sz val="9"/>
            <color indexed="81"/>
            <rFont val="Tahoma"/>
            <family val="2"/>
          </rPr>
          <t xml:space="preserve">
broken while loading into the rack in cleanroom. PM, glue fractured</t>
        </r>
      </text>
    </comment>
    <comment ref="F613" authorId="0" shapeId="0" xr:uid="{00000000-0006-0000-0400-0000F4000000}">
      <text>
        <r>
          <rPr>
            <b/>
            <sz val="8"/>
            <color indexed="81"/>
            <rFont val="Tahoma"/>
            <family val="2"/>
          </rPr>
          <t>Author:</t>
        </r>
        <r>
          <rPr>
            <sz val="8"/>
            <color indexed="81"/>
            <rFont val="Tahoma"/>
            <family val="2"/>
          </rPr>
          <t xml:space="preserve">
glue spot OOS</t>
        </r>
      </text>
    </comment>
    <comment ref="F618" authorId="0" shapeId="0" xr:uid="{00000000-0006-0000-0400-0000F5000000}">
      <text>
        <r>
          <rPr>
            <b/>
            <sz val="8"/>
            <color indexed="81"/>
            <rFont val="Tahoma"/>
            <family val="2"/>
          </rPr>
          <t>Author:</t>
        </r>
        <r>
          <rPr>
            <sz val="8"/>
            <color indexed="81"/>
            <rFont val="Tahoma"/>
            <family val="2"/>
          </rPr>
          <t xml:space="preserve">
glue shape assymetric</t>
        </r>
      </text>
    </comment>
    <comment ref="F623" authorId="0" shapeId="0" xr:uid="{00000000-0006-0000-0400-0000F6000000}">
      <text>
        <r>
          <rPr>
            <b/>
            <sz val="8"/>
            <color indexed="81"/>
            <rFont val="Tahoma"/>
            <family val="2"/>
          </rPr>
          <t>Author:</t>
        </r>
        <r>
          <rPr>
            <sz val="8"/>
            <color indexed="81"/>
            <rFont val="Tahoma"/>
            <family val="2"/>
          </rPr>
          <t xml:space="preserve">
mounted 68um off normal</t>
        </r>
      </text>
    </comment>
    <comment ref="F627" authorId="0" shapeId="0" xr:uid="{00000000-0006-0000-0400-0000F7000000}">
      <text>
        <r>
          <rPr>
            <b/>
            <sz val="9"/>
            <color indexed="81"/>
            <rFont val="Tahoma"/>
            <family val="2"/>
          </rPr>
          <t>Author:</t>
        </r>
        <r>
          <rPr>
            <sz val="9"/>
            <color indexed="81"/>
            <rFont val="Tahoma"/>
            <family val="2"/>
          </rPr>
          <t xml:space="preserve">
GOLF TEE, FELL OFF IN HANDLING</t>
        </r>
      </text>
    </comment>
    <comment ref="F631" authorId="0" shapeId="0" xr:uid="{00000000-0006-0000-0400-0000F8000000}">
      <text>
        <r>
          <rPr>
            <b/>
            <sz val="8"/>
            <color indexed="81"/>
            <rFont val="Tahoma"/>
            <family val="2"/>
          </rPr>
          <t>Author:</t>
        </r>
        <r>
          <rPr>
            <sz val="8"/>
            <color indexed="81"/>
            <rFont val="Tahoma"/>
            <family val="2"/>
          </rPr>
          <t xml:space="preserve">
glue spot OOS 33um/30um; BROKEN IN CHARACTERIZATION STATION CART</t>
        </r>
      </text>
    </comment>
    <comment ref="F633" authorId="0" shapeId="0" xr:uid="{00000000-0006-0000-0400-0000F9000000}">
      <text>
        <r>
          <rPr>
            <b/>
            <sz val="8"/>
            <color indexed="81"/>
            <rFont val="Tahoma"/>
            <family val="2"/>
          </rPr>
          <t>Author:</t>
        </r>
        <r>
          <rPr>
            <sz val="8"/>
            <color indexed="81"/>
            <rFont val="Tahoma"/>
            <family val="2"/>
          </rPr>
          <t xml:space="preserve">
Fell Off, no N2, small glue spot</t>
        </r>
      </text>
    </comment>
    <comment ref="F638" authorId="0" shapeId="0" xr:uid="{00000000-0006-0000-0400-0000FA000000}">
      <text>
        <r>
          <rPr>
            <b/>
            <sz val="9"/>
            <color indexed="81"/>
            <rFont val="Tahoma"/>
            <family val="2"/>
          </rPr>
          <t>Author:</t>
        </r>
        <r>
          <rPr>
            <sz val="9"/>
            <color indexed="81"/>
            <rFont val="Tahoma"/>
            <family val="2"/>
          </rPr>
          <t xml:space="preserve">
glue OOS</t>
        </r>
      </text>
    </comment>
    <comment ref="F639" authorId="0" shapeId="0" xr:uid="{00000000-0006-0000-0400-0000FB000000}">
      <text>
        <r>
          <rPr>
            <b/>
            <sz val="9"/>
            <color indexed="81"/>
            <rFont val="Tahoma"/>
            <family val="2"/>
          </rPr>
          <t>Author:</t>
        </r>
        <r>
          <rPr>
            <sz val="9"/>
            <color indexed="81"/>
            <rFont val="Tahoma"/>
            <family val="2"/>
          </rPr>
          <t xml:space="preserve">
quantity of debris OOS</t>
        </r>
      </text>
    </comment>
    <comment ref="F640" authorId="0" shapeId="0" xr:uid="{00000000-0006-0000-0400-0000FC000000}">
      <text>
        <r>
          <rPr>
            <b/>
            <sz val="9"/>
            <color indexed="81"/>
            <rFont val="Tahoma"/>
            <family val="2"/>
          </rPr>
          <t>Author:</t>
        </r>
        <r>
          <rPr>
            <sz val="9"/>
            <color indexed="81"/>
            <rFont val="Tahoma"/>
            <family val="2"/>
          </rPr>
          <t xml:space="preserve">
quantity of debris OOS</t>
        </r>
      </text>
    </comment>
    <comment ref="F642" authorId="0" shapeId="0" xr:uid="{00000000-0006-0000-0400-0000FD000000}">
      <text>
        <r>
          <rPr>
            <b/>
            <sz val="9"/>
            <color indexed="81"/>
            <rFont val="Tahoma"/>
            <family val="2"/>
          </rPr>
          <t>Author:</t>
        </r>
        <r>
          <rPr>
            <sz val="9"/>
            <color indexed="81"/>
            <rFont val="Tahoma"/>
            <family val="2"/>
          </rPr>
          <t xml:space="preserve">
defects OOS</t>
        </r>
      </text>
    </comment>
    <comment ref="F650" authorId="0" shapeId="0" xr:uid="{00000000-0006-0000-0400-0000FE000000}">
      <text>
        <r>
          <rPr>
            <b/>
            <sz val="8"/>
            <color indexed="81"/>
            <rFont val="Tahoma"/>
            <family val="2"/>
          </rPr>
          <t>Author:</t>
        </r>
        <r>
          <rPr>
            <sz val="8"/>
            <color indexed="81"/>
            <rFont val="Tahoma"/>
            <family val="2"/>
          </rPr>
          <t xml:space="preserve">
surface defects</t>
        </r>
      </text>
    </comment>
    <comment ref="F651" authorId="0" shapeId="0" xr:uid="{00000000-0006-0000-0400-0000FF000000}">
      <text>
        <r>
          <rPr>
            <b/>
            <sz val="8"/>
            <color indexed="81"/>
            <rFont val="Tahoma"/>
            <family val="2"/>
          </rPr>
          <t>Author:</t>
        </r>
        <r>
          <rPr>
            <sz val="8"/>
            <color indexed="81"/>
            <rFont val="Tahoma"/>
            <family val="2"/>
          </rPr>
          <t xml:space="preserve">
glue oos</t>
        </r>
      </text>
    </comment>
    <comment ref="F653" authorId="0" shapeId="0" xr:uid="{00000000-0006-0000-0400-000000010000}">
      <text>
        <r>
          <rPr>
            <b/>
            <sz val="8"/>
            <color indexed="81"/>
            <rFont val="Tahoma"/>
            <family val="2"/>
          </rPr>
          <t>Author:</t>
        </r>
        <r>
          <rPr>
            <sz val="8"/>
            <color indexed="81"/>
            <rFont val="Tahoma"/>
            <family val="2"/>
          </rPr>
          <t xml:space="preserve">
glue oos</t>
        </r>
      </text>
    </comment>
    <comment ref="F654" authorId="0" shapeId="0" xr:uid="{00000000-0006-0000-0400-000001010000}">
      <text>
        <r>
          <rPr>
            <b/>
            <sz val="8"/>
            <color indexed="81"/>
            <rFont val="Tahoma"/>
            <family val="2"/>
          </rPr>
          <t>Author:</t>
        </r>
        <r>
          <rPr>
            <sz val="8"/>
            <color indexed="81"/>
            <rFont val="Tahoma"/>
            <family val="2"/>
          </rPr>
          <t xml:space="preserve">
TARGET LOST, GOLF TEE</t>
        </r>
      </text>
    </comment>
    <comment ref="F659" authorId="0" shapeId="0" xr:uid="{00000000-0006-0000-0400-000002010000}">
      <text>
        <r>
          <rPr>
            <b/>
            <sz val="8"/>
            <color indexed="81"/>
            <rFont val="Tahoma"/>
            <family val="2"/>
          </rPr>
          <t>Author:</t>
        </r>
        <r>
          <rPr>
            <sz val="8"/>
            <color indexed="81"/>
            <rFont val="Tahoma"/>
            <family val="2"/>
          </rPr>
          <t xml:space="preserve">
oos glue, huge defects</t>
        </r>
      </text>
    </comment>
    <comment ref="F660" authorId="0" shapeId="0" xr:uid="{00000000-0006-0000-0400-000003010000}">
      <text>
        <r>
          <rPr>
            <b/>
            <sz val="8"/>
            <color indexed="81"/>
            <rFont val="Tahoma"/>
            <family val="2"/>
          </rPr>
          <t>Author:</t>
        </r>
        <r>
          <rPr>
            <sz val="8"/>
            <color indexed="81"/>
            <rFont val="Tahoma"/>
            <family val="2"/>
          </rPr>
          <t xml:space="preserve">
oos glue</t>
        </r>
      </text>
    </comment>
    <comment ref="F662" authorId="0" shapeId="0" xr:uid="{00000000-0006-0000-0400-000004010000}">
      <text>
        <r>
          <rPr>
            <b/>
            <sz val="8"/>
            <color indexed="81"/>
            <rFont val="Tahoma"/>
            <family val="2"/>
          </rPr>
          <t>Author:</t>
        </r>
        <r>
          <rPr>
            <sz val="8"/>
            <color indexed="81"/>
            <rFont val="Tahoma"/>
            <family val="2"/>
          </rPr>
          <t xml:space="preserve">
shell fell off</t>
        </r>
      </text>
    </comment>
    <comment ref="F665" authorId="0" shapeId="0" xr:uid="{00000000-0006-0000-0400-000005010000}">
      <text>
        <r>
          <rPr>
            <b/>
            <sz val="8"/>
            <color indexed="81"/>
            <rFont val="Tahoma"/>
            <family val="2"/>
          </rPr>
          <t>Author:</t>
        </r>
        <r>
          <rPr>
            <sz val="8"/>
            <color indexed="81"/>
            <rFont val="Tahoma"/>
            <family val="2"/>
          </rPr>
          <t xml:space="preserve">
&gt;10um defect OOS</t>
        </r>
      </text>
    </comment>
    <comment ref="F666" authorId="0" shapeId="0" xr:uid="{00000000-0006-0000-0400-000006010000}">
      <text>
        <r>
          <rPr>
            <b/>
            <sz val="8"/>
            <color indexed="81"/>
            <rFont val="Tahoma"/>
            <family val="2"/>
          </rPr>
          <t>Author:</t>
        </r>
        <r>
          <rPr>
            <sz val="8"/>
            <color indexed="81"/>
            <rFont val="Tahoma"/>
            <family val="2"/>
          </rPr>
          <t xml:space="preserve">
Glue OOS</t>
        </r>
      </text>
    </comment>
    <comment ref="F667" authorId="0" shapeId="0" xr:uid="{00000000-0006-0000-0400-000007010000}">
      <text>
        <r>
          <rPr>
            <b/>
            <sz val="8"/>
            <color indexed="81"/>
            <rFont val="Tahoma"/>
            <family val="2"/>
          </rPr>
          <t>Author:</t>
        </r>
        <r>
          <rPr>
            <sz val="8"/>
            <color indexed="81"/>
            <rFont val="Tahoma"/>
            <family val="2"/>
          </rPr>
          <t xml:space="preserve">
Glue OOS</t>
        </r>
      </text>
    </comment>
    <comment ref="F668" authorId="0" shapeId="0" xr:uid="{00000000-0006-0000-0400-000008010000}">
      <text>
        <r>
          <rPr>
            <b/>
            <sz val="8"/>
            <color indexed="81"/>
            <rFont val="Tahoma"/>
            <family val="2"/>
          </rPr>
          <t>Author:</t>
        </r>
        <r>
          <rPr>
            <sz val="8"/>
            <color indexed="81"/>
            <rFont val="Tahoma"/>
            <family val="2"/>
          </rPr>
          <t xml:space="preserve">
broken glue spot</t>
        </r>
      </text>
    </comment>
    <comment ref="F671" authorId="0" shapeId="0" xr:uid="{00000000-0006-0000-0400-000009010000}">
      <text>
        <r>
          <rPr>
            <b/>
            <sz val="8"/>
            <color indexed="81"/>
            <rFont val="Tahoma"/>
            <family val="2"/>
          </rPr>
          <t>Author:</t>
        </r>
        <r>
          <rPr>
            <sz val="8"/>
            <color indexed="81"/>
            <rFont val="Tahoma"/>
            <family val="2"/>
          </rPr>
          <t xml:space="preserve">
Glue OSS</t>
        </r>
      </text>
    </comment>
    <comment ref="F672" authorId="0" shapeId="0" xr:uid="{00000000-0006-0000-0400-00000A010000}">
      <text>
        <r>
          <rPr>
            <b/>
            <sz val="8"/>
            <color indexed="81"/>
            <rFont val="Tahoma"/>
            <family val="2"/>
          </rPr>
          <t>Author:</t>
        </r>
        <r>
          <rPr>
            <sz val="8"/>
            <color indexed="81"/>
            <rFont val="Tahoma"/>
            <family val="2"/>
          </rPr>
          <t xml:space="preserve">
fell off in lab</t>
        </r>
      </text>
    </comment>
    <comment ref="F674" authorId="0" shapeId="0" xr:uid="{00000000-0006-0000-0400-00000B010000}">
      <text>
        <r>
          <rPr>
            <b/>
            <sz val="8"/>
            <color indexed="81"/>
            <rFont val="Tahoma"/>
            <family val="2"/>
          </rPr>
          <t>Author:</t>
        </r>
        <r>
          <rPr>
            <sz val="8"/>
            <color indexed="81"/>
            <rFont val="Tahoma"/>
            <family val="2"/>
          </rPr>
          <t xml:space="preserve">
glue oos</t>
        </r>
      </text>
    </comment>
    <comment ref="F676" authorId="0" shapeId="0" xr:uid="{00000000-0006-0000-0400-00000C010000}">
      <text>
        <r>
          <rPr>
            <b/>
            <sz val="8"/>
            <color indexed="81"/>
            <rFont val="Tahoma"/>
            <family val="2"/>
          </rPr>
          <t>Author:</t>
        </r>
        <r>
          <rPr>
            <sz val="8"/>
            <color indexed="81"/>
            <rFont val="Tahoma"/>
            <family val="2"/>
          </rPr>
          <t xml:space="preserve">
glue oos</t>
        </r>
      </text>
    </comment>
    <comment ref="F684" authorId="0" shapeId="0" xr:uid="{00000000-0006-0000-0400-00000D010000}">
      <text>
        <r>
          <rPr>
            <b/>
            <sz val="8"/>
            <color indexed="81"/>
            <rFont val="Tahoma"/>
            <family val="2"/>
          </rPr>
          <t>Author:</t>
        </r>
        <r>
          <rPr>
            <sz val="8"/>
            <color indexed="81"/>
            <rFont val="Tahoma"/>
            <family val="2"/>
          </rPr>
          <t xml:space="preserve">
Glue OOS</t>
        </r>
      </text>
    </comment>
    <comment ref="F685" authorId="0" shapeId="0" xr:uid="{00000000-0006-0000-0400-00000E010000}">
      <text>
        <r>
          <rPr>
            <b/>
            <sz val="9"/>
            <color indexed="81"/>
            <rFont val="Tahoma"/>
            <family val="2"/>
          </rPr>
          <t>Author:</t>
        </r>
        <r>
          <rPr>
            <sz val="9"/>
            <color indexed="81"/>
            <rFont val="Tahoma"/>
            <family val="2"/>
          </rPr>
          <t xml:space="preserve">
no shell present
</t>
        </r>
      </text>
    </comment>
    <comment ref="F687" authorId="0" shapeId="0" xr:uid="{00000000-0006-0000-0400-00000F010000}">
      <text>
        <r>
          <rPr>
            <b/>
            <sz val="8"/>
            <color indexed="81"/>
            <rFont val="Tahoma"/>
            <family val="2"/>
          </rPr>
          <t>Author:</t>
        </r>
        <r>
          <rPr>
            <sz val="8"/>
            <color indexed="81"/>
            <rFont val="Tahoma"/>
            <family val="2"/>
          </rPr>
          <t xml:space="preserve">
1mm fill tube</t>
        </r>
      </text>
    </comment>
    <comment ref="F688" authorId="0" shapeId="0" xr:uid="{00000000-0006-0000-0400-000010010000}">
      <text>
        <r>
          <rPr>
            <b/>
            <sz val="8"/>
            <color indexed="81"/>
            <rFont val="Tahoma"/>
            <family val="2"/>
          </rPr>
          <t>Author:</t>
        </r>
        <r>
          <rPr>
            <sz val="8"/>
            <color indexed="81"/>
            <rFont val="Tahoma"/>
            <family val="2"/>
          </rPr>
          <t xml:space="preserve">
1mm fill tube</t>
        </r>
      </text>
    </comment>
    <comment ref="F689" authorId="0" shapeId="0" xr:uid="{00000000-0006-0000-0400-000011010000}">
      <text>
        <r>
          <rPr>
            <b/>
            <sz val="8"/>
            <color indexed="81"/>
            <rFont val="Tahoma"/>
            <family val="2"/>
          </rPr>
          <t>Author:</t>
        </r>
        <r>
          <rPr>
            <sz val="8"/>
            <color indexed="81"/>
            <rFont val="Tahoma"/>
            <family val="2"/>
          </rPr>
          <t xml:space="preserve">
1mm fill tube</t>
        </r>
      </text>
    </comment>
    <comment ref="F690" authorId="0" shapeId="0" xr:uid="{00000000-0006-0000-0400-000012010000}">
      <text>
        <r>
          <rPr>
            <b/>
            <sz val="8"/>
            <color indexed="81"/>
            <rFont val="Tahoma"/>
            <family val="2"/>
          </rPr>
          <t>Author:</t>
        </r>
        <r>
          <rPr>
            <sz val="8"/>
            <color indexed="81"/>
            <rFont val="Tahoma"/>
            <family val="2"/>
          </rPr>
          <t xml:space="preserve">
1mm fill tube, OOS</t>
        </r>
      </text>
    </comment>
    <comment ref="F691" authorId="0" shapeId="0" xr:uid="{00000000-0006-0000-0400-000013010000}">
      <text>
        <r>
          <rPr>
            <b/>
            <sz val="8"/>
            <color indexed="81"/>
            <rFont val="Tahoma"/>
            <family val="2"/>
          </rPr>
          <t>Author:</t>
        </r>
        <r>
          <rPr>
            <sz val="8"/>
            <color indexed="81"/>
            <rFont val="Tahoma"/>
            <family val="2"/>
          </rPr>
          <t xml:space="preserve">
1mm fill tube</t>
        </r>
      </text>
    </comment>
    <comment ref="F692" authorId="0" shapeId="0" xr:uid="{00000000-0006-0000-0400-000014010000}">
      <text>
        <r>
          <rPr>
            <b/>
            <sz val="8"/>
            <color indexed="81"/>
            <rFont val="Tahoma"/>
            <family val="2"/>
          </rPr>
          <t>Target Fabrication Operations
1mm fill tube</t>
        </r>
      </text>
    </comment>
    <comment ref="F693" authorId="0" shapeId="0" xr:uid="{00000000-0006-0000-0400-000015010000}">
      <text>
        <r>
          <rPr>
            <b/>
            <sz val="8"/>
            <color indexed="81"/>
            <rFont val="Tahoma"/>
            <family val="2"/>
          </rPr>
          <t>Author:</t>
        </r>
        <r>
          <rPr>
            <sz val="8"/>
            <color indexed="81"/>
            <rFont val="Tahoma"/>
            <family val="2"/>
          </rPr>
          <t xml:space="preserve">
1mm fill tube</t>
        </r>
      </text>
    </comment>
    <comment ref="M693" authorId="0" shapeId="0" xr:uid="{00000000-0006-0000-0400-000016010000}">
      <text>
        <r>
          <rPr>
            <b/>
            <sz val="8"/>
            <color indexed="81"/>
            <rFont val="Tahoma"/>
            <family val="2"/>
          </rPr>
          <t>Author:</t>
        </r>
        <r>
          <rPr>
            <sz val="8"/>
            <color indexed="81"/>
            <rFont val="Tahoma"/>
            <family val="2"/>
          </rPr>
          <t xml:space="preserve">
camelback</t>
        </r>
      </text>
    </comment>
    <comment ref="F694" authorId="0" shapeId="0" xr:uid="{00000000-0006-0000-0400-000017010000}">
      <text>
        <r>
          <rPr>
            <b/>
            <sz val="9"/>
            <color indexed="81"/>
            <rFont val="Tahoma"/>
            <family val="2"/>
          </rPr>
          <t>Author:</t>
        </r>
        <r>
          <rPr>
            <sz val="9"/>
            <color indexed="81"/>
            <rFont val="Tahoma"/>
            <family val="2"/>
          </rPr>
          <t xml:space="preserve">
no shell present</t>
        </r>
      </text>
    </comment>
    <comment ref="F705" authorId="0" shapeId="0" xr:uid="{00000000-0006-0000-0400-000018010000}">
      <text>
        <r>
          <rPr>
            <b/>
            <sz val="8"/>
            <color indexed="81"/>
            <rFont val="Tahoma"/>
            <family val="2"/>
          </rPr>
          <t>Author:</t>
        </r>
        <r>
          <rPr>
            <sz val="8"/>
            <color indexed="81"/>
            <rFont val="Tahoma"/>
            <family val="2"/>
          </rPr>
          <t xml:space="preserve">
14um debris on surface</t>
        </r>
      </text>
    </comment>
    <comment ref="F710" authorId="0" shapeId="0" xr:uid="{00000000-0006-0000-0400-000019010000}">
      <text>
        <r>
          <rPr>
            <b/>
            <sz val="8"/>
            <color indexed="81"/>
            <rFont val="Tahoma"/>
            <family val="2"/>
          </rPr>
          <t>Author:</t>
        </r>
        <r>
          <rPr>
            <sz val="8"/>
            <color indexed="81"/>
            <rFont val="Tahoma"/>
            <family val="2"/>
          </rPr>
          <t xml:space="preserve">
glue OOS</t>
        </r>
      </text>
    </comment>
    <comment ref="F712" authorId="0" shapeId="0" xr:uid="{00000000-0006-0000-0400-00001A010000}">
      <text>
        <r>
          <rPr>
            <b/>
            <sz val="8"/>
            <color indexed="81"/>
            <rFont val="Tahoma"/>
            <family val="2"/>
          </rPr>
          <t>Author:</t>
        </r>
        <r>
          <rPr>
            <sz val="8"/>
            <color indexed="81"/>
            <rFont val="Tahoma"/>
            <family val="2"/>
          </rPr>
          <t xml:space="preserve">
&gt;10um defect</t>
        </r>
      </text>
    </comment>
    <comment ref="F726" authorId="0" shapeId="0" xr:uid="{00000000-0006-0000-0400-00001B010000}">
      <text>
        <r>
          <rPr>
            <b/>
            <sz val="8"/>
            <color indexed="81"/>
            <rFont val="Tahoma"/>
            <family val="2"/>
          </rPr>
          <t>Author:</t>
        </r>
        <r>
          <rPr>
            <sz val="8"/>
            <color indexed="81"/>
            <rFont val="Tahoma"/>
            <family val="2"/>
          </rPr>
          <t xml:space="preserve">
footprint OOS 80um, DEFECT COUNT</t>
        </r>
      </text>
    </comment>
    <comment ref="F727" authorId="0" shapeId="0" xr:uid="{00000000-0006-0000-0400-00001C010000}">
      <text>
        <r>
          <rPr>
            <b/>
            <sz val="9"/>
            <color indexed="81"/>
            <rFont val="Tahoma"/>
            <family val="2"/>
          </rPr>
          <t>Author:</t>
        </r>
        <r>
          <rPr>
            <sz val="9"/>
            <color indexed="81"/>
            <rFont val="Tahoma"/>
            <family val="2"/>
          </rPr>
          <t xml:space="preserve">
DEFECT COUNT</t>
        </r>
      </text>
    </comment>
    <comment ref="F728" authorId="0" shapeId="0" xr:uid="{00000000-0006-0000-0400-00001D010000}">
      <text>
        <r>
          <rPr>
            <b/>
            <sz val="9"/>
            <color indexed="81"/>
            <rFont val="Tahoma"/>
            <family val="2"/>
          </rPr>
          <t>Author:</t>
        </r>
        <r>
          <rPr>
            <sz val="9"/>
            <color indexed="81"/>
            <rFont val="Tahoma"/>
            <family val="2"/>
          </rPr>
          <t xml:space="preserve">
DEFECT COUNT</t>
        </r>
      </text>
    </comment>
    <comment ref="F729" authorId="0" shapeId="0" xr:uid="{00000000-0006-0000-0400-00001E010000}">
      <text>
        <r>
          <rPr>
            <b/>
            <sz val="9"/>
            <color indexed="81"/>
            <rFont val="Tahoma"/>
            <family val="2"/>
          </rPr>
          <t>Author:</t>
        </r>
        <r>
          <rPr>
            <sz val="9"/>
            <color indexed="81"/>
            <rFont val="Tahoma"/>
            <family val="2"/>
          </rPr>
          <t xml:space="preserve">
DEFECT COUNT</t>
        </r>
      </text>
    </comment>
    <comment ref="F730" authorId="0" shapeId="0" xr:uid="{00000000-0006-0000-0400-00001F010000}">
      <text>
        <r>
          <rPr>
            <b/>
            <sz val="9"/>
            <color indexed="81"/>
            <rFont val="Tahoma"/>
            <family val="2"/>
          </rPr>
          <t>Author:</t>
        </r>
        <r>
          <rPr>
            <sz val="9"/>
            <color indexed="81"/>
            <rFont val="Tahoma"/>
            <family val="2"/>
          </rPr>
          <t xml:space="preserve">
DEFECT COUNT photos</t>
        </r>
      </text>
    </comment>
    <comment ref="F732" authorId="0" shapeId="0" xr:uid="{00000000-0006-0000-0400-000020010000}">
      <text>
        <r>
          <rPr>
            <b/>
            <sz val="8"/>
            <color indexed="81"/>
            <rFont val="Tahoma"/>
            <family val="2"/>
          </rPr>
          <t>Author:</t>
        </r>
        <r>
          <rPr>
            <sz val="8"/>
            <color indexed="81"/>
            <rFont val="Tahoma"/>
            <family val="2"/>
          </rPr>
          <t xml:space="preserve">
broken during characterization</t>
        </r>
      </text>
    </comment>
    <comment ref="F734" authorId="0" shapeId="0" xr:uid="{00000000-0006-0000-0400-000021010000}">
      <text>
        <r>
          <rPr>
            <b/>
            <sz val="8"/>
            <color indexed="81"/>
            <rFont val="Tahoma"/>
            <family val="2"/>
          </rPr>
          <t>Author:</t>
        </r>
        <r>
          <rPr>
            <sz val="8"/>
            <color indexed="81"/>
            <rFont val="Tahoma"/>
            <family val="2"/>
          </rPr>
          <t xml:space="preserve">
glue shape asymmetric; DEFECT COUNT</t>
        </r>
      </text>
    </comment>
    <comment ref="F735" authorId="0" shapeId="0" xr:uid="{00000000-0006-0000-0400-000022010000}">
      <text>
        <r>
          <rPr>
            <b/>
            <sz val="8"/>
            <color indexed="81"/>
            <rFont val="Tahoma"/>
            <family val="2"/>
          </rPr>
          <t>Author:</t>
        </r>
        <r>
          <rPr>
            <sz val="8"/>
            <color indexed="81"/>
            <rFont val="Tahoma"/>
            <family val="2"/>
          </rPr>
          <t xml:space="preserve">
glue spot OOS</t>
        </r>
      </text>
    </comment>
    <comment ref="F737" authorId="0" shapeId="0" xr:uid="{00000000-0006-0000-0400-000023010000}">
      <text>
        <r>
          <rPr>
            <b/>
            <sz val="8"/>
            <color indexed="81"/>
            <rFont val="Tahoma"/>
            <family val="2"/>
          </rPr>
          <t>Author:</t>
        </r>
        <r>
          <rPr>
            <sz val="8"/>
            <color indexed="81"/>
            <rFont val="Tahoma"/>
            <family val="2"/>
          </rPr>
          <t xml:space="preserve">
73um footprint
</t>
        </r>
      </text>
    </comment>
    <comment ref="F738" authorId="0" shapeId="0" xr:uid="{00000000-0006-0000-0400-000024010000}">
      <text>
        <r>
          <rPr>
            <b/>
            <sz val="9"/>
            <color indexed="81"/>
            <rFont val="Tahoma"/>
            <family val="2"/>
          </rPr>
          <t>Author:</t>
        </r>
        <r>
          <rPr>
            <sz val="9"/>
            <color indexed="81"/>
            <rFont val="Tahoma"/>
            <family val="2"/>
          </rPr>
          <t xml:space="preserve">
DEFECT COUNT</t>
        </r>
      </text>
    </comment>
    <comment ref="F743" authorId="0" shapeId="0" xr:uid="{00000000-0006-0000-0400-000025010000}">
      <text>
        <r>
          <rPr>
            <b/>
            <sz val="8"/>
            <color indexed="81"/>
            <rFont val="Tahoma"/>
            <family val="2"/>
          </rPr>
          <t>Author:</t>
        </r>
        <r>
          <rPr>
            <sz val="8"/>
            <color indexed="81"/>
            <rFont val="Tahoma"/>
            <family val="2"/>
          </rPr>
          <t xml:space="preserve">
lost in handling</t>
        </r>
      </text>
    </comment>
    <comment ref="F749" authorId="0" shapeId="0" xr:uid="{00000000-0006-0000-0400-000026010000}">
      <text>
        <r>
          <rPr>
            <b/>
            <sz val="8"/>
            <color indexed="81"/>
            <rFont val="Tahoma"/>
            <family val="2"/>
          </rPr>
          <t>Author:
300um defect spot</t>
        </r>
      </text>
    </comment>
    <comment ref="F750" authorId="0" shapeId="0" xr:uid="{00000000-0006-0000-0400-000027010000}">
      <text>
        <r>
          <rPr>
            <b/>
            <sz val="8"/>
            <color indexed="81"/>
            <rFont val="Tahoma"/>
            <family val="2"/>
          </rPr>
          <t>Author:</t>
        </r>
        <r>
          <rPr>
            <b/>
            <sz val="8"/>
            <color indexed="81"/>
            <rFont val="Tahoma"/>
            <family val="2"/>
          </rPr>
          <t xml:space="preserve">
300um spot OOS</t>
        </r>
      </text>
    </comment>
    <comment ref="F751" authorId="0" shapeId="0" xr:uid="{00000000-0006-0000-0400-000028010000}">
      <text>
        <r>
          <rPr>
            <b/>
            <sz val="9"/>
            <color indexed="81"/>
            <rFont val="Tahoma"/>
            <family val="2"/>
          </rPr>
          <t>Author:</t>
        </r>
        <r>
          <rPr>
            <sz val="9"/>
            <color indexed="81"/>
            <rFont val="Tahoma"/>
            <family val="2"/>
          </rPr>
          <t xml:space="preserve">
OOS glue shape</t>
        </r>
      </text>
    </comment>
    <comment ref="F754" authorId="0" shapeId="0" xr:uid="{00000000-0006-0000-0400-000029010000}">
      <text>
        <r>
          <rPr>
            <b/>
            <sz val="9"/>
            <color indexed="81"/>
            <rFont val="Tahoma"/>
            <family val="2"/>
          </rPr>
          <t>Author:</t>
        </r>
        <r>
          <rPr>
            <sz val="9"/>
            <color indexed="81"/>
            <rFont val="Tahoma"/>
            <family val="2"/>
          </rPr>
          <t xml:space="preserve">
glue buld OOS</t>
        </r>
      </text>
    </comment>
    <comment ref="F756" authorId="0" shapeId="0" xr:uid="{00000000-0006-0000-0400-00002A010000}">
      <text>
        <r>
          <rPr>
            <b/>
            <sz val="9"/>
            <color indexed="81"/>
            <rFont val="Tahoma"/>
            <family val="2"/>
          </rPr>
          <t>Author:</t>
        </r>
        <r>
          <rPr>
            <sz val="9"/>
            <color indexed="81"/>
            <rFont val="Tahoma"/>
            <family val="2"/>
          </rPr>
          <t xml:space="preserve">
Glue spot mis shapen, size OOS</t>
        </r>
      </text>
    </comment>
    <comment ref="F760" authorId="0" shapeId="0" xr:uid="{00000000-0006-0000-0400-00002B010000}">
      <text>
        <r>
          <rPr>
            <b/>
            <sz val="8"/>
            <color indexed="81"/>
            <rFont val="Tahoma"/>
            <family val="2"/>
          </rPr>
          <t>Author:</t>
        </r>
        <r>
          <rPr>
            <sz val="8"/>
            <color indexed="81"/>
            <rFont val="Tahoma"/>
            <family val="2"/>
          </rPr>
          <t xml:space="preserve">
glue on capsule</t>
        </r>
      </text>
    </comment>
    <comment ref="F761" authorId="0" shapeId="0" xr:uid="{00000000-0006-0000-0400-00002C010000}">
      <text>
        <r>
          <rPr>
            <b/>
            <sz val="8"/>
            <color indexed="81"/>
            <rFont val="Tahoma"/>
            <family val="2"/>
          </rPr>
          <t>Author:</t>
        </r>
        <r>
          <rPr>
            <sz val="8"/>
            <color indexed="81"/>
            <rFont val="Tahoma"/>
            <family val="2"/>
          </rPr>
          <t xml:space="preserve">
fell off on table, debris added</t>
        </r>
      </text>
    </comment>
    <comment ref="F762" authorId="0" shapeId="0" xr:uid="{00000000-0006-0000-0400-00002D010000}">
      <text>
        <r>
          <rPr>
            <b/>
            <sz val="8"/>
            <color indexed="81"/>
            <rFont val="Tahoma"/>
            <family val="2"/>
          </rPr>
          <t>Author:</t>
        </r>
        <r>
          <rPr>
            <sz val="8"/>
            <color indexed="81"/>
            <rFont val="Tahoma"/>
            <family val="2"/>
          </rPr>
          <t xml:space="preserve">
lost in handling</t>
        </r>
      </text>
    </comment>
    <comment ref="F771" authorId="0" shapeId="0" xr:uid="{00000000-0006-0000-0400-00002E010000}">
      <text>
        <r>
          <rPr>
            <b/>
            <sz val="8"/>
            <color indexed="81"/>
            <rFont val="Tahoma"/>
            <family val="2"/>
          </rPr>
          <t>Author:</t>
        </r>
        <r>
          <rPr>
            <sz val="8"/>
            <color indexed="81"/>
            <rFont val="Tahoma"/>
            <family val="2"/>
          </rPr>
          <t xml:space="preserve">
broken during handling MB</t>
        </r>
      </text>
    </comment>
    <comment ref="F773" authorId="0" shapeId="0" xr:uid="{00000000-0006-0000-0400-00002F010000}">
      <text>
        <r>
          <rPr>
            <b/>
            <sz val="9"/>
            <color indexed="81"/>
            <rFont val="Tahoma"/>
            <family val="2"/>
          </rPr>
          <t>Author:</t>
        </r>
        <r>
          <rPr>
            <sz val="9"/>
            <color indexed="81"/>
            <rFont val="Tahoma"/>
            <family val="2"/>
          </rPr>
          <t xml:space="preserve">
OOS defect:  10.4um wide, 82um long!</t>
        </r>
      </text>
    </comment>
    <comment ref="F778" authorId="0" shapeId="0" xr:uid="{00000000-0006-0000-0400-000030010000}">
      <text>
        <r>
          <rPr>
            <b/>
            <sz val="9"/>
            <color indexed="81"/>
            <rFont val="Tahoma"/>
            <family val="2"/>
          </rPr>
          <t>Author:</t>
        </r>
        <r>
          <rPr>
            <sz val="9"/>
            <color indexed="81"/>
            <rFont val="Tahoma"/>
            <family val="2"/>
          </rPr>
          <t xml:space="preserve">
OOS</t>
        </r>
      </text>
    </comment>
    <comment ref="F780" authorId="0" shapeId="0" xr:uid="{00000000-0006-0000-0400-000031010000}">
      <text>
        <r>
          <rPr>
            <b/>
            <sz val="9"/>
            <color indexed="81"/>
            <rFont val="Tahoma"/>
            <family val="2"/>
          </rPr>
          <t>Author:</t>
        </r>
        <r>
          <rPr>
            <sz val="9"/>
            <color indexed="81"/>
            <rFont val="Tahoma"/>
            <family val="2"/>
          </rPr>
          <t xml:space="preserve">
shell lost in dry box or handling</t>
        </r>
      </text>
    </comment>
    <comment ref="F783" authorId="0" shapeId="0" xr:uid="{00000000-0006-0000-0400-000032010000}">
      <text>
        <r>
          <rPr>
            <b/>
            <sz val="9"/>
            <color indexed="81"/>
            <rFont val="Tahoma"/>
            <family val="2"/>
          </rPr>
          <t>Author:</t>
        </r>
        <r>
          <rPr>
            <sz val="9"/>
            <color indexed="81"/>
            <rFont val="Tahoma"/>
            <family val="2"/>
          </rPr>
          <t xml:space="preserve">
OOS debris</t>
        </r>
      </text>
    </comment>
    <comment ref="F784" authorId="0" shapeId="0" xr:uid="{00000000-0006-0000-0400-000033010000}">
      <text>
        <r>
          <rPr>
            <b/>
            <sz val="9"/>
            <color indexed="81"/>
            <rFont val="Tahoma"/>
            <family val="2"/>
          </rPr>
          <t>Author:</t>
        </r>
        <r>
          <rPr>
            <sz val="9"/>
            <color indexed="81"/>
            <rFont val="Tahoma"/>
            <family val="2"/>
          </rPr>
          <t xml:space="preserve">
shell rolled over, fell off, lost</t>
        </r>
      </text>
    </comment>
    <comment ref="M787" authorId="0" shapeId="0" xr:uid="{00000000-0006-0000-0400-000034010000}">
      <text>
        <r>
          <rPr>
            <b/>
            <sz val="9"/>
            <color indexed="81"/>
            <rFont val="Tahoma"/>
            <family val="2"/>
          </rPr>
          <t>Author:</t>
        </r>
        <r>
          <rPr>
            <sz val="9"/>
            <color indexed="81"/>
            <rFont val="Tahoma"/>
            <family val="2"/>
          </rPr>
          <t xml:space="preserve">
spike at 300Hz</t>
        </r>
      </text>
    </comment>
    <comment ref="M788" authorId="0" shapeId="0" xr:uid="{00000000-0006-0000-0400-000035010000}">
      <text>
        <r>
          <rPr>
            <b/>
            <sz val="9"/>
            <color indexed="81"/>
            <rFont val="Tahoma"/>
            <family val="2"/>
          </rPr>
          <t>Author:</t>
        </r>
        <r>
          <rPr>
            <sz val="9"/>
            <color indexed="81"/>
            <rFont val="Tahoma"/>
            <family val="2"/>
          </rPr>
          <t xml:space="preserve">
spike at 300Hz</t>
        </r>
      </text>
    </comment>
    <comment ref="F794" authorId="0" shapeId="0" xr:uid="{00000000-0006-0000-0400-000036010000}">
      <text>
        <r>
          <rPr>
            <b/>
            <sz val="9"/>
            <color indexed="81"/>
            <rFont val="Tahoma"/>
            <family val="2"/>
          </rPr>
          <t>Author:</t>
        </r>
        <r>
          <rPr>
            <sz val="9"/>
            <color indexed="81"/>
            <rFont val="Tahoma"/>
            <family val="2"/>
          </rPr>
          <t xml:space="preserve">
Broken</t>
        </r>
      </text>
    </comment>
    <comment ref="F798" authorId="0" shapeId="0" xr:uid="{00000000-0006-0000-0400-000037010000}">
      <text>
        <r>
          <rPr>
            <b/>
            <sz val="9"/>
            <color indexed="81"/>
            <rFont val="Tahoma"/>
            <family val="2"/>
          </rPr>
          <t>Author:</t>
        </r>
        <r>
          <rPr>
            <sz val="9"/>
            <color indexed="81"/>
            <rFont val="Tahoma"/>
            <family val="2"/>
          </rPr>
          <t xml:space="preserve">
glue OOS</t>
        </r>
      </text>
    </comment>
    <comment ref="F801" authorId="0" shapeId="0" xr:uid="{00000000-0006-0000-0400-000038010000}">
      <text>
        <r>
          <rPr>
            <b/>
            <sz val="9"/>
            <color indexed="81"/>
            <rFont val="Tahoma"/>
            <family val="2"/>
          </rPr>
          <t>Author:</t>
        </r>
        <r>
          <rPr>
            <sz val="9"/>
            <color indexed="81"/>
            <rFont val="Tahoma"/>
            <family val="2"/>
          </rPr>
          <t xml:space="preserve">
misplaced, can't find target</t>
        </r>
      </text>
    </comment>
    <comment ref="F802" authorId="0" shapeId="0" xr:uid="{00000000-0006-0000-0400-000039010000}">
      <text>
        <r>
          <rPr>
            <b/>
            <sz val="9"/>
            <color indexed="81"/>
            <rFont val="Tahoma"/>
            <family val="2"/>
          </rPr>
          <t>Author:</t>
        </r>
        <r>
          <rPr>
            <sz val="9"/>
            <color indexed="81"/>
            <rFont val="Tahoma"/>
            <family val="2"/>
          </rPr>
          <t xml:space="preserve">
glue OOS</t>
        </r>
      </text>
    </comment>
    <comment ref="W804" authorId="0" shapeId="0" xr:uid="{00000000-0006-0000-0400-00003A010000}">
      <text>
        <r>
          <rPr>
            <b/>
            <sz val="9"/>
            <color indexed="81"/>
            <rFont val="Tahoma"/>
            <family val="2"/>
          </rPr>
          <t>Author:</t>
        </r>
        <r>
          <rPr>
            <sz val="9"/>
            <color indexed="81"/>
            <rFont val="Tahoma"/>
            <family val="2"/>
          </rPr>
          <t xml:space="preserve">
12um dome</t>
        </r>
      </text>
    </comment>
    <comment ref="W805" authorId="0" shapeId="0" xr:uid="{00000000-0006-0000-0400-00003B010000}">
      <text>
        <r>
          <rPr>
            <b/>
            <sz val="9"/>
            <color indexed="81"/>
            <rFont val="Tahoma"/>
            <family val="2"/>
          </rPr>
          <t>Author:</t>
        </r>
        <r>
          <rPr>
            <sz val="9"/>
            <color indexed="81"/>
            <rFont val="Tahoma"/>
            <family val="2"/>
          </rPr>
          <t xml:space="preserve">
line of &lt;5um defects, 19um long</t>
        </r>
      </text>
    </comment>
    <comment ref="X806" authorId="0" shapeId="0" xr:uid="{00000000-0006-0000-0400-00003C010000}">
      <text>
        <r>
          <rPr>
            <b/>
            <sz val="9"/>
            <color indexed="81"/>
            <rFont val="Tahoma"/>
            <family val="2"/>
          </rPr>
          <t>Author:</t>
        </r>
        <r>
          <rPr>
            <sz val="9"/>
            <color indexed="81"/>
            <rFont val="Tahoma"/>
            <family val="2"/>
          </rPr>
          <t xml:space="preserve">
LLE measurement on SMZ1500</t>
        </r>
      </text>
    </comment>
    <comment ref="F809" authorId="0" shapeId="0" xr:uid="{00000000-0006-0000-0400-00003D010000}">
      <text>
        <r>
          <rPr>
            <b/>
            <sz val="9"/>
            <color indexed="81"/>
            <rFont val="Tahoma"/>
            <family val="2"/>
          </rPr>
          <t>Author:</t>
        </r>
        <r>
          <rPr>
            <sz val="9"/>
            <color indexed="81"/>
            <rFont val="Tahoma"/>
            <family val="2"/>
          </rPr>
          <t xml:space="preserve">
fell off and remounted possible bad glue joint, OOS</t>
        </r>
      </text>
    </comment>
    <comment ref="F811" authorId="0" shapeId="0" xr:uid="{00000000-0006-0000-0400-00003E010000}">
      <text>
        <r>
          <rPr>
            <b/>
            <sz val="9"/>
            <color indexed="81"/>
            <rFont val="Tahoma"/>
            <family val="2"/>
          </rPr>
          <t>Author:</t>
        </r>
        <r>
          <rPr>
            <sz val="9"/>
            <color indexed="81"/>
            <rFont val="Tahoma"/>
            <family val="2"/>
          </rPr>
          <t xml:space="preserve">
lost during rack loading practice</t>
        </r>
      </text>
    </comment>
    <comment ref="F813" authorId="0" shapeId="0" xr:uid="{00000000-0006-0000-0400-00003F010000}">
      <text>
        <r>
          <rPr>
            <b/>
            <sz val="9"/>
            <color indexed="81"/>
            <rFont val="Tahoma"/>
            <family val="2"/>
          </rPr>
          <t>Author:</t>
        </r>
        <r>
          <rPr>
            <sz val="9"/>
            <color indexed="81"/>
            <rFont val="Tahoma"/>
            <family val="2"/>
          </rPr>
          <t xml:space="preserve">
large glue joint, OOS
</t>
        </r>
      </text>
    </comment>
    <comment ref="F815" authorId="0" shapeId="0" xr:uid="{00000000-0006-0000-0400-000040010000}">
      <text>
        <r>
          <rPr>
            <b/>
            <sz val="9"/>
            <color indexed="81"/>
            <rFont val="Tahoma"/>
            <family val="2"/>
          </rPr>
          <t>Author:</t>
        </r>
        <r>
          <rPr>
            <sz val="9"/>
            <color indexed="81"/>
            <rFont val="Tahoma"/>
            <family val="2"/>
          </rPr>
          <t xml:space="preserve">
broken during loading into rack, mishandling</t>
        </r>
      </text>
    </comment>
    <comment ref="F816" authorId="0" shapeId="0" xr:uid="{00000000-0006-0000-0400-000041010000}">
      <text>
        <r>
          <rPr>
            <b/>
            <sz val="9"/>
            <color indexed="81"/>
            <rFont val="Tahoma"/>
            <family val="2"/>
          </rPr>
          <t>Author:</t>
        </r>
        <r>
          <rPr>
            <sz val="9"/>
            <color indexed="81"/>
            <rFont val="Tahoma"/>
            <family val="2"/>
          </rPr>
          <t xml:space="preserve">
lost during rack loading practice</t>
        </r>
      </text>
    </comment>
    <comment ref="F819" authorId="0" shapeId="0" xr:uid="{00000000-0006-0000-0400-000042010000}">
      <text>
        <r>
          <rPr>
            <b/>
            <sz val="9"/>
            <color indexed="81"/>
            <rFont val="Tahoma"/>
            <family val="2"/>
          </rPr>
          <t>Author:</t>
        </r>
        <r>
          <rPr>
            <sz val="9"/>
            <color indexed="81"/>
            <rFont val="Tahoma"/>
            <family val="2"/>
          </rPr>
          <t xml:space="preserve">
OOS glue</t>
        </r>
      </text>
    </comment>
    <comment ref="F828" authorId="0" shapeId="0" xr:uid="{00000000-0006-0000-0400-000043010000}">
      <text>
        <r>
          <rPr>
            <b/>
            <sz val="9"/>
            <color indexed="81"/>
            <rFont val="Tahoma"/>
            <family val="2"/>
          </rPr>
          <t>Author:</t>
        </r>
        <r>
          <rPr>
            <sz val="9"/>
            <color indexed="81"/>
            <rFont val="Tahoma"/>
            <family val="2"/>
          </rPr>
          <t xml:space="preserve">
Broken during loading into rack</t>
        </r>
      </text>
    </comment>
    <comment ref="F829" authorId="0" shapeId="0" xr:uid="{00000000-0006-0000-0400-000044010000}">
      <text>
        <r>
          <rPr>
            <b/>
            <sz val="9"/>
            <color indexed="81"/>
            <rFont val="Tahoma"/>
            <family val="2"/>
          </rPr>
          <t>Author:</t>
        </r>
        <r>
          <rPr>
            <sz val="9"/>
            <color indexed="81"/>
            <rFont val="Tahoma"/>
            <family val="2"/>
          </rPr>
          <t xml:space="preserve">
22 x 17um</t>
        </r>
      </text>
    </comment>
    <comment ref="F849" authorId="0" shapeId="0" xr:uid="{00000000-0006-0000-0400-000045010000}">
      <text>
        <r>
          <rPr>
            <b/>
            <sz val="9"/>
            <color indexed="81"/>
            <rFont val="Tahoma"/>
            <family val="2"/>
          </rPr>
          <t>Author:</t>
        </r>
        <r>
          <rPr>
            <sz val="9"/>
            <color indexed="81"/>
            <rFont val="Tahoma"/>
            <family val="2"/>
          </rPr>
          <t xml:space="preserve">
Asymmetric glue</t>
        </r>
      </text>
    </comment>
    <comment ref="F853" authorId="0" shapeId="0" xr:uid="{00000000-0006-0000-0400-000046010000}">
      <text>
        <r>
          <rPr>
            <b/>
            <sz val="9"/>
            <color indexed="81"/>
            <rFont val="Tahoma"/>
            <family val="2"/>
          </rPr>
          <t>Author:</t>
        </r>
        <r>
          <rPr>
            <sz val="9"/>
            <color indexed="81"/>
            <rFont val="Tahoma"/>
            <family val="2"/>
          </rPr>
          <t xml:space="preserve">
glue on shell, OOS</t>
        </r>
      </text>
    </comment>
    <comment ref="F857" authorId="0" shapeId="0" xr:uid="{00000000-0006-0000-0400-000047010000}">
      <text>
        <r>
          <rPr>
            <b/>
            <sz val="9"/>
            <color indexed="81"/>
            <rFont val="Tahoma"/>
            <family val="2"/>
          </rPr>
          <t>Author:</t>
        </r>
        <r>
          <rPr>
            <sz val="9"/>
            <color indexed="81"/>
            <rFont val="Tahoma"/>
            <family val="2"/>
          </rPr>
          <t xml:space="preserve">
shell fell off removing from mag chuck</t>
        </r>
      </text>
    </comment>
    <comment ref="F858" authorId="0" shapeId="0" xr:uid="{00000000-0006-0000-0400-000048010000}">
      <text>
        <r>
          <rPr>
            <b/>
            <sz val="9"/>
            <color indexed="81"/>
            <rFont val="Tahoma"/>
            <family val="2"/>
          </rPr>
          <t>Author:</t>
        </r>
        <r>
          <rPr>
            <sz val="9"/>
            <color indexed="81"/>
            <rFont val="Tahoma"/>
            <family val="2"/>
          </rPr>
          <t xml:space="preserve">
Shell fell off
</t>
        </r>
      </text>
    </comment>
    <comment ref="F859" authorId="0" shapeId="0" xr:uid="{00000000-0006-0000-0400-000049010000}">
      <text>
        <r>
          <rPr>
            <b/>
            <sz val="9"/>
            <color indexed="81"/>
            <rFont val="Tahoma"/>
            <family val="2"/>
          </rPr>
          <t>Author:</t>
        </r>
        <r>
          <rPr>
            <sz val="9"/>
            <color indexed="81"/>
            <rFont val="Tahoma"/>
            <family val="2"/>
          </rPr>
          <t xml:space="preserve">
no shell present</t>
        </r>
      </text>
    </comment>
    <comment ref="F863" authorId="0" shapeId="0" xr:uid="{00000000-0006-0000-0400-00004A010000}">
      <text>
        <r>
          <rPr>
            <b/>
            <sz val="9"/>
            <color indexed="81"/>
            <rFont val="Tahoma"/>
            <family val="2"/>
          </rPr>
          <t>Author:</t>
        </r>
        <r>
          <rPr>
            <sz val="9"/>
            <color indexed="81"/>
            <rFont val="Tahoma"/>
            <family val="2"/>
          </rPr>
          <t xml:space="preserve">
OOS glue joint, due to poor vacuum, high static</t>
        </r>
      </text>
    </comment>
    <comment ref="F864" authorId="0" shapeId="0" xr:uid="{00000000-0006-0000-0400-00004B010000}">
      <text>
        <r>
          <rPr>
            <b/>
            <sz val="9"/>
            <color indexed="81"/>
            <rFont val="Tahoma"/>
            <family val="2"/>
          </rPr>
          <t>Author:</t>
        </r>
        <r>
          <rPr>
            <sz val="9"/>
            <color indexed="81"/>
            <rFont val="Tahoma"/>
            <family val="2"/>
          </rPr>
          <t xml:space="preserve">
OOS glue spatter due to static 
</t>
        </r>
      </text>
    </comment>
    <comment ref="F865" authorId="0" shapeId="0" xr:uid="{00000000-0006-0000-0400-00004C010000}">
      <text>
        <r>
          <rPr>
            <b/>
            <sz val="9"/>
            <color indexed="81"/>
            <rFont val="Tahoma"/>
            <family val="2"/>
          </rPr>
          <t>Author:</t>
        </r>
        <r>
          <rPr>
            <sz val="9"/>
            <color indexed="81"/>
            <rFont val="Tahoma"/>
            <family val="2"/>
          </rPr>
          <t xml:space="preserve">
OOS glue spot</t>
        </r>
      </text>
    </comment>
    <comment ref="F866" authorId="0" shapeId="0" xr:uid="{00000000-0006-0000-0400-00004D010000}">
      <text>
        <r>
          <rPr>
            <b/>
            <sz val="9"/>
            <color indexed="81"/>
            <rFont val="Tahoma"/>
            <family val="2"/>
          </rPr>
          <t>Author:</t>
        </r>
        <r>
          <rPr>
            <sz val="9"/>
            <color indexed="81"/>
            <rFont val="Tahoma"/>
            <family val="2"/>
          </rPr>
          <t xml:space="preserve">
OOS:  defect line</t>
        </r>
      </text>
    </comment>
    <comment ref="F867" authorId="0" shapeId="0" xr:uid="{00000000-0006-0000-0400-00004E010000}">
      <text>
        <r>
          <rPr>
            <b/>
            <sz val="9"/>
            <color indexed="81"/>
            <rFont val="Tahoma"/>
            <family val="2"/>
          </rPr>
          <t>Author:</t>
        </r>
        <r>
          <rPr>
            <sz val="9"/>
            <color indexed="81"/>
            <rFont val="Tahoma"/>
            <family val="2"/>
          </rPr>
          <t xml:space="preserve">
asymmetric glue, glue spot OOS, &gt;10um dome x1</t>
        </r>
      </text>
    </comment>
    <comment ref="F872" authorId="0" shapeId="0" xr:uid="{00000000-0006-0000-0400-00004F010000}">
      <text>
        <r>
          <rPr>
            <b/>
            <sz val="9"/>
            <color indexed="81"/>
            <rFont val="Tahoma"/>
            <family val="2"/>
          </rPr>
          <t>Author:</t>
        </r>
        <r>
          <rPr>
            <sz val="9"/>
            <color indexed="81"/>
            <rFont val="Tahoma"/>
            <family val="2"/>
          </rPr>
          <t xml:space="preserve">
MISSING</t>
        </r>
      </text>
    </comment>
    <comment ref="F874" authorId="0" shapeId="0" xr:uid="{00000000-0006-0000-0400-000050010000}">
      <text>
        <r>
          <rPr>
            <b/>
            <sz val="9"/>
            <color indexed="81"/>
            <rFont val="Tahoma"/>
            <family val="2"/>
          </rPr>
          <t>Author:</t>
        </r>
        <r>
          <rPr>
            <sz val="9"/>
            <color indexed="81"/>
            <rFont val="Tahoma"/>
            <family val="2"/>
          </rPr>
          <t xml:space="preserve">
defects OOS</t>
        </r>
      </text>
    </comment>
    <comment ref="F875" authorId="0" shapeId="0" xr:uid="{00000000-0006-0000-0400-000051010000}">
      <text>
        <r>
          <rPr>
            <b/>
            <sz val="9"/>
            <color indexed="81"/>
            <rFont val="Tahoma"/>
            <family val="2"/>
          </rPr>
          <t>Author:</t>
        </r>
        <r>
          <rPr>
            <sz val="9"/>
            <color indexed="81"/>
            <rFont val="Tahoma"/>
            <family val="2"/>
          </rPr>
          <t xml:space="preserve">
glue OOS</t>
        </r>
      </text>
    </comment>
    <comment ref="F877" authorId="0" shapeId="0" xr:uid="{00000000-0006-0000-0400-000052010000}">
      <text>
        <r>
          <rPr>
            <b/>
            <sz val="9"/>
            <color indexed="81"/>
            <rFont val="Tahoma"/>
            <family val="2"/>
          </rPr>
          <t>Author:</t>
        </r>
        <r>
          <rPr>
            <sz val="9"/>
            <color indexed="81"/>
            <rFont val="Tahoma"/>
            <family val="2"/>
          </rPr>
          <t xml:space="preserve">
scratch OOS</t>
        </r>
      </text>
    </comment>
    <comment ref="F878" authorId="0" shapeId="0" xr:uid="{00000000-0006-0000-0400-000053010000}">
      <text>
        <r>
          <rPr>
            <b/>
            <sz val="9"/>
            <color indexed="81"/>
            <rFont val="Tahoma"/>
            <family val="2"/>
          </rPr>
          <t>Author:</t>
        </r>
        <r>
          <rPr>
            <sz val="9"/>
            <color indexed="81"/>
            <rFont val="Tahoma"/>
            <family val="2"/>
          </rPr>
          <t xml:space="preserve">
line defect</t>
        </r>
      </text>
    </comment>
    <comment ref="F880" authorId="0" shapeId="0" xr:uid="{00000000-0006-0000-0400-000054010000}">
      <text>
        <r>
          <rPr>
            <b/>
            <sz val="9"/>
            <color indexed="81"/>
            <rFont val="Tahoma"/>
            <family val="2"/>
          </rPr>
          <t>Author:</t>
        </r>
        <r>
          <rPr>
            <sz val="9"/>
            <color indexed="81"/>
            <rFont val="Tahoma"/>
            <family val="2"/>
          </rPr>
          <t xml:space="preserve">
OOS defects, glue spot</t>
        </r>
      </text>
    </comment>
    <comment ref="F883" authorId="0" shapeId="0" xr:uid="{00000000-0006-0000-0400-000055010000}">
      <text>
        <r>
          <rPr>
            <b/>
            <sz val="9"/>
            <color indexed="81"/>
            <rFont val="Tahoma"/>
            <family val="2"/>
          </rPr>
          <t>Author:</t>
        </r>
        <r>
          <rPr>
            <sz val="9"/>
            <color indexed="81"/>
            <rFont val="Tahoma"/>
            <family val="2"/>
          </rPr>
          <t xml:space="preserve">
glue OOS</t>
        </r>
      </text>
    </comment>
    <comment ref="F892" authorId="0" shapeId="0" xr:uid="{00000000-0006-0000-0400-000056010000}">
      <text>
        <r>
          <rPr>
            <b/>
            <sz val="9"/>
            <color indexed="81"/>
            <rFont val="Tahoma"/>
            <family val="2"/>
          </rPr>
          <t>Author:</t>
        </r>
        <r>
          <rPr>
            <b/>
            <sz val="9"/>
            <color indexed="81"/>
            <rFont val="Tahoma"/>
            <family val="2"/>
          </rPr>
          <t xml:space="preserve">
incorrect name, should be CRYO-2074-3108</t>
        </r>
      </text>
    </comment>
    <comment ref="F894" authorId="0" shapeId="0" xr:uid="{00000000-0006-0000-0400-000057010000}">
      <text>
        <r>
          <rPr>
            <b/>
            <sz val="9"/>
            <color indexed="81"/>
            <rFont val="Tahoma"/>
            <family val="2"/>
          </rPr>
          <t>Author:</t>
        </r>
        <r>
          <rPr>
            <sz val="9"/>
            <color indexed="81"/>
            <rFont val="Tahoma"/>
            <family val="2"/>
          </rPr>
          <t xml:space="preserve">
broken in glovebox</t>
        </r>
      </text>
    </comment>
    <comment ref="F899" authorId="0" shapeId="0" xr:uid="{00000000-0006-0000-0400-000058010000}">
      <text>
        <r>
          <rPr>
            <b/>
            <sz val="9"/>
            <color indexed="81"/>
            <rFont val="Tahoma"/>
            <family val="2"/>
          </rPr>
          <t>Author:</t>
        </r>
        <r>
          <rPr>
            <sz val="9"/>
            <color indexed="81"/>
            <rFont val="Tahoma"/>
            <family val="2"/>
          </rPr>
          <t xml:space="preserve">
glue OOS</t>
        </r>
      </text>
    </comment>
    <comment ref="F900" authorId="0" shapeId="0" xr:uid="{00000000-0006-0000-0400-000059010000}">
      <text>
        <r>
          <rPr>
            <b/>
            <sz val="9"/>
            <color indexed="81"/>
            <rFont val="Tahoma"/>
            <family val="2"/>
          </rPr>
          <t>Author:</t>
        </r>
        <r>
          <rPr>
            <sz val="9"/>
            <color indexed="81"/>
            <rFont val="Tahoma"/>
            <family val="2"/>
          </rPr>
          <t xml:space="preserve">
glue OOS</t>
        </r>
      </text>
    </comment>
    <comment ref="F904" authorId="0" shapeId="0" xr:uid="{00000000-0006-0000-0400-00005A010000}">
      <text>
        <r>
          <rPr>
            <b/>
            <sz val="9"/>
            <color indexed="81"/>
            <rFont val="Tahoma"/>
            <family val="2"/>
          </rPr>
          <t>Author:</t>
        </r>
        <r>
          <rPr>
            <sz val="9"/>
            <color indexed="81"/>
            <rFont val="Tahoma"/>
            <family val="2"/>
          </rPr>
          <t xml:space="preserve">
glue OOS</t>
        </r>
      </text>
    </comment>
    <comment ref="F907" authorId="0" shapeId="0" xr:uid="{00000000-0006-0000-0400-00005B010000}">
      <text>
        <r>
          <rPr>
            <b/>
            <sz val="9"/>
            <color indexed="81"/>
            <rFont val="Tahoma"/>
            <family val="2"/>
          </rPr>
          <t>Author:</t>
        </r>
        <r>
          <rPr>
            <sz val="9"/>
            <color indexed="81"/>
            <rFont val="Tahoma"/>
            <family val="2"/>
          </rPr>
          <t xml:space="preserve">
glue spot OOS
</t>
        </r>
      </text>
    </comment>
    <comment ref="F908" authorId="0" shapeId="0" xr:uid="{00000000-0006-0000-0400-00005C010000}">
      <text>
        <r>
          <rPr>
            <b/>
            <sz val="9"/>
            <color indexed="81"/>
            <rFont val="Tahoma"/>
            <family val="2"/>
          </rPr>
          <t>Author:</t>
        </r>
        <r>
          <rPr>
            <sz val="9"/>
            <color indexed="81"/>
            <rFont val="Tahoma"/>
            <family val="2"/>
          </rPr>
          <t xml:space="preserve">
glue OOS</t>
        </r>
      </text>
    </comment>
    <comment ref="F912" authorId="0" shapeId="0" xr:uid="{00000000-0006-0000-0400-00005D010000}">
      <text>
        <r>
          <rPr>
            <b/>
            <sz val="9"/>
            <color indexed="81"/>
            <rFont val="Tahoma"/>
            <family val="2"/>
          </rPr>
          <t>Author:</t>
        </r>
        <r>
          <rPr>
            <sz val="9"/>
            <color indexed="81"/>
            <rFont val="Tahoma"/>
            <family val="2"/>
          </rPr>
          <t xml:space="preserve">
dome &gt;10um</t>
        </r>
      </text>
    </comment>
    <comment ref="F921" authorId="0" shapeId="0" xr:uid="{00000000-0006-0000-0400-00005E010000}">
      <text>
        <r>
          <rPr>
            <b/>
            <sz val="9"/>
            <color indexed="81"/>
            <rFont val="Tahoma"/>
            <family val="2"/>
          </rPr>
          <t xml:space="preserve">Author:
OOS </t>
        </r>
        <r>
          <rPr>
            <sz val="9"/>
            <color indexed="81"/>
            <rFont val="Tahoma"/>
            <family val="2"/>
          </rPr>
          <t>GLUE SPOT</t>
        </r>
      </text>
    </comment>
    <comment ref="F923" authorId="0" shapeId="0" xr:uid="{00000000-0006-0000-0400-00005F010000}">
      <text>
        <r>
          <rPr>
            <b/>
            <sz val="9"/>
            <color indexed="81"/>
            <rFont val="Tahoma"/>
            <family val="2"/>
          </rPr>
          <t>Author:</t>
        </r>
        <r>
          <rPr>
            <sz val="9"/>
            <color indexed="81"/>
            <rFont val="Tahoma"/>
            <family val="2"/>
          </rPr>
          <t xml:space="preserve">
fell off during CF, golf tee</t>
        </r>
      </text>
    </comment>
    <comment ref="F931" authorId="0" shapeId="0" xr:uid="{00000000-0006-0000-0400-000060010000}">
      <text>
        <r>
          <rPr>
            <b/>
            <sz val="9"/>
            <color indexed="81"/>
            <rFont val="Tahoma"/>
            <family val="2"/>
          </rPr>
          <t>Author:</t>
        </r>
        <r>
          <rPr>
            <sz val="9"/>
            <color indexed="81"/>
            <rFont val="Tahoma"/>
            <family val="2"/>
          </rPr>
          <t xml:space="preserve">
OOS glue, static electricity caused glue spats</t>
        </r>
      </text>
    </comment>
    <comment ref="F932" authorId="0" shapeId="0" xr:uid="{00000000-0006-0000-0400-000061010000}">
      <text>
        <r>
          <rPr>
            <b/>
            <sz val="9"/>
            <color indexed="81"/>
            <rFont val="Tahoma"/>
            <family val="2"/>
          </rPr>
          <t>Author:</t>
        </r>
        <r>
          <rPr>
            <sz val="9"/>
            <color indexed="81"/>
            <rFont val="Tahoma"/>
            <family val="2"/>
          </rPr>
          <t xml:space="preserve">
Removed
</t>
        </r>
      </text>
    </comment>
    <comment ref="F933" authorId="0" shapeId="0" xr:uid="{00000000-0006-0000-0400-000062010000}">
      <text>
        <r>
          <rPr>
            <b/>
            <sz val="9"/>
            <color indexed="81"/>
            <rFont val="Tahoma"/>
            <family val="2"/>
          </rPr>
          <t>Author:</t>
        </r>
        <r>
          <rPr>
            <sz val="9"/>
            <color indexed="81"/>
            <rFont val="Tahoma"/>
            <family val="2"/>
          </rPr>
          <t xml:space="preserve">
broken while loading</t>
        </r>
      </text>
    </comment>
    <comment ref="F934" authorId="0" shapeId="0" xr:uid="{00000000-0006-0000-0400-000063010000}">
      <text>
        <r>
          <rPr>
            <b/>
            <sz val="9"/>
            <color indexed="81"/>
            <rFont val="Tahoma"/>
            <family val="2"/>
          </rPr>
          <t>Author:</t>
        </r>
        <r>
          <rPr>
            <sz val="9"/>
            <color indexed="81"/>
            <rFont val="Tahoma"/>
            <family val="2"/>
          </rPr>
          <t xml:space="preserve">
glue patch on shell, OOS
</t>
        </r>
      </text>
    </comment>
    <comment ref="F937" authorId="0" shapeId="0" xr:uid="{00000000-0006-0000-0400-000064010000}">
      <text>
        <r>
          <rPr>
            <b/>
            <sz val="9"/>
            <color indexed="81"/>
            <rFont val="Tahoma"/>
            <family val="2"/>
          </rPr>
          <t>Author:</t>
        </r>
        <r>
          <rPr>
            <sz val="9"/>
            <color indexed="81"/>
            <rFont val="Tahoma"/>
            <family val="2"/>
          </rPr>
          <t xml:space="preserve">
defect OOS</t>
        </r>
      </text>
    </comment>
    <comment ref="F944" authorId="0" shapeId="0" xr:uid="{00000000-0006-0000-0400-000065010000}">
      <text>
        <r>
          <rPr>
            <b/>
            <sz val="9"/>
            <color indexed="81"/>
            <rFont val="Tahoma"/>
            <family val="2"/>
          </rPr>
          <t>Author:</t>
        </r>
        <r>
          <rPr>
            <sz val="9"/>
            <color indexed="81"/>
            <rFont val="Tahoma"/>
            <family val="2"/>
          </rPr>
          <t xml:space="preserve">
OOS glue footprint</t>
        </r>
      </text>
    </comment>
    <comment ref="F946" authorId="0" shapeId="0" xr:uid="{00000000-0006-0000-0400-000066010000}">
      <text>
        <r>
          <rPr>
            <b/>
            <sz val="9"/>
            <color indexed="81"/>
            <rFont val="Tahoma"/>
            <family val="2"/>
          </rPr>
          <t>Author:</t>
        </r>
        <r>
          <rPr>
            <sz val="9"/>
            <color indexed="81"/>
            <rFont val="Tahoma"/>
            <family val="2"/>
          </rPr>
          <t xml:space="preserve">
Shell fell off in dry box
</t>
        </r>
      </text>
    </comment>
    <comment ref="F947" authorId="0" shapeId="0" xr:uid="{00000000-0006-0000-0400-000067010000}">
      <text>
        <r>
          <rPr>
            <b/>
            <sz val="9"/>
            <color indexed="81"/>
            <rFont val="Tahoma"/>
            <family val="2"/>
          </rPr>
          <t>Author:</t>
        </r>
        <r>
          <rPr>
            <sz val="9"/>
            <color indexed="81"/>
            <rFont val="Tahoma"/>
            <family val="2"/>
          </rPr>
          <t xml:space="preserve">
OOS glue</t>
        </r>
      </text>
    </comment>
    <comment ref="F948" authorId="0" shapeId="0" xr:uid="{00000000-0006-0000-0400-000068010000}">
      <text>
        <r>
          <rPr>
            <b/>
            <sz val="9"/>
            <color indexed="81"/>
            <rFont val="Tahoma"/>
            <family val="2"/>
          </rPr>
          <t>Author:</t>
        </r>
        <r>
          <rPr>
            <sz val="9"/>
            <color indexed="81"/>
            <rFont val="Tahoma"/>
            <family val="2"/>
          </rPr>
          <t xml:space="preserve">
debris OOS</t>
        </r>
      </text>
    </comment>
    <comment ref="F951" authorId="0" shapeId="0" xr:uid="{00000000-0006-0000-0400-000069010000}">
      <text>
        <r>
          <rPr>
            <b/>
            <sz val="9"/>
            <color indexed="81"/>
            <rFont val="Tahoma"/>
            <family val="2"/>
          </rPr>
          <t>Author:</t>
        </r>
        <r>
          <rPr>
            <sz val="9"/>
            <color indexed="81"/>
            <rFont val="Tahoma"/>
            <family val="2"/>
          </rPr>
          <t xml:space="preserve">
OOS debris</t>
        </r>
      </text>
    </comment>
    <comment ref="F952" authorId="0" shapeId="0" xr:uid="{00000000-0006-0000-0400-00006A010000}">
      <text>
        <r>
          <rPr>
            <b/>
            <sz val="9"/>
            <color indexed="81"/>
            <rFont val="Tahoma"/>
            <family val="2"/>
          </rPr>
          <t>Author:</t>
        </r>
        <r>
          <rPr>
            <sz val="9"/>
            <color indexed="81"/>
            <rFont val="Tahoma"/>
            <family val="2"/>
          </rPr>
          <t xml:space="preserve">
stalk off center OOS</t>
        </r>
      </text>
    </comment>
    <comment ref="F953" authorId="0" shapeId="0" xr:uid="{00000000-0006-0000-0400-00006B010000}">
      <text>
        <r>
          <rPr>
            <b/>
            <sz val="9"/>
            <color indexed="81"/>
            <rFont val="Tahoma"/>
            <family val="2"/>
          </rPr>
          <t>Author:</t>
        </r>
        <r>
          <rPr>
            <sz val="9"/>
            <color indexed="81"/>
            <rFont val="Tahoma"/>
            <family val="2"/>
          </rPr>
          <t xml:space="preserve">
defect 10um</t>
        </r>
      </text>
    </comment>
    <comment ref="F954" authorId="0" shapeId="0" xr:uid="{00000000-0006-0000-0400-00006C010000}">
      <text>
        <r>
          <rPr>
            <b/>
            <sz val="9"/>
            <color indexed="81"/>
            <rFont val="Tahoma"/>
            <family val="2"/>
          </rPr>
          <t>Author:</t>
        </r>
        <r>
          <rPr>
            <sz val="9"/>
            <color indexed="81"/>
            <rFont val="Tahoma"/>
            <family val="2"/>
          </rPr>
          <t xml:space="preserve">
irregular glue shape</t>
        </r>
      </text>
    </comment>
    <comment ref="F959" authorId="0" shapeId="0" xr:uid="{00000000-0006-0000-0400-00006D010000}">
      <text>
        <r>
          <rPr>
            <b/>
            <sz val="9"/>
            <color indexed="81"/>
            <rFont val="Tahoma"/>
            <family val="2"/>
          </rPr>
          <t>Author:</t>
        </r>
        <r>
          <rPr>
            <sz val="9"/>
            <color indexed="81"/>
            <rFont val="Tahoma"/>
            <family val="2"/>
          </rPr>
          <t xml:space="preserve">
Removed</t>
        </r>
      </text>
    </comment>
    <comment ref="F962" authorId="0" shapeId="0" xr:uid="{00000000-0006-0000-0400-00006E010000}">
      <text>
        <r>
          <rPr>
            <b/>
            <sz val="9"/>
            <color indexed="81"/>
            <rFont val="Tahoma"/>
            <family val="2"/>
          </rPr>
          <t>Author:</t>
        </r>
        <r>
          <rPr>
            <sz val="9"/>
            <color indexed="81"/>
            <rFont val="Tahoma"/>
            <family val="2"/>
          </rPr>
          <t xml:space="preserve">
OOS glue spot</t>
        </r>
      </text>
    </comment>
    <comment ref="F968" authorId="0" shapeId="0" xr:uid="{00000000-0006-0000-0400-00006F010000}">
      <text>
        <r>
          <rPr>
            <b/>
            <sz val="9"/>
            <color indexed="81"/>
            <rFont val="Tahoma"/>
            <family val="2"/>
          </rPr>
          <t>Author:</t>
        </r>
        <r>
          <rPr>
            <sz val="9"/>
            <color indexed="81"/>
            <rFont val="Tahoma"/>
            <family val="2"/>
          </rPr>
          <t xml:space="preserve">
spare, due to glue spot</t>
        </r>
      </text>
    </comment>
    <comment ref="F969" authorId="0" shapeId="0" xr:uid="{00000000-0006-0000-0400-000070010000}">
      <text>
        <r>
          <rPr>
            <b/>
            <sz val="9"/>
            <color indexed="81"/>
            <rFont val="Tahoma"/>
            <family val="2"/>
          </rPr>
          <t>Author:</t>
        </r>
        <r>
          <rPr>
            <sz val="9"/>
            <color indexed="81"/>
            <rFont val="Tahoma"/>
            <family val="2"/>
          </rPr>
          <t xml:space="preserve">
OOS defect</t>
        </r>
      </text>
    </comment>
    <comment ref="F971" authorId="0" shapeId="0" xr:uid="{00000000-0006-0000-0400-000071010000}">
      <text>
        <r>
          <rPr>
            <b/>
            <sz val="9"/>
            <color indexed="81"/>
            <rFont val="Tahoma"/>
            <family val="2"/>
          </rPr>
          <t>Author:</t>
        </r>
        <r>
          <rPr>
            <sz val="9"/>
            <color indexed="81"/>
            <rFont val="Tahoma"/>
            <family val="2"/>
          </rPr>
          <t xml:space="preserve">
OOS</t>
        </r>
      </text>
    </comment>
    <comment ref="F977" authorId="0" shapeId="0" xr:uid="{00000000-0006-0000-0400-000072010000}">
      <text>
        <r>
          <rPr>
            <b/>
            <sz val="9"/>
            <color indexed="81"/>
            <rFont val="Tahoma"/>
            <family val="2"/>
          </rPr>
          <t>Author:</t>
        </r>
        <r>
          <rPr>
            <sz val="9"/>
            <color indexed="81"/>
            <rFont val="Tahoma"/>
            <family val="2"/>
          </rPr>
          <t xml:space="preserve">
Large circle of domes
</t>
        </r>
      </text>
    </comment>
    <comment ref="F978" authorId="0" shapeId="0" xr:uid="{00000000-0006-0000-0400-000073010000}">
      <text>
        <r>
          <rPr>
            <b/>
            <sz val="9"/>
            <color indexed="81"/>
            <rFont val="Tahoma"/>
            <family val="2"/>
          </rPr>
          <t>Author:</t>
        </r>
        <r>
          <rPr>
            <sz val="9"/>
            <color indexed="81"/>
            <rFont val="Tahoma"/>
            <family val="2"/>
          </rPr>
          <t xml:space="preserve">
shell fell off in dry box</t>
        </r>
      </text>
    </comment>
    <comment ref="F996" authorId="0" shapeId="0" xr:uid="{00000000-0006-0000-0400-000074010000}">
      <text>
        <r>
          <rPr>
            <b/>
            <sz val="9"/>
            <color indexed="81"/>
            <rFont val="Tahoma"/>
            <family val="2"/>
          </rPr>
          <t>Author:</t>
        </r>
        <r>
          <rPr>
            <sz val="9"/>
            <color indexed="81"/>
            <rFont val="Tahoma"/>
            <family val="2"/>
          </rPr>
          <t xml:space="preserve">
OOS</t>
        </r>
      </text>
    </comment>
    <comment ref="F997" authorId="0" shapeId="0" xr:uid="{00000000-0006-0000-0400-000075010000}">
      <text>
        <r>
          <rPr>
            <b/>
            <sz val="9"/>
            <color indexed="81"/>
            <rFont val="Tahoma"/>
            <family val="2"/>
          </rPr>
          <t>Author:</t>
        </r>
        <r>
          <rPr>
            <sz val="9"/>
            <color indexed="81"/>
            <rFont val="Tahoma"/>
            <family val="2"/>
          </rPr>
          <t xml:space="preserve">
OOS glue</t>
        </r>
      </text>
    </comment>
    <comment ref="F998" authorId="0" shapeId="0" xr:uid="{00000000-0006-0000-0400-000076010000}">
      <text>
        <r>
          <rPr>
            <b/>
            <sz val="9"/>
            <color indexed="81"/>
            <rFont val="Tahoma"/>
            <family val="2"/>
          </rPr>
          <t>Author:</t>
        </r>
        <r>
          <rPr>
            <sz val="9"/>
            <color indexed="81"/>
            <rFont val="Tahoma"/>
            <family val="2"/>
          </rPr>
          <t xml:space="preserve">
OOS defects</t>
        </r>
      </text>
    </comment>
    <comment ref="F999" authorId="0" shapeId="0" xr:uid="{00000000-0006-0000-0400-000077010000}">
      <text>
        <r>
          <rPr>
            <b/>
            <sz val="9"/>
            <color indexed="81"/>
            <rFont val="Tahoma"/>
            <family val="2"/>
          </rPr>
          <t>Author:</t>
        </r>
        <r>
          <rPr>
            <sz val="9"/>
            <color indexed="81"/>
            <rFont val="Tahoma"/>
            <family val="2"/>
          </rPr>
          <t xml:space="preserve">
OOS glue</t>
        </r>
      </text>
    </comment>
    <comment ref="F1000" authorId="0" shapeId="0" xr:uid="{00000000-0006-0000-0400-000078010000}">
      <text>
        <r>
          <rPr>
            <b/>
            <sz val="9"/>
            <color indexed="81"/>
            <rFont val="Tahoma"/>
            <family val="2"/>
          </rPr>
          <t>Author:</t>
        </r>
        <r>
          <rPr>
            <sz val="9"/>
            <color indexed="81"/>
            <rFont val="Tahoma"/>
            <family val="2"/>
          </rPr>
          <t xml:space="preserve">
OOS glue</t>
        </r>
      </text>
    </comment>
    <comment ref="F1002" authorId="0" shapeId="0" xr:uid="{00000000-0006-0000-0400-000079010000}">
      <text>
        <r>
          <rPr>
            <b/>
            <sz val="9"/>
            <color indexed="81"/>
            <rFont val="Tahoma"/>
            <family val="2"/>
          </rPr>
          <t>Author:</t>
        </r>
        <r>
          <rPr>
            <sz val="9"/>
            <color indexed="81"/>
            <rFont val="Tahoma"/>
            <family val="2"/>
          </rPr>
          <t xml:space="preserve">
OOS defects</t>
        </r>
      </text>
    </comment>
    <comment ref="F1003" authorId="0" shapeId="0" xr:uid="{00000000-0006-0000-0400-00007A010000}">
      <text>
        <r>
          <rPr>
            <b/>
            <sz val="9"/>
            <color indexed="81"/>
            <rFont val="Tahoma"/>
            <family val="2"/>
          </rPr>
          <t>Author:</t>
        </r>
        <r>
          <rPr>
            <sz val="9"/>
            <color indexed="81"/>
            <rFont val="Tahoma"/>
            <family val="2"/>
          </rPr>
          <t xml:space="preserve">
shell fell off mount while removig debris</t>
        </r>
      </text>
    </comment>
    <comment ref="F1005" authorId="0" shapeId="0" xr:uid="{00000000-0006-0000-0400-00007B010000}">
      <text>
        <r>
          <rPr>
            <b/>
            <sz val="9"/>
            <color indexed="81"/>
            <rFont val="Tahoma"/>
            <family val="2"/>
          </rPr>
          <t>Author:</t>
        </r>
        <r>
          <rPr>
            <sz val="9"/>
            <color indexed="81"/>
            <rFont val="Tahoma"/>
            <family val="2"/>
          </rPr>
          <t xml:space="preserve">
OOS defects</t>
        </r>
      </text>
    </comment>
    <comment ref="F1012" authorId="0" shapeId="0" xr:uid="{00000000-0006-0000-0400-00007C010000}">
      <text>
        <r>
          <rPr>
            <b/>
            <sz val="9"/>
            <color indexed="81"/>
            <rFont val="Tahoma"/>
            <family val="2"/>
          </rPr>
          <t>Author:</t>
        </r>
        <r>
          <rPr>
            <sz val="9"/>
            <color indexed="81"/>
            <rFont val="Tahoma"/>
            <family val="2"/>
          </rPr>
          <t xml:space="preserve">
Removed. Target fell off when trying to remove glue spike</t>
        </r>
      </text>
    </comment>
    <comment ref="F1015" authorId="0" shapeId="0" xr:uid="{00000000-0006-0000-0400-00007D010000}">
      <text>
        <r>
          <rPr>
            <b/>
            <sz val="9"/>
            <color indexed="81"/>
            <rFont val="Tahoma"/>
            <family val="2"/>
          </rPr>
          <t>Author:</t>
        </r>
        <r>
          <rPr>
            <sz val="9"/>
            <color indexed="81"/>
            <rFont val="Tahoma"/>
            <family val="2"/>
          </rPr>
          <t xml:space="preserve">
Fell off iin drybox</t>
        </r>
      </text>
    </comment>
    <comment ref="F1016" authorId="0" shapeId="0" xr:uid="{00000000-0006-0000-0400-00007E010000}">
      <text>
        <r>
          <rPr>
            <b/>
            <sz val="9"/>
            <color indexed="81"/>
            <rFont val="Tahoma"/>
            <family val="2"/>
          </rPr>
          <t>Author:</t>
        </r>
        <r>
          <rPr>
            <sz val="9"/>
            <color indexed="81"/>
            <rFont val="Tahoma"/>
            <family val="2"/>
          </rPr>
          <t xml:space="preserve">
Felll off in drybox
</t>
        </r>
      </text>
    </comment>
    <comment ref="F1017" authorId="0" shapeId="0" xr:uid="{00000000-0006-0000-0400-00007F010000}">
      <text>
        <r>
          <rPr>
            <b/>
            <sz val="9"/>
            <color indexed="81"/>
            <rFont val="Tahoma"/>
            <family val="2"/>
          </rPr>
          <t>Author:</t>
        </r>
        <r>
          <rPr>
            <sz val="9"/>
            <color indexed="81"/>
            <rFont val="Tahoma"/>
            <family val="2"/>
          </rPr>
          <t xml:space="preserve">
Fell off in drybox</t>
        </r>
      </text>
    </comment>
    <comment ref="F1018" authorId="0" shapeId="0" xr:uid="{00000000-0006-0000-0400-000080010000}">
      <text>
        <r>
          <rPr>
            <b/>
            <sz val="9"/>
            <color indexed="81"/>
            <rFont val="Tahoma"/>
            <family val="2"/>
          </rPr>
          <t>Author:</t>
        </r>
        <r>
          <rPr>
            <sz val="9"/>
            <color indexed="81"/>
            <rFont val="Tahoma"/>
            <family val="2"/>
          </rPr>
          <t xml:space="preserve">
OOS glue</t>
        </r>
      </text>
    </comment>
    <comment ref="F1019" authorId="0" shapeId="0" xr:uid="{00000000-0006-0000-0400-000081010000}">
      <text>
        <r>
          <rPr>
            <b/>
            <sz val="9"/>
            <color indexed="81"/>
            <rFont val="Tahoma"/>
            <family val="2"/>
          </rPr>
          <t>Author:</t>
        </r>
        <r>
          <rPr>
            <sz val="9"/>
            <color indexed="81"/>
            <rFont val="Tahoma"/>
            <family val="2"/>
          </rPr>
          <t xml:space="preserve">
Fell off in drybox
</t>
        </r>
      </text>
    </comment>
    <comment ref="F1021" authorId="0" shapeId="0" xr:uid="{00000000-0006-0000-0400-000082010000}">
      <text>
        <r>
          <rPr>
            <b/>
            <sz val="9"/>
            <color indexed="81"/>
            <rFont val="Tahoma"/>
            <family val="2"/>
          </rPr>
          <t>Author:</t>
        </r>
        <r>
          <rPr>
            <sz val="9"/>
            <color indexed="81"/>
            <rFont val="Tahoma"/>
            <family val="2"/>
          </rPr>
          <t xml:space="preserve">
removed by mistake</t>
        </r>
      </text>
    </comment>
    <comment ref="F1022" authorId="0" shapeId="0" xr:uid="{00000000-0006-0000-0400-000083010000}">
      <text>
        <r>
          <rPr>
            <b/>
            <sz val="9"/>
            <color indexed="81"/>
            <rFont val="Tahoma"/>
            <family val="2"/>
          </rPr>
          <t>Author:</t>
        </r>
        <r>
          <rPr>
            <sz val="9"/>
            <color indexed="81"/>
            <rFont val="Tahoma"/>
            <family val="2"/>
          </rPr>
          <t xml:space="preserve">
fell off in drybox</t>
        </r>
      </text>
    </comment>
    <comment ref="F1023" authorId="0" shapeId="0" xr:uid="{00000000-0006-0000-0400-000084010000}">
      <text>
        <r>
          <rPr>
            <b/>
            <sz val="9"/>
            <color indexed="81"/>
            <rFont val="Tahoma"/>
            <family val="2"/>
          </rPr>
          <t>Author:</t>
        </r>
        <r>
          <rPr>
            <sz val="9"/>
            <color indexed="81"/>
            <rFont val="Tahoma"/>
            <family val="2"/>
          </rPr>
          <t xml:space="preserve">
oos glue</t>
        </r>
      </text>
    </comment>
    <comment ref="F1024" authorId="0" shapeId="0" xr:uid="{00000000-0006-0000-0400-000085010000}">
      <text>
        <r>
          <rPr>
            <b/>
            <sz val="9"/>
            <color indexed="81"/>
            <rFont val="Tahoma"/>
            <family val="2"/>
          </rPr>
          <t>Author:</t>
        </r>
        <r>
          <rPr>
            <sz val="9"/>
            <color indexed="81"/>
            <rFont val="Tahoma"/>
            <family val="2"/>
          </rPr>
          <t xml:space="preserve">
oos glue</t>
        </r>
      </text>
    </comment>
    <comment ref="F1033" authorId="0" shapeId="0" xr:uid="{00000000-0006-0000-0400-000086010000}">
      <text>
        <r>
          <rPr>
            <b/>
            <sz val="9"/>
            <color indexed="81"/>
            <rFont val="Tahoma"/>
            <family val="2"/>
          </rPr>
          <t>Author:</t>
        </r>
        <r>
          <rPr>
            <sz val="9"/>
            <color indexed="81"/>
            <rFont val="Tahoma"/>
            <family val="2"/>
          </rPr>
          <t xml:space="preserve">
broken/lost</t>
        </r>
      </text>
    </comment>
    <comment ref="F1034" authorId="0" shapeId="0" xr:uid="{00000000-0006-0000-0400-000087010000}">
      <text>
        <r>
          <rPr>
            <b/>
            <sz val="9"/>
            <color indexed="81"/>
            <rFont val="Tahoma"/>
            <family val="2"/>
          </rPr>
          <t>Author:</t>
        </r>
        <r>
          <rPr>
            <sz val="9"/>
            <color indexed="81"/>
            <rFont val="Tahoma"/>
            <family val="2"/>
          </rPr>
          <t xml:space="preserve">
lost</t>
        </r>
      </text>
    </comment>
    <comment ref="F1035" authorId="0" shapeId="0" xr:uid="{00000000-0006-0000-0400-000088010000}">
      <text>
        <r>
          <rPr>
            <b/>
            <sz val="9"/>
            <color indexed="81"/>
            <rFont val="Tahoma"/>
            <family val="2"/>
          </rPr>
          <t>Author:</t>
        </r>
        <r>
          <rPr>
            <sz val="9"/>
            <color indexed="81"/>
            <rFont val="Tahoma"/>
            <family val="2"/>
          </rPr>
          <t xml:space="preserve">
oos defect</t>
        </r>
      </text>
    </comment>
    <comment ref="F1036" authorId="0" shapeId="0" xr:uid="{00000000-0006-0000-0400-000089010000}">
      <text>
        <r>
          <rPr>
            <b/>
            <sz val="9"/>
            <color indexed="81"/>
            <rFont val="Tahoma"/>
            <family val="2"/>
          </rPr>
          <t>Author:</t>
        </r>
        <r>
          <rPr>
            <sz val="9"/>
            <color indexed="81"/>
            <rFont val="Tahoma"/>
            <family val="2"/>
          </rPr>
          <t xml:space="preserve">
oos glue spot</t>
        </r>
      </text>
    </comment>
    <comment ref="F1037" authorId="0" shapeId="0" xr:uid="{00000000-0006-0000-0400-00008A010000}">
      <text>
        <r>
          <rPr>
            <b/>
            <sz val="9"/>
            <color indexed="81"/>
            <rFont val="Tahoma"/>
            <family val="2"/>
          </rPr>
          <t xml:space="preserve">Dayna Wasilewski
</t>
        </r>
        <r>
          <rPr>
            <sz val="9"/>
            <color indexed="81"/>
            <rFont val="Tahoma"/>
            <family val="2"/>
          </rPr>
          <t>OOS defect</t>
        </r>
      </text>
    </comment>
    <comment ref="F1038" authorId="0" shapeId="0" xr:uid="{00000000-0006-0000-0400-00008B010000}">
      <text>
        <r>
          <rPr>
            <b/>
            <sz val="9"/>
            <color indexed="81"/>
            <rFont val="Tahoma"/>
            <family val="2"/>
          </rPr>
          <t>Dayna Wasilewski
oos feature</t>
        </r>
      </text>
    </comment>
    <comment ref="F1040" authorId="0" shapeId="0" xr:uid="{00000000-0006-0000-0400-00008C010000}">
      <text>
        <r>
          <rPr>
            <b/>
            <sz val="9"/>
            <color indexed="81"/>
            <rFont val="Tahoma"/>
            <family val="2"/>
          </rPr>
          <t>Author:</t>
        </r>
        <r>
          <rPr>
            <sz val="9"/>
            <color indexed="81"/>
            <rFont val="Tahoma"/>
            <family val="2"/>
          </rPr>
          <t xml:space="preserve">
glue spike</t>
        </r>
      </text>
    </comment>
    <comment ref="F1041" authorId="0" shapeId="0" xr:uid="{00000000-0006-0000-0400-00008D010000}">
      <text>
        <r>
          <rPr>
            <b/>
            <sz val="9"/>
            <color indexed="81"/>
            <rFont val="Tahoma"/>
            <family val="2"/>
          </rPr>
          <t>Author:</t>
        </r>
        <r>
          <rPr>
            <sz val="9"/>
            <color indexed="81"/>
            <rFont val="Tahoma"/>
            <family val="2"/>
          </rPr>
          <t xml:space="preserve">
oos glue</t>
        </r>
      </text>
    </comment>
    <comment ref="F1042" authorId="0" shapeId="0" xr:uid="{00000000-0006-0000-0400-00008E010000}">
      <text>
        <r>
          <rPr>
            <b/>
            <sz val="9"/>
            <color indexed="81"/>
            <rFont val="Tahoma"/>
            <family val="2"/>
          </rPr>
          <t>Author:</t>
        </r>
        <r>
          <rPr>
            <sz val="9"/>
            <color indexed="81"/>
            <rFont val="Tahoma"/>
            <family val="2"/>
          </rPr>
          <t xml:space="preserve">
Lost</t>
        </r>
      </text>
    </comment>
    <comment ref="F1044" authorId="0" shapeId="0" xr:uid="{00000000-0006-0000-0400-00008F010000}">
      <text>
        <r>
          <rPr>
            <b/>
            <sz val="9"/>
            <color indexed="81"/>
            <rFont val="Tahoma"/>
            <family val="2"/>
          </rPr>
          <t>Author:</t>
        </r>
        <r>
          <rPr>
            <sz val="9"/>
            <color indexed="81"/>
            <rFont val="Tahoma"/>
            <family val="2"/>
          </rPr>
          <t xml:space="preserve">
OOS defects</t>
        </r>
      </text>
    </comment>
    <comment ref="F1045" authorId="0" shapeId="0" xr:uid="{00000000-0006-0000-0400-000090010000}">
      <text>
        <r>
          <rPr>
            <b/>
            <sz val="9"/>
            <color indexed="81"/>
            <rFont val="Tahoma"/>
            <family val="2"/>
          </rPr>
          <t>Author:</t>
        </r>
        <r>
          <rPr>
            <sz val="9"/>
            <color indexed="81"/>
            <rFont val="Tahoma"/>
            <family val="2"/>
          </rPr>
          <t xml:space="preserve">
OOS defect</t>
        </r>
      </text>
    </comment>
    <comment ref="F1047" authorId="0" shapeId="0" xr:uid="{00000000-0006-0000-0400-000091010000}">
      <text>
        <r>
          <rPr>
            <b/>
            <sz val="9"/>
            <color indexed="81"/>
            <rFont val="Tahoma"/>
            <family val="2"/>
          </rPr>
          <t>Author:</t>
        </r>
        <r>
          <rPr>
            <sz val="9"/>
            <color indexed="81"/>
            <rFont val="Tahoma"/>
            <family val="2"/>
          </rPr>
          <t xml:space="preserve">
fell off stalk. Tried to remount. Glue smeared on capsule. Removed.</t>
        </r>
      </text>
    </comment>
    <comment ref="F1052" authorId="0" shapeId="0" xr:uid="{00000000-0006-0000-0400-000092010000}">
      <text>
        <r>
          <rPr>
            <b/>
            <sz val="9"/>
            <color indexed="81"/>
            <rFont val="Tahoma"/>
            <family val="2"/>
          </rPr>
          <t>Author:</t>
        </r>
        <r>
          <rPr>
            <sz val="9"/>
            <color indexed="81"/>
            <rFont val="Tahoma"/>
            <family val="2"/>
          </rPr>
          <t xml:space="preserve">
fell off stalk when trying to remove debris</t>
        </r>
      </text>
    </comment>
    <comment ref="F1053" authorId="0" shapeId="0" xr:uid="{00000000-0006-0000-0400-000093010000}">
      <text>
        <r>
          <rPr>
            <b/>
            <sz val="9"/>
            <color indexed="81"/>
            <rFont val="Tahoma"/>
            <family val="2"/>
          </rPr>
          <t>Author:</t>
        </r>
        <r>
          <rPr>
            <sz val="9"/>
            <color indexed="81"/>
            <rFont val="Tahoma"/>
            <family val="2"/>
          </rPr>
          <t xml:space="preserve">
crack on surface</t>
        </r>
      </text>
    </comment>
    <comment ref="F1054" authorId="0" shapeId="0" xr:uid="{00000000-0006-0000-0400-000094010000}">
      <text>
        <r>
          <rPr>
            <b/>
            <sz val="9"/>
            <color indexed="81"/>
            <rFont val="Tahoma"/>
            <family val="2"/>
          </rPr>
          <t>Author:</t>
        </r>
        <r>
          <rPr>
            <sz val="9"/>
            <color indexed="81"/>
            <rFont val="Tahoma"/>
            <family val="2"/>
          </rPr>
          <t xml:space="preserve">
fell off stalk when trying to fix runout</t>
        </r>
      </text>
    </comment>
    <comment ref="F1055" authorId="0" shapeId="0" xr:uid="{00000000-0006-0000-0400-000095010000}">
      <text>
        <r>
          <rPr>
            <b/>
            <sz val="9"/>
            <color indexed="81"/>
            <rFont val="Tahoma"/>
            <family val="2"/>
          </rPr>
          <t>Author:</t>
        </r>
        <r>
          <rPr>
            <sz val="9"/>
            <color indexed="81"/>
            <rFont val="Tahoma"/>
            <family val="2"/>
          </rPr>
          <t xml:space="preserve">
dimple on inner surface?
Dean- broken</t>
        </r>
      </text>
    </comment>
    <comment ref="F1057" authorId="0" shapeId="0" xr:uid="{00000000-0006-0000-0400-000096010000}">
      <text>
        <r>
          <rPr>
            <b/>
            <sz val="9"/>
            <color indexed="81"/>
            <rFont val="Tahoma"/>
            <family val="2"/>
          </rPr>
          <t>Author:</t>
        </r>
        <r>
          <rPr>
            <sz val="9"/>
            <color indexed="81"/>
            <rFont val="Tahoma"/>
            <family val="2"/>
          </rPr>
          <t xml:space="preserve">
Removed (glue smear)</t>
        </r>
      </text>
    </comment>
    <comment ref="F1059" authorId="0" shapeId="0" xr:uid="{00000000-0006-0000-0400-000097010000}">
      <text>
        <r>
          <rPr>
            <b/>
            <sz val="9"/>
            <color indexed="81"/>
            <rFont val="Tahoma"/>
            <family val="2"/>
          </rPr>
          <t>Author:</t>
        </r>
        <r>
          <rPr>
            <sz val="9"/>
            <color indexed="81"/>
            <rFont val="Tahoma"/>
            <family val="2"/>
          </rPr>
          <t xml:space="preserve">
Target oos (defect)</t>
        </r>
      </text>
    </comment>
    <comment ref="F1062" authorId="0" shapeId="0" xr:uid="{00000000-0006-0000-0400-000098010000}">
      <text>
        <r>
          <rPr>
            <b/>
            <sz val="9"/>
            <color indexed="81"/>
            <rFont val="Tahoma"/>
            <family val="2"/>
          </rPr>
          <t>Dayna Wasilewski
OOS Glue</t>
        </r>
      </text>
    </comment>
    <comment ref="F1064" authorId="0" shapeId="0" xr:uid="{00000000-0006-0000-0400-000099010000}">
      <text>
        <r>
          <rPr>
            <b/>
            <sz val="9"/>
            <color indexed="81"/>
            <rFont val="Tahoma"/>
            <family val="2"/>
          </rPr>
          <t>Author:</t>
        </r>
        <r>
          <rPr>
            <sz val="9"/>
            <color indexed="81"/>
            <rFont val="Tahoma"/>
            <family val="2"/>
          </rPr>
          <t xml:space="preserve">
Target fell off stalk </t>
        </r>
      </text>
    </comment>
    <comment ref="F1066" authorId="0" shapeId="0" xr:uid="{00000000-0006-0000-0400-00009A010000}">
      <text>
        <r>
          <rPr>
            <b/>
            <sz val="9"/>
            <color indexed="81"/>
            <rFont val="Tahoma"/>
            <family val="2"/>
          </rPr>
          <t>Author:</t>
        </r>
        <r>
          <rPr>
            <sz val="9"/>
            <color indexed="81"/>
            <rFont val="Tahoma"/>
            <family val="2"/>
          </rPr>
          <t xml:space="preserve">
deteched overnight in drybox</t>
        </r>
      </text>
    </comment>
    <comment ref="F1072" authorId="0" shapeId="0" xr:uid="{00000000-0006-0000-0400-00009B010000}">
      <text>
        <r>
          <rPr>
            <b/>
            <sz val="9"/>
            <color indexed="81"/>
            <rFont val="Tahoma"/>
            <family val="2"/>
          </rPr>
          <t>Author:</t>
        </r>
        <r>
          <rPr>
            <sz val="9"/>
            <color indexed="81"/>
            <rFont val="Tahoma"/>
            <family val="2"/>
          </rPr>
          <t xml:space="preserve">
&gt;10um defect OOS</t>
        </r>
      </text>
    </comment>
    <comment ref="F1073" authorId="0" shapeId="0" xr:uid="{00000000-0006-0000-0400-00009C010000}">
      <text>
        <r>
          <rPr>
            <b/>
            <sz val="9"/>
            <color indexed="81"/>
            <rFont val="Tahoma"/>
            <family val="2"/>
          </rPr>
          <t>Author:</t>
        </r>
        <r>
          <rPr>
            <sz val="9"/>
            <color indexed="81"/>
            <rFont val="Tahoma"/>
            <family val="2"/>
          </rPr>
          <t xml:space="preserve">
glue oos</t>
        </r>
      </text>
    </comment>
    <comment ref="F1075" authorId="0" shapeId="0" xr:uid="{00000000-0006-0000-0400-00009D010000}">
      <text>
        <r>
          <rPr>
            <b/>
            <sz val="9"/>
            <color indexed="81"/>
            <rFont val="Tahoma"/>
            <family val="2"/>
          </rPr>
          <t>Author:</t>
        </r>
        <r>
          <rPr>
            <sz val="9"/>
            <color indexed="81"/>
            <rFont val="Tahoma"/>
            <family val="2"/>
          </rPr>
          <t xml:space="preserve">
&gt;10um glue spot, OOS</t>
        </r>
      </text>
    </comment>
    <comment ref="F1078" authorId="0" shapeId="0" xr:uid="{00000000-0006-0000-0400-00009E010000}">
      <text>
        <r>
          <rPr>
            <b/>
            <sz val="9"/>
            <color indexed="81"/>
            <rFont val="Tahoma"/>
            <family val="2"/>
          </rPr>
          <t>Author:</t>
        </r>
        <r>
          <rPr>
            <sz val="9"/>
            <color indexed="81"/>
            <rFont val="Tahoma"/>
            <family val="2"/>
          </rPr>
          <t xml:space="preserve">
stalk displaced, OOS</t>
        </r>
      </text>
    </comment>
    <comment ref="F1081" authorId="0" shapeId="0" xr:uid="{00000000-0006-0000-0400-00009F010000}">
      <text>
        <r>
          <rPr>
            <b/>
            <sz val="9"/>
            <color indexed="81"/>
            <rFont val="Tahoma"/>
            <family val="2"/>
          </rPr>
          <t>Author:</t>
        </r>
        <r>
          <rPr>
            <sz val="9"/>
            <color indexed="81"/>
            <rFont val="Tahoma"/>
            <family val="2"/>
          </rPr>
          <t xml:space="preserve">
OOS-Defect</t>
        </r>
      </text>
    </comment>
    <comment ref="F1084" authorId="0" shapeId="0" xr:uid="{00000000-0006-0000-0400-0000A0010000}">
      <text>
        <r>
          <rPr>
            <b/>
            <sz val="9"/>
            <color indexed="81"/>
            <rFont val="Tahoma"/>
            <family val="2"/>
          </rPr>
          <t>Author:</t>
        </r>
        <r>
          <rPr>
            <sz val="9"/>
            <color indexed="81"/>
            <rFont val="Tahoma"/>
            <family val="2"/>
          </rPr>
          <t xml:space="preserve">
OOS Defect</t>
        </r>
      </text>
    </comment>
    <comment ref="F1085" authorId="0" shapeId="0" xr:uid="{00000000-0006-0000-0400-0000A1010000}">
      <text>
        <r>
          <rPr>
            <b/>
            <sz val="9"/>
            <color indexed="81"/>
            <rFont val="Tahoma"/>
            <family val="2"/>
          </rPr>
          <t>Author:</t>
        </r>
        <r>
          <rPr>
            <sz val="9"/>
            <color indexed="81"/>
            <rFont val="Tahoma"/>
            <family val="2"/>
          </rPr>
          <t xml:space="preserve">
Lost when moving to "rack" pin</t>
        </r>
      </text>
    </comment>
    <comment ref="F1086" authorId="0" shapeId="0" xr:uid="{00000000-0006-0000-0400-0000A2010000}">
      <text>
        <r>
          <rPr>
            <b/>
            <sz val="9"/>
            <color indexed="81"/>
            <rFont val="Tahoma"/>
            <family val="2"/>
          </rPr>
          <t>Author:</t>
        </r>
        <r>
          <rPr>
            <sz val="9"/>
            <color indexed="81"/>
            <rFont val="Tahoma"/>
            <family val="2"/>
          </rPr>
          <t xml:space="preserve">
Broken during loading into rack</t>
        </r>
      </text>
    </comment>
    <comment ref="F1087" authorId="0" shapeId="0" xr:uid="{00000000-0006-0000-0400-0000A3010000}">
      <text>
        <r>
          <rPr>
            <b/>
            <sz val="9"/>
            <color indexed="81"/>
            <rFont val="Tahoma"/>
            <family val="2"/>
          </rPr>
          <t>Author:</t>
        </r>
        <r>
          <rPr>
            <sz val="9"/>
            <color indexed="81"/>
            <rFont val="Tahoma"/>
            <family val="2"/>
          </rPr>
          <t xml:space="preserve">
Target lost when trying to remove debris</t>
        </r>
      </text>
    </comment>
    <comment ref="F1088" authorId="0" shapeId="0" xr:uid="{00000000-0006-0000-0400-0000A4010000}">
      <text>
        <r>
          <rPr>
            <b/>
            <sz val="9"/>
            <color indexed="81"/>
            <rFont val="Tahoma"/>
            <family val="2"/>
          </rPr>
          <t>Author:</t>
        </r>
        <r>
          <rPr>
            <sz val="9"/>
            <color indexed="81"/>
            <rFont val="Tahoma"/>
            <family val="2"/>
          </rPr>
          <t xml:space="preserve">
Lost</t>
        </r>
      </text>
    </comment>
    <comment ref="F1090" authorId="0" shapeId="0" xr:uid="{00000000-0006-0000-0400-0000A5010000}">
      <text>
        <r>
          <rPr>
            <b/>
            <sz val="9"/>
            <color indexed="81"/>
            <rFont val="Tahoma"/>
            <family val="2"/>
          </rPr>
          <t>Author:</t>
        </r>
        <r>
          <rPr>
            <sz val="9"/>
            <color indexed="81"/>
            <rFont val="Tahoma"/>
            <family val="2"/>
          </rPr>
          <t xml:space="preserve">
OOS, too many defects</t>
        </r>
      </text>
    </comment>
    <comment ref="F1093" authorId="0" shapeId="0" xr:uid="{00000000-0006-0000-0400-0000A6010000}">
      <text>
        <r>
          <rPr>
            <b/>
            <sz val="9"/>
            <color indexed="81"/>
            <rFont val="Tahoma"/>
            <family val="2"/>
          </rPr>
          <t>Author:</t>
        </r>
        <r>
          <rPr>
            <sz val="9"/>
            <color indexed="81"/>
            <rFont val="Tahoma"/>
            <family val="2"/>
          </rPr>
          <t xml:space="preserve">
stalk attachment displaced from ideal location</t>
        </r>
      </text>
    </comment>
    <comment ref="F1097" authorId="0" shapeId="0" xr:uid="{00000000-0006-0000-0400-0000A7010000}">
      <text>
        <r>
          <rPr>
            <b/>
            <sz val="9"/>
            <color indexed="81"/>
            <rFont val="Tahoma"/>
            <family val="2"/>
          </rPr>
          <t>Author:</t>
        </r>
        <r>
          <rPr>
            <sz val="9"/>
            <color indexed="81"/>
            <rFont val="Tahoma"/>
            <family val="2"/>
          </rPr>
          <t xml:space="preserve">
OOS,defect; Asymmetric glue</t>
        </r>
      </text>
    </comment>
    <comment ref="F1098" authorId="0" shapeId="0" xr:uid="{00000000-0006-0000-0400-0000A8010000}">
      <text>
        <r>
          <rPr>
            <b/>
            <sz val="9"/>
            <color indexed="81"/>
            <rFont val="Tahoma"/>
            <family val="2"/>
          </rPr>
          <t>Author:</t>
        </r>
        <r>
          <rPr>
            <sz val="9"/>
            <color indexed="81"/>
            <rFont val="Tahoma"/>
            <family val="2"/>
          </rPr>
          <t xml:space="preserve">
glue spike</t>
        </r>
      </text>
    </comment>
    <comment ref="F1099" authorId="0" shapeId="0" xr:uid="{00000000-0006-0000-0400-0000A9010000}">
      <text>
        <r>
          <rPr>
            <b/>
            <sz val="9"/>
            <color indexed="81"/>
            <rFont val="Tahoma"/>
            <family val="2"/>
          </rPr>
          <t>Author:</t>
        </r>
        <r>
          <rPr>
            <sz val="9"/>
            <color indexed="81"/>
            <rFont val="Tahoma"/>
            <family val="2"/>
          </rPr>
          <t xml:space="preserve">
Removed, Large defect</t>
        </r>
      </text>
    </comment>
    <comment ref="F1100" authorId="0" shapeId="0" xr:uid="{00000000-0006-0000-0400-0000AA010000}">
      <text>
        <r>
          <rPr>
            <b/>
            <sz val="9"/>
            <color indexed="81"/>
            <rFont val="Tahoma"/>
            <family val="2"/>
          </rPr>
          <t>Author:</t>
        </r>
        <r>
          <rPr>
            <sz val="9"/>
            <color indexed="81"/>
            <rFont val="Tahoma"/>
            <family val="2"/>
          </rPr>
          <t xml:space="preserve">
OOS; defect &gt;10um</t>
        </r>
      </text>
    </comment>
    <comment ref="F1101" authorId="0" shapeId="0" xr:uid="{00000000-0006-0000-0400-0000AB010000}">
      <text>
        <r>
          <rPr>
            <b/>
            <sz val="9"/>
            <color indexed="81"/>
            <rFont val="Tahoma"/>
            <family val="2"/>
          </rPr>
          <t>Author:</t>
        </r>
        <r>
          <rPr>
            <sz val="9"/>
            <color indexed="81"/>
            <rFont val="Tahoma"/>
            <family val="2"/>
          </rPr>
          <t xml:space="preserve">
glue on shell making it OOS
</t>
        </r>
      </text>
    </comment>
    <comment ref="F1103" authorId="0" shapeId="0" xr:uid="{00000000-0006-0000-0400-0000AC010000}">
      <text>
        <r>
          <rPr>
            <b/>
            <sz val="9"/>
            <color indexed="81"/>
            <rFont val="Tahoma"/>
            <family val="2"/>
          </rPr>
          <t>Author:</t>
        </r>
        <r>
          <rPr>
            <sz val="9"/>
            <color indexed="81"/>
            <rFont val="Tahoma"/>
            <family val="2"/>
          </rPr>
          <t xml:space="preserve">
asymmetric glue spot</t>
        </r>
      </text>
    </comment>
    <comment ref="F1105" authorId="0" shapeId="0" xr:uid="{00000000-0006-0000-0400-0000AD010000}">
      <text>
        <r>
          <rPr>
            <b/>
            <sz val="9"/>
            <color indexed="81"/>
            <rFont val="Tahoma"/>
            <family val="2"/>
          </rPr>
          <t>Author:</t>
        </r>
        <r>
          <rPr>
            <sz val="9"/>
            <color indexed="81"/>
            <rFont val="Tahoma"/>
            <family val="2"/>
          </rPr>
          <t xml:space="preserve">
LOST</t>
        </r>
      </text>
    </comment>
    <comment ref="F1106" authorId="0" shapeId="0" xr:uid="{00000000-0006-0000-0400-0000AE010000}">
      <text>
        <r>
          <rPr>
            <b/>
            <sz val="9"/>
            <color indexed="81"/>
            <rFont val="Tahoma"/>
            <family val="2"/>
          </rPr>
          <t>Author:</t>
        </r>
        <r>
          <rPr>
            <sz val="9"/>
            <color indexed="81"/>
            <rFont val="Tahoma"/>
            <family val="2"/>
          </rPr>
          <t xml:space="preserve">
LOST</t>
        </r>
      </text>
    </comment>
    <comment ref="F1108" authorId="0" shapeId="0" xr:uid="{00000000-0006-0000-0400-0000AF010000}">
      <text>
        <r>
          <rPr>
            <b/>
            <sz val="9"/>
            <color indexed="81"/>
            <rFont val="Tahoma"/>
            <family val="2"/>
          </rPr>
          <t>Author:</t>
        </r>
        <r>
          <rPr>
            <sz val="9"/>
            <color indexed="81"/>
            <rFont val="Tahoma"/>
            <family val="2"/>
          </rPr>
          <t xml:space="preserve">
OOS glue</t>
        </r>
      </text>
    </comment>
    <comment ref="F1109" authorId="0" shapeId="0" xr:uid="{00000000-0006-0000-0400-0000B0010000}">
      <text>
        <r>
          <rPr>
            <b/>
            <sz val="9"/>
            <color indexed="81"/>
            <rFont val="Tahoma"/>
            <family val="2"/>
          </rPr>
          <t>Author:</t>
        </r>
        <r>
          <rPr>
            <sz val="9"/>
            <color indexed="81"/>
            <rFont val="Tahoma"/>
            <family val="2"/>
          </rPr>
          <t xml:space="preserve">
OOS Glue</t>
        </r>
      </text>
    </comment>
    <comment ref="F1110" authorId="0" shapeId="0" xr:uid="{00000000-0006-0000-0400-0000B1010000}">
      <text>
        <r>
          <rPr>
            <b/>
            <sz val="9"/>
            <color indexed="81"/>
            <rFont val="Tahoma"/>
            <family val="2"/>
          </rPr>
          <t>Author:</t>
        </r>
        <r>
          <rPr>
            <sz val="9"/>
            <color indexed="81"/>
            <rFont val="Tahoma"/>
            <family val="2"/>
          </rPr>
          <t xml:space="preserve">
Target Lost</t>
        </r>
      </text>
    </comment>
    <comment ref="F1111" authorId="0" shapeId="0" xr:uid="{00000000-0006-0000-0400-0000B2010000}">
      <text>
        <r>
          <rPr>
            <b/>
            <sz val="9"/>
            <color indexed="81"/>
            <rFont val="Tahoma"/>
            <family val="2"/>
          </rPr>
          <t>Author:</t>
        </r>
        <r>
          <rPr>
            <sz val="9"/>
            <color indexed="81"/>
            <rFont val="Tahoma"/>
            <family val="2"/>
          </rPr>
          <t xml:space="preserve">
stalk moved along target with glue on it- removed</t>
        </r>
      </text>
    </comment>
    <comment ref="F1113" authorId="0" shapeId="0" xr:uid="{00000000-0006-0000-0400-0000B3010000}">
      <text>
        <r>
          <rPr>
            <b/>
            <sz val="9"/>
            <color indexed="81"/>
            <rFont val="Tahoma"/>
            <family val="2"/>
          </rPr>
          <t>Author:</t>
        </r>
        <r>
          <rPr>
            <sz val="9"/>
            <color indexed="81"/>
            <rFont val="Tahoma"/>
            <family val="2"/>
          </rPr>
          <t xml:space="preserve">
OOS glue</t>
        </r>
      </text>
    </comment>
    <comment ref="F1114" authorId="0" shapeId="0" xr:uid="{00000000-0006-0000-0400-0000B4010000}">
      <text>
        <r>
          <rPr>
            <b/>
            <sz val="9"/>
            <color indexed="81"/>
            <rFont val="Tahoma"/>
            <family val="2"/>
          </rPr>
          <t>Author:</t>
        </r>
        <r>
          <rPr>
            <sz val="9"/>
            <color indexed="81"/>
            <rFont val="Tahoma"/>
            <family val="2"/>
          </rPr>
          <t xml:space="preserve">
Removed. Used for testing</t>
        </r>
      </text>
    </comment>
    <comment ref="F1115" authorId="0" shapeId="0" xr:uid="{00000000-0006-0000-0400-0000B5010000}">
      <text>
        <r>
          <rPr>
            <b/>
            <sz val="9"/>
            <color indexed="81"/>
            <rFont val="Tahoma"/>
            <family val="2"/>
          </rPr>
          <t>Author:</t>
        </r>
        <r>
          <rPr>
            <sz val="9"/>
            <color indexed="81"/>
            <rFont val="Tahoma"/>
            <family val="2"/>
          </rPr>
          <t xml:space="preserve">
asymmetric glue spot</t>
        </r>
      </text>
    </comment>
    <comment ref="F1116" authorId="0" shapeId="0" xr:uid="{00000000-0006-0000-0400-0000B6010000}">
      <text>
        <r>
          <rPr>
            <b/>
            <sz val="9"/>
            <color indexed="81"/>
            <rFont val="Tahoma"/>
            <family val="2"/>
          </rPr>
          <t>Author:</t>
        </r>
        <r>
          <rPr>
            <sz val="9"/>
            <color indexed="81"/>
            <rFont val="Tahoma"/>
            <family val="2"/>
          </rPr>
          <t xml:space="preserve">
Lost</t>
        </r>
      </text>
    </comment>
    <comment ref="F1117" authorId="0" shapeId="0" xr:uid="{00000000-0006-0000-0400-0000B7010000}">
      <text>
        <r>
          <rPr>
            <b/>
            <sz val="9"/>
            <color indexed="81"/>
            <rFont val="Tahoma"/>
            <family val="2"/>
          </rPr>
          <t>Author:</t>
        </r>
        <r>
          <rPr>
            <sz val="9"/>
            <color indexed="81"/>
            <rFont val="Tahoma"/>
            <family val="2"/>
          </rPr>
          <t xml:space="preserve">
dropped target.. Nitrogen air streem was too strong</t>
        </r>
      </text>
    </comment>
    <comment ref="F1119" authorId="0" shapeId="0" xr:uid="{00000000-0006-0000-0400-0000B8010000}">
      <text>
        <r>
          <rPr>
            <b/>
            <sz val="9"/>
            <color indexed="81"/>
            <rFont val="Tahoma"/>
            <family val="2"/>
          </rPr>
          <t>Author:</t>
        </r>
        <r>
          <rPr>
            <sz val="9"/>
            <color indexed="81"/>
            <rFont val="Tahoma"/>
            <family val="2"/>
          </rPr>
          <t xml:space="preserve">
OOS glue, defect number</t>
        </r>
      </text>
    </comment>
    <comment ref="F1120" authorId="0" shapeId="0" xr:uid="{00000000-0006-0000-0400-0000B9010000}">
      <text>
        <r>
          <rPr>
            <b/>
            <sz val="9"/>
            <color indexed="81"/>
            <rFont val="Tahoma"/>
            <family val="2"/>
          </rPr>
          <t>Author:</t>
        </r>
        <r>
          <rPr>
            <sz val="9"/>
            <color indexed="81"/>
            <rFont val="Tahoma"/>
            <family val="2"/>
          </rPr>
          <t xml:space="preserve">
lost</t>
        </r>
      </text>
    </comment>
    <comment ref="F1121" authorId="0" shapeId="0" xr:uid="{00000000-0006-0000-0400-0000BA010000}">
      <text>
        <r>
          <rPr>
            <b/>
            <sz val="9"/>
            <color indexed="81"/>
            <rFont val="Tahoma"/>
            <family val="2"/>
          </rPr>
          <t>Author:</t>
        </r>
        <r>
          <rPr>
            <sz val="9"/>
            <color indexed="81"/>
            <rFont val="Tahoma"/>
            <family val="2"/>
          </rPr>
          <t xml:space="preserve">
OOS; defect &gt;10um</t>
        </r>
      </text>
    </comment>
    <comment ref="F1122" authorId="0" shapeId="0" xr:uid="{00000000-0006-0000-0400-0000BB010000}">
      <text>
        <r>
          <rPr>
            <b/>
            <sz val="9"/>
            <color indexed="81"/>
            <rFont val="Tahoma"/>
            <family val="2"/>
          </rPr>
          <t>Author:</t>
        </r>
        <r>
          <rPr>
            <sz val="9"/>
            <color indexed="81"/>
            <rFont val="Tahoma"/>
            <family val="2"/>
          </rPr>
          <t xml:space="preserve">
asym glue shape</t>
        </r>
      </text>
    </comment>
    <comment ref="F1123" authorId="0" shapeId="0" xr:uid="{00000000-0006-0000-0400-0000BC010000}">
      <text>
        <r>
          <rPr>
            <b/>
            <sz val="9"/>
            <color indexed="81"/>
            <rFont val="Tahoma"/>
            <family val="2"/>
          </rPr>
          <t>Author:</t>
        </r>
        <r>
          <rPr>
            <sz val="9"/>
            <color indexed="81"/>
            <rFont val="Tahoma"/>
            <family val="2"/>
          </rPr>
          <t xml:space="preserve">
OSS Defect, 180 deg. Target fell off and was remoutned. Set aside for Dean</t>
        </r>
      </text>
    </comment>
    <comment ref="F1124" authorId="0" shapeId="0" xr:uid="{00000000-0006-0000-0400-0000BD010000}">
      <text>
        <r>
          <rPr>
            <b/>
            <sz val="9"/>
            <color indexed="81"/>
            <rFont val="Tahoma"/>
            <family val="2"/>
          </rPr>
          <t>Author:</t>
        </r>
        <r>
          <rPr>
            <sz val="9"/>
            <color indexed="81"/>
            <rFont val="Tahoma"/>
            <family val="2"/>
          </rPr>
          <t xml:space="preserve">
OSS see image, looks like glue or tacky mat on target</t>
        </r>
      </text>
    </comment>
    <comment ref="F1125" authorId="0" shapeId="0" xr:uid="{00000000-0006-0000-0400-0000BE010000}">
      <text>
        <r>
          <rPr>
            <b/>
            <sz val="9"/>
            <color indexed="81"/>
            <rFont val="Tahoma"/>
            <family val="2"/>
          </rPr>
          <t>Author:</t>
        </r>
        <r>
          <rPr>
            <sz val="9"/>
            <color indexed="81"/>
            <rFont val="Tahoma"/>
            <family val="2"/>
          </rPr>
          <t xml:space="preserve">
lost when fixing run out</t>
        </r>
      </text>
    </comment>
    <comment ref="F1127" authorId="0" shapeId="0" xr:uid="{00000000-0006-0000-0400-0000BF010000}">
      <text>
        <r>
          <rPr>
            <b/>
            <sz val="9"/>
            <color indexed="81"/>
            <rFont val="Tahoma"/>
            <family val="2"/>
          </rPr>
          <t>Author:</t>
        </r>
        <r>
          <rPr>
            <sz val="9"/>
            <color indexed="81"/>
            <rFont val="Tahoma"/>
            <family val="2"/>
          </rPr>
          <t xml:space="preserve">
OOS bad glue spot</t>
        </r>
      </text>
    </comment>
    <comment ref="F1133" authorId="0" shapeId="0" xr:uid="{00000000-0006-0000-0400-0000C0010000}">
      <text>
        <r>
          <rPr>
            <b/>
            <sz val="9"/>
            <color indexed="81"/>
            <rFont val="Tahoma"/>
            <family val="2"/>
          </rPr>
          <t>Author:</t>
        </r>
        <r>
          <rPr>
            <sz val="9"/>
            <color indexed="81"/>
            <rFont val="Tahoma"/>
            <family val="2"/>
          </rPr>
          <t xml:space="preserve">
Asymmetrical glue spot</t>
        </r>
      </text>
    </comment>
    <comment ref="F1134" authorId="0" shapeId="0" xr:uid="{00000000-0006-0000-0400-0000C1010000}">
      <text>
        <r>
          <rPr>
            <b/>
            <sz val="9"/>
            <color indexed="81"/>
            <rFont val="Tahoma"/>
            <family val="2"/>
          </rPr>
          <t>Author:</t>
        </r>
        <r>
          <rPr>
            <sz val="9"/>
            <color indexed="81"/>
            <rFont val="Tahoma"/>
            <family val="2"/>
          </rPr>
          <t xml:space="preserve">
used to test glue. OOS</t>
        </r>
      </text>
    </comment>
    <comment ref="F1135" authorId="0" shapeId="0" xr:uid="{00000000-0006-0000-0400-0000C2010000}">
      <text>
        <r>
          <rPr>
            <b/>
            <sz val="9"/>
            <color indexed="81"/>
            <rFont val="Tahoma"/>
            <family val="2"/>
          </rPr>
          <t>Author:</t>
        </r>
        <r>
          <rPr>
            <sz val="9"/>
            <color indexed="81"/>
            <rFont val="Tahoma"/>
            <family val="2"/>
          </rPr>
          <t xml:space="preserve">
Debris on target, put back on slide. See image</t>
        </r>
      </text>
    </comment>
    <comment ref="F1136" authorId="0" shapeId="0" xr:uid="{00000000-0006-0000-0400-0000C3010000}">
      <text>
        <r>
          <rPr>
            <b/>
            <sz val="9"/>
            <color indexed="81"/>
            <rFont val="Tahoma"/>
            <family val="2"/>
          </rPr>
          <t>Author:</t>
        </r>
        <r>
          <rPr>
            <sz val="9"/>
            <color indexed="81"/>
            <rFont val="Tahoma"/>
            <family val="2"/>
          </rPr>
          <t xml:space="preserve">
looks like a possible crack or scratch in target. See attached image. Put back on slide</t>
        </r>
      </text>
    </comment>
    <comment ref="F1137" authorId="0" shapeId="0" xr:uid="{00000000-0006-0000-0400-0000C4010000}">
      <text>
        <r>
          <rPr>
            <b/>
            <sz val="9"/>
            <color indexed="81"/>
            <rFont val="Tahoma"/>
            <family val="2"/>
          </rPr>
          <t>Author:</t>
        </r>
        <r>
          <rPr>
            <sz val="9"/>
            <color indexed="81"/>
            <rFont val="Tahoma"/>
            <family val="2"/>
          </rPr>
          <t xml:space="preserve">
Debris on target, put back on slide. See image</t>
        </r>
      </text>
    </comment>
    <comment ref="F1139" authorId="0" shapeId="0" xr:uid="{00000000-0006-0000-0400-0000C5010000}">
      <text>
        <r>
          <rPr>
            <b/>
            <sz val="9"/>
            <color indexed="81"/>
            <rFont val="Tahoma"/>
            <family val="2"/>
          </rPr>
          <t>Author:</t>
        </r>
        <r>
          <rPr>
            <sz val="9"/>
            <color indexed="81"/>
            <rFont val="Tahoma"/>
            <family val="2"/>
          </rPr>
          <t xml:space="preserve">
target fell off when trying to fix runout, remounted and was statically stuck to the vacuum chuck. Removed and put back on slide</t>
        </r>
      </text>
    </comment>
    <comment ref="F1142" authorId="0" shapeId="0" xr:uid="{00000000-0006-0000-0400-0000C6010000}">
      <text>
        <r>
          <rPr>
            <b/>
            <sz val="9"/>
            <color indexed="81"/>
            <rFont val="Tahoma"/>
            <family val="2"/>
          </rPr>
          <t>Author:</t>
        </r>
        <r>
          <rPr>
            <sz val="9"/>
            <color indexed="81"/>
            <rFont val="Tahoma"/>
            <family val="2"/>
          </rPr>
          <t xml:space="preserve">
Lost to too strong of nitrogen purge</t>
        </r>
      </text>
    </comment>
    <comment ref="F1143" authorId="0" shapeId="0" xr:uid="{00000000-0006-0000-0400-0000C7010000}">
      <text>
        <r>
          <rPr>
            <b/>
            <sz val="9"/>
            <color indexed="81"/>
            <rFont val="Tahoma"/>
            <family val="2"/>
          </rPr>
          <t>Author:</t>
        </r>
        <r>
          <rPr>
            <sz val="9"/>
            <color indexed="81"/>
            <rFont val="Tahoma"/>
            <family val="2"/>
          </rPr>
          <t xml:space="preserve">
looks like there is a crack on the surface. See image</t>
        </r>
      </text>
    </comment>
    <comment ref="F1144" authorId="0" shapeId="0" xr:uid="{00000000-0006-0000-0400-0000C8010000}">
      <text>
        <r>
          <rPr>
            <b/>
            <sz val="9"/>
            <color indexed="81"/>
            <rFont val="Tahoma"/>
            <family val="2"/>
          </rPr>
          <t>Author:</t>
        </r>
        <r>
          <rPr>
            <sz val="9"/>
            <color indexed="81"/>
            <rFont val="Tahoma"/>
            <family val="2"/>
          </rPr>
          <t xml:space="preserve">
Fell off trying to fix runout</t>
        </r>
      </text>
    </comment>
    <comment ref="F1145" authorId="0" shapeId="0" xr:uid="{00000000-0006-0000-0400-0000C9010000}">
      <text>
        <r>
          <rPr>
            <b/>
            <sz val="9"/>
            <color indexed="81"/>
            <rFont val="Tahoma"/>
            <family val="2"/>
          </rPr>
          <t>Author:</t>
        </r>
        <r>
          <rPr>
            <sz val="9"/>
            <color indexed="81"/>
            <rFont val="Tahoma"/>
            <family val="2"/>
          </rPr>
          <t xml:space="preserve">
lost trying to fix runout</t>
        </r>
      </text>
    </comment>
    <comment ref="F1149" authorId="0" shapeId="0" xr:uid="{00000000-0006-0000-0400-0000CA010000}">
      <text>
        <r>
          <rPr>
            <b/>
            <sz val="9"/>
            <color indexed="81"/>
            <rFont val="Tahoma"/>
            <family val="2"/>
          </rPr>
          <t>Author:</t>
        </r>
        <r>
          <rPr>
            <sz val="9"/>
            <color indexed="81"/>
            <rFont val="Tahoma"/>
            <family val="2"/>
          </rPr>
          <t xml:space="preserve">
OOS Defect</t>
        </r>
      </text>
    </comment>
    <comment ref="F1152" authorId="0" shapeId="0" xr:uid="{00000000-0006-0000-0400-0000CB010000}">
      <text>
        <r>
          <rPr>
            <b/>
            <sz val="9"/>
            <color indexed="81"/>
            <rFont val="Tahoma"/>
            <family val="2"/>
          </rPr>
          <t>Author:</t>
        </r>
        <r>
          <rPr>
            <sz val="9"/>
            <color indexed="81"/>
            <rFont val="Tahoma"/>
            <family val="2"/>
          </rPr>
          <t xml:space="preserve">
OOS defect @180deg</t>
        </r>
      </text>
    </comment>
    <comment ref="F1156" authorId="0" shapeId="0" xr:uid="{00000000-0006-0000-0400-0000CC010000}">
      <text>
        <r>
          <rPr>
            <b/>
            <sz val="9"/>
            <color indexed="81"/>
            <rFont val="Tahoma"/>
            <family val="2"/>
          </rPr>
          <t>Author:</t>
        </r>
        <r>
          <rPr>
            <sz val="9"/>
            <color indexed="81"/>
            <rFont val="Tahoma"/>
            <family val="2"/>
          </rPr>
          <t xml:space="preserve">
fell off trying to remove debris. Put back on slide </t>
        </r>
      </text>
    </comment>
    <comment ref="F1159" authorId="0" shapeId="0" xr:uid="{00000000-0006-0000-0400-0000CD010000}">
      <text>
        <r>
          <rPr>
            <b/>
            <sz val="9"/>
            <color indexed="81"/>
            <rFont val="Tahoma"/>
            <family val="2"/>
          </rPr>
          <t>Author:</t>
        </r>
        <r>
          <rPr>
            <sz val="9"/>
            <color indexed="81"/>
            <rFont val="Tahoma"/>
            <family val="2"/>
          </rPr>
          <t xml:space="preserve">
lost due to static</t>
        </r>
      </text>
    </comment>
    <comment ref="F1160" authorId="0" shapeId="0" xr:uid="{00000000-0006-0000-0400-0000CE010000}">
      <text>
        <r>
          <rPr>
            <b/>
            <sz val="9"/>
            <color indexed="81"/>
            <rFont val="Tahoma"/>
            <family val="2"/>
          </rPr>
          <t>Author:</t>
        </r>
        <r>
          <rPr>
            <sz val="9"/>
            <color indexed="81"/>
            <rFont val="Tahoma"/>
            <family val="2"/>
          </rPr>
          <t xml:space="preserve">
fiber moved across cap. "two glue spots"</t>
        </r>
      </text>
    </comment>
    <comment ref="F1161" authorId="0" shapeId="0" xr:uid="{00000000-0006-0000-0400-0000CF010000}">
      <text>
        <r>
          <rPr>
            <b/>
            <sz val="9"/>
            <color indexed="81"/>
            <rFont val="Tahoma"/>
            <family val="2"/>
          </rPr>
          <t>Author:</t>
        </r>
        <r>
          <rPr>
            <sz val="9"/>
            <color indexed="81"/>
            <rFont val="Tahoma"/>
            <family val="2"/>
          </rPr>
          <t xml:space="preserve">
OOS Defect &gt;10um</t>
        </r>
      </text>
    </comment>
    <comment ref="F1162" authorId="0" shapeId="0" xr:uid="{00000000-0006-0000-0400-0000D0010000}">
      <text>
        <r>
          <rPr>
            <b/>
            <sz val="9"/>
            <color indexed="81"/>
            <rFont val="Tahoma"/>
            <family val="2"/>
          </rPr>
          <t>Author:</t>
        </r>
        <r>
          <rPr>
            <sz val="9"/>
            <color indexed="81"/>
            <rFont val="Tahoma"/>
            <family val="2"/>
          </rPr>
          <t xml:space="preserve">
OOS defect &gt;10um</t>
        </r>
      </text>
    </comment>
    <comment ref="F1163" authorId="0" shapeId="0" xr:uid="{00000000-0006-0000-0400-0000D1010000}">
      <text>
        <r>
          <rPr>
            <b/>
            <sz val="9"/>
            <color indexed="81"/>
            <rFont val="Tahoma"/>
            <family val="2"/>
          </rPr>
          <t>Author:</t>
        </r>
        <r>
          <rPr>
            <sz val="9"/>
            <color indexed="81"/>
            <rFont val="Tahoma"/>
            <family val="2"/>
          </rPr>
          <t xml:space="preserve">
OOS d3efect &gt;10um</t>
        </r>
      </text>
    </comment>
    <comment ref="F1164" authorId="0" shapeId="0" xr:uid="{00000000-0006-0000-0400-0000D2010000}">
      <text>
        <r>
          <rPr>
            <b/>
            <sz val="9"/>
            <color indexed="81"/>
            <rFont val="Tahoma"/>
            <family val="2"/>
          </rPr>
          <t>Author:</t>
        </r>
        <r>
          <rPr>
            <sz val="9"/>
            <color indexed="81"/>
            <rFont val="Tahoma"/>
            <family val="2"/>
          </rPr>
          <t xml:space="preserve">
broken in glovebox during rack loading; slight touch knocked target off</t>
        </r>
      </text>
    </comment>
    <comment ref="F1165" authorId="0" shapeId="0" xr:uid="{00000000-0006-0000-0400-0000D3010000}">
      <text>
        <r>
          <rPr>
            <b/>
            <sz val="9"/>
            <color indexed="81"/>
            <rFont val="Tahoma"/>
            <family val="2"/>
          </rPr>
          <t>Author:</t>
        </r>
        <r>
          <rPr>
            <sz val="9"/>
            <color indexed="81"/>
            <rFont val="Tahoma"/>
            <family val="2"/>
          </rPr>
          <t xml:space="preserve">
broken in glovebox during rack loading; not from handling</t>
        </r>
      </text>
    </comment>
    <comment ref="F1167" authorId="0" shapeId="0" xr:uid="{00000000-0006-0000-0400-0000D4010000}">
      <text>
        <r>
          <rPr>
            <b/>
            <sz val="9"/>
            <color indexed="81"/>
            <rFont val="Tahoma"/>
            <family val="2"/>
          </rPr>
          <t>Author:</t>
        </r>
        <r>
          <rPr>
            <sz val="9"/>
            <color indexed="81"/>
            <rFont val="Tahoma"/>
            <family val="2"/>
          </rPr>
          <t xml:space="preserve">
Large cluster of defects &gt;10um</t>
        </r>
      </text>
    </comment>
    <comment ref="F1169" authorId="0" shapeId="0" xr:uid="{00000000-0006-0000-0400-0000D5010000}">
      <text>
        <r>
          <rPr>
            <b/>
            <sz val="9"/>
            <color indexed="81"/>
            <rFont val="Tahoma"/>
            <family val="2"/>
          </rPr>
          <t>Author:</t>
        </r>
        <r>
          <rPr>
            <sz val="9"/>
            <color indexed="81"/>
            <rFont val="Tahoma"/>
            <family val="2"/>
          </rPr>
          <t xml:space="preserve">
OOS; two scratches on surface</t>
        </r>
      </text>
    </comment>
    <comment ref="F1171" authorId="0" shapeId="0" xr:uid="{00000000-0006-0000-0400-0000D6010000}">
      <text>
        <r>
          <rPr>
            <b/>
            <sz val="9"/>
            <color indexed="81"/>
            <rFont val="Tahoma"/>
            <family val="2"/>
          </rPr>
          <t>Author:</t>
        </r>
        <r>
          <rPr>
            <sz val="9"/>
            <color indexed="81"/>
            <rFont val="Tahoma"/>
            <family val="2"/>
          </rPr>
          <t xml:space="preserve">
Broken in glovebox during rack loading; golf tee; tweezer mishandle</t>
        </r>
      </text>
    </comment>
    <comment ref="F1172" authorId="0" shapeId="0" xr:uid="{00000000-0006-0000-0400-0000D7010000}">
      <text>
        <r>
          <rPr>
            <b/>
            <sz val="9"/>
            <color indexed="81"/>
            <rFont val="Tahoma"/>
            <family val="2"/>
          </rPr>
          <t>Author:</t>
        </r>
        <r>
          <rPr>
            <sz val="9"/>
            <color indexed="81"/>
            <rFont val="Tahoma"/>
            <family val="2"/>
          </rPr>
          <t xml:space="preserve">
Target Removed. stalk traveled up target when trying to remove.</t>
        </r>
      </text>
    </comment>
    <comment ref="F1176" authorId="0" shapeId="0" xr:uid="{00000000-0006-0000-0400-0000D8010000}">
      <text>
        <r>
          <rPr>
            <b/>
            <sz val="9"/>
            <color indexed="81"/>
            <rFont val="Tahoma"/>
            <family val="2"/>
          </rPr>
          <t>Author:</t>
        </r>
        <r>
          <rPr>
            <sz val="9"/>
            <color indexed="81"/>
            <rFont val="Tahoma"/>
            <family val="2"/>
          </rPr>
          <t xml:space="preserve">
Removed, fell off stalk due to static cling to chuck</t>
        </r>
      </text>
    </comment>
    <comment ref="F1177" authorId="0" shapeId="0" xr:uid="{00000000-0006-0000-0400-0000D9010000}">
      <text>
        <r>
          <rPr>
            <b/>
            <sz val="9"/>
            <color indexed="81"/>
            <rFont val="Tahoma"/>
            <family val="2"/>
          </rPr>
          <t>Author:</t>
        </r>
        <r>
          <rPr>
            <sz val="9"/>
            <color indexed="81"/>
            <rFont val="Tahoma"/>
            <family val="2"/>
          </rPr>
          <t xml:space="preserve">
17um fiber wicked up the target when capsule was moved in</t>
        </r>
      </text>
    </comment>
    <comment ref="F1178" authorId="0" shapeId="0" xr:uid="{00000000-0006-0000-0400-0000DA010000}">
      <text>
        <r>
          <rPr>
            <b/>
            <sz val="9"/>
            <color indexed="81"/>
            <rFont val="Tahoma"/>
            <family val="2"/>
          </rPr>
          <t>Author:</t>
        </r>
        <r>
          <rPr>
            <sz val="9"/>
            <color indexed="81"/>
            <rFont val="Tahoma"/>
            <family val="2"/>
          </rPr>
          <t xml:space="preserve">
OOS bad glue spot, Removed</t>
        </r>
      </text>
    </comment>
    <comment ref="F1184" authorId="0" shapeId="0" xr:uid="{00000000-0006-0000-0400-0000DB010000}">
      <text>
        <r>
          <rPr>
            <b/>
            <sz val="9"/>
            <color indexed="81"/>
            <rFont val="Tahoma"/>
            <family val="2"/>
          </rPr>
          <t>Author:</t>
        </r>
        <r>
          <rPr>
            <sz val="9"/>
            <color indexed="81"/>
            <rFont val="Tahoma"/>
            <family val="2"/>
          </rPr>
          <t xml:space="preserve">
glue oos</t>
        </r>
      </text>
    </comment>
    <comment ref="F1185" authorId="0" shapeId="0" xr:uid="{00000000-0006-0000-0400-0000DC010000}">
      <text>
        <r>
          <rPr>
            <b/>
            <sz val="9"/>
            <color indexed="81"/>
            <rFont val="Tahoma"/>
            <family val="2"/>
          </rPr>
          <t>Author:</t>
        </r>
        <r>
          <rPr>
            <sz val="9"/>
            <color indexed="81"/>
            <rFont val="Tahoma"/>
            <family val="2"/>
          </rPr>
          <t xml:space="preserve">
OOS large glue spot</t>
        </r>
      </text>
    </comment>
    <comment ref="F1187" authorId="0" shapeId="0" xr:uid="{00000000-0006-0000-0400-0000DD010000}">
      <text>
        <r>
          <rPr>
            <b/>
            <sz val="9"/>
            <color indexed="81"/>
            <rFont val="Tahoma"/>
            <family val="2"/>
          </rPr>
          <t>Author:</t>
        </r>
        <r>
          <rPr>
            <sz val="9"/>
            <color indexed="81"/>
            <rFont val="Tahoma"/>
            <family val="2"/>
          </rPr>
          <t xml:space="preserve">
Broken tring to remove debris</t>
        </r>
      </text>
    </comment>
    <comment ref="F1188" authorId="0" shapeId="0" xr:uid="{00000000-0006-0000-0400-0000DE010000}">
      <text>
        <r>
          <rPr>
            <b/>
            <sz val="9"/>
            <color indexed="81"/>
            <rFont val="Tahoma"/>
            <family val="2"/>
          </rPr>
          <t>Author:</t>
        </r>
        <r>
          <rPr>
            <sz val="9"/>
            <color indexed="81"/>
            <rFont val="Tahoma"/>
            <family val="2"/>
          </rPr>
          <t xml:space="preserve">
cracked when trying to pick up; target removed</t>
        </r>
      </text>
    </comment>
    <comment ref="F1191" authorId="0" shapeId="0" xr:uid="{00000000-0006-0000-0400-0000DF010000}">
      <text>
        <r>
          <rPr>
            <b/>
            <sz val="9"/>
            <color indexed="81"/>
            <rFont val="Tahoma"/>
            <family val="2"/>
          </rPr>
          <t>Author:</t>
        </r>
        <r>
          <rPr>
            <sz val="9"/>
            <color indexed="81"/>
            <rFont val="Tahoma"/>
            <family val="2"/>
          </rPr>
          <t xml:space="preserve">
target lost </t>
        </r>
      </text>
    </comment>
    <comment ref="F1197" authorId="0" shapeId="0" xr:uid="{00000000-0006-0000-0400-0000E0010000}">
      <text>
        <r>
          <rPr>
            <b/>
            <sz val="9"/>
            <color indexed="81"/>
            <rFont val="Tahoma"/>
            <family val="2"/>
          </rPr>
          <t>Author:</t>
        </r>
        <r>
          <rPr>
            <sz val="9"/>
            <color indexed="81"/>
            <rFont val="Tahoma"/>
            <family val="2"/>
          </rPr>
          <t xml:space="preserve">
Target fell off stalk </t>
        </r>
      </text>
    </comment>
    <comment ref="F1201" authorId="0" shapeId="0" xr:uid="{00000000-0006-0000-0400-0000E1010000}">
      <text>
        <r>
          <rPr>
            <b/>
            <sz val="9"/>
            <color indexed="81"/>
            <rFont val="Tahoma"/>
            <family val="2"/>
          </rPr>
          <t>Author:</t>
        </r>
        <r>
          <rPr>
            <sz val="9"/>
            <color indexed="81"/>
            <rFont val="Tahoma"/>
            <family val="2"/>
          </rPr>
          <t xml:space="preserve">
OOS too many defects</t>
        </r>
      </text>
    </comment>
    <comment ref="F1204" authorId="0" shapeId="0" xr:uid="{00000000-0006-0000-0400-0000E2010000}">
      <text>
        <r>
          <rPr>
            <b/>
            <sz val="9"/>
            <color indexed="81"/>
            <rFont val="Tahoma"/>
            <family val="2"/>
          </rPr>
          <t>Author:</t>
        </r>
        <r>
          <rPr>
            <sz val="9"/>
            <color indexed="81"/>
            <rFont val="Tahoma"/>
            <family val="2"/>
          </rPr>
          <t xml:space="preserve">
OOS, 2 defects at 10um</t>
        </r>
      </text>
    </comment>
    <comment ref="F1205" authorId="0" shapeId="0" xr:uid="{610F7256-C776-4EF7-B6B5-6636009DD1E4}">
      <text>
        <r>
          <rPr>
            <b/>
            <sz val="9"/>
            <color indexed="81"/>
            <rFont val="Tahoma"/>
            <family val="2"/>
          </rPr>
          <t>Author:</t>
        </r>
        <r>
          <rPr>
            <sz val="9"/>
            <color indexed="81"/>
            <rFont val="Tahoma"/>
            <family val="2"/>
          </rPr>
          <t xml:space="preserve">
dean- broken</t>
        </r>
      </text>
    </comment>
    <comment ref="F1206" authorId="0" shapeId="0" xr:uid="{00000000-0006-0000-0400-0000E3010000}">
      <text>
        <r>
          <rPr>
            <b/>
            <sz val="9"/>
            <color indexed="81"/>
            <rFont val="Tahoma"/>
            <family val="2"/>
          </rPr>
          <t>Author:</t>
        </r>
        <r>
          <rPr>
            <sz val="9"/>
            <color indexed="81"/>
            <rFont val="Tahoma"/>
            <family val="2"/>
          </rPr>
          <t xml:space="preserve">
broken trying to remove debris</t>
        </r>
      </text>
    </comment>
    <comment ref="F1208" authorId="0" shapeId="0" xr:uid="{00000000-0006-0000-0400-0000E4010000}">
      <text>
        <r>
          <rPr>
            <b/>
            <sz val="9"/>
            <color indexed="81"/>
            <rFont val="Tahoma"/>
            <family val="2"/>
          </rPr>
          <t>Author:</t>
        </r>
        <r>
          <rPr>
            <sz val="9"/>
            <color indexed="81"/>
            <rFont val="Tahoma"/>
            <family val="2"/>
          </rPr>
          <t xml:space="preserve">
broken trying to remove large debris</t>
        </r>
      </text>
    </comment>
    <comment ref="F1209" authorId="0" shapeId="0" xr:uid="{00000000-0006-0000-0400-0000E5010000}">
      <text>
        <r>
          <rPr>
            <b/>
            <sz val="9"/>
            <color indexed="81"/>
            <rFont val="Tahoma"/>
            <family val="2"/>
          </rPr>
          <t>Author:</t>
        </r>
        <r>
          <rPr>
            <sz val="9"/>
            <color indexed="81"/>
            <rFont val="Tahoma"/>
            <family val="2"/>
          </rPr>
          <t xml:space="preserve">
oos glue</t>
        </r>
      </text>
    </comment>
    <comment ref="F1213" authorId="0" shapeId="0" xr:uid="{00000000-0006-0000-0400-0000E6010000}">
      <text>
        <r>
          <rPr>
            <b/>
            <sz val="9"/>
            <color indexed="81"/>
            <rFont val="Tahoma"/>
            <family val="2"/>
          </rPr>
          <t>Author:</t>
        </r>
        <r>
          <rPr>
            <sz val="9"/>
            <color indexed="81"/>
            <rFont val="Tahoma"/>
            <family val="2"/>
          </rPr>
          <t xml:space="preserve">
Nitrogen purge blew off stalk, tried to remount. Broken trying to remove debris; faint trace of glue spot.  Potential stalk motion during curing makes to neighboring spots</t>
        </r>
      </text>
    </comment>
    <comment ref="F1217" authorId="0" shapeId="0" xr:uid="{00000000-0006-0000-0400-0000E7010000}">
      <text>
        <r>
          <rPr>
            <b/>
            <sz val="9"/>
            <color indexed="81"/>
            <rFont val="Tahoma"/>
            <family val="2"/>
          </rPr>
          <t>Author:</t>
        </r>
        <r>
          <rPr>
            <sz val="9"/>
            <color indexed="81"/>
            <rFont val="Tahoma"/>
            <family val="2"/>
          </rPr>
          <t xml:space="preserve">
lost during loading rack</t>
        </r>
      </text>
    </comment>
    <comment ref="F1223" authorId="0" shapeId="0" xr:uid="{00000000-0006-0000-0400-0000E8010000}">
      <text>
        <r>
          <rPr>
            <b/>
            <sz val="9"/>
            <color indexed="81"/>
            <rFont val="Tahoma"/>
            <family val="2"/>
          </rPr>
          <t>Author:</t>
        </r>
        <r>
          <rPr>
            <sz val="9"/>
            <color indexed="81"/>
            <rFont val="Tahoma"/>
            <family val="2"/>
          </rPr>
          <t xml:space="preserve">
broken</t>
        </r>
      </text>
    </comment>
    <comment ref="F1224" authorId="0" shapeId="0" xr:uid="{00000000-0006-0000-0400-0000E9010000}">
      <text>
        <r>
          <rPr>
            <b/>
            <sz val="9"/>
            <color indexed="81"/>
            <rFont val="Tahoma"/>
            <family val="2"/>
          </rPr>
          <t>Author:</t>
        </r>
        <r>
          <rPr>
            <sz val="9"/>
            <color indexed="81"/>
            <rFont val="Tahoma"/>
            <family val="2"/>
          </rPr>
          <t xml:space="preserve">
broken</t>
        </r>
      </text>
    </comment>
    <comment ref="F1225" authorId="0" shapeId="0" xr:uid="{00000000-0006-0000-0400-0000EA010000}">
      <text>
        <r>
          <rPr>
            <b/>
            <sz val="9"/>
            <color indexed="81"/>
            <rFont val="Tahoma"/>
            <family val="2"/>
          </rPr>
          <t>Author:</t>
        </r>
        <r>
          <rPr>
            <sz val="9"/>
            <color indexed="81"/>
            <rFont val="Tahoma"/>
            <family val="2"/>
          </rPr>
          <t xml:space="preserve">
fell off</t>
        </r>
      </text>
    </comment>
    <comment ref="F1227" authorId="0" shapeId="0" xr:uid="{00000000-0006-0000-0400-0000EB010000}">
      <text>
        <r>
          <rPr>
            <b/>
            <sz val="9"/>
            <color indexed="81"/>
            <rFont val="Tahoma"/>
            <family val="2"/>
          </rPr>
          <t>Author:</t>
        </r>
        <r>
          <rPr>
            <sz val="9"/>
            <color indexed="81"/>
            <rFont val="Tahoma"/>
            <family val="2"/>
          </rPr>
          <t xml:space="preserve">
broken</t>
        </r>
      </text>
    </comment>
    <comment ref="F1228" authorId="0" shapeId="0" xr:uid="{00000000-0006-0000-0400-0000EC010000}">
      <text>
        <r>
          <rPr>
            <b/>
            <sz val="9"/>
            <color indexed="81"/>
            <rFont val="Tahoma"/>
            <family val="2"/>
          </rPr>
          <t>Author:</t>
        </r>
        <r>
          <rPr>
            <sz val="9"/>
            <color indexed="81"/>
            <rFont val="Tahoma"/>
            <family val="2"/>
          </rPr>
          <t xml:space="preserve">
Too many defects. &gt;5 on 0 deg alone</t>
        </r>
      </text>
    </comment>
    <comment ref="F1229" authorId="0" shapeId="0" xr:uid="{00000000-0006-0000-0400-0000ED010000}">
      <text>
        <r>
          <rPr>
            <b/>
            <sz val="9"/>
            <color indexed="81"/>
            <rFont val="Tahoma"/>
            <family val="2"/>
          </rPr>
          <t>Author:</t>
        </r>
        <r>
          <rPr>
            <sz val="9"/>
            <color indexed="81"/>
            <rFont val="Tahoma"/>
            <family val="2"/>
          </rPr>
          <t xml:space="preserve">
defects</t>
        </r>
      </text>
    </comment>
    <comment ref="F1232" authorId="0" shapeId="0" xr:uid="{00000000-0006-0000-0400-0000EE010000}">
      <text>
        <r>
          <rPr>
            <b/>
            <sz val="9"/>
            <color indexed="81"/>
            <rFont val="Tahoma"/>
            <family val="2"/>
          </rPr>
          <t>Author:</t>
        </r>
        <r>
          <rPr>
            <sz val="9"/>
            <color indexed="81"/>
            <rFont val="Tahoma"/>
            <family val="2"/>
          </rPr>
          <t xml:space="preserve">
bad glue spot</t>
        </r>
      </text>
    </comment>
    <comment ref="F1233" authorId="0" shapeId="0" xr:uid="{00000000-0006-0000-0400-0000EF010000}">
      <text>
        <r>
          <rPr>
            <b/>
            <sz val="9"/>
            <color indexed="81"/>
            <rFont val="Tahoma"/>
            <family val="2"/>
          </rPr>
          <t>Author:</t>
        </r>
        <r>
          <rPr>
            <sz val="9"/>
            <color indexed="81"/>
            <rFont val="Tahoma"/>
            <family val="2"/>
          </rPr>
          <t xml:space="preserve">
broken</t>
        </r>
      </text>
    </comment>
    <comment ref="F1234" authorId="0" shapeId="0" xr:uid="{00000000-0006-0000-0400-0000F0010000}">
      <text>
        <r>
          <rPr>
            <b/>
            <sz val="9"/>
            <color indexed="81"/>
            <rFont val="Tahoma"/>
            <family val="2"/>
          </rPr>
          <t>Author:</t>
        </r>
        <r>
          <rPr>
            <sz val="9"/>
            <color indexed="81"/>
            <rFont val="Tahoma"/>
            <family val="2"/>
          </rPr>
          <t xml:space="preserve">
looks like debris or scratchs on target.</t>
        </r>
      </text>
    </comment>
    <comment ref="F1238" authorId="0" shapeId="0" xr:uid="{00000000-0006-0000-0400-0000F1010000}">
      <text>
        <r>
          <rPr>
            <b/>
            <sz val="9"/>
            <color indexed="81"/>
            <rFont val="Tahoma"/>
            <family val="2"/>
          </rPr>
          <t>Author:</t>
        </r>
        <r>
          <rPr>
            <sz val="9"/>
            <color indexed="81"/>
            <rFont val="Tahoma"/>
            <family val="2"/>
          </rPr>
          <t xml:space="preserve">
broken trying to remove debris</t>
        </r>
      </text>
    </comment>
    <comment ref="F1242" authorId="0" shapeId="0" xr:uid="{00000000-0006-0000-0400-0000F2010000}">
      <text>
        <r>
          <rPr>
            <b/>
            <sz val="9"/>
            <color indexed="81"/>
            <rFont val="Tahoma"/>
            <family val="2"/>
          </rPr>
          <t>Author:</t>
        </r>
        <r>
          <rPr>
            <sz val="9"/>
            <color indexed="81"/>
            <rFont val="Tahoma"/>
            <family val="2"/>
          </rPr>
          <t xml:space="preserve">
target fell off stal trying to adjust runout</t>
        </r>
      </text>
    </comment>
    <comment ref="F1243" authorId="0" shapeId="0" xr:uid="{00000000-0006-0000-0400-0000F3010000}">
      <text>
        <r>
          <rPr>
            <b/>
            <sz val="9"/>
            <color indexed="81"/>
            <rFont val="Tahoma"/>
            <family val="2"/>
          </rPr>
          <t>Author:</t>
        </r>
        <r>
          <rPr>
            <sz val="9"/>
            <color indexed="81"/>
            <rFont val="Tahoma"/>
            <family val="2"/>
          </rPr>
          <t xml:space="preserve">
two defects &gt;10um</t>
        </r>
      </text>
    </comment>
    <comment ref="F1246" authorId="0" shapeId="0" xr:uid="{00000000-0006-0000-0400-0000F4010000}">
      <text>
        <r>
          <rPr>
            <b/>
            <sz val="9"/>
            <color indexed="81"/>
            <rFont val="Tahoma"/>
            <family val="2"/>
          </rPr>
          <t>Author:</t>
        </r>
        <r>
          <rPr>
            <sz val="9"/>
            <color indexed="81"/>
            <rFont val="Tahoma"/>
            <family val="2"/>
          </rPr>
          <t xml:space="preserve">
broken trying to adjust runout</t>
        </r>
      </text>
    </comment>
    <comment ref="W1261" authorId="0" shapeId="0" xr:uid="{00000000-0006-0000-0400-0000F5010000}">
      <text>
        <r>
          <rPr>
            <b/>
            <sz val="9"/>
            <color indexed="81"/>
            <rFont val="Tahoma"/>
            <family val="2"/>
          </rPr>
          <t>Author:</t>
        </r>
        <r>
          <rPr>
            <sz val="9"/>
            <color indexed="81"/>
            <rFont val="Tahoma"/>
            <family val="2"/>
          </rPr>
          <t xml:space="preserve">
3 that were &lt;5um in one dimension)</t>
        </r>
      </text>
    </comment>
    <comment ref="F1263" authorId="0" shapeId="0" xr:uid="{00000000-0006-0000-0400-0000F6010000}">
      <text>
        <r>
          <rPr>
            <b/>
            <sz val="9"/>
            <color indexed="81"/>
            <rFont val="Tahoma"/>
            <family val="2"/>
          </rPr>
          <t>Author:</t>
        </r>
        <r>
          <rPr>
            <sz val="9"/>
            <color indexed="81"/>
            <rFont val="Tahoma"/>
            <family val="2"/>
          </rPr>
          <t xml:space="preserve">
shell surface has scratches, defects or other rejectable surface finish</t>
        </r>
      </text>
    </comment>
    <comment ref="F1264" authorId="0" shapeId="0" xr:uid="{00000000-0006-0000-0400-0000F7010000}">
      <text>
        <r>
          <rPr>
            <b/>
            <sz val="9"/>
            <color indexed="81"/>
            <rFont val="Tahoma"/>
            <family val="2"/>
          </rPr>
          <t>Author:</t>
        </r>
        <r>
          <rPr>
            <sz val="9"/>
            <color indexed="81"/>
            <rFont val="Tahoma"/>
            <family val="2"/>
          </rPr>
          <t xml:space="preserve">
shell has one defect 7.2x11.2um, plus other defects</t>
        </r>
      </text>
    </comment>
    <comment ref="F1265" authorId="0" shapeId="0" xr:uid="{00000000-0006-0000-0400-0000F8010000}">
      <text>
        <r>
          <rPr>
            <b/>
            <sz val="9"/>
            <color indexed="81"/>
            <rFont val="Tahoma"/>
            <family val="2"/>
          </rPr>
          <t>Author:</t>
        </r>
        <r>
          <rPr>
            <sz val="9"/>
            <color indexed="81"/>
            <rFont val="Tahoma"/>
            <family val="2"/>
          </rPr>
          <t xml:space="preserve">
capsule fell off when removing pin from collet after all metrology was completed</t>
        </r>
      </text>
    </comment>
    <comment ref="W1267" authorId="0" shapeId="0" xr:uid="{00000000-0006-0000-0400-0000F9010000}">
      <text>
        <r>
          <rPr>
            <b/>
            <sz val="9"/>
            <color indexed="81"/>
            <rFont val="Tahoma"/>
            <family val="2"/>
          </rPr>
          <t>Author:</t>
        </r>
        <r>
          <rPr>
            <sz val="9"/>
            <color indexed="81"/>
            <rFont val="Tahoma"/>
            <family val="2"/>
          </rPr>
          <t xml:space="preserve">
defect metrology not completed for 270deg - Mark rejected based on glue spot shape so metrology was halted</t>
        </r>
      </text>
    </comment>
    <comment ref="F1274" authorId="0" shapeId="0" xr:uid="{00000000-0006-0000-0400-0000FA010000}">
      <text>
        <r>
          <rPr>
            <b/>
            <sz val="9"/>
            <color indexed="81"/>
            <rFont val="Tahoma"/>
            <family val="2"/>
          </rPr>
          <t>Author:</t>
        </r>
        <r>
          <rPr>
            <sz val="9"/>
            <color indexed="81"/>
            <rFont val="Tahoma"/>
            <family val="2"/>
          </rPr>
          <t xml:space="preserve">
lost when trying to adjust run out. Looked like a small glue spot.</t>
        </r>
      </text>
    </comment>
    <comment ref="F1276" authorId="0" shapeId="0" xr:uid="{00000000-0006-0000-0400-0000FB010000}">
      <text>
        <r>
          <rPr>
            <b/>
            <sz val="9"/>
            <color indexed="81"/>
            <rFont val="Tahoma"/>
            <family val="2"/>
          </rPr>
          <t>Author:</t>
        </r>
        <r>
          <rPr>
            <sz val="9"/>
            <color indexed="81"/>
            <rFont val="Tahoma"/>
            <family val="2"/>
          </rPr>
          <t xml:space="preserve">
assm. Glue
defect &gt;10um</t>
        </r>
      </text>
    </comment>
    <comment ref="W1276" authorId="0" shapeId="0" xr:uid="{00000000-0006-0000-0400-0000FC010000}">
      <text>
        <r>
          <rPr>
            <b/>
            <sz val="9"/>
            <color indexed="81"/>
            <rFont val="Tahoma"/>
            <family val="2"/>
          </rPr>
          <t>Author:</t>
        </r>
        <r>
          <rPr>
            <sz val="9"/>
            <color indexed="81"/>
            <rFont val="Tahoma"/>
            <family val="2"/>
          </rPr>
          <t xml:space="preserve">
OOS defect</t>
        </r>
      </text>
    </comment>
    <comment ref="F1277" authorId="0" shapeId="0" xr:uid="{00000000-0006-0000-0400-0000FD010000}">
      <text>
        <r>
          <rPr>
            <b/>
            <sz val="9"/>
            <color indexed="81"/>
            <rFont val="Tahoma"/>
            <family val="2"/>
          </rPr>
          <t>Author:</t>
        </r>
        <r>
          <rPr>
            <sz val="9"/>
            <color indexed="81"/>
            <rFont val="Tahoma"/>
            <family val="2"/>
          </rPr>
          <t xml:space="preserve">
oos glue size</t>
        </r>
      </text>
    </comment>
    <comment ref="F1279" authorId="0" shapeId="0" xr:uid="{00000000-0006-0000-0400-0000FE010000}">
      <text>
        <r>
          <rPr>
            <b/>
            <sz val="9"/>
            <color indexed="81"/>
            <rFont val="Tahoma"/>
            <family val="2"/>
          </rPr>
          <t>Author:</t>
        </r>
        <r>
          <rPr>
            <sz val="9"/>
            <color indexed="81"/>
            <rFont val="Tahoma"/>
            <family val="2"/>
          </rPr>
          <t xml:space="preserve">
10um defect</t>
        </r>
      </text>
    </comment>
    <comment ref="F1285" authorId="0" shapeId="0" xr:uid="{00000000-0006-0000-0400-0000FF010000}">
      <text>
        <r>
          <rPr>
            <b/>
            <sz val="9"/>
            <color indexed="81"/>
            <rFont val="Tahoma"/>
            <family val="2"/>
          </rPr>
          <t>Author:</t>
        </r>
        <r>
          <rPr>
            <sz val="9"/>
            <color indexed="81"/>
            <rFont val="Tahoma"/>
            <family val="2"/>
          </rPr>
          <t xml:space="preserve">
target fell off stalk trying to fix runout</t>
        </r>
      </text>
    </comment>
    <comment ref="F1288" authorId="0" shapeId="0" xr:uid="{00000000-0006-0000-0400-000000020000}">
      <text>
        <r>
          <rPr>
            <b/>
            <sz val="9"/>
            <color indexed="81"/>
            <rFont val="Tahoma"/>
            <family val="2"/>
          </rPr>
          <t>Author:</t>
        </r>
        <r>
          <rPr>
            <sz val="9"/>
            <color indexed="81"/>
            <rFont val="Tahoma"/>
            <family val="2"/>
          </rPr>
          <t xml:space="preserve">
broken trying to remove debris</t>
        </r>
      </text>
    </comment>
    <comment ref="F1296" authorId="0" shapeId="0" xr:uid="{00000000-0006-0000-0400-000001020000}">
      <text>
        <r>
          <rPr>
            <b/>
            <sz val="9"/>
            <color indexed="81"/>
            <rFont val="Tahoma"/>
            <family val="2"/>
          </rPr>
          <t>Author:</t>
        </r>
        <r>
          <rPr>
            <sz val="9"/>
            <color indexed="81"/>
            <rFont val="Tahoma"/>
            <family val="2"/>
          </rPr>
          <t xml:space="preserve">
broken</t>
        </r>
      </text>
    </comment>
    <comment ref="L1296" authorId="0" shapeId="0" xr:uid="{00000000-0006-0000-0400-000002020000}">
      <text>
        <r>
          <rPr>
            <b/>
            <sz val="9"/>
            <color indexed="81"/>
            <rFont val="Tahoma"/>
            <family val="2"/>
          </rPr>
          <t>Author:</t>
        </r>
        <r>
          <rPr>
            <sz val="9"/>
            <color indexed="81"/>
            <rFont val="Tahoma"/>
            <family val="2"/>
          </rPr>
          <t xml:space="preserve">
Really!</t>
        </r>
      </text>
    </comment>
    <comment ref="F1302" authorId="0" shapeId="0" xr:uid="{00000000-0006-0000-0400-000003020000}">
      <text>
        <r>
          <rPr>
            <b/>
            <sz val="9"/>
            <color indexed="81"/>
            <rFont val="Tahoma"/>
            <family val="2"/>
          </rPr>
          <t>Author:</t>
        </r>
        <r>
          <rPr>
            <sz val="9"/>
            <color indexed="81"/>
            <rFont val="Tahoma"/>
            <family val="2"/>
          </rPr>
          <t xml:space="preserve">
broken loading rack</t>
        </r>
      </text>
    </comment>
    <comment ref="F1303" authorId="0" shapeId="0" xr:uid="{00000000-0006-0000-0400-000004020000}">
      <text>
        <r>
          <rPr>
            <b/>
            <sz val="9"/>
            <color indexed="81"/>
            <rFont val="Tahoma"/>
            <family val="2"/>
          </rPr>
          <t>Author:</t>
        </r>
        <r>
          <rPr>
            <sz val="9"/>
            <color indexed="81"/>
            <rFont val="Tahoma"/>
            <family val="2"/>
          </rPr>
          <t xml:space="preserve">
1 defect &gt;10um, hidden at equator AND under vacuum chuck during assembly; see photo</t>
        </r>
      </text>
    </comment>
    <comment ref="F1305" authorId="0" shapeId="0" xr:uid="{00000000-0006-0000-0400-000005020000}">
      <text>
        <r>
          <rPr>
            <b/>
            <sz val="9"/>
            <color indexed="81"/>
            <rFont val="Tahoma"/>
            <family val="2"/>
          </rPr>
          <t>Author:</t>
        </r>
        <r>
          <rPr>
            <sz val="9"/>
            <color indexed="81"/>
            <rFont val="Tahoma"/>
            <family val="2"/>
          </rPr>
          <t xml:space="preserve">
glue wicked up capsule too far on one side</t>
        </r>
      </text>
    </comment>
    <comment ref="F1311" authorId="0" shapeId="0" xr:uid="{00000000-0006-0000-0400-000006020000}">
      <text>
        <r>
          <rPr>
            <b/>
            <sz val="9"/>
            <color indexed="81"/>
            <rFont val="Tahoma"/>
            <family val="2"/>
          </rPr>
          <t>Author:</t>
        </r>
        <r>
          <rPr>
            <sz val="9"/>
            <color indexed="81"/>
            <rFont val="Tahoma"/>
            <family val="2"/>
          </rPr>
          <t xml:space="preserve">
glue spot is off center. See image</t>
        </r>
      </text>
    </comment>
    <comment ref="F1312" authorId="0" shapeId="0" xr:uid="{00000000-0006-0000-0400-000007020000}">
      <text>
        <r>
          <rPr>
            <b/>
            <sz val="9"/>
            <color indexed="81"/>
            <rFont val="Tahoma"/>
            <family val="2"/>
          </rPr>
          <t>Author:</t>
        </r>
        <r>
          <rPr>
            <sz val="9"/>
            <color indexed="81"/>
            <rFont val="Tahoma"/>
            <family val="2"/>
          </rPr>
          <t xml:space="preserve">
Target lost when fixing run out</t>
        </r>
      </text>
    </comment>
    <comment ref="F1313" authorId="0" shapeId="0" xr:uid="{00000000-0006-0000-0400-000008020000}">
      <text>
        <r>
          <rPr>
            <b/>
            <sz val="9"/>
            <color indexed="81"/>
            <rFont val="Tahoma"/>
            <family val="2"/>
          </rPr>
          <t>Author:</t>
        </r>
        <r>
          <rPr>
            <sz val="9"/>
            <color indexed="81"/>
            <rFont val="Tahoma"/>
            <family val="2"/>
          </rPr>
          <t xml:space="preserve">
large defect. See image. Target removed</t>
        </r>
      </text>
    </comment>
    <comment ref="W1314" authorId="0" shapeId="0" xr:uid="{00000000-0006-0000-0400-000009020000}">
      <text>
        <r>
          <rPr>
            <b/>
            <sz val="9"/>
            <color indexed="81"/>
            <rFont val="Tahoma"/>
            <family val="2"/>
          </rPr>
          <t>Author:</t>
        </r>
        <r>
          <rPr>
            <sz val="9"/>
            <color indexed="81"/>
            <rFont val="Tahoma"/>
            <family val="2"/>
          </rPr>
          <t xml:space="preserve">
one defect at 10um</t>
        </r>
      </text>
    </comment>
    <comment ref="U1322" authorId="0" shapeId="0" xr:uid="{00000000-0006-0000-0400-00000A020000}">
      <text>
        <r>
          <rPr>
            <b/>
            <sz val="9"/>
            <color indexed="81"/>
            <rFont val="Tahoma"/>
            <family val="2"/>
          </rPr>
          <t>Author:</t>
        </r>
        <r>
          <rPr>
            <sz val="9"/>
            <color indexed="81"/>
            <rFont val="Tahoma"/>
            <family val="2"/>
          </rPr>
          <t xml:space="preserve">
6.8 Si atom %</t>
        </r>
      </text>
    </comment>
    <comment ref="F1323" authorId="0" shapeId="0" xr:uid="{00000000-0006-0000-0400-00000B020000}">
      <text>
        <r>
          <rPr>
            <b/>
            <sz val="9"/>
            <color indexed="81"/>
            <rFont val="Tahoma"/>
            <family val="2"/>
          </rPr>
          <t>Author:</t>
        </r>
        <r>
          <rPr>
            <sz val="9"/>
            <color indexed="81"/>
            <rFont val="Tahoma"/>
            <family val="2"/>
          </rPr>
          <t xml:space="preserve">
Target lost, knocked stalk and target flew off</t>
        </r>
      </text>
    </comment>
    <comment ref="F1328" authorId="0" shapeId="0" xr:uid="{00000000-0006-0000-0400-00000C020000}">
      <text>
        <r>
          <rPr>
            <b/>
            <sz val="9"/>
            <color indexed="81"/>
            <rFont val="Tahoma"/>
            <family val="2"/>
          </rPr>
          <t>Author:</t>
        </r>
        <r>
          <rPr>
            <sz val="9"/>
            <color indexed="81"/>
            <rFont val="Tahoma"/>
            <family val="2"/>
          </rPr>
          <t xml:space="preserve">
capsule stuck to vacuum chuck when trying to remove it</t>
        </r>
      </text>
    </comment>
    <comment ref="F1330" authorId="0" shapeId="0" xr:uid="{00000000-0006-0000-0400-00000D020000}">
      <text>
        <r>
          <rPr>
            <b/>
            <sz val="9"/>
            <color indexed="81"/>
            <rFont val="Tahoma"/>
            <family val="2"/>
          </rPr>
          <t>Author:</t>
        </r>
        <r>
          <rPr>
            <sz val="9"/>
            <color indexed="81"/>
            <rFont val="Tahoma"/>
            <family val="2"/>
          </rPr>
          <t xml:space="preserve">
LOTS of defects, large defect 13.6x12.8um</t>
        </r>
      </text>
    </comment>
    <comment ref="F1333" authorId="0" shapeId="0" xr:uid="{00000000-0006-0000-0400-00000E020000}">
      <text>
        <r>
          <rPr>
            <b/>
            <sz val="9"/>
            <color indexed="81"/>
            <rFont val="Tahoma"/>
            <family val="2"/>
          </rPr>
          <t>Author:</t>
        </r>
        <r>
          <rPr>
            <sz val="9"/>
            <color indexed="81"/>
            <rFont val="Tahoma"/>
            <family val="2"/>
          </rPr>
          <t xml:space="preserve">
bad glue spot; see images</t>
        </r>
      </text>
    </comment>
    <comment ref="F1334" authorId="0" shapeId="0" xr:uid="{00000000-0006-0000-0400-00000F020000}">
      <text>
        <r>
          <rPr>
            <b/>
            <sz val="9"/>
            <color indexed="81"/>
            <rFont val="Tahoma"/>
            <family val="2"/>
          </rPr>
          <t>Author:</t>
        </r>
        <r>
          <rPr>
            <sz val="9"/>
            <color indexed="81"/>
            <rFont val="Tahoma"/>
            <family val="2"/>
          </rPr>
          <t xml:space="preserve">
Star defect at 180 deg. Removed and put on SEM stub</t>
        </r>
      </text>
    </comment>
    <comment ref="F1335" authorId="0" shapeId="0" xr:uid="{00000000-0006-0000-0400-000010020000}">
      <text>
        <r>
          <rPr>
            <b/>
            <sz val="9"/>
            <color indexed="81"/>
            <rFont val="Tahoma"/>
            <family val="2"/>
          </rPr>
          <t>Author:</t>
        </r>
        <r>
          <rPr>
            <sz val="9"/>
            <color indexed="81"/>
            <rFont val="Tahoma"/>
            <family val="2"/>
          </rPr>
          <t xml:space="preserve">
stalk moved when trying to bring capluse in and glue was smeared down capsule. See image</t>
        </r>
      </text>
    </comment>
    <comment ref="F1336" authorId="0" shapeId="0" xr:uid="{00000000-0006-0000-0400-000011020000}">
      <text>
        <r>
          <rPr>
            <b/>
            <sz val="9"/>
            <color indexed="81"/>
            <rFont val="Tahoma"/>
            <family val="2"/>
          </rPr>
          <t>Author:</t>
        </r>
        <r>
          <rPr>
            <sz val="9"/>
            <color indexed="81"/>
            <rFont val="Tahoma"/>
            <family val="2"/>
          </rPr>
          <t xml:space="preserve">
1 defect over 10um</t>
        </r>
      </text>
    </comment>
    <comment ref="W1336" authorId="0" shapeId="0" xr:uid="{00000000-0006-0000-0400-000012020000}">
      <text>
        <r>
          <rPr>
            <b/>
            <sz val="9"/>
            <color indexed="81"/>
            <rFont val="Tahoma"/>
            <family val="2"/>
          </rPr>
          <t>Author:</t>
        </r>
        <r>
          <rPr>
            <sz val="9"/>
            <color indexed="81"/>
            <rFont val="Tahoma"/>
            <family val="2"/>
          </rPr>
          <t xml:space="preserve">
one large defect &gt;10um</t>
        </r>
      </text>
    </comment>
    <comment ref="F1338" authorId="0" shapeId="0" xr:uid="{00000000-0006-0000-0400-000013020000}">
      <text>
        <r>
          <rPr>
            <b/>
            <sz val="9"/>
            <color indexed="81"/>
            <rFont val="Tahoma"/>
            <family val="2"/>
          </rPr>
          <t>Author:</t>
        </r>
        <r>
          <rPr>
            <sz val="9"/>
            <color indexed="81"/>
            <rFont val="Tahoma"/>
            <family val="2"/>
          </rPr>
          <t xml:space="preserve">
assm. glue</t>
        </r>
      </text>
    </comment>
    <comment ref="F1339" authorId="0" shapeId="0" xr:uid="{00000000-0006-0000-0400-000014020000}">
      <text>
        <r>
          <rPr>
            <b/>
            <sz val="9"/>
            <color indexed="81"/>
            <rFont val="Tahoma"/>
            <family val="2"/>
          </rPr>
          <t>Author:</t>
        </r>
        <r>
          <rPr>
            <sz val="9"/>
            <color indexed="81"/>
            <rFont val="Tahoma"/>
            <family val="2"/>
          </rPr>
          <t xml:space="preserve">
stalk moved when trying to bring capluse in and glue was smeared down capsule. See image</t>
        </r>
      </text>
    </comment>
    <comment ref="F1342" authorId="0" shapeId="0" xr:uid="{00000000-0006-0000-0400-000015020000}">
      <text>
        <r>
          <rPr>
            <b/>
            <sz val="9"/>
            <color indexed="81"/>
            <rFont val="Tahoma"/>
            <family val="2"/>
          </rPr>
          <t>Author:</t>
        </r>
        <r>
          <rPr>
            <sz val="9"/>
            <color indexed="81"/>
            <rFont val="Tahoma"/>
            <family val="2"/>
          </rPr>
          <t xml:space="preserve">
Assm. Glue spot</t>
        </r>
      </text>
    </comment>
    <comment ref="F1347" authorId="0" shapeId="0" xr:uid="{00000000-0006-0000-0400-000016020000}">
      <text>
        <r>
          <rPr>
            <b/>
            <sz val="9"/>
            <color indexed="81"/>
            <rFont val="Tahoma"/>
            <family val="2"/>
          </rPr>
          <t>Author:</t>
        </r>
        <r>
          <rPr>
            <sz val="9"/>
            <color indexed="81"/>
            <rFont val="Tahoma"/>
            <family val="2"/>
          </rPr>
          <t xml:space="preserve">
broken trying to remove debris</t>
        </r>
      </text>
    </comment>
    <comment ref="F1351" authorId="0" shapeId="0" xr:uid="{00000000-0006-0000-0400-000017020000}">
      <text>
        <r>
          <rPr>
            <b/>
            <sz val="9"/>
            <color indexed="81"/>
            <rFont val="Tahoma"/>
            <family val="2"/>
          </rPr>
          <t>Author:</t>
        </r>
        <r>
          <rPr>
            <sz val="9"/>
            <color indexed="81"/>
            <rFont val="Tahoma"/>
            <family val="2"/>
          </rPr>
          <t xml:space="preserve">
bad glue spot</t>
        </r>
      </text>
    </comment>
    <comment ref="F1352" authorId="0" shapeId="0" xr:uid="{00000000-0006-0000-0400-000018020000}">
      <text>
        <r>
          <rPr>
            <b/>
            <sz val="9"/>
            <color indexed="81"/>
            <rFont val="Tahoma"/>
            <family val="2"/>
          </rPr>
          <t>Author:</t>
        </r>
        <r>
          <rPr>
            <sz val="9"/>
            <color indexed="81"/>
            <rFont val="Tahoma"/>
            <family val="2"/>
          </rPr>
          <t xml:space="preserve">
target pinged off when trying to remove vacuum </t>
        </r>
      </text>
    </comment>
    <comment ref="F1354" authorId="0" shapeId="0" xr:uid="{00000000-0006-0000-0400-000019020000}">
      <text>
        <r>
          <rPr>
            <b/>
            <sz val="9"/>
            <color indexed="81"/>
            <rFont val="Tahoma"/>
            <family val="2"/>
          </rPr>
          <t>Author:</t>
        </r>
        <r>
          <rPr>
            <sz val="9"/>
            <color indexed="81"/>
            <rFont val="Tahoma"/>
            <family val="2"/>
          </rPr>
          <t xml:space="preserve">
Measured capsule</t>
        </r>
      </text>
    </comment>
    <comment ref="F1355" authorId="0" shapeId="0" xr:uid="{00000000-0006-0000-0400-00001A020000}">
      <text>
        <r>
          <rPr>
            <b/>
            <sz val="9"/>
            <color indexed="81"/>
            <rFont val="Tahoma"/>
            <family val="2"/>
          </rPr>
          <t>Author:</t>
        </r>
        <r>
          <rPr>
            <sz val="9"/>
            <color indexed="81"/>
            <rFont val="Tahoma"/>
            <family val="2"/>
          </rPr>
          <t xml:space="preserve">
Measured capsule</t>
        </r>
      </text>
    </comment>
    <comment ref="F1358" authorId="0" shapeId="0" xr:uid="{00000000-0006-0000-0400-00001B020000}">
      <text>
        <r>
          <rPr>
            <b/>
            <sz val="9"/>
            <color indexed="81"/>
            <rFont val="Tahoma"/>
            <family val="2"/>
          </rPr>
          <t>Author:</t>
        </r>
        <r>
          <rPr>
            <sz val="9"/>
            <color indexed="81"/>
            <rFont val="Tahoma"/>
            <family val="2"/>
          </rPr>
          <t xml:space="preserve">
target fell off while measuring run out</t>
        </r>
      </text>
    </comment>
    <comment ref="F1364" authorId="0" shapeId="0" xr:uid="{00000000-0006-0000-0400-00001C020000}">
      <text>
        <r>
          <rPr>
            <b/>
            <sz val="9"/>
            <color indexed="81"/>
            <rFont val="Tahoma"/>
            <family val="2"/>
          </rPr>
          <t>Author:</t>
        </r>
        <r>
          <rPr>
            <sz val="9"/>
            <color indexed="81"/>
            <rFont val="Tahoma"/>
            <family val="2"/>
          </rPr>
          <t xml:space="preserve">
broken tryimg to remove debris</t>
        </r>
      </text>
    </comment>
    <comment ref="U1383" authorId="0" shapeId="0" xr:uid="{00000000-0006-0000-0400-00001D020000}">
      <text>
        <r>
          <rPr>
            <b/>
            <sz val="9"/>
            <color indexed="81"/>
            <rFont val="Tahoma"/>
            <family val="2"/>
          </rPr>
          <t>Author:
6.6atom% Si</t>
        </r>
      </text>
    </comment>
    <comment ref="F1384" authorId="0" shapeId="0" xr:uid="{00000000-0006-0000-0400-00001E020000}">
      <text>
        <r>
          <rPr>
            <b/>
            <sz val="9"/>
            <color indexed="81"/>
            <rFont val="Tahoma"/>
            <family val="2"/>
          </rPr>
          <t>Author:</t>
        </r>
        <r>
          <rPr>
            <sz val="9"/>
            <color indexed="81"/>
            <rFont val="Tahoma"/>
            <family val="2"/>
          </rPr>
          <t xml:space="preserve">
glue dimple formed when trying to add more glue. Target Removed.</t>
        </r>
      </text>
    </comment>
    <comment ref="U1390" authorId="0" shapeId="0" xr:uid="{00000000-0006-0000-0400-00001F020000}">
      <text>
        <r>
          <rPr>
            <b/>
            <sz val="9"/>
            <color indexed="81"/>
            <rFont val="Tahoma"/>
            <family val="2"/>
          </rPr>
          <t>Author:</t>
        </r>
        <r>
          <rPr>
            <sz val="9"/>
            <color indexed="81"/>
            <rFont val="Tahoma"/>
            <family val="2"/>
          </rPr>
          <t xml:space="preserve">
5.0atom% Si</t>
        </r>
      </text>
    </comment>
    <comment ref="U1391" authorId="0" shapeId="0" xr:uid="{00000000-0006-0000-0400-000020020000}">
      <text>
        <r>
          <rPr>
            <b/>
            <sz val="9"/>
            <color indexed="81"/>
            <rFont val="Tahoma"/>
            <family val="2"/>
          </rPr>
          <t>Author:</t>
        </r>
        <r>
          <rPr>
            <sz val="9"/>
            <color indexed="81"/>
            <rFont val="Tahoma"/>
            <family val="2"/>
          </rPr>
          <t xml:space="preserve">
5.0atom% Si</t>
        </r>
      </text>
    </comment>
    <comment ref="F1394" authorId="0" shapeId="0" xr:uid="{00000000-0006-0000-0400-000021020000}">
      <text>
        <r>
          <rPr>
            <b/>
            <sz val="9"/>
            <color indexed="81"/>
            <rFont val="Tahoma"/>
            <family val="2"/>
          </rPr>
          <t>Author:</t>
        </r>
        <r>
          <rPr>
            <sz val="9"/>
            <color indexed="81"/>
            <rFont val="Tahoma"/>
            <family val="2"/>
          </rPr>
          <t xml:space="preserve">
broken trying to remove from vacuum</t>
        </r>
      </text>
    </comment>
    <comment ref="F1395" authorId="0" shapeId="0" xr:uid="{00000000-0006-0000-0400-000022020000}">
      <text>
        <r>
          <rPr>
            <b/>
            <sz val="9"/>
            <color indexed="81"/>
            <rFont val="Tahoma"/>
            <family val="2"/>
          </rPr>
          <t>Author:</t>
        </r>
        <r>
          <rPr>
            <sz val="9"/>
            <color indexed="81"/>
            <rFont val="Tahoma"/>
            <family val="2"/>
          </rPr>
          <t xml:space="preserve">
bad glue joint. Target removed</t>
        </r>
      </text>
    </comment>
    <comment ref="U1397" authorId="0" shapeId="0" xr:uid="{00000000-0006-0000-0400-000023020000}">
      <text>
        <r>
          <rPr>
            <b/>
            <sz val="9"/>
            <color indexed="81"/>
            <rFont val="Tahoma"/>
            <family val="2"/>
          </rPr>
          <t>Author:</t>
        </r>
        <r>
          <rPr>
            <sz val="9"/>
            <color indexed="81"/>
            <rFont val="Tahoma"/>
            <family val="2"/>
          </rPr>
          <t xml:space="preserve">
5.5 Si atom </t>
        </r>
        <r>
          <rPr>
            <strike/>
            <sz val="9"/>
            <color indexed="81"/>
            <rFont val="Tahoma"/>
            <family val="2"/>
          </rPr>
          <t>%</t>
        </r>
      </text>
    </comment>
    <comment ref="F1398" authorId="0" shapeId="0" xr:uid="{00000000-0006-0000-0400-000024020000}">
      <text>
        <r>
          <rPr>
            <b/>
            <sz val="9"/>
            <color indexed="81"/>
            <rFont val="Tahoma"/>
            <family val="2"/>
          </rPr>
          <t>Author:</t>
        </r>
        <r>
          <rPr>
            <sz val="9"/>
            <color indexed="81"/>
            <rFont val="Tahoma"/>
            <family val="2"/>
          </rPr>
          <t xml:space="preserve">
LG cluster of defects</t>
        </r>
      </text>
    </comment>
    <comment ref="U1398" authorId="0" shapeId="0" xr:uid="{00000000-0006-0000-0400-000025020000}">
      <text>
        <r>
          <rPr>
            <b/>
            <sz val="9"/>
            <color indexed="81"/>
            <rFont val="Tahoma"/>
            <family val="2"/>
          </rPr>
          <t>Author:</t>
        </r>
        <r>
          <rPr>
            <sz val="9"/>
            <color indexed="81"/>
            <rFont val="Tahoma"/>
            <family val="2"/>
          </rPr>
          <t xml:space="preserve">
5.0 Si atom %</t>
        </r>
      </text>
    </comment>
    <comment ref="U1399" authorId="0" shapeId="0" xr:uid="{00000000-0006-0000-0400-000026020000}">
      <text>
        <r>
          <rPr>
            <b/>
            <sz val="9"/>
            <color indexed="81"/>
            <rFont val="Tahoma"/>
            <family val="2"/>
          </rPr>
          <t>Author:</t>
        </r>
        <r>
          <rPr>
            <sz val="9"/>
            <color indexed="81"/>
            <rFont val="Tahoma"/>
            <family val="2"/>
          </rPr>
          <t xml:space="preserve">
5.0 Si atom %</t>
        </r>
      </text>
    </comment>
    <comment ref="U1400" authorId="0" shapeId="0" xr:uid="{00000000-0006-0000-0400-000027020000}">
      <text>
        <r>
          <rPr>
            <b/>
            <sz val="9"/>
            <color indexed="81"/>
            <rFont val="Tahoma"/>
            <family val="2"/>
          </rPr>
          <t>Author:</t>
        </r>
        <r>
          <rPr>
            <sz val="9"/>
            <color indexed="81"/>
            <rFont val="Tahoma"/>
            <family val="2"/>
          </rPr>
          <t xml:space="preserve">
5.5 Si atom%</t>
        </r>
      </text>
    </comment>
    <comment ref="U1401" authorId="0" shapeId="0" xr:uid="{00000000-0006-0000-0400-000028020000}">
      <text>
        <r>
          <rPr>
            <b/>
            <sz val="9"/>
            <color indexed="81"/>
            <rFont val="Tahoma"/>
            <family val="2"/>
          </rPr>
          <t>Author:</t>
        </r>
        <r>
          <rPr>
            <sz val="9"/>
            <color indexed="81"/>
            <rFont val="Tahoma"/>
            <family val="2"/>
          </rPr>
          <t xml:space="preserve">
6.51 Si atom %</t>
        </r>
      </text>
    </comment>
    <comment ref="U1402" authorId="0" shapeId="0" xr:uid="{00000000-0006-0000-0400-000029020000}">
      <text>
        <r>
          <rPr>
            <b/>
            <sz val="9"/>
            <color indexed="81"/>
            <rFont val="Tahoma"/>
            <family val="2"/>
          </rPr>
          <t>Author:</t>
        </r>
        <r>
          <rPr>
            <sz val="9"/>
            <color indexed="81"/>
            <rFont val="Tahoma"/>
            <family val="2"/>
          </rPr>
          <t xml:space="preserve">
5.3 Si atom %</t>
        </r>
      </text>
    </comment>
    <comment ref="U1403" authorId="0" shapeId="0" xr:uid="{00000000-0006-0000-0400-00002A020000}">
      <text>
        <r>
          <rPr>
            <b/>
            <sz val="9"/>
            <color indexed="81"/>
            <rFont val="Tahoma"/>
            <family val="2"/>
          </rPr>
          <t>Author:</t>
        </r>
        <r>
          <rPr>
            <sz val="9"/>
            <color indexed="81"/>
            <rFont val="Tahoma"/>
            <family val="2"/>
          </rPr>
          <t xml:space="preserve">
6.6 Si atom %</t>
        </r>
      </text>
    </comment>
    <comment ref="U1404" authorId="0" shapeId="0" xr:uid="{00000000-0006-0000-0400-00002B020000}">
      <text>
        <r>
          <rPr>
            <b/>
            <sz val="9"/>
            <color indexed="81"/>
            <rFont val="Tahoma"/>
            <family val="2"/>
          </rPr>
          <t>Author:</t>
        </r>
        <r>
          <rPr>
            <sz val="9"/>
            <color indexed="81"/>
            <rFont val="Tahoma"/>
            <family val="2"/>
          </rPr>
          <t xml:space="preserve">
5.7 Si atom %</t>
        </r>
      </text>
    </comment>
    <comment ref="U1405" authorId="0" shapeId="0" xr:uid="{00000000-0006-0000-0400-00002C020000}">
      <text>
        <r>
          <rPr>
            <b/>
            <sz val="9"/>
            <color indexed="81"/>
            <rFont val="Tahoma"/>
            <family val="2"/>
          </rPr>
          <t>Author:</t>
        </r>
        <r>
          <rPr>
            <sz val="9"/>
            <color indexed="81"/>
            <rFont val="Tahoma"/>
            <family val="2"/>
          </rPr>
          <t xml:space="preserve">
5.0 Si atom %</t>
        </r>
      </text>
    </comment>
    <comment ref="U1406" authorId="0" shapeId="0" xr:uid="{00000000-0006-0000-0400-00002D020000}">
      <text>
        <r>
          <rPr>
            <b/>
            <sz val="9"/>
            <color indexed="81"/>
            <rFont val="Tahoma"/>
            <family val="2"/>
          </rPr>
          <t>Author:</t>
        </r>
        <r>
          <rPr>
            <sz val="9"/>
            <color indexed="81"/>
            <rFont val="Tahoma"/>
            <family val="2"/>
          </rPr>
          <t xml:space="preserve">
6.8 Si atom %</t>
        </r>
      </text>
    </comment>
    <comment ref="U1407" authorId="0" shapeId="0" xr:uid="{00000000-0006-0000-0400-00002E020000}">
      <text>
        <r>
          <rPr>
            <b/>
            <sz val="9"/>
            <color indexed="81"/>
            <rFont val="Tahoma"/>
            <family val="2"/>
          </rPr>
          <t>Author:</t>
        </r>
        <r>
          <rPr>
            <sz val="9"/>
            <color indexed="81"/>
            <rFont val="Tahoma"/>
            <family val="2"/>
          </rPr>
          <t xml:space="preserve">
5.6 Si atom %</t>
        </r>
      </text>
    </comment>
    <comment ref="U1408" authorId="0" shapeId="0" xr:uid="{00000000-0006-0000-0400-00002F020000}">
      <text>
        <r>
          <rPr>
            <b/>
            <sz val="9"/>
            <color indexed="81"/>
            <rFont val="Tahoma"/>
            <family val="2"/>
          </rPr>
          <t>Author:</t>
        </r>
        <r>
          <rPr>
            <sz val="9"/>
            <color indexed="81"/>
            <rFont val="Tahoma"/>
            <family val="2"/>
          </rPr>
          <t xml:space="preserve">
5.6 Si atom %</t>
        </r>
      </text>
    </comment>
    <comment ref="U1409" authorId="0" shapeId="0" xr:uid="{00000000-0006-0000-0400-000030020000}">
      <text>
        <r>
          <rPr>
            <b/>
            <sz val="9"/>
            <color indexed="81"/>
            <rFont val="Tahoma"/>
            <family val="2"/>
          </rPr>
          <t>Author:</t>
        </r>
        <r>
          <rPr>
            <sz val="9"/>
            <color indexed="81"/>
            <rFont val="Tahoma"/>
            <family val="2"/>
          </rPr>
          <t xml:space="preserve">
5.7 Si atom %</t>
        </r>
      </text>
    </comment>
    <comment ref="U1410" authorId="0" shapeId="0" xr:uid="{00000000-0006-0000-0400-000031020000}">
      <text>
        <r>
          <rPr>
            <b/>
            <sz val="9"/>
            <color indexed="81"/>
            <rFont val="Tahoma"/>
            <family val="2"/>
          </rPr>
          <t>Author:</t>
        </r>
        <r>
          <rPr>
            <sz val="9"/>
            <color indexed="81"/>
            <rFont val="Tahoma"/>
            <family val="2"/>
          </rPr>
          <t xml:space="preserve">
5.7 Si atom %</t>
        </r>
      </text>
    </comment>
    <comment ref="F1415" authorId="0" shapeId="0" xr:uid="{B5CA5064-6B2D-4277-8FEE-CCAE7001DDED}">
      <text>
        <r>
          <rPr>
            <b/>
            <sz val="9"/>
            <color indexed="81"/>
            <rFont val="Tahoma"/>
            <family val="2"/>
          </rPr>
          <t>Author:</t>
        </r>
        <r>
          <rPr>
            <sz val="9"/>
            <color indexed="81"/>
            <rFont val="Tahoma"/>
            <family val="2"/>
          </rPr>
          <t xml:space="preserve">
large defects, see images</t>
        </r>
      </text>
    </comment>
    <comment ref="U1415" authorId="0" shapeId="0" xr:uid="{3852FFF2-D77E-4B0E-A29E-63B4CB2674B1}">
      <text>
        <r>
          <rPr>
            <b/>
            <sz val="9"/>
            <color indexed="81"/>
            <rFont val="Tahoma"/>
            <family val="2"/>
          </rPr>
          <t>Author:</t>
        </r>
        <r>
          <rPr>
            <sz val="9"/>
            <color indexed="81"/>
            <rFont val="Tahoma"/>
            <family val="2"/>
          </rPr>
          <t xml:space="preserve">
5.4  Si atom %</t>
        </r>
      </text>
    </comment>
    <comment ref="U1416" authorId="0" shapeId="0" xr:uid="{FDD621E6-14C6-48C1-809A-B321BDE4746C}">
      <text>
        <r>
          <rPr>
            <b/>
            <sz val="9"/>
            <color indexed="81"/>
            <rFont val="Tahoma"/>
            <family val="2"/>
          </rPr>
          <t>Author:</t>
        </r>
        <r>
          <rPr>
            <sz val="9"/>
            <color indexed="81"/>
            <rFont val="Tahoma"/>
            <family val="2"/>
          </rPr>
          <t xml:space="preserve">
5.4 Si atom %</t>
        </r>
      </text>
    </comment>
    <comment ref="U1417" authorId="0" shapeId="0" xr:uid="{5C6052B2-2B09-4CB1-A91C-E4A21953FCD1}">
      <text>
        <r>
          <rPr>
            <b/>
            <sz val="9"/>
            <color indexed="81"/>
            <rFont val="Tahoma"/>
            <family val="2"/>
          </rPr>
          <t>Author:</t>
        </r>
        <r>
          <rPr>
            <sz val="9"/>
            <color indexed="81"/>
            <rFont val="Tahoma"/>
            <family val="2"/>
          </rPr>
          <t xml:space="preserve">
5.4 Si atom %</t>
        </r>
      </text>
    </comment>
    <comment ref="U1418" authorId="0" shapeId="0" xr:uid="{1F89E565-FF8D-449D-B9AC-232E7C6F294C}">
      <text>
        <r>
          <rPr>
            <b/>
            <sz val="9"/>
            <color indexed="81"/>
            <rFont val="Tahoma"/>
            <family val="2"/>
          </rPr>
          <t>Author:</t>
        </r>
        <r>
          <rPr>
            <sz val="9"/>
            <color indexed="81"/>
            <rFont val="Tahoma"/>
            <family val="2"/>
          </rPr>
          <t xml:space="preserve">
5.4 Si atom %</t>
        </r>
      </text>
    </comment>
    <comment ref="F1419" authorId="0" shapeId="0" xr:uid="{608F5176-6452-467D-A646-A066083A94FF}">
      <text>
        <r>
          <rPr>
            <b/>
            <sz val="9"/>
            <color indexed="81"/>
            <rFont val="Tahoma"/>
            <family val="2"/>
          </rPr>
          <t>Author:</t>
        </r>
        <r>
          <rPr>
            <sz val="9"/>
            <color indexed="81"/>
            <rFont val="Tahoma"/>
            <family val="2"/>
          </rPr>
          <t xml:space="preserve">
assm. glue</t>
        </r>
      </text>
    </comment>
    <comment ref="U1419" authorId="0" shapeId="0" xr:uid="{64A2CB58-019F-4BEB-89AB-1A53D4DB46A8}">
      <text>
        <r>
          <rPr>
            <b/>
            <sz val="9"/>
            <color indexed="81"/>
            <rFont val="Tahoma"/>
            <family val="2"/>
          </rPr>
          <t>Author:</t>
        </r>
        <r>
          <rPr>
            <sz val="9"/>
            <color indexed="81"/>
            <rFont val="Tahoma"/>
            <family val="2"/>
          </rPr>
          <t xml:space="preserve">
5.4 Si atom %</t>
        </r>
      </text>
    </comment>
    <comment ref="F1420" authorId="0" shapeId="0" xr:uid="{90221845-1A72-446D-A548-BF21B572809A}">
      <text>
        <r>
          <rPr>
            <b/>
            <sz val="9"/>
            <color indexed="81"/>
            <rFont val="Tahoma"/>
            <family val="2"/>
          </rPr>
          <t>Author:</t>
        </r>
        <r>
          <rPr>
            <sz val="9"/>
            <color indexed="81"/>
            <rFont val="Tahoma"/>
            <family val="2"/>
          </rPr>
          <t xml:space="preserve">
Lost when removing mount from chuck</t>
        </r>
      </text>
    </comment>
    <comment ref="U1420" authorId="0" shapeId="0" xr:uid="{9254E2BF-16EF-4A4A-A749-D4F5B869FA65}">
      <text>
        <r>
          <rPr>
            <b/>
            <sz val="9"/>
            <color indexed="81"/>
            <rFont val="Tahoma"/>
            <family val="2"/>
          </rPr>
          <t>Author:</t>
        </r>
        <r>
          <rPr>
            <sz val="9"/>
            <color indexed="81"/>
            <rFont val="Tahoma"/>
            <family val="2"/>
          </rPr>
          <t xml:space="preserve">
5.3 Si atom %</t>
        </r>
      </text>
    </comment>
    <comment ref="F1421" authorId="0" shapeId="0" xr:uid="{86C5AC55-3A02-4A13-B057-9019701F0CFE}">
      <text>
        <r>
          <rPr>
            <b/>
            <sz val="9"/>
            <color indexed="81"/>
            <rFont val="Tahoma"/>
            <family val="2"/>
          </rPr>
          <t>Author:</t>
        </r>
        <r>
          <rPr>
            <sz val="9"/>
            <color indexed="81"/>
            <rFont val="Tahoma"/>
            <family val="2"/>
          </rPr>
          <t xml:space="preserve">
Glue sym</t>
        </r>
      </text>
    </comment>
    <comment ref="U1421" authorId="0" shapeId="0" xr:uid="{0EA21ABE-9390-4319-80DF-0AC5426D1877}">
      <text>
        <r>
          <rPr>
            <b/>
            <sz val="9"/>
            <color indexed="81"/>
            <rFont val="Tahoma"/>
            <family val="2"/>
          </rPr>
          <t>Author:</t>
        </r>
        <r>
          <rPr>
            <sz val="9"/>
            <color indexed="81"/>
            <rFont val="Tahoma"/>
            <family val="2"/>
          </rPr>
          <t xml:space="preserve">
5.3 Si atom %</t>
        </r>
      </text>
    </comment>
    <comment ref="U1422" authorId="0" shapeId="0" xr:uid="{A7F09681-445F-4285-8FDF-E6C4775D798B}">
      <text>
        <r>
          <rPr>
            <b/>
            <sz val="9"/>
            <color indexed="81"/>
            <rFont val="Tahoma"/>
            <family val="2"/>
          </rPr>
          <t>Author:</t>
        </r>
        <r>
          <rPr>
            <sz val="9"/>
            <color indexed="81"/>
            <rFont val="Tahoma"/>
            <family val="2"/>
          </rPr>
          <t xml:space="preserve">
5.7 Si atom %</t>
        </r>
      </text>
    </comment>
    <comment ref="U1423" authorId="0" shapeId="0" xr:uid="{E6600DF6-A6EB-4AE3-A509-958B58078F31}">
      <text>
        <r>
          <rPr>
            <b/>
            <sz val="9"/>
            <color indexed="81"/>
            <rFont val="Tahoma"/>
            <family val="2"/>
          </rPr>
          <t>Author:</t>
        </r>
        <r>
          <rPr>
            <sz val="9"/>
            <color indexed="81"/>
            <rFont val="Tahoma"/>
            <family val="2"/>
          </rPr>
          <t xml:space="preserve">
5.7 Si atom %</t>
        </r>
      </text>
    </comment>
    <comment ref="U1424" authorId="0" shapeId="0" xr:uid="{532FFEEA-9DF9-4546-B981-AB50B74C0211}">
      <text>
        <r>
          <rPr>
            <b/>
            <sz val="9"/>
            <color indexed="81"/>
            <rFont val="Tahoma"/>
            <family val="2"/>
          </rPr>
          <t>Author:</t>
        </r>
        <r>
          <rPr>
            <sz val="9"/>
            <color indexed="81"/>
            <rFont val="Tahoma"/>
            <family val="2"/>
          </rPr>
          <t xml:space="preserve">
5.6 Si atom %</t>
        </r>
      </text>
    </comment>
    <comment ref="U1425" authorId="0" shapeId="0" xr:uid="{E31CE0EB-7FC8-407C-9B89-795F7517DC98}">
      <text>
        <r>
          <rPr>
            <b/>
            <sz val="9"/>
            <color indexed="81"/>
            <rFont val="Tahoma"/>
            <family val="2"/>
          </rPr>
          <t>Author:</t>
        </r>
        <r>
          <rPr>
            <sz val="9"/>
            <color indexed="81"/>
            <rFont val="Tahoma"/>
            <family val="2"/>
          </rPr>
          <t xml:space="preserve">
5.6 Si atom %</t>
        </r>
      </text>
    </comment>
    <comment ref="U1426" authorId="0" shapeId="0" xr:uid="{0BF43E6C-A5AE-4614-9B99-711BD3FE5A6C}">
      <text>
        <r>
          <rPr>
            <b/>
            <sz val="9"/>
            <color indexed="81"/>
            <rFont val="Tahoma"/>
            <family val="2"/>
          </rPr>
          <t>Author:</t>
        </r>
        <r>
          <rPr>
            <sz val="9"/>
            <color indexed="81"/>
            <rFont val="Tahoma"/>
            <family val="2"/>
          </rPr>
          <t xml:space="preserve">
5.7 Si atom %</t>
        </r>
      </text>
    </comment>
    <comment ref="U1427" authorId="0" shapeId="0" xr:uid="{FDF7D1EE-2250-4D74-993F-A507EA618BC2}">
      <text>
        <r>
          <rPr>
            <b/>
            <sz val="9"/>
            <color indexed="81"/>
            <rFont val="Tahoma"/>
            <family val="2"/>
          </rPr>
          <t>Author:</t>
        </r>
        <r>
          <rPr>
            <sz val="9"/>
            <color indexed="81"/>
            <rFont val="Tahoma"/>
            <family val="2"/>
          </rPr>
          <t xml:space="preserve">
5.3 Si atom %</t>
        </r>
      </text>
    </comment>
    <comment ref="U1428" authorId="0" shapeId="0" xr:uid="{98C502A3-1227-4001-B97C-FA7D460CE18F}">
      <text>
        <r>
          <rPr>
            <b/>
            <sz val="9"/>
            <color indexed="81"/>
            <rFont val="Tahoma"/>
            <family val="2"/>
          </rPr>
          <t>Author:</t>
        </r>
        <r>
          <rPr>
            <sz val="9"/>
            <color indexed="81"/>
            <rFont val="Tahoma"/>
            <family val="2"/>
          </rPr>
          <t xml:space="preserve">
6.8 Si atom %</t>
        </r>
      </text>
    </comment>
    <comment ref="F1429" authorId="0" shapeId="0" xr:uid="{0134380D-8A61-4BA9-951F-2D62D2F5593B}">
      <text>
        <r>
          <rPr>
            <b/>
            <sz val="9"/>
            <color indexed="81"/>
            <rFont val="Tahoma"/>
            <family val="2"/>
          </rPr>
          <t>Author:</t>
        </r>
        <r>
          <rPr>
            <sz val="9"/>
            <color indexed="81"/>
            <rFont val="Tahoma"/>
            <family val="2"/>
          </rPr>
          <t xml:space="preserve">
removed. scratch on target. See image</t>
        </r>
      </text>
    </comment>
    <comment ref="U1430" authorId="0" shapeId="0" xr:uid="{89EA679D-E3AE-456C-BC96-2FFC145104D1}">
      <text>
        <r>
          <rPr>
            <b/>
            <sz val="9"/>
            <color indexed="81"/>
            <rFont val="Tahoma"/>
            <family val="2"/>
          </rPr>
          <t>Author:</t>
        </r>
        <r>
          <rPr>
            <sz val="9"/>
            <color indexed="81"/>
            <rFont val="Tahoma"/>
            <family val="2"/>
          </rPr>
          <t xml:space="preserve">
6.8 Si atom %</t>
        </r>
      </text>
    </comment>
    <comment ref="U1431" authorId="0" shapeId="0" xr:uid="{F262FAC7-6905-4590-BDE1-FA68CDFBB6F5}">
      <text>
        <r>
          <rPr>
            <b/>
            <sz val="9"/>
            <color indexed="81"/>
            <rFont val="Tahoma"/>
            <family val="2"/>
          </rPr>
          <t>Author:</t>
        </r>
        <r>
          <rPr>
            <sz val="9"/>
            <color indexed="81"/>
            <rFont val="Tahoma"/>
            <family val="2"/>
          </rPr>
          <t xml:space="preserve">
6.8 Si atom %</t>
        </r>
      </text>
    </comment>
    <comment ref="U1432" authorId="0" shapeId="0" xr:uid="{CC56E455-8D53-4409-8E53-28C2C08B6C99}">
      <text>
        <r>
          <rPr>
            <b/>
            <sz val="9"/>
            <color indexed="81"/>
            <rFont val="Tahoma"/>
            <family val="2"/>
          </rPr>
          <t>Author:</t>
        </r>
        <r>
          <rPr>
            <sz val="9"/>
            <color indexed="81"/>
            <rFont val="Tahoma"/>
            <family val="2"/>
          </rPr>
          <t xml:space="preserve">
6.8 Si atom %</t>
        </r>
      </text>
    </comment>
    <comment ref="U1433" authorId="0" shapeId="0" xr:uid="{90AEA147-D01B-4DF1-AC7F-55F5A88AC5CF}">
      <text>
        <r>
          <rPr>
            <b/>
            <sz val="9"/>
            <color indexed="81"/>
            <rFont val="Tahoma"/>
            <family val="2"/>
          </rPr>
          <t>Author:</t>
        </r>
        <r>
          <rPr>
            <sz val="9"/>
            <color indexed="81"/>
            <rFont val="Tahoma"/>
            <family val="2"/>
          </rPr>
          <t xml:space="preserve">
5.0 Si atom %</t>
        </r>
      </text>
    </comment>
    <comment ref="F1434" authorId="0" shapeId="0" xr:uid="{F60DE9EA-625A-4711-B511-07C3E91A2F35}">
      <text>
        <r>
          <rPr>
            <b/>
            <sz val="9"/>
            <color indexed="81"/>
            <rFont val="Tahoma"/>
            <family val="2"/>
          </rPr>
          <t>Author:</t>
        </r>
        <r>
          <rPr>
            <sz val="9"/>
            <color indexed="81"/>
            <rFont val="Tahoma"/>
            <family val="2"/>
          </rPr>
          <t xml:space="preserve">
assm. glue</t>
        </r>
      </text>
    </comment>
    <comment ref="U1434" authorId="0" shapeId="0" xr:uid="{4A698029-E5EA-4FA0-8FE1-E530B4510415}">
      <text>
        <r>
          <rPr>
            <b/>
            <sz val="9"/>
            <color indexed="81"/>
            <rFont val="Tahoma"/>
            <family val="2"/>
          </rPr>
          <t>Author:</t>
        </r>
        <r>
          <rPr>
            <sz val="9"/>
            <color indexed="81"/>
            <rFont val="Tahoma"/>
            <family val="2"/>
          </rPr>
          <t xml:space="preserve">
5.0 Si atom %</t>
        </r>
      </text>
    </comment>
    <comment ref="U1435" authorId="0" shapeId="0" xr:uid="{E5F2CA30-0253-4170-BA83-6B50FC1FFA39}">
      <text>
        <r>
          <rPr>
            <b/>
            <sz val="9"/>
            <color indexed="81"/>
            <rFont val="Tahoma"/>
            <family val="2"/>
          </rPr>
          <t>Author:</t>
        </r>
        <r>
          <rPr>
            <sz val="9"/>
            <color indexed="81"/>
            <rFont val="Tahoma"/>
            <family val="2"/>
          </rPr>
          <t xml:space="preserve">
5.0 Si atom %</t>
        </r>
      </text>
    </comment>
    <comment ref="U1436" authorId="0" shapeId="0" xr:uid="{44D3BA1A-2306-4187-8801-CA6E23D07D3A}">
      <text>
        <r>
          <rPr>
            <b/>
            <sz val="9"/>
            <color indexed="81"/>
            <rFont val="Tahoma"/>
            <family val="2"/>
          </rPr>
          <t>Author:</t>
        </r>
        <r>
          <rPr>
            <sz val="9"/>
            <color indexed="81"/>
            <rFont val="Tahoma"/>
            <family val="2"/>
          </rPr>
          <t xml:space="preserve">
5.0 Si atom %</t>
        </r>
      </text>
    </comment>
    <comment ref="U1437" authorId="0" shapeId="0" xr:uid="{1F8A82F7-79A1-46E2-B413-781E81321A7B}">
      <text>
        <r>
          <rPr>
            <b/>
            <sz val="9"/>
            <color indexed="81"/>
            <rFont val="Tahoma"/>
            <family val="2"/>
          </rPr>
          <t>Author:</t>
        </r>
        <r>
          <rPr>
            <sz val="9"/>
            <color indexed="81"/>
            <rFont val="Tahoma"/>
            <family val="2"/>
          </rPr>
          <t xml:space="preserve">
6.51 Si atom %</t>
        </r>
      </text>
    </comment>
    <comment ref="U1438" authorId="0" shapeId="0" xr:uid="{2A3490FD-3A35-4155-A151-B06174FB9C05}">
      <text>
        <r>
          <rPr>
            <b/>
            <sz val="9"/>
            <color indexed="81"/>
            <rFont val="Tahoma"/>
            <family val="2"/>
          </rPr>
          <t>Author:</t>
        </r>
        <r>
          <rPr>
            <sz val="9"/>
            <color indexed="81"/>
            <rFont val="Tahoma"/>
            <family val="2"/>
          </rPr>
          <t xml:space="preserve">
6.51 Si atom %</t>
        </r>
      </text>
    </comment>
    <comment ref="U1439" authorId="0" shapeId="0" xr:uid="{C2D17B96-F35C-4E2E-9274-3213D55BABDC}">
      <text>
        <r>
          <rPr>
            <b/>
            <sz val="9"/>
            <color indexed="81"/>
            <rFont val="Tahoma"/>
            <family val="2"/>
          </rPr>
          <t>Author:</t>
        </r>
        <r>
          <rPr>
            <sz val="9"/>
            <color indexed="81"/>
            <rFont val="Tahoma"/>
            <family val="2"/>
          </rPr>
          <t xml:space="preserve">
6.51 Si atom %</t>
        </r>
      </text>
    </comment>
    <comment ref="F1442" authorId="0" shapeId="0" xr:uid="{3F692B97-0E05-476F-A55E-5682117D227F}">
      <text>
        <r>
          <rPr>
            <b/>
            <sz val="9"/>
            <color indexed="81"/>
            <rFont val="Tahoma"/>
            <family val="2"/>
          </rPr>
          <t>Author:</t>
        </r>
        <r>
          <rPr>
            <sz val="9"/>
            <color indexed="81"/>
            <rFont val="Tahoma"/>
            <family val="2"/>
          </rPr>
          <t xml:space="preserve">
broken during rack loading, mishandled</t>
        </r>
      </text>
    </comment>
    <comment ref="U1442" authorId="0" shapeId="0" xr:uid="{9D9F0D45-29F0-433E-B7FE-54B781C866BE}">
      <text>
        <r>
          <rPr>
            <b/>
            <sz val="9"/>
            <color indexed="81"/>
            <rFont val="Tahoma"/>
            <family val="2"/>
          </rPr>
          <t>Author:</t>
        </r>
        <r>
          <rPr>
            <sz val="9"/>
            <color indexed="81"/>
            <rFont val="Tahoma"/>
            <family val="2"/>
          </rPr>
          <t xml:space="preserve">
5.3 Si atom %</t>
        </r>
      </text>
    </comment>
    <comment ref="U1443" authorId="0" shapeId="0" xr:uid="{BC6B874C-0E90-4D8D-BCF7-B3E81EAB5353}">
      <text>
        <r>
          <rPr>
            <b/>
            <sz val="9"/>
            <color indexed="81"/>
            <rFont val="Tahoma"/>
            <family val="2"/>
          </rPr>
          <t>Author:</t>
        </r>
        <r>
          <rPr>
            <sz val="9"/>
            <color indexed="81"/>
            <rFont val="Tahoma"/>
            <family val="2"/>
          </rPr>
          <t xml:space="preserve">
5.3 Si atom %</t>
        </r>
      </text>
    </comment>
    <comment ref="F1444" authorId="0" shapeId="0" xr:uid="{34F202ED-F883-45C6-8BE7-975EAC389744}">
      <text>
        <r>
          <rPr>
            <b/>
            <sz val="9"/>
            <color indexed="81"/>
            <rFont val="Tahoma"/>
            <family val="2"/>
          </rPr>
          <t>Author:</t>
        </r>
        <r>
          <rPr>
            <sz val="9"/>
            <color indexed="81"/>
            <rFont val="Tahoma"/>
            <family val="2"/>
          </rPr>
          <t xml:space="preserve">
broken during rack loading, not clear of cause for breakage</t>
        </r>
      </text>
    </comment>
    <comment ref="U1444" authorId="0" shapeId="0" xr:uid="{3ABC50FB-56B4-4C49-BA82-AD612358D1D6}">
      <text>
        <r>
          <rPr>
            <b/>
            <sz val="9"/>
            <color indexed="81"/>
            <rFont val="Tahoma"/>
            <family val="2"/>
          </rPr>
          <t>Author:</t>
        </r>
        <r>
          <rPr>
            <sz val="9"/>
            <color indexed="81"/>
            <rFont val="Tahoma"/>
            <family val="2"/>
          </rPr>
          <t xml:space="preserve">
5.3 Si atom %</t>
        </r>
      </text>
    </comment>
    <comment ref="F1445" authorId="0" shapeId="0" xr:uid="{42B95E5C-7EF5-4282-B2D6-E60746167D92}">
      <text>
        <r>
          <rPr>
            <b/>
            <sz val="9"/>
            <color indexed="81"/>
            <rFont val="Tahoma"/>
            <family val="2"/>
          </rPr>
          <t>Author:</t>
        </r>
        <r>
          <rPr>
            <sz val="9"/>
            <color indexed="81"/>
            <rFont val="Tahoma"/>
            <family val="2"/>
          </rPr>
          <t xml:space="preserve">
assm. glue</t>
        </r>
      </text>
    </comment>
    <comment ref="U1445" authorId="0" shapeId="0" xr:uid="{541C0B25-481E-438D-BAE5-D317B570BB0D}">
      <text>
        <r>
          <rPr>
            <b/>
            <sz val="9"/>
            <color indexed="81"/>
            <rFont val="Tahoma"/>
            <family val="2"/>
          </rPr>
          <t>Author:</t>
        </r>
        <r>
          <rPr>
            <sz val="9"/>
            <color indexed="81"/>
            <rFont val="Tahoma"/>
            <family val="2"/>
          </rPr>
          <t xml:space="preserve">
5.1 Si atom %</t>
        </r>
      </text>
    </comment>
    <comment ref="U1446" authorId="0" shapeId="0" xr:uid="{DC15EDF7-746D-4307-A748-7D8E39A949D7}">
      <text>
        <r>
          <rPr>
            <b/>
            <sz val="9"/>
            <color indexed="81"/>
            <rFont val="Tahoma"/>
            <family val="2"/>
          </rPr>
          <t>Author:</t>
        </r>
        <r>
          <rPr>
            <sz val="9"/>
            <color indexed="81"/>
            <rFont val="Tahoma"/>
            <family val="2"/>
          </rPr>
          <t xml:space="preserve">
5.1 Si atom %</t>
        </r>
      </text>
    </comment>
    <comment ref="U1447" authorId="0" shapeId="0" xr:uid="{486931AD-CC9F-4393-93B3-C3A72CF22574}">
      <text>
        <r>
          <rPr>
            <b/>
            <sz val="9"/>
            <color indexed="81"/>
            <rFont val="Tahoma"/>
            <family val="2"/>
          </rPr>
          <t>Author:</t>
        </r>
        <r>
          <rPr>
            <sz val="9"/>
            <color indexed="81"/>
            <rFont val="Tahoma"/>
            <family val="2"/>
          </rPr>
          <t xml:space="preserve">
5.1 Si atom %</t>
        </r>
      </text>
    </comment>
    <comment ref="U1448" authorId="0" shapeId="0" xr:uid="{7B55567D-2091-41D8-A597-372061C1923C}">
      <text>
        <r>
          <rPr>
            <b/>
            <sz val="9"/>
            <color indexed="81"/>
            <rFont val="Tahoma"/>
            <family val="2"/>
          </rPr>
          <t>Author:</t>
        </r>
        <r>
          <rPr>
            <sz val="9"/>
            <color indexed="81"/>
            <rFont val="Tahoma"/>
            <family val="2"/>
          </rPr>
          <t xml:space="preserve">
5.1 Si atom %</t>
        </r>
      </text>
    </comment>
    <comment ref="U1449" authorId="0" shapeId="0" xr:uid="{63B69193-EB5C-4B57-BA65-E77A2667DE91}">
      <text>
        <r>
          <rPr>
            <b/>
            <sz val="9"/>
            <color indexed="81"/>
            <rFont val="Tahoma"/>
            <family val="2"/>
          </rPr>
          <t>Author:</t>
        </r>
        <r>
          <rPr>
            <sz val="9"/>
            <color indexed="81"/>
            <rFont val="Tahoma"/>
            <family val="2"/>
          </rPr>
          <t xml:space="preserve">
5.1 Si atom %</t>
        </r>
      </text>
    </comment>
    <comment ref="U1450" authorId="0" shapeId="0" xr:uid="{E5725326-D5CD-4773-BDCB-54DC05E7D16F}">
      <text>
        <r>
          <rPr>
            <b/>
            <sz val="9"/>
            <color indexed="81"/>
            <rFont val="Tahoma"/>
            <family val="2"/>
          </rPr>
          <t>Author:</t>
        </r>
        <r>
          <rPr>
            <sz val="9"/>
            <color indexed="81"/>
            <rFont val="Tahoma"/>
            <family val="2"/>
          </rPr>
          <t xml:space="preserve">
5.1 Si atom %</t>
        </r>
      </text>
    </comment>
    <comment ref="U1451" authorId="0" shapeId="0" xr:uid="{24E86219-90BD-486F-9FDB-7A5A63627E20}">
      <text>
        <r>
          <rPr>
            <b/>
            <sz val="9"/>
            <color indexed="81"/>
            <rFont val="Tahoma"/>
            <family val="2"/>
          </rPr>
          <t>Author:</t>
        </r>
        <r>
          <rPr>
            <sz val="9"/>
            <color indexed="81"/>
            <rFont val="Tahoma"/>
            <family val="2"/>
          </rPr>
          <t xml:space="preserve">
5.1 Si atom %</t>
        </r>
      </text>
    </comment>
    <comment ref="U1452" authorId="0" shapeId="0" xr:uid="{47C976E5-9CA0-4F77-97DE-6B2A1B7A243B}">
      <text>
        <r>
          <rPr>
            <b/>
            <sz val="9"/>
            <color indexed="81"/>
            <rFont val="Tahoma"/>
            <family val="2"/>
          </rPr>
          <t>Author:</t>
        </r>
        <r>
          <rPr>
            <sz val="9"/>
            <color indexed="81"/>
            <rFont val="Tahoma"/>
            <family val="2"/>
          </rPr>
          <t xml:space="preserve">
5.1 Si atom %</t>
        </r>
      </text>
    </comment>
    <comment ref="F1453" authorId="0" shapeId="0" xr:uid="{12349D5D-918C-466A-AC87-B9AA7C01C3F0}">
      <text>
        <r>
          <rPr>
            <b/>
            <sz val="9"/>
            <color indexed="81"/>
            <rFont val="Tahoma"/>
            <family val="2"/>
          </rPr>
          <t>Author:</t>
        </r>
        <r>
          <rPr>
            <sz val="9"/>
            <color indexed="81"/>
            <rFont val="Tahoma"/>
            <family val="2"/>
          </rPr>
          <t xml:space="preserve">
bad glue spot</t>
        </r>
      </text>
    </comment>
    <comment ref="F1454" authorId="0" shapeId="0" xr:uid="{077D6BFE-35D3-4D67-B978-26CDAB6D714F}">
      <text>
        <r>
          <rPr>
            <b/>
            <sz val="9"/>
            <color indexed="81"/>
            <rFont val="Tahoma"/>
            <family val="2"/>
          </rPr>
          <t>Author:</t>
        </r>
        <r>
          <rPr>
            <sz val="9"/>
            <color indexed="81"/>
            <rFont val="Tahoma"/>
            <family val="2"/>
          </rPr>
          <t xml:space="preserve">
lost when loading the rack. golf tee</t>
        </r>
      </text>
    </comment>
    <comment ref="U1454" authorId="0" shapeId="0" xr:uid="{AFC975EF-C8DE-4812-8D7D-8381403AC17E}">
      <text>
        <r>
          <rPr>
            <b/>
            <sz val="9"/>
            <color indexed="81"/>
            <rFont val="Tahoma"/>
            <family val="2"/>
          </rPr>
          <t>Author:</t>
        </r>
        <r>
          <rPr>
            <sz val="9"/>
            <color indexed="81"/>
            <rFont val="Tahoma"/>
            <family val="2"/>
          </rPr>
          <t xml:space="preserve">
5.7 Si atom %</t>
        </r>
      </text>
    </comment>
    <comment ref="U1455" authorId="0" shapeId="0" xr:uid="{E05349A0-D3DE-4FF9-A3D7-7A83B30A5069}">
      <text>
        <r>
          <rPr>
            <b/>
            <sz val="9"/>
            <color indexed="81"/>
            <rFont val="Tahoma"/>
            <family val="2"/>
          </rPr>
          <t>Author:</t>
        </r>
        <r>
          <rPr>
            <sz val="9"/>
            <color indexed="81"/>
            <rFont val="Tahoma"/>
            <family val="2"/>
          </rPr>
          <t xml:space="preserve">
5.7 Si atom %</t>
        </r>
      </text>
    </comment>
    <comment ref="U1456" authorId="0" shapeId="0" xr:uid="{7FB717F8-B9D5-48C4-AE95-7D4E53A7FC87}">
      <text>
        <r>
          <rPr>
            <b/>
            <sz val="9"/>
            <color indexed="81"/>
            <rFont val="Tahoma"/>
            <family val="2"/>
          </rPr>
          <t>Author:</t>
        </r>
        <r>
          <rPr>
            <sz val="9"/>
            <color indexed="81"/>
            <rFont val="Tahoma"/>
            <family val="2"/>
          </rPr>
          <t xml:space="preserve">
5.0 Si atom %</t>
        </r>
      </text>
    </comment>
    <comment ref="U1457" authorId="0" shapeId="0" xr:uid="{79590004-CFDA-4D9A-99B3-1046C0E41250}">
      <text>
        <r>
          <rPr>
            <b/>
            <sz val="9"/>
            <color indexed="81"/>
            <rFont val="Tahoma"/>
            <family val="2"/>
          </rPr>
          <t>Author:</t>
        </r>
        <r>
          <rPr>
            <sz val="9"/>
            <color indexed="81"/>
            <rFont val="Tahoma"/>
            <family val="2"/>
          </rPr>
          <t xml:space="preserve">
5.0 Si atom %</t>
        </r>
      </text>
    </comment>
    <comment ref="F1458" authorId="0" shapeId="0" xr:uid="{6DA0972B-FCAF-4802-803E-F80201591D83}">
      <text>
        <r>
          <rPr>
            <b/>
            <sz val="9"/>
            <color indexed="81"/>
            <rFont val="Tahoma"/>
            <family val="2"/>
          </rPr>
          <t>Author:</t>
        </r>
        <r>
          <rPr>
            <sz val="9"/>
            <color indexed="81"/>
            <rFont val="Tahoma"/>
            <family val="2"/>
          </rPr>
          <t xml:space="preserve">
broken upon insertion in FTS1</t>
        </r>
      </text>
    </comment>
    <comment ref="U1458" authorId="0" shapeId="0" xr:uid="{4FDBC4F6-7716-4840-933B-9D6C83563BFF}">
      <text>
        <r>
          <rPr>
            <b/>
            <sz val="9"/>
            <color indexed="81"/>
            <rFont val="Tahoma"/>
            <family val="2"/>
          </rPr>
          <t>Author:</t>
        </r>
        <r>
          <rPr>
            <sz val="9"/>
            <color indexed="81"/>
            <rFont val="Tahoma"/>
            <family val="2"/>
          </rPr>
          <t xml:space="preserve">
5.0 Si atom %</t>
        </r>
      </text>
    </comment>
    <comment ref="U1459" authorId="0" shapeId="0" xr:uid="{7ED430E7-F180-49AC-BF43-C31AC81538FD}">
      <text>
        <r>
          <rPr>
            <b/>
            <sz val="9"/>
            <color indexed="81"/>
            <rFont val="Tahoma"/>
            <family val="2"/>
          </rPr>
          <t>Author:</t>
        </r>
        <r>
          <rPr>
            <sz val="9"/>
            <color indexed="81"/>
            <rFont val="Tahoma"/>
            <family val="2"/>
          </rPr>
          <t xml:space="preserve">
5.0 Si atom %</t>
        </r>
      </text>
    </comment>
    <comment ref="F1460" authorId="0" shapeId="0" xr:uid="{14EEB265-B037-40A6-9197-8322430CF8B5}">
      <text>
        <r>
          <rPr>
            <b/>
            <sz val="9"/>
            <color indexed="81"/>
            <rFont val="Tahoma"/>
            <family val="2"/>
          </rPr>
          <t>Author:</t>
        </r>
        <r>
          <rPr>
            <sz val="9"/>
            <color indexed="81"/>
            <rFont val="Tahoma"/>
            <family val="2"/>
          </rPr>
          <t xml:space="preserve">
assm. glue</t>
        </r>
      </text>
    </comment>
    <comment ref="U1460" authorId="0" shapeId="0" xr:uid="{68160B15-7618-433F-8A0E-0966CCF65462}">
      <text>
        <r>
          <rPr>
            <b/>
            <sz val="9"/>
            <color indexed="81"/>
            <rFont val="Tahoma"/>
            <family val="2"/>
          </rPr>
          <t>Author:</t>
        </r>
        <r>
          <rPr>
            <sz val="9"/>
            <color indexed="81"/>
            <rFont val="Tahoma"/>
            <family val="2"/>
          </rPr>
          <t xml:space="preserve">
5.0 Si atom %</t>
        </r>
      </text>
    </comment>
    <comment ref="F1461" authorId="0" shapeId="0" xr:uid="{8DC5CDCF-CC7D-49FA-8EC8-AD80ED12CC4D}">
      <text>
        <r>
          <rPr>
            <b/>
            <sz val="9"/>
            <color indexed="81"/>
            <rFont val="Tahoma"/>
            <family val="2"/>
          </rPr>
          <t>Author:</t>
        </r>
        <r>
          <rPr>
            <sz val="9"/>
            <color indexed="81"/>
            <rFont val="Tahoma"/>
            <family val="2"/>
          </rPr>
          <t xml:space="preserve">
target knocked of stalk</t>
        </r>
      </text>
    </comment>
    <comment ref="F1462" authorId="0" shapeId="0" xr:uid="{AC5B0B27-64A9-4305-85D1-5FEA0AB548EC}">
      <text>
        <r>
          <rPr>
            <b/>
            <sz val="9"/>
            <color indexed="81"/>
            <rFont val="Tahoma"/>
            <family val="2"/>
          </rPr>
          <t>Author:</t>
        </r>
        <r>
          <rPr>
            <sz val="9"/>
            <color indexed="81"/>
            <rFont val="Tahoma"/>
            <family val="2"/>
          </rPr>
          <t xml:space="preserve">
assm. Glue</t>
        </r>
      </text>
    </comment>
    <comment ref="U1463" authorId="0" shapeId="0" xr:uid="{3C93C35A-3450-4B2D-BD57-C79DA024EFF3}">
      <text>
        <r>
          <rPr>
            <b/>
            <sz val="9"/>
            <color indexed="81"/>
            <rFont val="Tahoma"/>
            <family val="2"/>
          </rPr>
          <t>Author:</t>
        </r>
        <r>
          <rPr>
            <sz val="9"/>
            <color indexed="81"/>
            <rFont val="Tahoma"/>
            <family val="2"/>
          </rPr>
          <t xml:space="preserve">
5.0 Si atom %</t>
        </r>
      </text>
    </comment>
    <comment ref="U1464" authorId="0" shapeId="0" xr:uid="{469399C5-74D4-4524-A2FF-453C92D8F271}">
      <text>
        <r>
          <rPr>
            <b/>
            <sz val="9"/>
            <color indexed="81"/>
            <rFont val="Tahoma"/>
            <family val="2"/>
          </rPr>
          <t>Author:</t>
        </r>
        <r>
          <rPr>
            <sz val="9"/>
            <color indexed="81"/>
            <rFont val="Tahoma"/>
            <family val="2"/>
          </rPr>
          <t xml:space="preserve">
5.0 Si atom %</t>
        </r>
      </text>
    </comment>
    <comment ref="U1465" authorId="0" shapeId="0" xr:uid="{E97ADA56-E3A7-486E-BDB7-B76C0BDE26A7}">
      <text>
        <r>
          <rPr>
            <b/>
            <sz val="9"/>
            <color indexed="81"/>
            <rFont val="Tahoma"/>
            <family val="2"/>
          </rPr>
          <t>Author:</t>
        </r>
        <r>
          <rPr>
            <sz val="9"/>
            <color indexed="81"/>
            <rFont val="Tahoma"/>
            <family val="2"/>
          </rPr>
          <t xml:space="preserve">
5.0 Si atom %</t>
        </r>
      </text>
    </comment>
    <comment ref="U1466" authorId="0" shapeId="0" xr:uid="{BE6BC4B7-6B35-4DD3-BFCE-30E0FCCE2513}">
      <text>
        <r>
          <rPr>
            <b/>
            <sz val="9"/>
            <color indexed="81"/>
            <rFont val="Tahoma"/>
            <family val="2"/>
          </rPr>
          <t>Author:</t>
        </r>
        <r>
          <rPr>
            <sz val="9"/>
            <color indexed="81"/>
            <rFont val="Tahoma"/>
            <family val="2"/>
          </rPr>
          <t xml:space="preserve">
5.7 Si atom %</t>
        </r>
      </text>
    </comment>
    <comment ref="F1470" authorId="0" shapeId="0" xr:uid="{51CFBE60-E065-4B8E-9D74-44F508B41F89}">
      <text>
        <r>
          <rPr>
            <b/>
            <sz val="9"/>
            <color indexed="81"/>
            <rFont val="Tahoma"/>
            <family val="2"/>
          </rPr>
          <t>Author:</t>
        </r>
        <r>
          <rPr>
            <sz val="9"/>
            <color indexed="81"/>
            <rFont val="Tahoma"/>
            <family val="2"/>
          </rPr>
          <t xml:space="preserve">
assm. glue</t>
        </r>
      </text>
    </comment>
    <comment ref="F1473" authorId="0" shapeId="0" xr:uid="{8AEE198B-DB50-4554-8CE9-8B5267837C51}">
      <text>
        <r>
          <rPr>
            <b/>
            <sz val="9"/>
            <color indexed="81"/>
            <rFont val="Tahoma"/>
            <family val="2"/>
          </rPr>
          <t>Author:</t>
        </r>
        <r>
          <rPr>
            <sz val="9"/>
            <color indexed="81"/>
            <rFont val="Tahoma"/>
            <family val="2"/>
          </rPr>
          <t xml:space="preserve">
assm. glue</t>
        </r>
      </text>
    </comment>
    <comment ref="F1475" authorId="0" shapeId="0" xr:uid="{9C6D9B93-3580-4375-AF3F-535F070180CF}">
      <text>
        <r>
          <rPr>
            <b/>
            <sz val="9"/>
            <color indexed="81"/>
            <rFont val="Tahoma"/>
            <family val="2"/>
          </rPr>
          <t>Author:</t>
        </r>
        <r>
          <rPr>
            <sz val="9"/>
            <color indexed="81"/>
            <rFont val="Tahoma"/>
            <family val="2"/>
          </rPr>
          <t xml:space="preserve">
OOS defect</t>
        </r>
      </text>
    </comment>
    <comment ref="W1475" authorId="0" shapeId="0" xr:uid="{0862C723-6276-4283-B87B-338B1F1CF8B1}">
      <text>
        <r>
          <rPr>
            <b/>
            <sz val="9"/>
            <color indexed="81"/>
            <rFont val="Tahoma"/>
            <family val="2"/>
          </rPr>
          <t>Author:</t>
        </r>
        <r>
          <rPr>
            <sz val="9"/>
            <color indexed="81"/>
            <rFont val="Tahoma"/>
            <family val="2"/>
          </rPr>
          <t xml:space="preserve">
one defect &gt;10um</t>
        </r>
      </text>
    </comment>
    <comment ref="F1479" authorId="0" shapeId="0" xr:uid="{2CBD629D-D578-4FDB-87FD-38D288BC9F5B}">
      <text>
        <r>
          <rPr>
            <b/>
            <sz val="9"/>
            <color indexed="81"/>
            <rFont val="Tahoma"/>
            <family val="2"/>
          </rPr>
          <t>Author:</t>
        </r>
        <r>
          <rPr>
            <sz val="9"/>
            <color indexed="81"/>
            <rFont val="Tahoma"/>
            <family val="2"/>
          </rPr>
          <t xml:space="preserve">
OOS Defect</t>
        </r>
      </text>
    </comment>
    <comment ref="F1482" authorId="0" shapeId="0" xr:uid="{BCED48FB-DDD3-41B6-B418-08D953A85903}">
      <text>
        <r>
          <rPr>
            <b/>
            <sz val="9"/>
            <color indexed="81"/>
            <rFont val="Tahoma"/>
            <family val="2"/>
          </rPr>
          <t>Author:</t>
        </r>
        <r>
          <rPr>
            <sz val="9"/>
            <color indexed="81"/>
            <rFont val="Tahoma"/>
            <family val="2"/>
          </rPr>
          <t xml:space="preserve">
assm. Glue spot</t>
        </r>
      </text>
    </comment>
    <comment ref="U1485" authorId="0" shapeId="0" xr:uid="{87824985-23CE-445C-9029-097AECDCAADF}">
      <text>
        <r>
          <rPr>
            <b/>
            <sz val="9"/>
            <color indexed="81"/>
            <rFont val="Tahoma"/>
            <family val="2"/>
          </rPr>
          <t>Author:</t>
        </r>
        <r>
          <rPr>
            <sz val="9"/>
            <color indexed="81"/>
            <rFont val="Tahoma"/>
            <family val="2"/>
          </rPr>
          <t xml:space="preserve">
6.0 Si atom %</t>
        </r>
      </text>
    </comment>
    <comment ref="F1486" authorId="0" shapeId="0" xr:uid="{0F782BA8-1B3D-4215-9910-15B62F5C946E}">
      <text>
        <r>
          <rPr>
            <b/>
            <sz val="9"/>
            <color indexed="81"/>
            <rFont val="Tahoma"/>
            <family val="2"/>
          </rPr>
          <t>Author:</t>
        </r>
        <r>
          <rPr>
            <sz val="9"/>
            <color indexed="81"/>
            <rFont val="Tahoma"/>
            <family val="2"/>
          </rPr>
          <t xml:space="preserve">
assm. glue</t>
        </r>
      </text>
    </comment>
    <comment ref="U1486" authorId="0" shapeId="0" xr:uid="{88A5D8C9-1796-4930-99C1-FD391E10923A}">
      <text>
        <r>
          <rPr>
            <b/>
            <sz val="9"/>
            <color indexed="81"/>
            <rFont val="Tahoma"/>
            <family val="2"/>
          </rPr>
          <t>Author:</t>
        </r>
        <r>
          <rPr>
            <sz val="9"/>
            <color indexed="81"/>
            <rFont val="Tahoma"/>
            <family val="2"/>
          </rPr>
          <t xml:space="preserve">
6.0 Si atom %</t>
        </r>
      </text>
    </comment>
    <comment ref="U1487" authorId="0" shapeId="0" xr:uid="{001DE046-C313-4180-8632-C6ADF6D53E7B}">
      <text>
        <r>
          <rPr>
            <b/>
            <sz val="9"/>
            <color indexed="81"/>
            <rFont val="Tahoma"/>
            <family val="2"/>
          </rPr>
          <t>Author:</t>
        </r>
        <r>
          <rPr>
            <sz val="9"/>
            <color indexed="81"/>
            <rFont val="Tahoma"/>
            <family val="2"/>
          </rPr>
          <t xml:space="preserve">
6.0 Si atom %</t>
        </r>
      </text>
    </comment>
    <comment ref="U1488" authorId="0" shapeId="0" xr:uid="{EAB67A46-4193-45A2-B552-A1D54DD6C21A}">
      <text>
        <r>
          <rPr>
            <b/>
            <sz val="9"/>
            <color indexed="81"/>
            <rFont val="Tahoma"/>
            <family val="2"/>
          </rPr>
          <t>Author:</t>
        </r>
        <r>
          <rPr>
            <sz val="9"/>
            <color indexed="81"/>
            <rFont val="Tahoma"/>
            <family val="2"/>
          </rPr>
          <t xml:space="preserve">
6.0 Si atom %</t>
        </r>
      </text>
    </comment>
    <comment ref="U1489" authorId="0" shapeId="0" xr:uid="{4CCBE317-1CB1-4E37-A997-EA5634B567A7}">
      <text>
        <r>
          <rPr>
            <b/>
            <sz val="9"/>
            <color indexed="81"/>
            <rFont val="Tahoma"/>
            <family val="2"/>
          </rPr>
          <t>Author:</t>
        </r>
        <r>
          <rPr>
            <sz val="9"/>
            <color indexed="81"/>
            <rFont val="Tahoma"/>
            <family val="2"/>
          </rPr>
          <t xml:space="preserve">
6.6 Si atom %</t>
        </r>
      </text>
    </comment>
    <comment ref="U1490" authorId="0" shapeId="0" xr:uid="{042820F6-E2D8-42A2-924E-41D98E0D6C82}">
      <text>
        <r>
          <rPr>
            <b/>
            <sz val="9"/>
            <color indexed="81"/>
            <rFont val="Tahoma"/>
            <family val="2"/>
          </rPr>
          <t>Author:</t>
        </r>
        <r>
          <rPr>
            <sz val="9"/>
            <color indexed="81"/>
            <rFont val="Tahoma"/>
            <family val="2"/>
          </rPr>
          <t xml:space="preserve">
6.6 Si atom %</t>
        </r>
      </text>
    </comment>
    <comment ref="F1491" authorId="0" shapeId="0" xr:uid="{B0BD2C24-4EEA-408C-BDD3-1958FA51044D}">
      <text>
        <r>
          <rPr>
            <b/>
            <sz val="9"/>
            <color indexed="81"/>
            <rFont val="Tahoma"/>
            <family val="2"/>
          </rPr>
          <t>Author:</t>
        </r>
        <r>
          <rPr>
            <sz val="9"/>
            <color indexed="81"/>
            <rFont val="Tahoma"/>
            <family val="2"/>
          </rPr>
          <t xml:space="preserve">
assm. glue</t>
        </r>
      </text>
    </comment>
    <comment ref="F1492" authorId="0" shapeId="0" xr:uid="{41BE0B41-457F-4DDE-9512-FF9882090942}">
      <text>
        <r>
          <rPr>
            <b/>
            <sz val="9"/>
            <color indexed="81"/>
            <rFont val="Tahoma"/>
            <family val="2"/>
          </rPr>
          <t>Author:</t>
        </r>
        <r>
          <rPr>
            <sz val="9"/>
            <color indexed="81"/>
            <rFont val="Tahoma"/>
            <family val="2"/>
          </rPr>
          <t xml:space="preserve">
assm. glue</t>
        </r>
      </text>
    </comment>
    <comment ref="U1493" authorId="0" shapeId="0" xr:uid="{F84A6C31-C097-4AEF-B986-734F53080E8F}">
      <text>
        <r>
          <rPr>
            <b/>
            <sz val="9"/>
            <color indexed="81"/>
            <rFont val="Tahoma"/>
            <family val="2"/>
          </rPr>
          <t>Author:</t>
        </r>
        <r>
          <rPr>
            <sz val="9"/>
            <color indexed="81"/>
            <rFont val="Tahoma"/>
            <family val="2"/>
          </rPr>
          <t xml:space="preserve">
6.5 Si atom %</t>
        </r>
      </text>
    </comment>
    <comment ref="U1494" authorId="0" shapeId="0" xr:uid="{6D53F26B-6D1D-4A2B-BC1A-1015BC20D7CC}">
      <text>
        <r>
          <rPr>
            <b/>
            <sz val="9"/>
            <color indexed="81"/>
            <rFont val="Tahoma"/>
            <family val="2"/>
          </rPr>
          <t>Author:</t>
        </r>
        <r>
          <rPr>
            <sz val="9"/>
            <color indexed="81"/>
            <rFont val="Tahoma"/>
            <family val="2"/>
          </rPr>
          <t xml:space="preserve">
6.0 Si atom %</t>
        </r>
      </text>
    </comment>
    <comment ref="U1495" authorId="0" shapeId="0" xr:uid="{74B4AEC1-70A0-4741-A470-6EBF65E565D8}">
      <text>
        <r>
          <rPr>
            <b/>
            <sz val="9"/>
            <color indexed="81"/>
            <rFont val="Tahoma"/>
            <family val="2"/>
          </rPr>
          <t>Author:</t>
        </r>
        <r>
          <rPr>
            <sz val="9"/>
            <color indexed="81"/>
            <rFont val="Tahoma"/>
            <family val="2"/>
          </rPr>
          <t xml:space="preserve">
6.5 Si atom %</t>
        </r>
      </text>
    </comment>
    <comment ref="F1496" authorId="0" shapeId="0" xr:uid="{104A05C4-F20C-4C0D-8E8A-46A0F6C70475}">
      <text>
        <r>
          <rPr>
            <b/>
            <sz val="9"/>
            <color indexed="81"/>
            <rFont val="Tahoma"/>
            <family val="2"/>
          </rPr>
          <t>Author:</t>
        </r>
        <r>
          <rPr>
            <sz val="9"/>
            <color indexed="81"/>
            <rFont val="Tahoma"/>
            <family val="2"/>
          </rPr>
          <t xml:space="preserve">
lost fixing runout</t>
        </r>
      </text>
    </comment>
    <comment ref="U1496" authorId="0" shapeId="0" xr:uid="{B730A6A2-9E6E-498A-AD2B-B11E9B405F5E}">
      <text>
        <r>
          <rPr>
            <b/>
            <sz val="9"/>
            <color indexed="81"/>
            <rFont val="Tahoma"/>
            <family val="2"/>
          </rPr>
          <t>Author:</t>
        </r>
        <r>
          <rPr>
            <sz val="9"/>
            <color indexed="81"/>
            <rFont val="Tahoma"/>
            <family val="2"/>
          </rPr>
          <t xml:space="preserve">
6.5 Si atom %</t>
        </r>
      </text>
    </comment>
    <comment ref="U1497" authorId="0" shapeId="0" xr:uid="{94E891A6-7422-4837-AB6F-238C6FC13E11}">
      <text>
        <r>
          <rPr>
            <b/>
            <sz val="9"/>
            <color indexed="81"/>
            <rFont val="Tahoma"/>
            <family val="2"/>
          </rPr>
          <t>Author:</t>
        </r>
        <r>
          <rPr>
            <sz val="9"/>
            <color indexed="81"/>
            <rFont val="Tahoma"/>
            <family val="2"/>
          </rPr>
          <t xml:space="preserve">
6.5 Si atom %</t>
        </r>
      </text>
    </comment>
    <comment ref="U1498" authorId="0" shapeId="0" xr:uid="{8B3A0A1F-C9E0-4796-BF2E-C1274F69BDC3}">
      <text>
        <r>
          <rPr>
            <b/>
            <sz val="9"/>
            <color indexed="81"/>
            <rFont val="Tahoma"/>
            <family val="2"/>
          </rPr>
          <t>Author:</t>
        </r>
        <r>
          <rPr>
            <sz val="9"/>
            <color indexed="81"/>
            <rFont val="Tahoma"/>
            <family val="2"/>
          </rPr>
          <t xml:space="preserve">
6.5 Si atom %</t>
        </r>
      </text>
    </comment>
    <comment ref="F1503" authorId="0" shapeId="0" xr:uid="{50B530F3-77A6-460F-8EE2-5F818A5BCB80}">
      <text>
        <r>
          <rPr>
            <b/>
            <sz val="9"/>
            <color indexed="81"/>
            <rFont val="Tahoma"/>
            <family val="2"/>
          </rPr>
          <t>Author:</t>
        </r>
        <r>
          <rPr>
            <sz val="9"/>
            <color indexed="81"/>
            <rFont val="Tahoma"/>
            <family val="2"/>
          </rPr>
          <t xml:space="preserve">
assm. glue</t>
        </r>
      </text>
    </comment>
    <comment ref="F1504" authorId="0" shapeId="0" xr:uid="{A280A903-563B-4EE3-BB5B-055629E2370E}">
      <text>
        <r>
          <rPr>
            <b/>
            <sz val="9"/>
            <color indexed="81"/>
            <rFont val="Tahoma"/>
            <family val="2"/>
          </rPr>
          <t>Author:</t>
        </r>
        <r>
          <rPr>
            <sz val="9"/>
            <color indexed="81"/>
            <rFont val="Tahoma"/>
            <family val="2"/>
          </rPr>
          <t xml:space="preserve">
assm. glue</t>
        </r>
      </text>
    </comment>
    <comment ref="F1509" authorId="0" shapeId="0" xr:uid="{0D0DEB71-57B0-403D-9EAD-6CE00D189E86}">
      <text>
        <r>
          <rPr>
            <b/>
            <sz val="9"/>
            <color indexed="81"/>
            <rFont val="Tahoma"/>
            <family val="2"/>
          </rPr>
          <t>Author:</t>
        </r>
        <r>
          <rPr>
            <sz val="9"/>
            <color indexed="81"/>
            <rFont val="Tahoma"/>
            <family val="2"/>
          </rPr>
          <t xml:space="preserve">
glue spot out of spec
</t>
        </r>
      </text>
    </comment>
    <comment ref="F1510" authorId="0" shapeId="0" xr:uid="{B5B39731-5FEE-40A6-A50C-6C89DB96B4C0}">
      <text>
        <r>
          <rPr>
            <b/>
            <sz val="9"/>
            <color indexed="81"/>
            <rFont val="Tahoma"/>
            <family val="2"/>
          </rPr>
          <t>Author:</t>
        </r>
        <r>
          <rPr>
            <sz val="9"/>
            <color indexed="81"/>
            <rFont val="Tahoma"/>
            <family val="2"/>
          </rPr>
          <t xml:space="preserve">
assm. glue
</t>
        </r>
      </text>
    </comment>
    <comment ref="F1511" authorId="0" shapeId="0" xr:uid="{254BB9B3-4887-4C2F-B3D1-627D42FA7243}">
      <text>
        <r>
          <rPr>
            <b/>
            <sz val="9"/>
            <color indexed="81"/>
            <rFont val="Tahoma"/>
            <family val="2"/>
          </rPr>
          <t xml:space="preserve">Alexander Behlok
</t>
        </r>
        <r>
          <rPr>
            <sz val="9"/>
            <color indexed="81"/>
            <rFont val="Tahoma"/>
            <family val="2"/>
          </rPr>
          <t xml:space="preserve">too many defects
</t>
        </r>
      </text>
    </comment>
    <comment ref="F1512" authorId="0" shapeId="0" xr:uid="{BEC73F7B-D997-4F3F-A703-0AC380686D5A}">
      <text>
        <r>
          <rPr>
            <b/>
            <sz val="9"/>
            <color indexed="81"/>
            <rFont val="Tahoma"/>
            <family val="2"/>
          </rPr>
          <t>Author:</t>
        </r>
        <r>
          <rPr>
            <sz val="9"/>
            <color indexed="81"/>
            <rFont val="Tahoma"/>
            <family val="2"/>
          </rPr>
          <t xml:space="preserve">
asymmetric glue</t>
        </r>
      </text>
    </comment>
    <comment ref="F1513" authorId="0" shapeId="0" xr:uid="{76890C77-2159-4163-80E2-BAAC4A1983E2}">
      <text>
        <r>
          <rPr>
            <b/>
            <sz val="9"/>
            <color indexed="81"/>
            <rFont val="Tahoma"/>
            <family val="2"/>
          </rPr>
          <t>Author:</t>
        </r>
        <r>
          <rPr>
            <sz val="9"/>
            <color indexed="81"/>
            <rFont val="Tahoma"/>
            <family val="2"/>
          </rPr>
          <t xml:space="preserve">
asm. Glue
</t>
        </r>
      </text>
    </comment>
    <comment ref="F1514" authorId="0" shapeId="0" xr:uid="{7AF9E82E-5233-41BB-9F9B-4FBD2A182A71}">
      <text>
        <r>
          <rPr>
            <b/>
            <sz val="9"/>
            <color indexed="81"/>
            <rFont val="Tahoma"/>
            <family val="2"/>
          </rPr>
          <t>Author:</t>
        </r>
        <r>
          <rPr>
            <sz val="9"/>
            <color indexed="81"/>
            <rFont val="Tahoma"/>
            <family val="2"/>
          </rPr>
          <t xml:space="preserve">
small glue spot footprint, glue bulb</t>
        </r>
      </text>
    </comment>
    <comment ref="F1516" authorId="0" shapeId="0" xr:uid="{1CD5EA82-BF4B-4B03-80A1-2A0C8B34AAFD}">
      <text>
        <r>
          <rPr>
            <b/>
            <sz val="9"/>
            <color indexed="81"/>
            <rFont val="Tahoma"/>
            <family val="2"/>
          </rPr>
          <t>Author:</t>
        </r>
        <r>
          <rPr>
            <sz val="9"/>
            <color indexed="81"/>
            <rFont val="Tahoma"/>
            <family val="2"/>
          </rPr>
          <t xml:space="preserve">
assm. glue</t>
        </r>
      </text>
    </comment>
    <comment ref="F1517" authorId="0" shapeId="0" xr:uid="{EA1B63DB-91B5-455E-AADE-C6915AAAD8AC}">
      <text>
        <r>
          <rPr>
            <b/>
            <sz val="9"/>
            <color indexed="81"/>
            <rFont val="Tahoma"/>
            <family val="2"/>
          </rPr>
          <t>Author:</t>
        </r>
        <r>
          <rPr>
            <sz val="9"/>
            <color indexed="81"/>
            <rFont val="Tahoma"/>
            <family val="2"/>
          </rPr>
          <t xml:space="preserve">
defect on capsule, 180 deg</t>
        </r>
      </text>
    </comment>
    <comment ref="F1520" authorId="0" shapeId="0" xr:uid="{4D4EF589-9E27-4EFE-BAC0-E9A6C5823AF5}">
      <text>
        <r>
          <rPr>
            <b/>
            <sz val="9"/>
            <color indexed="81"/>
            <rFont val="Tahoma"/>
            <family val="2"/>
          </rPr>
          <t>Author:</t>
        </r>
        <r>
          <rPr>
            <sz val="9"/>
            <color indexed="81"/>
            <rFont val="Tahoma"/>
            <family val="2"/>
          </rPr>
          <t xml:space="preserve">
broken in tfab glovebox before loading into rack</t>
        </r>
      </text>
    </comment>
    <comment ref="F1524" authorId="0" shapeId="0" xr:uid="{F8F637A1-0FF0-4212-ABE5-BFD836EB2FB2}">
      <text>
        <r>
          <rPr>
            <b/>
            <sz val="9"/>
            <color indexed="81"/>
            <rFont val="Tahoma"/>
            <family val="2"/>
          </rPr>
          <t>Author:</t>
        </r>
        <r>
          <rPr>
            <sz val="9"/>
            <color indexed="81"/>
            <rFont val="Tahoma"/>
            <family val="2"/>
          </rPr>
          <t xml:space="preserve">
Capsule defects
</t>
        </r>
      </text>
    </comment>
    <comment ref="F1526" authorId="0" shapeId="0" xr:uid="{A000D3BE-C905-4644-8820-2FB72F369256}">
      <text>
        <r>
          <rPr>
            <b/>
            <sz val="9"/>
            <color indexed="81"/>
            <rFont val="Tahoma"/>
            <family val="2"/>
          </rPr>
          <t>Author:</t>
        </r>
        <r>
          <rPr>
            <sz val="9"/>
            <color indexed="81"/>
            <rFont val="Tahoma"/>
            <family val="2"/>
          </rPr>
          <t xml:space="preserve">
glue spot 
</t>
        </r>
      </text>
    </comment>
    <comment ref="F1528" authorId="0" shapeId="0" xr:uid="{E5C842F8-1E7F-42B5-B0B3-C115A6D853E9}">
      <text>
        <r>
          <rPr>
            <b/>
            <sz val="9"/>
            <color indexed="81"/>
            <rFont val="Tahoma"/>
            <family val="2"/>
          </rPr>
          <t>Author:</t>
        </r>
        <r>
          <rPr>
            <sz val="9"/>
            <color indexed="81"/>
            <rFont val="Tahoma"/>
            <family val="2"/>
          </rPr>
          <t xml:space="preserve">
Assm. glue</t>
        </r>
      </text>
    </comment>
    <comment ref="U1529" authorId="0" shapeId="0" xr:uid="{B84A4FB9-7F8D-4A8C-B0F1-09CD4F6FA158}">
      <text>
        <r>
          <rPr>
            <b/>
            <sz val="9"/>
            <color indexed="81"/>
            <rFont val="Tahoma"/>
            <family val="2"/>
          </rPr>
          <t>Author:</t>
        </r>
        <r>
          <rPr>
            <sz val="9"/>
            <color indexed="81"/>
            <rFont val="Tahoma"/>
            <family val="2"/>
          </rPr>
          <t xml:space="preserve">
5.5 Si atom %</t>
        </r>
      </text>
    </comment>
    <comment ref="U1530" authorId="0" shapeId="0" xr:uid="{8A500E63-ADF9-4676-9A12-AD491B0999BA}">
      <text>
        <r>
          <rPr>
            <b/>
            <sz val="9"/>
            <color indexed="81"/>
            <rFont val="Tahoma"/>
            <family val="2"/>
          </rPr>
          <t>Author:</t>
        </r>
        <r>
          <rPr>
            <sz val="9"/>
            <color indexed="81"/>
            <rFont val="Tahoma"/>
            <family val="2"/>
          </rPr>
          <t xml:space="preserve">
5.5 Si atom %</t>
        </r>
      </text>
    </comment>
    <comment ref="F1531" authorId="0" shapeId="0" xr:uid="{13713A9F-4F66-4D45-A122-2F94E80881DF}">
      <text>
        <r>
          <rPr>
            <b/>
            <sz val="9"/>
            <color indexed="81"/>
            <rFont val="Tahoma"/>
            <family val="2"/>
          </rPr>
          <t>Author:</t>
        </r>
        <r>
          <rPr>
            <sz val="9"/>
            <color indexed="81"/>
            <rFont val="Tahoma"/>
            <family val="2"/>
          </rPr>
          <t xml:space="preserve">
Broken while loading into rack</t>
        </r>
      </text>
    </comment>
    <comment ref="U1531" authorId="0" shapeId="0" xr:uid="{F2030CDC-1144-45A8-9A6B-A7B591F51BDE}">
      <text>
        <r>
          <rPr>
            <b/>
            <sz val="9"/>
            <color indexed="81"/>
            <rFont val="Tahoma"/>
            <family val="2"/>
          </rPr>
          <t>Author:</t>
        </r>
        <r>
          <rPr>
            <sz val="9"/>
            <color indexed="81"/>
            <rFont val="Tahoma"/>
            <family val="2"/>
          </rPr>
          <t xml:space="preserve">
5.5 Si atom %</t>
        </r>
      </text>
    </comment>
    <comment ref="F1532" authorId="0" shapeId="0" xr:uid="{94B48EE6-3C87-404F-ACCA-72F9011A8FFA}">
      <text>
        <r>
          <rPr>
            <b/>
            <sz val="9"/>
            <color indexed="81"/>
            <rFont val="Tahoma"/>
            <family val="2"/>
          </rPr>
          <t>Author:</t>
        </r>
        <r>
          <rPr>
            <sz val="9"/>
            <color indexed="81"/>
            <rFont val="Tahoma"/>
            <family val="2"/>
          </rPr>
          <t xml:space="preserve">
assm. glue</t>
        </r>
      </text>
    </comment>
    <comment ref="U1532" authorId="0" shapeId="0" xr:uid="{B4AA809B-96E5-4939-AD6D-FC1028DB3846}">
      <text>
        <r>
          <rPr>
            <b/>
            <sz val="9"/>
            <color indexed="81"/>
            <rFont val="Tahoma"/>
            <family val="2"/>
          </rPr>
          <t>Author:</t>
        </r>
        <r>
          <rPr>
            <sz val="9"/>
            <color indexed="81"/>
            <rFont val="Tahoma"/>
            <family val="2"/>
          </rPr>
          <t xml:space="preserve">
5.5 Si atom %</t>
        </r>
      </text>
    </comment>
    <comment ref="U1533" authorId="0" shapeId="0" xr:uid="{CB2964B9-B644-475B-9C70-2E4266E6A823}">
      <text>
        <r>
          <rPr>
            <b/>
            <sz val="9"/>
            <color indexed="81"/>
            <rFont val="Tahoma"/>
            <family val="2"/>
          </rPr>
          <t>Author:</t>
        </r>
        <r>
          <rPr>
            <sz val="9"/>
            <color indexed="81"/>
            <rFont val="Tahoma"/>
            <family val="2"/>
          </rPr>
          <t xml:space="preserve">
5.5 Si atom %</t>
        </r>
      </text>
    </comment>
    <comment ref="U1534" authorId="0" shapeId="0" xr:uid="{7520901C-78E4-4E84-B927-54CE94FF1B07}">
      <text>
        <r>
          <rPr>
            <b/>
            <sz val="9"/>
            <color indexed="81"/>
            <rFont val="Tahoma"/>
            <family val="2"/>
          </rPr>
          <t>Author:</t>
        </r>
        <r>
          <rPr>
            <sz val="9"/>
            <color indexed="81"/>
            <rFont val="Tahoma"/>
            <family val="2"/>
          </rPr>
          <t xml:space="preserve">
5.5 Si atom %</t>
        </r>
      </text>
    </comment>
    <comment ref="U1535" authorId="0" shapeId="0" xr:uid="{12061BBB-51E5-46EE-9E11-5FC0B23A7489}">
      <text>
        <r>
          <rPr>
            <b/>
            <sz val="9"/>
            <color indexed="81"/>
            <rFont val="Tahoma"/>
            <family val="2"/>
          </rPr>
          <t>Author:</t>
        </r>
        <r>
          <rPr>
            <sz val="9"/>
            <color indexed="81"/>
            <rFont val="Tahoma"/>
            <family val="2"/>
          </rPr>
          <t xml:space="preserve">
5.2 Si atom %
</t>
        </r>
      </text>
    </comment>
    <comment ref="F1536" authorId="0" shapeId="0" xr:uid="{8CB3DA40-0F84-4D5B-AFDD-2BC74AAD0ECB}">
      <text>
        <r>
          <rPr>
            <b/>
            <sz val="9"/>
            <color indexed="81"/>
            <rFont val="Tahoma"/>
            <family val="2"/>
          </rPr>
          <t>Author:</t>
        </r>
        <r>
          <rPr>
            <sz val="9"/>
            <color indexed="81"/>
            <rFont val="Tahoma"/>
            <family val="2"/>
          </rPr>
          <t xml:space="preserve">
asm. Glue
</t>
        </r>
      </text>
    </comment>
    <comment ref="U1536" authorId="0" shapeId="0" xr:uid="{F8FC5BFF-03CD-435D-BA00-7E0089CCE040}">
      <text>
        <r>
          <rPr>
            <b/>
            <sz val="9"/>
            <color indexed="81"/>
            <rFont val="Tahoma"/>
            <family val="2"/>
          </rPr>
          <t>Author:</t>
        </r>
        <r>
          <rPr>
            <sz val="9"/>
            <color indexed="81"/>
            <rFont val="Tahoma"/>
            <family val="2"/>
          </rPr>
          <t xml:space="preserve">
6.3 Si atom %
</t>
        </r>
      </text>
    </comment>
    <comment ref="F1537" authorId="0" shapeId="0" xr:uid="{D7C33FA0-1230-4053-A790-ABCA0105FA78}">
      <text>
        <r>
          <rPr>
            <b/>
            <sz val="9"/>
            <color indexed="81"/>
            <rFont val="Tahoma"/>
            <family val="2"/>
          </rPr>
          <t>Author:</t>
        </r>
        <r>
          <rPr>
            <sz val="9"/>
            <color indexed="81"/>
            <rFont val="Tahoma"/>
            <family val="2"/>
          </rPr>
          <t xml:space="preserve">
large defect 
</t>
        </r>
      </text>
    </comment>
    <comment ref="F1538" authorId="0" shapeId="0" xr:uid="{7E71246A-3C33-468B-8A6F-B1DDB7478360}">
      <text>
        <r>
          <rPr>
            <b/>
            <sz val="9"/>
            <color indexed="81"/>
            <rFont val="Tahoma"/>
            <family val="2"/>
          </rPr>
          <t>Author:</t>
        </r>
        <r>
          <rPr>
            <sz val="9"/>
            <color indexed="81"/>
            <rFont val="Tahoma"/>
            <family val="2"/>
          </rPr>
          <t xml:space="preserve">
glue spot too small, broke 
</t>
        </r>
      </text>
    </comment>
    <comment ref="U1539" authorId="0" shapeId="0" xr:uid="{E5144577-AFFE-4BFA-A52A-2C757CECDB57}">
      <text>
        <r>
          <rPr>
            <b/>
            <sz val="9"/>
            <color indexed="81"/>
            <rFont val="Tahoma"/>
            <family val="2"/>
          </rPr>
          <t>Author:</t>
        </r>
        <r>
          <rPr>
            <sz val="9"/>
            <color indexed="81"/>
            <rFont val="Tahoma"/>
            <family val="2"/>
          </rPr>
          <t xml:space="preserve">
5.5 Si atom %
</t>
        </r>
      </text>
    </comment>
    <comment ref="U1540" authorId="0" shapeId="0" xr:uid="{820470E4-48A0-4E7F-A1AF-3A1FF0525E11}">
      <text>
        <r>
          <rPr>
            <b/>
            <sz val="9"/>
            <color indexed="81"/>
            <rFont val="Tahoma"/>
            <family val="2"/>
          </rPr>
          <t>Author:</t>
        </r>
        <r>
          <rPr>
            <sz val="9"/>
            <color indexed="81"/>
            <rFont val="Tahoma"/>
            <family val="2"/>
          </rPr>
          <t xml:space="preserve">
5.2 Si atom %
</t>
        </r>
      </text>
    </comment>
    <comment ref="F1541" authorId="0" shapeId="0" xr:uid="{2CF0C10E-55B4-494B-ABC0-FEB8AB7578E8}">
      <text>
        <r>
          <rPr>
            <b/>
            <sz val="9"/>
            <color indexed="81"/>
            <rFont val="Tahoma"/>
            <family val="2"/>
          </rPr>
          <t>Author:</t>
        </r>
        <r>
          <rPr>
            <sz val="9"/>
            <color indexed="81"/>
            <rFont val="Tahoma"/>
            <family val="2"/>
          </rPr>
          <t xml:space="preserve">
OOS glue spot</t>
        </r>
      </text>
    </comment>
    <comment ref="F1542" authorId="0" shapeId="0" xr:uid="{FDF929C8-C786-48C4-A99C-5CF72C9B3FAB}">
      <text>
        <r>
          <rPr>
            <b/>
            <sz val="9"/>
            <color indexed="81"/>
            <rFont val="Tahoma"/>
            <family val="2"/>
          </rPr>
          <t>Author:</t>
        </r>
        <r>
          <rPr>
            <sz val="9"/>
            <color indexed="81"/>
            <rFont val="Tahoma"/>
            <family val="2"/>
          </rPr>
          <t xml:space="preserve">
moved capsule in to fast and glue wicked up target</t>
        </r>
      </text>
    </comment>
    <comment ref="U1543" authorId="0" shapeId="0" xr:uid="{74F95001-0E20-4A9C-A20D-0DD1C1482738}">
      <text>
        <r>
          <rPr>
            <b/>
            <sz val="9"/>
            <color indexed="81"/>
            <rFont val="Tahoma"/>
            <family val="2"/>
          </rPr>
          <t>Author:</t>
        </r>
        <r>
          <rPr>
            <sz val="9"/>
            <color indexed="81"/>
            <rFont val="Tahoma"/>
            <family val="2"/>
          </rPr>
          <t xml:space="preserve">
5.5 Si atom %</t>
        </r>
      </text>
    </comment>
    <comment ref="U1544" authorId="0" shapeId="0" xr:uid="{5AA64D38-DA1B-4EFD-8195-7B63AE1DFDCD}">
      <text>
        <r>
          <rPr>
            <b/>
            <sz val="9"/>
            <color indexed="81"/>
            <rFont val="Tahoma"/>
            <family val="2"/>
          </rPr>
          <t>Author:</t>
        </r>
        <r>
          <rPr>
            <sz val="9"/>
            <color indexed="81"/>
            <rFont val="Tahoma"/>
            <family val="2"/>
          </rPr>
          <t xml:space="preserve">
5.0 Si atom %</t>
        </r>
      </text>
    </comment>
    <comment ref="F1545" authorId="0" shapeId="0" xr:uid="{1363BEEB-4946-422A-A718-D17A45D77C4B}">
      <text>
        <r>
          <rPr>
            <b/>
            <sz val="9"/>
            <color indexed="81"/>
            <rFont val="Tahoma"/>
            <family val="2"/>
          </rPr>
          <t xml:space="preserve">Alexander Behlok
</t>
        </r>
        <r>
          <rPr>
            <sz val="9"/>
            <color indexed="81"/>
            <rFont val="Tahoma"/>
            <family val="2"/>
          </rPr>
          <t>Large defect &gt;10um</t>
        </r>
      </text>
    </comment>
    <comment ref="U1546" authorId="0" shapeId="0" xr:uid="{DE0A4A8D-4E2C-4304-A6E5-26E48D1A01C9}">
      <text>
        <r>
          <rPr>
            <b/>
            <sz val="9"/>
            <color indexed="81"/>
            <rFont val="Tahoma"/>
            <family val="2"/>
          </rPr>
          <t>Author:</t>
        </r>
        <r>
          <rPr>
            <sz val="9"/>
            <color indexed="81"/>
            <rFont val="Tahoma"/>
            <family val="2"/>
          </rPr>
          <t xml:space="preserve">
5.0 Si atom %
</t>
        </r>
      </text>
    </comment>
    <comment ref="U1547" authorId="0" shapeId="0" xr:uid="{472A25DF-A486-4FC4-8BB6-2B7F6A7025A6}">
      <text>
        <r>
          <rPr>
            <b/>
            <sz val="9"/>
            <color indexed="81"/>
            <rFont val="Tahoma"/>
            <family val="2"/>
          </rPr>
          <t>Author:</t>
        </r>
        <r>
          <rPr>
            <sz val="9"/>
            <color indexed="81"/>
            <rFont val="Tahoma"/>
            <family val="2"/>
          </rPr>
          <t xml:space="preserve">
5.0 Si atom %</t>
        </r>
      </text>
    </comment>
    <comment ref="F1548" authorId="0" shapeId="0" xr:uid="{D73F3794-6F66-4E54-BE25-2643E7F19AA9}">
      <text>
        <r>
          <rPr>
            <b/>
            <sz val="9"/>
            <color indexed="81"/>
            <rFont val="Tahoma"/>
            <family val="2"/>
          </rPr>
          <t>Author:</t>
        </r>
        <r>
          <rPr>
            <sz val="9"/>
            <color indexed="81"/>
            <rFont val="Tahoma"/>
            <family val="2"/>
          </rPr>
          <t xml:space="preserve">
asm. Glue 
</t>
        </r>
      </text>
    </comment>
    <comment ref="U1549" authorId="0" shapeId="0" xr:uid="{63757E50-4E9A-4E2A-8D84-E12D2A1576DC}">
      <text>
        <r>
          <rPr>
            <b/>
            <sz val="9"/>
            <color indexed="81"/>
            <rFont val="Tahoma"/>
            <family val="2"/>
          </rPr>
          <t>Author:</t>
        </r>
        <r>
          <rPr>
            <sz val="9"/>
            <color indexed="81"/>
            <rFont val="Tahoma"/>
            <family val="2"/>
          </rPr>
          <t xml:space="preserve">
5.0 Si atom %
</t>
        </r>
      </text>
    </comment>
    <comment ref="U1550" authorId="0" shapeId="0" xr:uid="{87D0BB6B-00C6-46DB-8C50-BF28CEE57DD2}">
      <text>
        <r>
          <rPr>
            <b/>
            <sz val="9"/>
            <color indexed="81"/>
            <rFont val="Tahoma"/>
            <family val="2"/>
          </rPr>
          <t>Author:</t>
        </r>
        <r>
          <rPr>
            <sz val="9"/>
            <color indexed="81"/>
            <rFont val="Tahoma"/>
            <family val="2"/>
          </rPr>
          <t xml:space="preserve">
5.7 Si atom %</t>
        </r>
      </text>
    </comment>
    <comment ref="U1551" authorId="0" shapeId="0" xr:uid="{476A5EBC-22ED-4830-82E9-494F1FAF018E}">
      <text>
        <r>
          <rPr>
            <b/>
            <sz val="9"/>
            <color indexed="81"/>
            <rFont val="Tahoma"/>
            <family val="2"/>
          </rPr>
          <t>Author:</t>
        </r>
        <r>
          <rPr>
            <sz val="9"/>
            <color indexed="81"/>
            <rFont val="Tahoma"/>
            <family val="2"/>
          </rPr>
          <t xml:space="preserve">
5.7 Si atom %
</t>
        </r>
      </text>
    </comment>
    <comment ref="U1552" authorId="0" shapeId="0" xr:uid="{D874C287-2BD8-47FB-8F00-692DC26F65A7}">
      <text>
        <r>
          <rPr>
            <b/>
            <sz val="9"/>
            <color indexed="81"/>
            <rFont val="Tahoma"/>
            <family val="2"/>
          </rPr>
          <t>Author:</t>
        </r>
        <r>
          <rPr>
            <sz val="9"/>
            <color indexed="81"/>
            <rFont val="Tahoma"/>
            <family val="2"/>
          </rPr>
          <t xml:space="preserve">
5.7atom% Si</t>
        </r>
      </text>
    </comment>
    <comment ref="F1553" authorId="0" shapeId="0" xr:uid="{8C0C823D-5ABA-466B-A61B-2DE3F3A3718C}">
      <text>
        <r>
          <rPr>
            <b/>
            <sz val="9"/>
            <color indexed="81"/>
            <rFont val="Tahoma"/>
            <family val="2"/>
          </rPr>
          <t>Author:</t>
        </r>
        <r>
          <rPr>
            <sz val="9"/>
            <color indexed="81"/>
            <rFont val="Tahoma"/>
            <family val="2"/>
          </rPr>
          <t xml:space="preserve">
Defects, esp top of capsule
</t>
        </r>
      </text>
    </comment>
    <comment ref="U1553" authorId="0" shapeId="0" xr:uid="{905C58FC-5244-409E-9FF0-1D388146F481}">
      <text>
        <r>
          <rPr>
            <b/>
            <sz val="9"/>
            <color indexed="81"/>
            <rFont val="Tahoma"/>
            <family val="2"/>
          </rPr>
          <t>Author:</t>
        </r>
        <r>
          <rPr>
            <sz val="9"/>
            <color indexed="81"/>
            <rFont val="Tahoma"/>
            <family val="2"/>
          </rPr>
          <t xml:space="preserve">
5.9 Si atom %</t>
        </r>
      </text>
    </comment>
    <comment ref="F1554" authorId="0" shapeId="0" xr:uid="{9E173CEB-5DED-4D28-B68C-B894501479C6}">
      <text>
        <r>
          <rPr>
            <b/>
            <sz val="9"/>
            <color indexed="81"/>
            <rFont val="Tahoma"/>
            <family val="2"/>
          </rPr>
          <t>Author:</t>
        </r>
        <r>
          <rPr>
            <sz val="9"/>
            <color indexed="81"/>
            <rFont val="Tahoma"/>
            <family val="2"/>
          </rPr>
          <t xml:space="preserve">
broken when loading into the rack; glue fracture</t>
        </r>
      </text>
    </comment>
    <comment ref="U1554" authorId="0" shapeId="0" xr:uid="{4C104CF4-36E9-43FF-9015-F7EF8533AA18}">
      <text>
        <r>
          <rPr>
            <b/>
            <sz val="9"/>
            <color indexed="81"/>
            <rFont val="Tahoma"/>
            <family val="2"/>
          </rPr>
          <t>Author:</t>
        </r>
        <r>
          <rPr>
            <sz val="9"/>
            <color indexed="81"/>
            <rFont val="Tahoma"/>
            <family val="2"/>
          </rPr>
          <t xml:space="preserve">
5.9 Si atom %</t>
        </r>
      </text>
    </comment>
    <comment ref="F1555" authorId="0" shapeId="0" xr:uid="{554243F0-4198-460D-8277-852E041564EE}">
      <text>
        <r>
          <rPr>
            <b/>
            <sz val="9"/>
            <color indexed="81"/>
            <rFont val="Tahoma"/>
            <family val="2"/>
          </rPr>
          <t xml:space="preserve">Alexander Behlok
</t>
        </r>
        <r>
          <rPr>
            <sz val="9"/>
            <color indexed="81"/>
            <rFont val="Tahoma"/>
            <family val="2"/>
          </rPr>
          <t>Broke when removing from chuck</t>
        </r>
      </text>
    </comment>
    <comment ref="U1555" authorId="0" shapeId="0" xr:uid="{A4DA2DDD-FAB6-4317-B458-DCA612095447}">
      <text>
        <r>
          <rPr>
            <b/>
            <sz val="9"/>
            <color indexed="81"/>
            <rFont val="Tahoma"/>
            <family val="2"/>
          </rPr>
          <t>Author:</t>
        </r>
        <r>
          <rPr>
            <sz val="9"/>
            <color indexed="81"/>
            <rFont val="Tahoma"/>
            <family val="2"/>
          </rPr>
          <t xml:space="preserve">
5.9 Si atom %</t>
        </r>
      </text>
    </comment>
    <comment ref="U1556" authorId="0" shapeId="0" xr:uid="{5C6FBBD9-ED7C-409E-A8BA-CAF6ED49D79C}">
      <text>
        <r>
          <rPr>
            <b/>
            <sz val="9"/>
            <color indexed="81"/>
            <rFont val="Tahoma"/>
            <family val="2"/>
          </rPr>
          <t>Author:</t>
        </r>
        <r>
          <rPr>
            <sz val="9"/>
            <color indexed="81"/>
            <rFont val="Tahoma"/>
            <family val="2"/>
          </rPr>
          <t xml:space="preserve">
5.9 Si atom %</t>
        </r>
      </text>
    </comment>
    <comment ref="F1557" authorId="0" shapeId="0" xr:uid="{C9CA9ADC-0F92-40EE-A823-590DEA4BC440}">
      <text>
        <r>
          <rPr>
            <b/>
            <sz val="9"/>
            <color indexed="81"/>
            <rFont val="Tahoma"/>
            <family val="2"/>
          </rPr>
          <t>Author:</t>
        </r>
        <r>
          <rPr>
            <sz val="9"/>
            <color indexed="81"/>
            <rFont val="Tahoma"/>
            <family val="2"/>
          </rPr>
          <t xml:space="preserve">
asym glue spot</t>
        </r>
      </text>
    </comment>
    <comment ref="U1557" authorId="0" shapeId="0" xr:uid="{61AEA396-2E69-41D2-8903-5A5B4CE234C9}">
      <text>
        <r>
          <rPr>
            <b/>
            <sz val="9"/>
            <color indexed="81"/>
            <rFont val="Tahoma"/>
            <family val="2"/>
          </rPr>
          <t>Author:</t>
        </r>
        <r>
          <rPr>
            <sz val="9"/>
            <color indexed="81"/>
            <rFont val="Tahoma"/>
            <family val="2"/>
          </rPr>
          <t xml:space="preserve">
5.9 Si atom %</t>
        </r>
      </text>
    </comment>
    <comment ref="F1558" authorId="0" shapeId="0" xr:uid="{0D556A7D-3AC5-407B-BF82-2F7C9C4A7FC0}">
      <text>
        <r>
          <rPr>
            <b/>
            <sz val="9"/>
            <color indexed="81"/>
            <rFont val="Tahoma"/>
            <family val="2"/>
          </rPr>
          <t>Author:</t>
        </r>
        <r>
          <rPr>
            <sz val="9"/>
            <color indexed="81"/>
            <rFont val="Tahoma"/>
            <family val="2"/>
          </rPr>
          <t xml:space="preserve">
oversized Glue
</t>
        </r>
      </text>
    </comment>
    <comment ref="U1559" authorId="0" shapeId="0" xr:uid="{C37A8DEB-E42B-4F02-AFC6-92E2C440BCF4}">
      <text>
        <r>
          <rPr>
            <b/>
            <sz val="9"/>
            <color indexed="81"/>
            <rFont val="Tahoma"/>
            <family val="2"/>
          </rPr>
          <t>Author:</t>
        </r>
        <r>
          <rPr>
            <sz val="9"/>
            <color indexed="81"/>
            <rFont val="Tahoma"/>
            <family val="2"/>
          </rPr>
          <t xml:space="preserve">
5.9 Si atom %</t>
        </r>
      </text>
    </comment>
    <comment ref="U1560" authorId="0" shapeId="0" xr:uid="{7775FAD4-387E-49CB-AF88-FD69639ECA0B}">
      <text>
        <r>
          <rPr>
            <b/>
            <sz val="9"/>
            <color indexed="81"/>
            <rFont val="Tahoma"/>
            <family val="2"/>
          </rPr>
          <t>Author:</t>
        </r>
        <r>
          <rPr>
            <sz val="9"/>
            <color indexed="81"/>
            <rFont val="Tahoma"/>
            <family val="2"/>
          </rPr>
          <t xml:space="preserve">
5.9 Si atom %</t>
        </r>
      </text>
    </comment>
    <comment ref="U1561" authorId="0" shapeId="0" xr:uid="{CB4843B0-BCFC-4A85-9C38-1296D09B8715}">
      <text>
        <r>
          <rPr>
            <b/>
            <sz val="9"/>
            <color indexed="81"/>
            <rFont val="Tahoma"/>
            <family val="2"/>
          </rPr>
          <t>Author:</t>
        </r>
        <r>
          <rPr>
            <sz val="9"/>
            <color indexed="81"/>
            <rFont val="Tahoma"/>
            <family val="2"/>
          </rPr>
          <t xml:space="preserve">
5.9 Si atom %</t>
        </r>
      </text>
    </comment>
    <comment ref="U1562" authorId="0" shapeId="0" xr:uid="{C81603B9-5303-47D7-AD08-28E5A812C473}">
      <text>
        <r>
          <rPr>
            <b/>
            <sz val="9"/>
            <color indexed="81"/>
            <rFont val="Tahoma"/>
            <family val="2"/>
          </rPr>
          <t>Author:</t>
        </r>
        <r>
          <rPr>
            <sz val="9"/>
            <color indexed="81"/>
            <rFont val="Tahoma"/>
            <family val="2"/>
          </rPr>
          <t xml:space="preserve">
5.9 Si atom %</t>
        </r>
      </text>
    </comment>
    <comment ref="U1563" authorId="0" shapeId="0" xr:uid="{023C70DF-8A56-4FBD-A85B-D67A08A4C6C3}">
      <text>
        <r>
          <rPr>
            <b/>
            <sz val="9"/>
            <color indexed="81"/>
            <rFont val="Tahoma"/>
            <family val="2"/>
          </rPr>
          <t>Author:</t>
        </r>
        <r>
          <rPr>
            <sz val="9"/>
            <color indexed="81"/>
            <rFont val="Tahoma"/>
            <family val="2"/>
          </rPr>
          <t xml:space="preserve">
5.9 Si atom %</t>
        </r>
      </text>
    </comment>
    <comment ref="U1564" authorId="0" shapeId="0" xr:uid="{FF63D749-89AD-46EA-97F9-8F181E9FD0D4}">
      <text>
        <r>
          <rPr>
            <b/>
            <sz val="9"/>
            <color indexed="81"/>
            <rFont val="Tahoma"/>
            <family val="2"/>
          </rPr>
          <t>Author:</t>
        </r>
        <r>
          <rPr>
            <sz val="9"/>
            <color indexed="81"/>
            <rFont val="Tahoma"/>
            <family val="2"/>
          </rPr>
          <t xml:space="preserve">
5.9 Si atom %
</t>
        </r>
      </text>
    </comment>
    <comment ref="U1565" authorId="0" shapeId="0" xr:uid="{D4A104F4-ED37-4778-B6D7-E41753A23707}">
      <text>
        <r>
          <rPr>
            <b/>
            <sz val="9"/>
            <color indexed="81"/>
            <rFont val="Tahoma"/>
            <family val="2"/>
          </rPr>
          <t>Author:</t>
        </r>
        <r>
          <rPr>
            <sz val="9"/>
            <color indexed="81"/>
            <rFont val="Tahoma"/>
            <family val="2"/>
          </rPr>
          <t xml:space="preserve">
5.9 Si atom %
</t>
        </r>
      </text>
    </comment>
    <comment ref="F1566" authorId="0" shapeId="0" xr:uid="{63E0E27C-BEC5-42D0-B0D7-C83656D105FB}">
      <text>
        <r>
          <rPr>
            <b/>
            <sz val="9"/>
            <color indexed="81"/>
            <rFont val="Tahoma"/>
            <family val="2"/>
          </rPr>
          <t>Author:</t>
        </r>
        <r>
          <rPr>
            <sz val="9"/>
            <color indexed="81"/>
            <rFont val="Tahoma"/>
            <family val="2"/>
          </rPr>
          <t xml:space="preserve">
broken in He glovebox after lid was removed; adhesion failure</t>
        </r>
      </text>
    </comment>
    <comment ref="U1566" authorId="0" shapeId="0" xr:uid="{F0BA4956-5466-49D8-A9D0-6310C7C7E1CA}">
      <text>
        <r>
          <rPr>
            <b/>
            <sz val="9"/>
            <color indexed="81"/>
            <rFont val="Tahoma"/>
            <family val="2"/>
          </rPr>
          <t>Author:</t>
        </r>
        <r>
          <rPr>
            <sz val="9"/>
            <color indexed="81"/>
            <rFont val="Tahoma"/>
            <family val="2"/>
          </rPr>
          <t xml:space="preserve">
5.9 Si atom %</t>
        </r>
      </text>
    </comment>
    <comment ref="U1567" authorId="0" shapeId="0" xr:uid="{F8BFCA6D-4F01-4B2F-B346-1B864C446F8C}">
      <text>
        <r>
          <rPr>
            <b/>
            <sz val="9"/>
            <color indexed="81"/>
            <rFont val="Tahoma"/>
            <family val="2"/>
          </rPr>
          <t>Author:</t>
        </r>
        <r>
          <rPr>
            <sz val="9"/>
            <color indexed="81"/>
            <rFont val="Tahoma"/>
            <family val="2"/>
          </rPr>
          <t xml:space="preserve">
5.9 Si atom %</t>
        </r>
      </text>
    </comment>
    <comment ref="F1571" authorId="0" shapeId="0" xr:uid="{21B1A31A-F441-40A1-85E0-5AD362239B9F}">
      <text>
        <r>
          <rPr>
            <b/>
            <sz val="9"/>
            <color indexed="81"/>
            <rFont val="Tahoma"/>
            <family val="2"/>
          </rPr>
          <t>Author:</t>
        </r>
        <r>
          <rPr>
            <sz val="9"/>
            <color indexed="81"/>
            <rFont val="Tahoma"/>
            <family val="2"/>
          </rPr>
          <t xml:space="preserve">
Glue Spot too large?</t>
        </r>
      </text>
    </comment>
    <comment ref="F1572" authorId="0" shapeId="0" xr:uid="{FA1B425B-C3BC-4E85-B34E-4EBFAD09BE23}">
      <text>
        <r>
          <rPr>
            <b/>
            <sz val="9"/>
            <color indexed="81"/>
            <rFont val="Tahoma"/>
            <family val="2"/>
          </rPr>
          <t>Author:</t>
        </r>
        <r>
          <rPr>
            <sz val="9"/>
            <color indexed="81"/>
            <rFont val="Tahoma"/>
            <family val="2"/>
          </rPr>
          <t xml:space="preserve">
OOS, asym glue</t>
        </r>
      </text>
    </comment>
    <comment ref="F1574" authorId="0" shapeId="0" xr:uid="{828EB22B-5C27-4E9F-9EF6-1F25C69CEB2B}">
      <text>
        <r>
          <rPr>
            <b/>
            <sz val="9"/>
            <color indexed="81"/>
            <rFont val="Tahoma"/>
            <family val="2"/>
          </rPr>
          <t>Author:</t>
        </r>
        <r>
          <rPr>
            <sz val="9"/>
            <color indexed="81"/>
            <rFont val="Tahoma"/>
            <family val="2"/>
          </rPr>
          <t xml:space="preserve">
asym glue</t>
        </r>
      </text>
    </comment>
    <comment ref="F1575" authorId="0" shapeId="0" xr:uid="{21BD1EA6-F68B-4FEC-8C39-9D4F2700134F}">
      <text>
        <r>
          <rPr>
            <b/>
            <sz val="9"/>
            <color indexed="81"/>
            <rFont val="Tahoma"/>
            <family val="2"/>
          </rPr>
          <t>Author:</t>
        </r>
        <r>
          <rPr>
            <sz val="9"/>
            <color indexed="81"/>
            <rFont val="Tahoma"/>
            <family val="2"/>
          </rPr>
          <t xml:space="preserve">
broken during rack loading, glue failure</t>
        </r>
      </text>
    </comment>
    <comment ref="F1576" authorId="0" shapeId="0" xr:uid="{4B82574F-FC1F-4D46-92C6-315FA8DFFDF2}">
      <text>
        <r>
          <rPr>
            <b/>
            <sz val="9"/>
            <color indexed="81"/>
            <rFont val="Tahoma"/>
            <family val="2"/>
          </rPr>
          <t>Author:</t>
        </r>
        <r>
          <rPr>
            <sz val="9"/>
            <color indexed="81"/>
            <rFont val="Tahoma"/>
            <family val="2"/>
          </rPr>
          <t xml:space="preserve">
Major defect @ top of capsule
</t>
        </r>
      </text>
    </comment>
    <comment ref="F1579" authorId="0" shapeId="0" xr:uid="{A9E19494-CC64-43D0-89BC-21576AD3008B}">
      <text>
        <r>
          <rPr>
            <b/>
            <sz val="9"/>
            <color indexed="81"/>
            <rFont val="Tahoma"/>
            <family val="2"/>
          </rPr>
          <t xml:space="preserve">Alexander Behlok
assm. Glue
</t>
        </r>
      </text>
    </comment>
    <comment ref="F1580" authorId="0" shapeId="0" xr:uid="{57006445-A4D0-46A7-A5D5-68F42E6629BE}">
      <text>
        <r>
          <rPr>
            <b/>
            <sz val="9"/>
            <color indexed="81"/>
            <rFont val="Tahoma"/>
            <family val="2"/>
          </rPr>
          <t>Author:</t>
        </r>
        <r>
          <rPr>
            <sz val="9"/>
            <color indexed="81"/>
            <rFont val="Tahoma"/>
            <family val="2"/>
          </rPr>
          <t xml:space="preserve">
broken
</t>
        </r>
      </text>
    </comment>
    <comment ref="F1583" authorId="0" shapeId="0" xr:uid="{9F15FA6D-B3DC-4BB2-8D0F-5BAF4F977186}">
      <text>
        <r>
          <rPr>
            <b/>
            <sz val="9"/>
            <color indexed="81"/>
            <rFont val="Tahoma"/>
            <family val="2"/>
          </rPr>
          <t>Author:</t>
        </r>
        <r>
          <rPr>
            <sz val="9"/>
            <color indexed="81"/>
            <rFont val="Tahoma"/>
            <family val="2"/>
          </rPr>
          <t xml:space="preserve">
debris was removable and capsule remounted to spec</t>
        </r>
      </text>
    </comment>
    <comment ref="U1584" authorId="0" shapeId="0" xr:uid="{06A29C9F-1288-4A93-91E9-6FFE84B2FCA6}">
      <text>
        <r>
          <rPr>
            <b/>
            <sz val="9"/>
            <color indexed="81"/>
            <rFont val="Tahoma"/>
            <family val="2"/>
          </rPr>
          <t>Author:</t>
        </r>
        <r>
          <rPr>
            <sz val="9"/>
            <color indexed="81"/>
            <rFont val="Tahoma"/>
            <family val="2"/>
          </rPr>
          <t xml:space="preserve">
6.7 atom % Si
</t>
        </r>
      </text>
    </comment>
    <comment ref="F1585" authorId="0" shapeId="0" xr:uid="{513534A3-C1B3-4767-82A2-1F9F83CBA08E}">
      <text>
        <r>
          <rPr>
            <b/>
            <sz val="9"/>
            <color indexed="81"/>
            <rFont val="Tahoma"/>
            <family val="2"/>
          </rPr>
          <t xml:space="preserve">Author:
</t>
        </r>
        <r>
          <rPr>
            <sz val="9"/>
            <color indexed="81"/>
            <rFont val="Tahoma"/>
            <family val="2"/>
          </rPr>
          <t xml:space="preserve">Capsule sagged out of position
</t>
        </r>
      </text>
    </comment>
    <comment ref="U1586" authorId="0" shapeId="0" xr:uid="{79080CD9-93EC-4F66-9C32-6501DE945C07}">
      <text>
        <r>
          <rPr>
            <b/>
            <sz val="9"/>
            <color indexed="81"/>
            <rFont val="Tahoma"/>
            <family val="2"/>
          </rPr>
          <t>Author:</t>
        </r>
        <r>
          <rPr>
            <sz val="9"/>
            <color indexed="81"/>
            <rFont val="Tahoma"/>
            <family val="2"/>
          </rPr>
          <t xml:space="preserve">
6.7 atom % Si
</t>
        </r>
      </text>
    </comment>
    <comment ref="F1587" authorId="0" shapeId="0" xr:uid="{D90B6E04-ABE5-45F5-89E2-28CFEAC03C98}">
      <text>
        <r>
          <rPr>
            <b/>
            <sz val="9"/>
            <color indexed="81"/>
            <rFont val="Tahoma"/>
            <family val="2"/>
          </rPr>
          <t>Author:</t>
        </r>
        <r>
          <rPr>
            <sz val="9"/>
            <color indexed="81"/>
            <rFont val="Tahoma"/>
            <family val="2"/>
          </rPr>
          <t xml:space="preserve">
Glue spot too large (38um)</t>
        </r>
      </text>
    </comment>
    <comment ref="U1588" authorId="0" shapeId="0" xr:uid="{F7001EA8-3C8A-4A0C-8709-E386A584218F}">
      <text>
        <r>
          <rPr>
            <b/>
            <sz val="9"/>
            <color indexed="81"/>
            <rFont val="Tahoma"/>
            <family val="2"/>
          </rPr>
          <t>Author:</t>
        </r>
        <r>
          <rPr>
            <sz val="9"/>
            <color indexed="81"/>
            <rFont val="Tahoma"/>
            <family val="2"/>
          </rPr>
          <t xml:space="preserve">
6.7 Si atom %</t>
        </r>
      </text>
    </comment>
    <comment ref="U1589" authorId="0" shapeId="0" xr:uid="{96B32496-6812-49BC-A948-72083686EC34}">
      <text>
        <r>
          <rPr>
            <b/>
            <sz val="9"/>
            <color indexed="81"/>
            <rFont val="Tahoma"/>
            <family val="2"/>
          </rPr>
          <t>Author:</t>
        </r>
        <r>
          <rPr>
            <sz val="9"/>
            <color indexed="81"/>
            <rFont val="Tahoma"/>
            <family val="2"/>
          </rPr>
          <t xml:space="preserve">
6.7 Si atom %</t>
        </r>
      </text>
    </comment>
    <comment ref="U1590" authorId="0" shapeId="0" xr:uid="{7E482DD8-BA53-4E9D-8A0B-61B32F3AFC78}">
      <text>
        <r>
          <rPr>
            <b/>
            <sz val="9"/>
            <color indexed="81"/>
            <rFont val="Tahoma"/>
            <family val="2"/>
          </rPr>
          <t>Author:</t>
        </r>
        <r>
          <rPr>
            <sz val="9"/>
            <color indexed="81"/>
            <rFont val="Tahoma"/>
            <family val="2"/>
          </rPr>
          <t xml:space="preserve">
6.7 Si atom %</t>
        </r>
      </text>
    </comment>
    <comment ref="U1591" authorId="0" shapeId="0" xr:uid="{5D6F8864-0A20-4296-A8C0-7CFA43BE7B08}">
      <text>
        <r>
          <rPr>
            <b/>
            <sz val="9"/>
            <color indexed="81"/>
            <rFont val="Tahoma"/>
            <family val="2"/>
          </rPr>
          <t>Author:</t>
        </r>
        <r>
          <rPr>
            <sz val="9"/>
            <color indexed="81"/>
            <rFont val="Tahoma"/>
            <family val="2"/>
          </rPr>
          <t xml:space="preserve">
6.7% Si atom %</t>
        </r>
      </text>
    </comment>
    <comment ref="U1592" authorId="0" shapeId="0" xr:uid="{2EB5D458-7E20-4BEB-B409-C999D0FF0383}">
      <text>
        <r>
          <rPr>
            <b/>
            <sz val="9"/>
            <color indexed="81"/>
            <rFont val="Tahoma"/>
            <family val="2"/>
          </rPr>
          <t>Author:</t>
        </r>
        <r>
          <rPr>
            <sz val="9"/>
            <color indexed="81"/>
            <rFont val="Tahoma"/>
            <family val="2"/>
          </rPr>
          <t xml:space="preserve">
6.7 Si atom %
</t>
        </r>
      </text>
    </comment>
    <comment ref="F1593" authorId="0" shapeId="0" xr:uid="{8B20D1B4-CD2D-4AF2-B0E8-40AAF7A080F8}">
      <text>
        <r>
          <rPr>
            <b/>
            <sz val="9"/>
            <color indexed="81"/>
            <rFont val="Tahoma"/>
            <family val="2"/>
          </rPr>
          <t>Author:</t>
        </r>
        <r>
          <rPr>
            <sz val="9"/>
            <color indexed="81"/>
            <rFont val="Tahoma"/>
            <family val="2"/>
          </rPr>
          <t xml:space="preserve">
Assm. Glue</t>
        </r>
      </text>
    </comment>
    <comment ref="F1594" authorId="0" shapeId="0" xr:uid="{781DCCAD-3555-4F00-8920-906607C746C2}">
      <text>
        <r>
          <rPr>
            <b/>
            <sz val="9"/>
            <color indexed="81"/>
            <rFont val="Tahoma"/>
            <family val="2"/>
          </rPr>
          <t>Alexander Behlok
Glue spot too small</t>
        </r>
      </text>
    </comment>
    <comment ref="F1595" authorId="0" shapeId="0" xr:uid="{642A2174-5C95-48CC-921F-FABD3EBE8FC5}">
      <text>
        <r>
          <rPr>
            <b/>
            <sz val="9"/>
            <color indexed="81"/>
            <rFont val="Tahoma"/>
            <family val="2"/>
          </rPr>
          <t>Author:</t>
        </r>
        <r>
          <rPr>
            <sz val="9"/>
            <color indexed="81"/>
            <rFont val="Tahoma"/>
            <family val="2"/>
          </rPr>
          <t xml:space="preserve">
Glue overwicked to capsule </t>
        </r>
      </text>
    </comment>
    <comment ref="F1596" authorId="0" shapeId="0" xr:uid="{5C92642B-7FB8-426C-AFD7-EF5D17C18DD6}">
      <text>
        <r>
          <rPr>
            <b/>
            <sz val="9"/>
            <color indexed="81"/>
            <rFont val="Tahoma"/>
            <family val="2"/>
          </rPr>
          <t xml:space="preserve">Alexander Behlok
Broken Glue
</t>
        </r>
      </text>
    </comment>
    <comment ref="A1597" authorId="0" shapeId="0" xr:uid="{601AEDDF-6749-4FC1-B404-31556C7D2CEC}">
      <text>
        <r>
          <rPr>
            <b/>
            <sz val="9"/>
            <color indexed="81"/>
            <rFont val="Tahoma"/>
            <family val="2"/>
          </rPr>
          <t>Author:</t>
        </r>
        <r>
          <rPr>
            <sz val="9"/>
            <color indexed="81"/>
            <rFont val="Tahoma"/>
            <family val="2"/>
          </rPr>
          <t xml:space="preserve">
Rebuilt mount after losing 4 capsules 
Mounting issue successfully diagnosed - UV curing light had the lens at the end come off without me noticing</t>
        </r>
      </text>
    </comment>
    <comment ref="E1597" authorId="0" shapeId="0" xr:uid="{41D05FA7-A026-4E8F-B749-C50DA38449F6}">
      <text>
        <r>
          <rPr>
            <b/>
            <sz val="9"/>
            <color indexed="81"/>
            <rFont val="Tahoma"/>
            <family val="2"/>
          </rPr>
          <t xml:space="preserve">Author:
</t>
        </r>
      </text>
    </comment>
    <comment ref="F1597" authorId="0" shapeId="0" xr:uid="{C95E4391-C25E-40B0-B429-7407F581E4D9}">
      <text>
        <r>
          <rPr>
            <b/>
            <sz val="9"/>
            <color indexed="81"/>
            <rFont val="Tahoma"/>
            <family val="2"/>
          </rPr>
          <t>Author:</t>
        </r>
        <r>
          <rPr>
            <sz val="9"/>
            <color indexed="81"/>
            <rFont val="Tahoma"/>
            <family val="2"/>
          </rPr>
          <t xml:space="preserve">
Glue failed to Cure 
Lens at the end of the curing light came unscrewed without me noticing. Caused all previous glue-related failures on stalk 2634
</t>
        </r>
      </text>
    </comment>
    <comment ref="U1598" authorId="0" shapeId="0" xr:uid="{80235A62-990E-4736-8683-4C20673093D4}">
      <text>
        <r>
          <rPr>
            <b/>
            <sz val="9"/>
            <color indexed="81"/>
            <rFont val="Tahoma"/>
            <family val="2"/>
          </rPr>
          <t>Author:</t>
        </r>
        <r>
          <rPr>
            <sz val="9"/>
            <color indexed="81"/>
            <rFont val="Tahoma"/>
            <family val="2"/>
          </rPr>
          <t xml:space="preserve">
6.7 Si atom %</t>
        </r>
      </text>
    </comment>
    <comment ref="F1599" authorId="0" shapeId="0" xr:uid="{506E8ED1-A00A-420B-9AB6-91FE6765C39E}">
      <text>
        <r>
          <rPr>
            <b/>
            <sz val="9"/>
            <color indexed="81"/>
            <rFont val="Tahoma"/>
            <family val="2"/>
          </rPr>
          <t>Author:</t>
        </r>
        <r>
          <rPr>
            <sz val="9"/>
            <color indexed="81"/>
            <rFont val="Tahoma"/>
            <family val="2"/>
          </rPr>
          <t xml:space="preserve">
debris, otherwise good
</t>
        </r>
      </text>
    </comment>
    <comment ref="U1600" authorId="0" shapeId="0" xr:uid="{E5010871-8AC5-4613-B621-D899984C5205}">
      <text>
        <r>
          <rPr>
            <b/>
            <sz val="9"/>
            <color indexed="81"/>
            <rFont val="Tahoma"/>
            <family val="2"/>
          </rPr>
          <t>Author:</t>
        </r>
        <r>
          <rPr>
            <sz val="9"/>
            <color indexed="81"/>
            <rFont val="Tahoma"/>
            <family val="2"/>
          </rPr>
          <t xml:space="preserve">
5.0 Si atom %</t>
        </r>
      </text>
    </comment>
    <comment ref="F1601" authorId="0" shapeId="0" xr:uid="{2F636ECF-F0CE-4F35-927C-A403D09D7502}">
      <text>
        <r>
          <rPr>
            <b/>
            <sz val="9"/>
            <color indexed="81"/>
            <rFont val="Tahoma"/>
            <family val="2"/>
          </rPr>
          <t>Author:</t>
        </r>
        <r>
          <rPr>
            <sz val="9"/>
            <color indexed="81"/>
            <rFont val="Tahoma"/>
            <family val="2"/>
          </rPr>
          <t xml:space="preserve">
glue too small
</t>
        </r>
      </text>
    </comment>
    <comment ref="U1602" authorId="0" shapeId="0" xr:uid="{84237CA7-0227-4210-8963-5AFBEFF1E9B4}">
      <text>
        <r>
          <rPr>
            <b/>
            <sz val="9"/>
            <color indexed="81"/>
            <rFont val="Tahoma"/>
            <family val="2"/>
          </rPr>
          <t>Author:</t>
        </r>
        <r>
          <rPr>
            <sz val="9"/>
            <color indexed="81"/>
            <rFont val="Tahoma"/>
            <family val="2"/>
          </rPr>
          <t xml:space="preserve">
5.0 Si atom % </t>
        </r>
      </text>
    </comment>
    <comment ref="U1603" authorId="0" shapeId="0" xr:uid="{9397F5F5-9528-48E1-BBCC-0CD63292D4EE}">
      <text>
        <r>
          <rPr>
            <b/>
            <sz val="9"/>
            <color indexed="81"/>
            <rFont val="Tahoma"/>
            <family val="2"/>
          </rPr>
          <t>Author:</t>
        </r>
        <r>
          <rPr>
            <sz val="9"/>
            <color indexed="81"/>
            <rFont val="Tahoma"/>
            <family val="2"/>
          </rPr>
          <t xml:space="preserve">
5.0 Si atom % </t>
        </r>
      </text>
    </comment>
    <comment ref="F1604" authorId="0" shapeId="0" xr:uid="{CEDBCFCA-E7DC-4D38-84C2-E7AEE01AD8BF}">
      <text>
        <r>
          <rPr>
            <b/>
            <sz val="9"/>
            <color indexed="81"/>
            <rFont val="Tahoma"/>
            <family val="2"/>
          </rPr>
          <t>Author:</t>
        </r>
        <r>
          <rPr>
            <sz val="9"/>
            <color indexed="81"/>
            <rFont val="Tahoma"/>
            <family val="2"/>
          </rPr>
          <t xml:space="preserve">
stalk wicked glue up capsule</t>
        </r>
      </text>
    </comment>
    <comment ref="U1605" authorId="0" shapeId="0" xr:uid="{0E0286BB-FF0B-4727-9B45-815536729921}">
      <text>
        <r>
          <rPr>
            <b/>
            <sz val="9"/>
            <color indexed="81"/>
            <rFont val="Tahoma"/>
            <family val="2"/>
          </rPr>
          <t>Author:</t>
        </r>
        <r>
          <rPr>
            <sz val="9"/>
            <color indexed="81"/>
            <rFont val="Tahoma"/>
            <family val="2"/>
          </rPr>
          <t xml:space="preserve">
5.5 Si atom %</t>
        </r>
      </text>
    </comment>
    <comment ref="F1606" authorId="0" shapeId="0" xr:uid="{BD43F114-E2D1-48D8-883C-937378DEE868}">
      <text>
        <r>
          <rPr>
            <b/>
            <sz val="9"/>
            <color indexed="81"/>
            <rFont val="Tahoma"/>
            <family val="2"/>
          </rPr>
          <t>Author:</t>
        </r>
        <r>
          <rPr>
            <sz val="9"/>
            <color indexed="81"/>
            <rFont val="Tahoma"/>
            <family val="2"/>
          </rPr>
          <t xml:space="preserve">
one large defect (r=4.95)</t>
        </r>
      </text>
    </comment>
    <comment ref="U1606" authorId="0" shapeId="0" xr:uid="{1D5BA304-0BBD-47CE-A35A-A963C1871109}">
      <text>
        <r>
          <rPr>
            <b/>
            <sz val="9"/>
            <color indexed="81"/>
            <rFont val="Tahoma"/>
            <family val="2"/>
          </rPr>
          <t>Author:</t>
        </r>
        <r>
          <rPr>
            <sz val="9"/>
            <color indexed="81"/>
            <rFont val="Tahoma"/>
            <family val="2"/>
          </rPr>
          <t xml:space="preserve">
5.5 Si atom %</t>
        </r>
      </text>
    </comment>
    <comment ref="U1607" authorId="0" shapeId="0" xr:uid="{58647849-9507-4858-8DA2-84AB183BC2FE}">
      <text>
        <r>
          <rPr>
            <b/>
            <sz val="9"/>
            <color indexed="81"/>
            <rFont val="Tahoma"/>
            <family val="2"/>
          </rPr>
          <t>Author:</t>
        </r>
        <r>
          <rPr>
            <sz val="9"/>
            <color indexed="81"/>
            <rFont val="Tahoma"/>
            <family val="2"/>
          </rPr>
          <t xml:space="preserve">
5.5 Si atom %</t>
        </r>
      </text>
    </comment>
    <comment ref="F1608" authorId="0" shapeId="0" xr:uid="{7F0E073C-3756-42E3-9210-433295ABB33B}">
      <text>
        <r>
          <rPr>
            <b/>
            <sz val="9"/>
            <color indexed="81"/>
            <rFont val="Tahoma"/>
            <family val="2"/>
          </rPr>
          <t>Author:</t>
        </r>
        <r>
          <rPr>
            <sz val="9"/>
            <color indexed="81"/>
            <rFont val="Tahoma"/>
            <family val="2"/>
          </rPr>
          <t xml:space="preserve">
lost house vacuum resulting in losing capsule</t>
        </r>
      </text>
    </comment>
    <comment ref="U1609" authorId="0" shapeId="0" xr:uid="{08273501-680E-4237-901D-B2592E521485}">
      <text>
        <r>
          <rPr>
            <b/>
            <sz val="9"/>
            <color indexed="81"/>
            <rFont val="Tahoma"/>
            <family val="2"/>
          </rPr>
          <t>Author:</t>
        </r>
        <r>
          <rPr>
            <sz val="9"/>
            <color indexed="81"/>
            <rFont val="Tahoma"/>
            <family val="2"/>
          </rPr>
          <t xml:space="preserve">
5.5 Si atom %</t>
        </r>
      </text>
    </comment>
    <comment ref="U1610" authorId="0" shapeId="0" xr:uid="{7558BCED-7FCE-442E-9EBF-D48E4F1D2300}">
      <text>
        <r>
          <rPr>
            <b/>
            <sz val="9"/>
            <color indexed="81"/>
            <rFont val="Tahoma"/>
            <family val="2"/>
          </rPr>
          <t>Author:</t>
        </r>
        <r>
          <rPr>
            <sz val="9"/>
            <color indexed="81"/>
            <rFont val="Tahoma"/>
            <family val="2"/>
          </rPr>
          <t xml:space="preserve">
5.3 Si atom %</t>
        </r>
      </text>
    </comment>
    <comment ref="F1611" authorId="0" shapeId="0" xr:uid="{C6388A11-82FC-453E-A5E2-383CB9AF74A1}">
      <text>
        <r>
          <rPr>
            <b/>
            <sz val="9"/>
            <color indexed="81"/>
            <rFont val="Tahoma"/>
            <family val="2"/>
          </rPr>
          <t>Author:</t>
        </r>
        <r>
          <rPr>
            <sz val="9"/>
            <color indexed="81"/>
            <rFont val="Tahoma"/>
            <family val="2"/>
          </rPr>
          <t xml:space="preserve">
one large defect (r=4.48)</t>
        </r>
      </text>
    </comment>
    <comment ref="U1611" authorId="0" shapeId="0" xr:uid="{8C34ED81-C3C7-4910-8947-C75596CE7E1F}">
      <text>
        <r>
          <rPr>
            <b/>
            <sz val="9"/>
            <color indexed="81"/>
            <rFont val="Tahoma"/>
            <family val="2"/>
          </rPr>
          <t>Author:</t>
        </r>
        <r>
          <rPr>
            <sz val="9"/>
            <color indexed="81"/>
            <rFont val="Tahoma"/>
            <family val="2"/>
          </rPr>
          <t xml:space="preserve">
5.3 Si atom %</t>
        </r>
      </text>
    </comment>
    <comment ref="U1612" authorId="0" shapeId="0" xr:uid="{BD6C39F8-D6BC-4C0E-859A-174FB1827A24}">
      <text>
        <r>
          <rPr>
            <b/>
            <sz val="9"/>
            <color indexed="81"/>
            <rFont val="Tahoma"/>
            <family val="2"/>
          </rPr>
          <t>Author:</t>
        </r>
        <r>
          <rPr>
            <sz val="9"/>
            <color indexed="81"/>
            <rFont val="Tahoma"/>
            <family val="2"/>
          </rPr>
          <t xml:space="preserve">
5.3 Si atom %</t>
        </r>
      </text>
    </comment>
    <comment ref="U1613" authorId="0" shapeId="0" xr:uid="{738E0D15-E526-40C9-A6FC-D9D2C4F434B2}">
      <text>
        <r>
          <rPr>
            <b/>
            <sz val="9"/>
            <color indexed="81"/>
            <rFont val="Tahoma"/>
            <family val="2"/>
          </rPr>
          <t>Author:</t>
        </r>
        <r>
          <rPr>
            <sz val="9"/>
            <color indexed="81"/>
            <rFont val="Tahoma"/>
            <family val="2"/>
          </rPr>
          <t xml:space="preserve">
5.3 Si atom %</t>
        </r>
      </text>
    </comment>
    <comment ref="U1614" authorId="0" shapeId="0" xr:uid="{537D95E2-A822-4D7D-B0FA-7C36B27A4524}">
      <text>
        <r>
          <rPr>
            <b/>
            <sz val="9"/>
            <color indexed="81"/>
            <rFont val="Tahoma"/>
            <family val="2"/>
          </rPr>
          <t>Author:</t>
        </r>
        <r>
          <rPr>
            <sz val="9"/>
            <color indexed="81"/>
            <rFont val="Tahoma"/>
            <family val="2"/>
          </rPr>
          <t xml:space="preserve">
5.7 Si atom %</t>
        </r>
      </text>
    </comment>
    <comment ref="F1615" authorId="0" shapeId="0" xr:uid="{E4746D4E-ADF5-46E1-9151-A3935C8FC388}">
      <text>
        <r>
          <rPr>
            <b/>
            <sz val="9"/>
            <color indexed="81"/>
            <rFont val="Tahoma"/>
            <family val="2"/>
          </rPr>
          <t>Author:</t>
        </r>
        <r>
          <rPr>
            <sz val="9"/>
            <color indexed="81"/>
            <rFont val="Tahoma"/>
            <family val="2"/>
          </rPr>
          <t xml:space="preserve">
target removed. Glue spot too small</t>
        </r>
      </text>
    </comment>
    <comment ref="U1615" authorId="0" shapeId="0" xr:uid="{4BAB1D63-7343-4873-B2F6-F715545C7AE5}">
      <text>
        <r>
          <rPr>
            <b/>
            <sz val="9"/>
            <color indexed="81"/>
            <rFont val="Tahoma"/>
            <family val="2"/>
          </rPr>
          <t>Author:</t>
        </r>
        <r>
          <rPr>
            <sz val="9"/>
            <color indexed="81"/>
            <rFont val="Tahoma"/>
            <family val="2"/>
          </rPr>
          <t xml:space="preserve">
5.7 Si atom %</t>
        </r>
      </text>
    </comment>
    <comment ref="F1616" authorId="0" shapeId="0" xr:uid="{0A1DD9B3-B8A2-460B-A72C-589BD26F0A50}">
      <text>
        <r>
          <rPr>
            <b/>
            <sz val="9"/>
            <color indexed="81"/>
            <rFont val="Tahoma"/>
            <family val="2"/>
          </rPr>
          <t>Author:</t>
        </r>
        <r>
          <rPr>
            <sz val="9"/>
            <color indexed="81"/>
            <rFont val="Tahoma"/>
            <family val="2"/>
          </rPr>
          <t xml:space="preserve">
target removed. Glue spot too small</t>
        </r>
      </text>
    </comment>
    <comment ref="U1616" authorId="0" shapeId="0" xr:uid="{6913D5DE-2BC0-4C18-8305-05EB64517CCA}">
      <text>
        <r>
          <rPr>
            <b/>
            <sz val="9"/>
            <color indexed="81"/>
            <rFont val="Tahoma"/>
            <family val="2"/>
          </rPr>
          <t>Author:</t>
        </r>
        <r>
          <rPr>
            <sz val="9"/>
            <color indexed="81"/>
            <rFont val="Tahoma"/>
            <family val="2"/>
          </rPr>
          <t xml:space="preserve">
5.7 Si atom %</t>
        </r>
      </text>
    </comment>
    <comment ref="U1617" authorId="0" shapeId="0" xr:uid="{1ABAD431-BF64-4EC8-97E8-43FA8DCB2721}">
      <text>
        <r>
          <rPr>
            <b/>
            <sz val="9"/>
            <color indexed="81"/>
            <rFont val="Tahoma"/>
            <family val="2"/>
          </rPr>
          <t>Author:</t>
        </r>
        <r>
          <rPr>
            <sz val="9"/>
            <color indexed="81"/>
            <rFont val="Tahoma"/>
            <family val="2"/>
          </rPr>
          <t xml:space="preserve">
5.7 Si atom %</t>
        </r>
      </text>
    </comment>
    <comment ref="U1618" authorId="0" shapeId="0" xr:uid="{516AE8E2-73D0-4E27-9591-462CE849A80F}">
      <text>
        <r>
          <rPr>
            <b/>
            <sz val="9"/>
            <color indexed="81"/>
            <rFont val="Tahoma"/>
            <family val="2"/>
          </rPr>
          <t>Author:</t>
        </r>
        <r>
          <rPr>
            <sz val="9"/>
            <color indexed="81"/>
            <rFont val="Tahoma"/>
            <family val="2"/>
          </rPr>
          <t xml:space="preserve">
5.7 Si atom %</t>
        </r>
      </text>
    </comment>
    <comment ref="U1619" authorId="0" shapeId="0" xr:uid="{F9D560CA-49B0-41A1-98C2-9CB031124C59}">
      <text>
        <r>
          <rPr>
            <b/>
            <sz val="9"/>
            <color indexed="81"/>
            <rFont val="Tahoma"/>
            <family val="2"/>
          </rPr>
          <t>Author:</t>
        </r>
        <r>
          <rPr>
            <sz val="9"/>
            <color indexed="81"/>
            <rFont val="Tahoma"/>
            <family val="2"/>
          </rPr>
          <t xml:space="preserve">
5.7 Si atom %</t>
        </r>
      </text>
    </comment>
    <comment ref="U1620" authorId="0" shapeId="0" xr:uid="{F02154A4-4EFD-429A-A78A-8A58D30F96AB}">
      <text>
        <r>
          <rPr>
            <b/>
            <sz val="9"/>
            <color indexed="81"/>
            <rFont val="Tahoma"/>
            <family val="2"/>
          </rPr>
          <t>Author:</t>
        </r>
        <r>
          <rPr>
            <sz val="9"/>
            <color indexed="81"/>
            <rFont val="Tahoma"/>
            <family val="2"/>
          </rPr>
          <t xml:space="preserve">
5.9 Si atom %</t>
        </r>
      </text>
    </comment>
    <comment ref="F1621" authorId="0" shapeId="0" xr:uid="{38697311-3FF2-4CA2-9A80-65C4FFCAFDF5}">
      <text>
        <r>
          <rPr>
            <b/>
            <sz val="9"/>
            <color indexed="81"/>
            <rFont val="Tahoma"/>
            <family val="2"/>
          </rPr>
          <t>Author:</t>
        </r>
        <r>
          <rPr>
            <sz val="9"/>
            <color indexed="81"/>
            <rFont val="Tahoma"/>
            <family val="2"/>
          </rPr>
          <t xml:space="preserve">
broken while loading rack; happened in glovebox</t>
        </r>
      </text>
    </comment>
    <comment ref="U1621" authorId="0" shapeId="0" xr:uid="{7C7B5D0D-3BA1-44E2-BED8-F7A2E93CFD83}">
      <text>
        <r>
          <rPr>
            <b/>
            <sz val="9"/>
            <color indexed="81"/>
            <rFont val="Tahoma"/>
            <family val="2"/>
          </rPr>
          <t>Author:</t>
        </r>
        <r>
          <rPr>
            <sz val="9"/>
            <color indexed="81"/>
            <rFont val="Tahoma"/>
            <family val="2"/>
          </rPr>
          <t xml:space="preserve">
5.9 Si atom %</t>
        </r>
      </text>
    </comment>
    <comment ref="U1622" authorId="0" shapeId="0" xr:uid="{10EF0C32-A932-41AB-8364-195639F3EE9F}">
      <text>
        <r>
          <rPr>
            <b/>
            <sz val="9"/>
            <color indexed="81"/>
            <rFont val="Tahoma"/>
            <family val="2"/>
          </rPr>
          <t>Author:</t>
        </r>
        <r>
          <rPr>
            <sz val="9"/>
            <color indexed="81"/>
            <rFont val="Tahoma"/>
            <family val="2"/>
          </rPr>
          <t xml:space="preserve">
5.2 Si atom %</t>
        </r>
      </text>
    </comment>
    <comment ref="U1623" authorId="0" shapeId="0" xr:uid="{8AEE0541-F55C-4098-8A62-F2556F9EDBE5}">
      <text>
        <r>
          <rPr>
            <b/>
            <sz val="9"/>
            <color indexed="81"/>
            <rFont val="Tahoma"/>
            <family val="2"/>
          </rPr>
          <t>Author:</t>
        </r>
        <r>
          <rPr>
            <sz val="9"/>
            <color indexed="81"/>
            <rFont val="Tahoma"/>
            <family val="2"/>
          </rPr>
          <t xml:space="preserve">
5.2 Si atom %</t>
        </r>
      </text>
    </comment>
    <comment ref="U1624" authorId="0" shapeId="0" xr:uid="{385F3AFA-14F3-4A57-91F4-801FDF6EBA0D}">
      <text>
        <r>
          <rPr>
            <b/>
            <sz val="9"/>
            <color indexed="81"/>
            <rFont val="Tahoma"/>
            <family val="2"/>
          </rPr>
          <t>Author:</t>
        </r>
        <r>
          <rPr>
            <sz val="9"/>
            <color indexed="81"/>
            <rFont val="Tahoma"/>
            <family val="2"/>
          </rPr>
          <t xml:space="preserve">
5.2 Si atom %</t>
        </r>
      </text>
    </comment>
    <comment ref="F1625" authorId="0" shapeId="0" xr:uid="{86D1CBF5-6D5F-4CF1-8D5A-55622C658C62}">
      <text>
        <r>
          <rPr>
            <b/>
            <sz val="9"/>
            <color indexed="81"/>
            <rFont val="Tahoma"/>
            <family val="2"/>
          </rPr>
          <t>Author:</t>
        </r>
        <r>
          <rPr>
            <sz val="9"/>
            <color indexed="81"/>
            <rFont val="Tahoma"/>
            <family val="2"/>
          </rPr>
          <t xml:space="preserve">
cinco de mayo</t>
        </r>
      </text>
    </comment>
    <comment ref="U1625" authorId="0" shapeId="0" xr:uid="{89D23354-8EC9-4EE3-904A-28D3D489888F}">
      <text>
        <r>
          <rPr>
            <b/>
            <sz val="9"/>
            <color indexed="81"/>
            <rFont val="Tahoma"/>
            <family val="2"/>
          </rPr>
          <t>Author:</t>
        </r>
        <r>
          <rPr>
            <sz val="9"/>
            <color indexed="81"/>
            <rFont val="Tahoma"/>
            <family val="2"/>
          </rPr>
          <t xml:space="preserve">
5.2 Si atom %</t>
        </r>
      </text>
    </comment>
    <comment ref="U1626" authorId="0" shapeId="0" xr:uid="{124843C6-D029-4B44-B939-AE991A0D4014}">
      <text>
        <r>
          <rPr>
            <b/>
            <sz val="9"/>
            <color indexed="81"/>
            <rFont val="Tahoma"/>
            <family val="2"/>
          </rPr>
          <t>Author:</t>
        </r>
        <r>
          <rPr>
            <sz val="9"/>
            <color indexed="81"/>
            <rFont val="Tahoma"/>
            <family val="2"/>
          </rPr>
          <t xml:space="preserve">
6.3 Si atom %</t>
        </r>
      </text>
    </comment>
    <comment ref="F1627" authorId="0" shapeId="0" xr:uid="{3B6E996F-0CEB-42A6-9CF8-A5CD6CC97173}">
      <text>
        <r>
          <rPr>
            <b/>
            <sz val="9"/>
            <color indexed="81"/>
            <rFont val="Tahoma"/>
            <family val="2"/>
          </rPr>
          <t>Author:</t>
        </r>
        <r>
          <rPr>
            <sz val="9"/>
            <color indexed="81"/>
            <rFont val="Tahoma"/>
            <family val="2"/>
          </rPr>
          <t xml:space="preserve">
assm. glue</t>
        </r>
      </text>
    </comment>
    <comment ref="U1627" authorId="0" shapeId="0" xr:uid="{B49B1505-54D6-4F69-987E-DAE50A4AA092}">
      <text>
        <r>
          <rPr>
            <b/>
            <sz val="9"/>
            <color indexed="81"/>
            <rFont val="Tahoma"/>
            <family val="2"/>
          </rPr>
          <t>Author:</t>
        </r>
        <r>
          <rPr>
            <sz val="9"/>
            <color indexed="81"/>
            <rFont val="Tahoma"/>
            <family val="2"/>
          </rPr>
          <t xml:space="preserve">
6.3 Si atom %</t>
        </r>
      </text>
    </comment>
    <comment ref="F1628" authorId="0" shapeId="0" xr:uid="{AA39A441-6425-41C0-B2AF-4A89B2634CED}">
      <text>
        <r>
          <rPr>
            <b/>
            <sz val="9"/>
            <color indexed="81"/>
            <rFont val="Tahoma"/>
            <family val="2"/>
          </rPr>
          <t>Author:</t>
        </r>
        <r>
          <rPr>
            <sz val="9"/>
            <color indexed="81"/>
            <rFont val="Tahoma"/>
            <family val="2"/>
          </rPr>
          <t xml:space="preserve">
assm. glue</t>
        </r>
      </text>
    </comment>
    <comment ref="U1628" authorId="0" shapeId="0" xr:uid="{3BBFE71F-AECD-49E4-B184-04909D0D1324}">
      <text>
        <r>
          <rPr>
            <b/>
            <sz val="9"/>
            <color indexed="81"/>
            <rFont val="Tahoma"/>
            <family val="2"/>
          </rPr>
          <t>Author:</t>
        </r>
        <r>
          <rPr>
            <sz val="9"/>
            <color indexed="81"/>
            <rFont val="Tahoma"/>
            <family val="2"/>
          </rPr>
          <t xml:space="preserve">
5.8 Si atom %</t>
        </r>
      </text>
    </comment>
    <comment ref="U1629" authorId="0" shapeId="0" xr:uid="{78246928-1C07-40AB-8D1E-C898DFB10143}">
      <text>
        <r>
          <rPr>
            <b/>
            <sz val="9"/>
            <color indexed="81"/>
            <rFont val="Tahoma"/>
            <family val="2"/>
          </rPr>
          <t>Author:</t>
        </r>
        <r>
          <rPr>
            <sz val="9"/>
            <color indexed="81"/>
            <rFont val="Tahoma"/>
            <family val="2"/>
          </rPr>
          <t xml:space="preserve">
5.8 Si atom %</t>
        </r>
      </text>
    </comment>
    <comment ref="F1630" authorId="0" shapeId="0" xr:uid="{6122C65B-1859-47FA-BD70-93C4BF87FE33}">
      <text>
        <r>
          <rPr>
            <b/>
            <sz val="9"/>
            <color indexed="81"/>
            <rFont val="Tahoma"/>
            <family val="2"/>
          </rPr>
          <t>Author:</t>
        </r>
        <r>
          <rPr>
            <sz val="9"/>
            <color indexed="81"/>
            <rFont val="Tahoma"/>
            <family val="2"/>
          </rPr>
          <t xml:space="preserve">
assm. glue</t>
        </r>
      </text>
    </comment>
    <comment ref="F1631" authorId="0" shapeId="0" xr:uid="{0BCADE69-C9CF-43D3-8694-82CD0C6E8D3E}">
      <text>
        <r>
          <rPr>
            <b/>
            <sz val="9"/>
            <color indexed="81"/>
            <rFont val="Tahoma"/>
            <family val="2"/>
          </rPr>
          <t>Author:</t>
        </r>
        <r>
          <rPr>
            <sz val="9"/>
            <color indexed="81"/>
            <rFont val="Tahoma"/>
            <family val="2"/>
          </rPr>
          <t xml:space="preserve">
lost target trying to remove debis
</t>
        </r>
      </text>
    </comment>
    <comment ref="U1631" authorId="0" shapeId="0" xr:uid="{D300C357-2DD0-4ECA-B560-5010B63F0C35}">
      <text>
        <r>
          <rPr>
            <b/>
            <sz val="9"/>
            <color indexed="81"/>
            <rFont val="Tahoma"/>
            <family val="2"/>
          </rPr>
          <t>Author:</t>
        </r>
        <r>
          <rPr>
            <sz val="9"/>
            <color indexed="81"/>
            <rFont val="Tahoma"/>
            <family val="2"/>
          </rPr>
          <t xml:space="preserve">
5.8 Si atom %</t>
        </r>
      </text>
    </comment>
    <comment ref="U1632" authorId="0" shapeId="0" xr:uid="{B4817FFD-8F3B-4E9A-BA17-8000E4A1251B}">
      <text>
        <r>
          <rPr>
            <b/>
            <sz val="9"/>
            <color indexed="81"/>
            <rFont val="Tahoma"/>
            <family val="2"/>
          </rPr>
          <t>Author:</t>
        </r>
        <r>
          <rPr>
            <sz val="9"/>
            <color indexed="81"/>
            <rFont val="Tahoma"/>
            <family val="2"/>
          </rPr>
          <t xml:space="preserve">
5.8 Si atom %</t>
        </r>
      </text>
    </comment>
    <comment ref="U1633" authorId="0" shapeId="0" xr:uid="{D7E46EAA-889B-49C6-B6C2-04B9DF5E9D68}">
      <text>
        <r>
          <rPr>
            <b/>
            <sz val="9"/>
            <color indexed="81"/>
            <rFont val="Tahoma"/>
            <family val="2"/>
          </rPr>
          <t>Author:</t>
        </r>
        <r>
          <rPr>
            <sz val="9"/>
            <color indexed="81"/>
            <rFont val="Tahoma"/>
            <family val="2"/>
          </rPr>
          <t xml:space="preserve">
5.8 Si atom %</t>
        </r>
      </text>
    </comment>
    <comment ref="U1634" authorId="0" shapeId="0" xr:uid="{1B501ED8-4C4E-4EA2-9075-69ABD15459B2}">
      <text>
        <r>
          <rPr>
            <b/>
            <sz val="9"/>
            <color indexed="81"/>
            <rFont val="Tahoma"/>
            <family val="2"/>
          </rPr>
          <t>Author:</t>
        </r>
        <r>
          <rPr>
            <sz val="9"/>
            <color indexed="81"/>
            <rFont val="Tahoma"/>
            <family val="2"/>
          </rPr>
          <t xml:space="preserve">
5.8 Si atom %</t>
        </r>
      </text>
    </comment>
    <comment ref="F1635" authorId="0" shapeId="0" xr:uid="{5FA49080-11D5-48D8-BA72-1B05AE951EE4}">
      <text>
        <r>
          <rPr>
            <b/>
            <sz val="9"/>
            <color indexed="81"/>
            <rFont val="Tahoma"/>
            <family val="2"/>
          </rPr>
          <t>Author:</t>
        </r>
        <r>
          <rPr>
            <sz val="9"/>
            <color indexed="81"/>
            <rFont val="Tahoma"/>
            <family val="2"/>
          </rPr>
          <t xml:space="preserve">
assm. glue</t>
        </r>
      </text>
    </comment>
    <comment ref="U1636" authorId="0" shapeId="0" xr:uid="{996E9AAE-9499-47E3-B361-F0CA98FAB998}">
      <text>
        <r>
          <rPr>
            <b/>
            <sz val="9"/>
            <color indexed="81"/>
            <rFont val="Tahoma"/>
            <family val="2"/>
          </rPr>
          <t>Author:</t>
        </r>
        <r>
          <rPr>
            <sz val="9"/>
            <color indexed="81"/>
            <rFont val="Tahoma"/>
            <family val="2"/>
          </rPr>
          <t xml:space="preserve">
5.8 Si atom %</t>
        </r>
      </text>
    </comment>
    <comment ref="F1637" authorId="0" shapeId="0" xr:uid="{DC21E9B9-6CA2-4646-AFF0-56419A95FAF9}">
      <text>
        <r>
          <rPr>
            <b/>
            <sz val="9"/>
            <color indexed="81"/>
            <rFont val="Tahoma"/>
            <family val="2"/>
          </rPr>
          <t>Author:</t>
        </r>
        <r>
          <rPr>
            <sz val="9"/>
            <color indexed="81"/>
            <rFont val="Tahoma"/>
            <family val="2"/>
          </rPr>
          <t xml:space="preserve">
target lost</t>
        </r>
      </text>
    </comment>
    <comment ref="U1638" authorId="0" shapeId="0" xr:uid="{596FA0CC-2A75-4720-98B6-BABF01FEEE42}">
      <text>
        <r>
          <rPr>
            <b/>
            <sz val="9"/>
            <color indexed="81"/>
            <rFont val="Tahoma"/>
            <family val="2"/>
          </rPr>
          <t>Author:</t>
        </r>
        <r>
          <rPr>
            <sz val="9"/>
            <color indexed="81"/>
            <rFont val="Tahoma"/>
            <family val="2"/>
          </rPr>
          <t xml:space="preserve">
5.8 Si atom %</t>
        </r>
      </text>
    </comment>
    <comment ref="U1639" authorId="0" shapeId="0" xr:uid="{1E16B769-7C8A-43F9-94EC-77A1B21756EE}">
      <text>
        <r>
          <rPr>
            <b/>
            <sz val="9"/>
            <color indexed="81"/>
            <rFont val="Tahoma"/>
            <family val="2"/>
          </rPr>
          <t>Author:</t>
        </r>
        <r>
          <rPr>
            <sz val="9"/>
            <color indexed="81"/>
            <rFont val="Tahoma"/>
            <family val="2"/>
          </rPr>
          <t xml:space="preserve">
5.8 Si atom %</t>
        </r>
      </text>
    </comment>
    <comment ref="F1641" authorId="0" shapeId="0" xr:uid="{F3FB2991-F85D-43B2-AD05-5E6E8CC7642C}">
      <text>
        <r>
          <rPr>
            <b/>
            <sz val="9"/>
            <color indexed="81"/>
            <rFont val="Tahoma"/>
            <family val="2"/>
          </rPr>
          <t>Author:</t>
        </r>
        <r>
          <rPr>
            <sz val="9"/>
            <color indexed="81"/>
            <rFont val="Tahoma"/>
            <family val="2"/>
          </rPr>
          <t xml:space="preserve">
Vacuum sucked glue onto capasule
- Tested glue, seems to be functional
</t>
        </r>
      </text>
    </comment>
    <comment ref="F1650" authorId="0" shapeId="0" xr:uid="{28E1D968-7E2C-4CE5-8617-CFC9B1E801A9}">
      <text>
        <r>
          <rPr>
            <b/>
            <sz val="9"/>
            <color indexed="81"/>
            <rFont val="Tahoma"/>
            <family val="2"/>
          </rPr>
          <t>Author:</t>
        </r>
        <r>
          <rPr>
            <sz val="9"/>
            <color indexed="81"/>
            <rFont val="Tahoma"/>
            <family val="2"/>
          </rPr>
          <t xml:space="preserve">
capsule quantity of defects high (22) OOS</t>
        </r>
      </text>
    </comment>
    <comment ref="F1651" authorId="0" shapeId="0" xr:uid="{06F3FB9A-1979-4F44-BFF7-F20B66D3D38A}">
      <text>
        <r>
          <rPr>
            <b/>
            <sz val="9"/>
            <color indexed="81"/>
            <rFont val="Tahoma"/>
            <family val="2"/>
          </rPr>
          <t>Author:</t>
        </r>
        <r>
          <rPr>
            <sz val="9"/>
            <color indexed="81"/>
            <rFont val="Tahoma"/>
            <family val="2"/>
          </rPr>
          <t xml:space="preserve">
glue has no fillet - high risk of failure</t>
        </r>
      </text>
    </comment>
    <comment ref="W1651" authorId="0" shapeId="0" xr:uid="{C1125C1E-F6F8-4EE5-9087-6D488DF2D5C1}">
      <text>
        <r>
          <rPr>
            <b/>
            <sz val="9"/>
            <color indexed="81"/>
            <rFont val="Tahoma"/>
            <family val="2"/>
          </rPr>
          <t>Author:</t>
        </r>
        <r>
          <rPr>
            <sz val="9"/>
            <color indexed="81"/>
            <rFont val="Tahoma"/>
            <family val="2"/>
          </rPr>
          <t xml:space="preserve">
2x large defects 
1 ~20um
1 ~15um</t>
        </r>
      </text>
    </comment>
    <comment ref="F1652" authorId="0" shapeId="0" xr:uid="{089C9EE3-F178-4092-AA18-90369C9E4EEC}">
      <text>
        <r>
          <rPr>
            <b/>
            <sz val="9"/>
            <color indexed="81"/>
            <rFont val="Tahoma"/>
            <family val="2"/>
          </rPr>
          <t>Author:</t>
        </r>
        <r>
          <rPr>
            <sz val="9"/>
            <color indexed="81"/>
            <rFont val="Tahoma"/>
            <family val="2"/>
          </rPr>
          <t xml:space="preserve">
capsule quantity of defects high (22) OOS</t>
        </r>
      </text>
    </comment>
    <comment ref="U1653" authorId="0" shapeId="0" xr:uid="{A985226D-F785-4FE4-8567-9B70B5936789}">
      <text>
        <r>
          <rPr>
            <b/>
            <sz val="9"/>
            <color indexed="81"/>
            <rFont val="Tahoma"/>
            <family val="2"/>
          </rPr>
          <t>Author:</t>
        </r>
        <r>
          <rPr>
            <sz val="9"/>
            <color indexed="81"/>
            <rFont val="Tahoma"/>
            <family val="2"/>
          </rPr>
          <t xml:space="preserve">
6.3 Si atom %</t>
        </r>
      </text>
    </comment>
    <comment ref="U1654" authorId="0" shapeId="0" xr:uid="{1381C79B-5D62-404E-96DF-10CA71DC275A}">
      <text>
        <r>
          <rPr>
            <b/>
            <sz val="9"/>
            <color indexed="81"/>
            <rFont val="Tahoma"/>
            <family val="2"/>
          </rPr>
          <t>Author:</t>
        </r>
        <r>
          <rPr>
            <sz val="9"/>
            <color indexed="81"/>
            <rFont val="Tahoma"/>
            <family val="2"/>
          </rPr>
          <t xml:space="preserve">
6.3 Si atom %</t>
        </r>
      </text>
    </comment>
    <comment ref="F1655" authorId="0" shapeId="0" xr:uid="{678BF713-1EE3-42FC-8DA6-56ED1F443D3C}">
      <text>
        <r>
          <rPr>
            <b/>
            <sz val="9"/>
            <color indexed="81"/>
            <rFont val="Tahoma"/>
            <family val="2"/>
          </rPr>
          <t>Author:</t>
        </r>
        <r>
          <rPr>
            <sz val="9"/>
            <color indexed="81"/>
            <rFont val="Tahoma"/>
            <family val="2"/>
          </rPr>
          <t xml:space="preserve">
stalk wicked up capsule</t>
        </r>
      </text>
    </comment>
    <comment ref="F1656" authorId="0" shapeId="0" xr:uid="{B7C2162D-3A55-4A6F-8E31-57583503D2C0}">
      <text>
        <r>
          <rPr>
            <b/>
            <sz val="9"/>
            <color indexed="81"/>
            <rFont val="Tahoma"/>
            <family val="2"/>
          </rPr>
          <t>Author:</t>
        </r>
        <r>
          <rPr>
            <sz val="9"/>
            <color indexed="81"/>
            <rFont val="Tahoma"/>
            <family val="2"/>
          </rPr>
          <t xml:space="preserve">
broken trying to remove defect</t>
        </r>
      </text>
    </comment>
    <comment ref="U1657" authorId="0" shapeId="0" xr:uid="{0D9F2C21-9583-441E-AE2E-A28A995E9283}">
      <text>
        <r>
          <rPr>
            <b/>
            <sz val="9"/>
            <color indexed="81"/>
            <rFont val="Tahoma"/>
            <family val="2"/>
          </rPr>
          <t>Author:</t>
        </r>
        <r>
          <rPr>
            <sz val="9"/>
            <color indexed="81"/>
            <rFont val="Tahoma"/>
            <family val="2"/>
          </rPr>
          <t xml:space="preserve">
6.3 Si atom %</t>
        </r>
      </text>
    </comment>
    <comment ref="U1658" authorId="0" shapeId="0" xr:uid="{E2CFA74C-FC8B-4864-86A4-283BFCCACE0B}">
      <text>
        <r>
          <rPr>
            <b/>
            <sz val="9"/>
            <color indexed="81"/>
            <rFont val="Tahoma"/>
            <family val="2"/>
          </rPr>
          <t>Author:</t>
        </r>
        <r>
          <rPr>
            <sz val="9"/>
            <color indexed="81"/>
            <rFont val="Tahoma"/>
            <family val="2"/>
          </rPr>
          <t xml:space="preserve">
6.3 Si atom %</t>
        </r>
      </text>
    </comment>
    <comment ref="U1659" authorId="0" shapeId="0" xr:uid="{2376089C-924E-437A-9248-8B8CAF035928}">
      <text>
        <r>
          <rPr>
            <b/>
            <sz val="9"/>
            <color indexed="81"/>
            <rFont val="Tahoma"/>
            <family val="2"/>
          </rPr>
          <t>Author:</t>
        </r>
        <r>
          <rPr>
            <sz val="9"/>
            <color indexed="81"/>
            <rFont val="Tahoma"/>
            <family val="2"/>
          </rPr>
          <t xml:space="preserve">
6.3 Si atom %</t>
        </r>
      </text>
    </comment>
    <comment ref="U1660" authorId="0" shapeId="0" xr:uid="{88E54D80-7383-4EA9-A6FE-A97EE64963DA}">
      <text>
        <r>
          <rPr>
            <b/>
            <sz val="9"/>
            <color indexed="81"/>
            <rFont val="Tahoma"/>
            <family val="2"/>
          </rPr>
          <t>Author:</t>
        </r>
        <r>
          <rPr>
            <sz val="9"/>
            <color indexed="81"/>
            <rFont val="Tahoma"/>
            <family val="2"/>
          </rPr>
          <t xml:space="preserve">
6.3 Si atom %</t>
        </r>
      </text>
    </comment>
    <comment ref="F1662" authorId="0" shapeId="0" xr:uid="{D6A24921-B1C1-4C10-896E-11FC7655B634}">
      <text>
        <r>
          <rPr>
            <b/>
            <sz val="9"/>
            <color indexed="81"/>
            <rFont val="Tahoma"/>
            <family val="2"/>
          </rPr>
          <t>Author:</t>
        </r>
        <r>
          <rPr>
            <b/>
            <sz val="9"/>
            <color indexed="81"/>
            <rFont val="Tahoma"/>
            <family val="2"/>
          </rPr>
          <t xml:space="preserve">
</t>
        </r>
        <r>
          <rPr>
            <sz val="9"/>
            <color indexed="81"/>
            <rFont val="Tahoma"/>
            <family val="2"/>
          </rPr>
          <t xml:space="preserve">17um SiC stalk, 120um nominal glue spot 
</t>
        </r>
      </text>
    </comment>
    <comment ref="U1662" authorId="0" shapeId="0" xr:uid="{22E4783A-86F9-4F57-8DB6-0832152397F5}">
      <text>
        <r>
          <rPr>
            <b/>
            <sz val="9"/>
            <color indexed="81"/>
            <rFont val="Tahoma"/>
            <family val="2"/>
          </rPr>
          <t>Author:</t>
        </r>
        <r>
          <rPr>
            <sz val="9"/>
            <color indexed="81"/>
            <rFont val="Tahoma"/>
            <family val="2"/>
          </rPr>
          <t xml:space="preserve">
5.8 Si atom %</t>
        </r>
      </text>
    </comment>
    <comment ref="F1663" authorId="0" shapeId="0" xr:uid="{EFD601EF-D052-4835-8D6D-FADFAA67849F}">
      <text>
        <r>
          <rPr>
            <b/>
            <sz val="9"/>
            <color indexed="81"/>
            <rFont val="Tahoma"/>
            <family val="2"/>
          </rPr>
          <t>Author:</t>
        </r>
        <r>
          <rPr>
            <sz val="9"/>
            <color indexed="81"/>
            <rFont val="Tahoma"/>
            <family val="2"/>
          </rPr>
          <t xml:space="preserve">
10um Sylramic Fiber</t>
        </r>
      </text>
    </comment>
    <comment ref="U1663" authorId="0" shapeId="0" xr:uid="{36E701C1-F4CF-448B-819B-E4D55181014D}">
      <text>
        <r>
          <rPr>
            <b/>
            <sz val="9"/>
            <color indexed="81"/>
            <rFont val="Tahoma"/>
            <family val="2"/>
          </rPr>
          <t>Author:</t>
        </r>
        <r>
          <rPr>
            <sz val="9"/>
            <color indexed="81"/>
            <rFont val="Tahoma"/>
            <family val="2"/>
          </rPr>
          <t xml:space="preserve">
5.7 Si atom %</t>
        </r>
      </text>
    </comment>
    <comment ref="F1664" authorId="0" shapeId="0" xr:uid="{DA306665-AB4D-4AAE-B198-43584CFBF044}">
      <text>
        <r>
          <rPr>
            <b/>
            <sz val="9"/>
            <color indexed="81"/>
            <rFont val="Tahoma"/>
            <family val="2"/>
          </rPr>
          <t xml:space="preserve">Author:
14um Hi-Nicalon
</t>
        </r>
      </text>
    </comment>
    <comment ref="U1664" authorId="0" shapeId="0" xr:uid="{9D5C74F5-AF72-4A23-8971-8072777B7EF4}">
      <text>
        <r>
          <rPr>
            <b/>
            <sz val="9"/>
            <color indexed="81"/>
            <rFont val="Tahoma"/>
            <family val="2"/>
          </rPr>
          <t>Author:</t>
        </r>
        <r>
          <rPr>
            <sz val="9"/>
            <color indexed="81"/>
            <rFont val="Tahoma"/>
            <family val="2"/>
          </rPr>
          <t xml:space="preserve">
5.7 Si atom %</t>
        </r>
      </text>
    </comment>
    <comment ref="F1665" authorId="0" shapeId="0" xr:uid="{E9324DB3-DEDF-408B-8159-72F0C3F436F8}">
      <text>
        <r>
          <rPr>
            <b/>
            <sz val="9"/>
            <color indexed="81"/>
            <rFont val="Tahoma"/>
            <family val="2"/>
          </rPr>
          <t>Author:</t>
        </r>
        <r>
          <rPr>
            <sz val="9"/>
            <color indexed="81"/>
            <rFont val="Tahoma"/>
            <family val="2"/>
          </rPr>
          <t xml:space="preserve">
14um Hi Nicalon</t>
        </r>
      </text>
    </comment>
    <comment ref="U1665" authorId="0" shapeId="0" xr:uid="{68AC77BF-EC32-4FED-AFCD-778EEA3B351B}">
      <text>
        <r>
          <rPr>
            <b/>
            <sz val="9"/>
            <color indexed="81"/>
            <rFont val="Tahoma"/>
            <family val="2"/>
          </rPr>
          <t>Author:</t>
        </r>
        <r>
          <rPr>
            <sz val="9"/>
            <color indexed="81"/>
            <rFont val="Tahoma"/>
            <family val="2"/>
          </rPr>
          <t xml:space="preserve">
5.7 Si atom %</t>
        </r>
      </text>
    </comment>
    <comment ref="F1666" authorId="0" shapeId="0" xr:uid="{6039832C-E88C-4F7B-B58C-F017F1BB6D26}">
      <text>
        <r>
          <rPr>
            <b/>
            <sz val="9"/>
            <color indexed="81"/>
            <rFont val="Tahoma"/>
            <family val="2"/>
          </rPr>
          <t xml:space="preserve">Author:11
</t>
        </r>
        <r>
          <rPr>
            <sz val="9"/>
            <color indexed="81"/>
            <rFont val="Tahoma"/>
            <family val="2"/>
          </rPr>
          <t xml:space="preserve">14um Hi-Niclaon std glue 
</t>
        </r>
      </text>
    </comment>
    <comment ref="U1666" authorId="0" shapeId="0" xr:uid="{18E25DE0-9313-4D84-8D30-453660FE52E0}">
      <text>
        <r>
          <rPr>
            <b/>
            <sz val="9"/>
            <color indexed="81"/>
            <rFont val="Tahoma"/>
            <family val="2"/>
          </rPr>
          <t>Author:</t>
        </r>
        <r>
          <rPr>
            <sz val="9"/>
            <color indexed="81"/>
            <rFont val="Tahoma"/>
            <family val="2"/>
          </rPr>
          <t xml:space="preserve">
5.7 Si atom %
</t>
        </r>
      </text>
    </comment>
    <comment ref="F1667" authorId="0" shapeId="0" xr:uid="{77400831-A042-4D14-A217-9B52ED2960BF}">
      <text>
        <r>
          <rPr>
            <b/>
            <sz val="9"/>
            <color indexed="81"/>
            <rFont val="Tahoma"/>
            <family val="2"/>
          </rPr>
          <t>Author:</t>
        </r>
        <r>
          <rPr>
            <sz val="9"/>
            <color indexed="81"/>
            <rFont val="Tahoma"/>
            <family val="2"/>
          </rPr>
          <t xml:space="preserve">
75um boron</t>
        </r>
      </text>
    </comment>
    <comment ref="U1667" authorId="0" shapeId="0" xr:uid="{C7A0F4DA-991F-457F-8E04-D9639802AF4F}">
      <text>
        <r>
          <rPr>
            <b/>
            <sz val="9"/>
            <color indexed="81"/>
            <rFont val="Tahoma"/>
            <family val="2"/>
          </rPr>
          <t>Author:</t>
        </r>
        <r>
          <rPr>
            <sz val="9"/>
            <color indexed="81"/>
            <rFont val="Tahoma"/>
            <family val="2"/>
          </rPr>
          <t xml:space="preserve">
5.7 Si atom %
</t>
        </r>
      </text>
    </comment>
    <comment ref="F1668" authorId="0" shapeId="0" xr:uid="{CEA278B2-EA07-47CC-B482-2293C1942D8F}">
      <text>
        <r>
          <rPr>
            <b/>
            <sz val="9"/>
            <color indexed="81"/>
            <rFont val="Tahoma"/>
            <family val="2"/>
          </rPr>
          <t>Author:</t>
        </r>
        <r>
          <rPr>
            <sz val="9"/>
            <color indexed="81"/>
            <rFont val="Tahoma"/>
            <family val="2"/>
          </rPr>
          <t xml:space="preserve">
asm glue -&gt; broke when removing from chuck</t>
        </r>
      </text>
    </comment>
    <comment ref="V1668" authorId="0" shapeId="0" xr:uid="{4E58EA9F-58F5-4C67-8846-23ABB2B90EA3}">
      <text>
        <r>
          <rPr>
            <b/>
            <sz val="9"/>
            <color indexed="81"/>
            <rFont val="Tahoma"/>
            <family val="2"/>
          </rPr>
          <t>Author:</t>
        </r>
        <r>
          <rPr>
            <sz val="9"/>
            <color indexed="81"/>
            <rFont val="Tahoma"/>
            <family val="2"/>
          </rPr>
          <t xml:space="preserve">
uneven glue
</t>
        </r>
      </text>
    </comment>
    <comment ref="F1669" authorId="0" shapeId="0" xr:uid="{E649AA78-FC15-479D-A0B9-102CFA190CB3}">
      <text>
        <r>
          <rPr>
            <b/>
            <sz val="9"/>
            <color indexed="81"/>
            <rFont val="Tahoma"/>
            <family val="2"/>
          </rPr>
          <t>Author:</t>
        </r>
        <r>
          <rPr>
            <sz val="9"/>
            <color indexed="81"/>
            <rFont val="Tahoma"/>
            <family val="2"/>
          </rPr>
          <t xml:space="preserve">
std. 17um fiber mount
</t>
        </r>
      </text>
    </comment>
    <comment ref="U1669" authorId="0" shapeId="0" xr:uid="{02A752EA-60CA-428C-9B7E-31BDE4B50BEA}">
      <text>
        <r>
          <rPr>
            <b/>
            <sz val="9"/>
            <color indexed="81"/>
            <rFont val="Tahoma"/>
            <family val="2"/>
          </rPr>
          <t>Author:</t>
        </r>
        <r>
          <rPr>
            <sz val="9"/>
            <color indexed="81"/>
            <rFont val="Tahoma"/>
            <family val="2"/>
          </rPr>
          <t xml:space="preserve">
5.7 Si atom %
</t>
        </r>
      </text>
    </comment>
    <comment ref="F1670" authorId="0" shapeId="0" xr:uid="{FBA24520-1FFA-42FF-A49B-89C9B0C72C3B}">
      <text>
        <r>
          <rPr>
            <b/>
            <sz val="9"/>
            <color indexed="81"/>
            <rFont val="Tahoma"/>
            <family val="2"/>
          </rPr>
          <t>Author:</t>
        </r>
        <r>
          <rPr>
            <sz val="9"/>
            <color indexed="81"/>
            <rFont val="Tahoma"/>
            <family val="2"/>
          </rPr>
          <t xml:space="preserve">
10um Sylramic fiber
</t>
        </r>
      </text>
    </comment>
    <comment ref="U1670" authorId="0" shapeId="0" xr:uid="{8A8A5455-D965-460A-9CA8-213A1E399D7B}">
      <text>
        <r>
          <rPr>
            <b/>
            <sz val="9"/>
            <color indexed="81"/>
            <rFont val="Tahoma"/>
            <family val="2"/>
          </rPr>
          <t>Author:</t>
        </r>
        <r>
          <rPr>
            <sz val="9"/>
            <color indexed="81"/>
            <rFont val="Tahoma"/>
            <family val="2"/>
          </rPr>
          <t xml:space="preserve">
5.7 Si atom %
</t>
        </r>
      </text>
    </comment>
    <comment ref="F1671" authorId="0" shapeId="0" xr:uid="{958B9122-0393-4FE1-A35D-B3A4B9601D51}">
      <text>
        <r>
          <rPr>
            <b/>
            <sz val="9"/>
            <color indexed="81"/>
            <rFont val="Tahoma"/>
            <family val="2"/>
          </rPr>
          <t>Author:</t>
        </r>
        <r>
          <rPr>
            <sz val="9"/>
            <color indexed="81"/>
            <rFont val="Tahoma"/>
            <family val="2"/>
          </rPr>
          <t xml:space="preserve">
17um SiC fiber
</t>
        </r>
      </text>
    </comment>
    <comment ref="U1671" authorId="0" shapeId="0" xr:uid="{D3AF2EA2-4C62-489F-9C9A-8DABC3D437DE}">
      <text>
        <r>
          <rPr>
            <b/>
            <sz val="9"/>
            <color indexed="81"/>
            <rFont val="Tahoma"/>
            <family val="2"/>
          </rPr>
          <t>Author:</t>
        </r>
        <r>
          <rPr>
            <sz val="9"/>
            <color indexed="81"/>
            <rFont val="Tahoma"/>
            <family val="2"/>
          </rPr>
          <t xml:space="preserve">
5.7 Si atom %
</t>
        </r>
      </text>
    </comment>
    <comment ref="F1672" authorId="0" shapeId="0" xr:uid="{28922B41-952C-4FBA-99A1-CF606A292710}">
      <text>
        <r>
          <rPr>
            <b/>
            <sz val="9"/>
            <color indexed="81"/>
            <rFont val="Tahoma"/>
            <family val="2"/>
          </rPr>
          <t xml:space="preserve">Author:
10um Sylramic </t>
        </r>
      </text>
    </comment>
    <comment ref="U1672" authorId="0" shapeId="0" xr:uid="{944E656E-0577-4E66-A8FF-19A3B454827F}">
      <text>
        <r>
          <rPr>
            <b/>
            <sz val="9"/>
            <color indexed="81"/>
            <rFont val="Tahoma"/>
            <family val="2"/>
          </rPr>
          <t>Author:</t>
        </r>
        <r>
          <rPr>
            <sz val="9"/>
            <color indexed="81"/>
            <rFont val="Tahoma"/>
            <family val="2"/>
          </rPr>
          <t xml:space="preserve">
5.7 Si atom %
</t>
        </r>
      </text>
    </comment>
    <comment ref="F1678" authorId="0" shapeId="0" xr:uid="{D10D79E4-B0C3-45BE-A089-757BDFD8904D}">
      <text>
        <r>
          <rPr>
            <b/>
            <sz val="9"/>
            <color indexed="81"/>
            <rFont val="Tahoma"/>
            <family val="2"/>
          </rPr>
          <t>Author:</t>
        </r>
        <r>
          <rPr>
            <sz val="9"/>
            <color indexed="81"/>
            <rFont val="Tahoma"/>
            <family val="2"/>
          </rPr>
          <t xml:space="preserve">
assm. glue</t>
        </r>
      </text>
    </comment>
    <comment ref="F1679" authorId="0" shapeId="0" xr:uid="{E057CC9E-606F-40FF-B289-2DE0AC11EEFE}">
      <text>
        <r>
          <rPr>
            <b/>
            <sz val="9"/>
            <color indexed="81"/>
            <rFont val="Tahoma"/>
            <family val="2"/>
          </rPr>
          <t>Author:</t>
        </r>
        <r>
          <rPr>
            <sz val="9"/>
            <color indexed="81"/>
            <rFont val="Tahoma"/>
            <family val="2"/>
          </rPr>
          <t xml:space="preserve">
glue spot too small, target fell off when removing from chuck</t>
        </r>
      </text>
    </comment>
    <comment ref="U1682" authorId="0" shapeId="0" xr:uid="{C158740F-5F6F-4F85-B12F-F5D4FA0C2CF3}">
      <text>
        <r>
          <rPr>
            <b/>
            <sz val="9"/>
            <color indexed="81"/>
            <rFont val="Tahoma"/>
            <family val="2"/>
          </rPr>
          <t>Author:</t>
        </r>
        <r>
          <rPr>
            <sz val="9"/>
            <color indexed="81"/>
            <rFont val="Tahoma"/>
            <family val="2"/>
          </rPr>
          <t xml:space="preserve">
6.5 atom % Si</t>
        </r>
      </text>
    </comment>
    <comment ref="U1683" authorId="0" shapeId="0" xr:uid="{151182C4-0436-4C02-8649-D9B832F6C0C6}">
      <text>
        <r>
          <rPr>
            <b/>
            <sz val="9"/>
            <color indexed="81"/>
            <rFont val="Tahoma"/>
            <family val="2"/>
          </rPr>
          <t>Author:</t>
        </r>
        <r>
          <rPr>
            <sz val="9"/>
            <color indexed="81"/>
            <rFont val="Tahoma"/>
            <family val="2"/>
          </rPr>
          <t xml:space="preserve">
6.5 atom % Si</t>
        </r>
      </text>
    </comment>
    <comment ref="U1684" authorId="0" shapeId="0" xr:uid="{781EA46A-CEF3-44F2-BF85-3AA6461A8AA4}">
      <text>
        <r>
          <rPr>
            <b/>
            <sz val="9"/>
            <color indexed="81"/>
            <rFont val="Tahoma"/>
            <family val="2"/>
          </rPr>
          <t>Author:</t>
        </r>
        <r>
          <rPr>
            <sz val="9"/>
            <color indexed="81"/>
            <rFont val="Tahoma"/>
            <family val="2"/>
          </rPr>
          <t xml:space="preserve">
6.5 atom % Si</t>
        </r>
      </text>
    </comment>
    <comment ref="U1685" authorId="0" shapeId="0" xr:uid="{70CB1A7D-A7F5-418B-B6FF-93DF1311E0DE}">
      <text>
        <r>
          <rPr>
            <b/>
            <sz val="9"/>
            <color indexed="81"/>
            <rFont val="Tahoma"/>
            <family val="2"/>
          </rPr>
          <t>Author:</t>
        </r>
        <r>
          <rPr>
            <sz val="9"/>
            <color indexed="81"/>
            <rFont val="Tahoma"/>
            <family val="2"/>
          </rPr>
          <t xml:space="preserve">
6.5% Si Atom %
</t>
        </r>
      </text>
    </comment>
    <comment ref="F1686" authorId="0" shapeId="0" xr:uid="{49945079-4D62-4BFA-A64C-26E6933F0129}">
      <text>
        <r>
          <rPr>
            <b/>
            <sz val="9"/>
            <color indexed="81"/>
            <rFont val="Tahoma"/>
            <family val="2"/>
          </rPr>
          <t>Author:</t>
        </r>
        <r>
          <rPr>
            <sz val="9"/>
            <color indexed="81"/>
            <rFont val="Tahoma"/>
            <family val="2"/>
          </rPr>
          <t xml:space="preserve">
Far too many defects
</t>
        </r>
      </text>
    </comment>
    <comment ref="U1687" authorId="0" shapeId="0" xr:uid="{7A961730-4B53-4917-AD18-EA05F2AC3C42}">
      <text>
        <r>
          <rPr>
            <b/>
            <sz val="9"/>
            <color indexed="81"/>
            <rFont val="Tahoma"/>
            <family val="2"/>
          </rPr>
          <t>Author:</t>
        </r>
        <r>
          <rPr>
            <sz val="9"/>
            <color indexed="81"/>
            <rFont val="Tahoma"/>
            <family val="2"/>
          </rPr>
          <t xml:space="preserve">
5.3 atom % Si
</t>
        </r>
      </text>
    </comment>
    <comment ref="U1688" authorId="0" shapeId="0" xr:uid="{469DE7AE-3FCE-42C1-B9DC-96C46BFB7A1B}">
      <text>
        <r>
          <rPr>
            <b/>
            <sz val="9"/>
            <color indexed="81"/>
            <rFont val="Tahoma"/>
            <family val="2"/>
          </rPr>
          <t>Author:</t>
        </r>
        <r>
          <rPr>
            <sz val="9"/>
            <color indexed="81"/>
            <rFont val="Tahoma"/>
            <family val="2"/>
          </rPr>
          <t xml:space="preserve">
5.3 atom % si
</t>
        </r>
      </text>
    </comment>
    <comment ref="U1689" authorId="0" shapeId="0" xr:uid="{6BEFEDD4-C6AC-46B7-9CB9-4F3231B5DB98}">
      <text>
        <r>
          <rPr>
            <b/>
            <sz val="9"/>
            <color indexed="81"/>
            <rFont val="Tahoma"/>
            <family val="2"/>
          </rPr>
          <t>Author:</t>
        </r>
        <r>
          <rPr>
            <sz val="9"/>
            <color indexed="81"/>
            <rFont val="Tahoma"/>
            <family val="2"/>
          </rPr>
          <t xml:space="preserve">
5.6 atom % Si </t>
        </r>
      </text>
    </comment>
    <comment ref="F1690" authorId="0" shapeId="0" xr:uid="{89D646AA-A991-445C-9187-07E67D11C631}">
      <text>
        <r>
          <rPr>
            <b/>
            <sz val="9"/>
            <color indexed="81"/>
            <rFont val="Tahoma"/>
            <family val="2"/>
          </rPr>
          <t>Author:</t>
        </r>
        <r>
          <rPr>
            <sz val="9"/>
            <color indexed="81"/>
            <rFont val="Tahoma"/>
            <charset val="1"/>
          </rPr>
          <t xml:space="preserve">
found broken in box</t>
        </r>
      </text>
    </comment>
    <comment ref="U1690" authorId="0" shapeId="0" xr:uid="{EC192EE0-E70D-4C19-9ADC-BC8CA32D5270}">
      <text>
        <r>
          <rPr>
            <b/>
            <sz val="9"/>
            <color indexed="81"/>
            <rFont val="Tahoma"/>
            <family val="2"/>
          </rPr>
          <t>Author:</t>
        </r>
        <r>
          <rPr>
            <sz val="9"/>
            <color indexed="81"/>
            <rFont val="Tahoma"/>
            <family val="2"/>
          </rPr>
          <t xml:space="preserve">
5.6 atom % Si </t>
        </r>
      </text>
    </comment>
    <comment ref="U1691" authorId="0" shapeId="0" xr:uid="{6A835F7C-00CF-40F0-A51A-7C2DB8C64B83}">
      <text>
        <r>
          <rPr>
            <b/>
            <sz val="9"/>
            <color indexed="81"/>
            <rFont val="Tahoma"/>
            <family val="2"/>
          </rPr>
          <t>Author:</t>
        </r>
        <r>
          <rPr>
            <sz val="9"/>
            <color indexed="81"/>
            <rFont val="Tahoma"/>
            <family val="2"/>
          </rPr>
          <t xml:space="preserve">
5.6 atom % Si </t>
        </r>
      </text>
    </comment>
    <comment ref="F1692" authorId="0" shapeId="0" xr:uid="{49F8D8DA-6509-4137-9E31-F9335EE3227B}">
      <text>
        <r>
          <rPr>
            <b/>
            <sz val="9"/>
            <color indexed="81"/>
            <rFont val="Tahoma"/>
            <family val="2"/>
          </rPr>
          <t>Alexander Behlok
&gt;10 defects</t>
        </r>
      </text>
    </comment>
    <comment ref="F1693" authorId="0" shapeId="0" xr:uid="{42C36102-0506-4E5B-B35F-FADB9FD639FF}">
      <text>
        <r>
          <rPr>
            <b/>
            <sz val="9"/>
            <color indexed="81"/>
            <rFont val="Tahoma"/>
            <family val="2"/>
          </rPr>
          <t>Author:</t>
        </r>
        <r>
          <rPr>
            <sz val="9"/>
            <color indexed="81"/>
            <rFont val="Tahoma"/>
            <family val="2"/>
          </rPr>
          <t xml:space="preserve">
depressingly, has a disqualifying defect  :(</t>
        </r>
      </text>
    </comment>
    <comment ref="U1694" authorId="0" shapeId="0" xr:uid="{B88E7669-A205-4EF6-8CCA-F448F8085E79}">
      <text>
        <r>
          <rPr>
            <b/>
            <sz val="9"/>
            <color indexed="81"/>
            <rFont val="Tahoma"/>
            <family val="2"/>
          </rPr>
          <t xml:space="preserve">Author:
5.6 atom % Si </t>
        </r>
      </text>
    </comment>
    <comment ref="U1695" authorId="0" shapeId="0" xr:uid="{5302987C-5E82-4C22-9308-A55B0411C069}">
      <text>
        <r>
          <rPr>
            <sz val="9"/>
            <color indexed="81"/>
            <rFont val="Tahoma"/>
            <family val="2"/>
          </rPr>
          <t xml:space="preserve">
5.6 atom % Si </t>
        </r>
      </text>
    </comment>
    <comment ref="U1696" authorId="0" shapeId="0" xr:uid="{28075019-F819-4AA1-BF98-6654019B703C}">
      <text>
        <r>
          <rPr>
            <b/>
            <sz val="9"/>
            <color indexed="81"/>
            <rFont val="Tahoma"/>
            <family val="2"/>
          </rPr>
          <t>Author:</t>
        </r>
        <r>
          <rPr>
            <sz val="9"/>
            <color indexed="81"/>
            <rFont val="Tahoma"/>
            <family val="2"/>
          </rPr>
          <t xml:space="preserve">
5.6 atom % Si </t>
        </r>
      </text>
    </comment>
    <comment ref="U1697" authorId="0" shapeId="0" xr:uid="{20342C52-6ADE-454F-9D43-A2AA43930628}">
      <text>
        <r>
          <rPr>
            <b/>
            <sz val="9"/>
            <color indexed="81"/>
            <rFont val="Tahoma"/>
            <charset val="1"/>
          </rPr>
          <t>Author:</t>
        </r>
        <r>
          <rPr>
            <sz val="9"/>
            <color indexed="81"/>
            <rFont val="Tahoma"/>
            <charset val="1"/>
          </rPr>
          <t xml:space="preserve">
5.3 Si atom %</t>
        </r>
      </text>
    </comment>
    <comment ref="U1698" authorId="0" shapeId="0" xr:uid="{09FD9B80-C92F-4F0F-BAD0-76DBF2BFFB2D}">
      <text>
        <r>
          <rPr>
            <b/>
            <sz val="9"/>
            <color indexed="81"/>
            <rFont val="Tahoma"/>
            <charset val="1"/>
          </rPr>
          <t>Author:</t>
        </r>
        <r>
          <rPr>
            <sz val="9"/>
            <color indexed="81"/>
            <rFont val="Tahoma"/>
            <charset val="1"/>
          </rPr>
          <t xml:space="preserve">
5.3 Si atom %</t>
        </r>
      </text>
    </comment>
    <comment ref="U1699" authorId="0" shapeId="0" xr:uid="{29525297-E09C-4BA9-AA36-44ED7130A757}">
      <text>
        <r>
          <rPr>
            <b/>
            <sz val="9"/>
            <color indexed="81"/>
            <rFont val="Tahoma"/>
            <charset val="1"/>
          </rPr>
          <t>Author:</t>
        </r>
        <r>
          <rPr>
            <sz val="9"/>
            <color indexed="81"/>
            <rFont val="Tahoma"/>
            <charset val="1"/>
          </rPr>
          <t xml:space="preserve">
5.3 Si atom %</t>
        </r>
      </text>
    </comment>
    <comment ref="U1700" authorId="0" shapeId="0" xr:uid="{FFA91BA4-4FDC-4927-9D92-AF42B5E19846}">
      <text>
        <r>
          <rPr>
            <b/>
            <sz val="9"/>
            <color indexed="81"/>
            <rFont val="Tahoma"/>
            <charset val="1"/>
          </rPr>
          <t>Author:</t>
        </r>
        <r>
          <rPr>
            <sz val="9"/>
            <color indexed="81"/>
            <rFont val="Tahoma"/>
            <charset val="1"/>
          </rPr>
          <t xml:space="preserve">
5.7 Si atom %</t>
        </r>
      </text>
    </comment>
    <comment ref="U1701" authorId="0" shapeId="0" xr:uid="{480B59AC-62E6-448E-BC46-9B740C8C37A5}">
      <text>
        <r>
          <rPr>
            <b/>
            <sz val="9"/>
            <color indexed="81"/>
            <rFont val="Tahoma"/>
            <charset val="1"/>
          </rPr>
          <t>Author:</t>
        </r>
        <r>
          <rPr>
            <sz val="9"/>
            <color indexed="81"/>
            <rFont val="Tahoma"/>
            <charset val="1"/>
          </rPr>
          <t xml:space="preserve">
5.7 Si atom %</t>
        </r>
      </text>
    </comment>
    <comment ref="U1702" authorId="0" shapeId="0" xr:uid="{0D29A228-344D-439E-BFCE-3AD4A000E35E}">
      <text>
        <r>
          <rPr>
            <b/>
            <sz val="9"/>
            <color indexed="81"/>
            <rFont val="Tahoma"/>
            <charset val="1"/>
          </rPr>
          <t>Author:</t>
        </r>
        <r>
          <rPr>
            <sz val="9"/>
            <color indexed="81"/>
            <rFont val="Tahoma"/>
            <charset val="1"/>
          </rPr>
          <t xml:space="preserve">
5.7 Si atom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0" authorId="0" shapeId="0" xr:uid="{00000000-0006-0000-0600-000001000000}">
      <text>
        <r>
          <rPr>
            <b/>
            <sz val="8"/>
            <color indexed="81"/>
            <rFont val="Tahoma"/>
            <family val="2"/>
          </rPr>
          <t>Author:</t>
        </r>
        <r>
          <rPr>
            <sz val="8"/>
            <color indexed="81"/>
            <rFont val="Tahoma"/>
            <family val="2"/>
          </rPr>
          <t xml:space="preserve">
glue on capsule OOS</t>
        </r>
      </text>
    </comment>
    <comment ref="F11" authorId="0" shapeId="0" xr:uid="{00000000-0006-0000-0600-000002000000}">
      <text>
        <r>
          <rPr>
            <b/>
            <sz val="8"/>
            <color indexed="81"/>
            <rFont val="Tahoma"/>
            <family val="2"/>
          </rPr>
          <t>Author:</t>
        </r>
        <r>
          <rPr>
            <sz val="8"/>
            <color indexed="81"/>
            <rFont val="Tahoma"/>
            <family val="2"/>
          </rPr>
          <t xml:space="preserve">
debris streak on surface</t>
        </r>
      </text>
    </comment>
    <comment ref="F13" authorId="0" shapeId="0" xr:uid="{00000000-0006-0000-0600-000003000000}">
      <text>
        <r>
          <rPr>
            <b/>
            <sz val="8"/>
            <color indexed="81"/>
            <rFont val="Tahoma"/>
            <family val="2"/>
          </rPr>
          <t>Author:</t>
        </r>
        <r>
          <rPr>
            <sz val="8"/>
            <color indexed="81"/>
            <rFont val="Tahoma"/>
            <family val="2"/>
          </rPr>
          <t xml:space="preserve">
glue on capsule OOS</t>
        </r>
      </text>
    </comment>
    <comment ref="F15" authorId="0" shapeId="0" xr:uid="{00000000-0006-0000-0600-000004000000}">
      <text>
        <r>
          <rPr>
            <b/>
            <sz val="8"/>
            <color indexed="81"/>
            <rFont val="Tahoma"/>
            <family val="2"/>
          </rPr>
          <t>Author:</t>
        </r>
        <r>
          <rPr>
            <sz val="8"/>
            <color indexed="81"/>
            <rFont val="Tahoma"/>
            <family val="2"/>
          </rPr>
          <t xml:space="preserve">
crack-shaped feature 280deg</t>
        </r>
      </text>
    </comment>
    <comment ref="F17" authorId="0" shapeId="0" xr:uid="{00000000-0006-0000-0600-000005000000}">
      <text>
        <r>
          <rPr>
            <b/>
            <sz val="8"/>
            <color indexed="81"/>
            <rFont val="Tahoma"/>
            <family val="2"/>
          </rPr>
          <t>Target Fabrication Operations:  faint crack-shaped pattern 200deg; remove debris</t>
        </r>
      </text>
    </comment>
    <comment ref="F19" authorId="0" shapeId="0" xr:uid="{00000000-0006-0000-0600-000006000000}">
      <text>
        <r>
          <rPr>
            <b/>
            <sz val="8"/>
            <color indexed="81"/>
            <rFont val="Tahoma"/>
            <family val="2"/>
          </rPr>
          <t>Author:</t>
        </r>
        <r>
          <rPr>
            <sz val="8"/>
            <color indexed="81"/>
            <rFont val="Tahoma"/>
            <family val="2"/>
          </rPr>
          <t xml:space="preserve">
removable</t>
        </r>
      </text>
    </comment>
    <comment ref="F20" authorId="0" shapeId="0" xr:uid="{00000000-0006-0000-0600-000007000000}">
      <text>
        <r>
          <rPr>
            <b/>
            <sz val="8"/>
            <color indexed="81"/>
            <rFont val="Tahoma"/>
            <family val="2"/>
          </rPr>
          <t>Author:</t>
        </r>
        <r>
          <rPr>
            <sz val="8"/>
            <color indexed="81"/>
            <rFont val="Tahoma"/>
            <family val="2"/>
          </rPr>
          <t xml:space="preserve">
&gt;10um domes OOS, but saved</t>
        </r>
      </text>
    </comment>
    <comment ref="Q22" authorId="0" shapeId="0" xr:uid="{00000000-0006-0000-0600-000008000000}">
      <text>
        <r>
          <rPr>
            <b/>
            <sz val="8"/>
            <color indexed="81"/>
            <rFont val="Tahoma"/>
            <family val="2"/>
          </rPr>
          <t>Author:</t>
        </r>
        <r>
          <rPr>
            <sz val="8"/>
            <color indexed="81"/>
            <rFont val="Tahoma"/>
            <family val="2"/>
          </rPr>
          <t xml:space="preserve">
shape</t>
        </r>
      </text>
    </comment>
    <comment ref="F25" authorId="0" shapeId="0" xr:uid="{00000000-0006-0000-0600-000009000000}">
      <text>
        <r>
          <rPr>
            <b/>
            <sz val="9"/>
            <color indexed="81"/>
            <rFont val="Tahoma"/>
            <family val="2"/>
          </rPr>
          <t>Author:</t>
        </r>
        <r>
          <rPr>
            <sz val="9"/>
            <color indexed="81"/>
            <rFont val="Tahoma"/>
            <family val="2"/>
          </rPr>
          <t xml:space="preserve">
asymmetric glue spot</t>
        </r>
      </text>
    </comment>
    <comment ref="N25" authorId="0" shapeId="0" xr:uid="{00000000-0006-0000-0600-00000A000000}">
      <text>
        <r>
          <rPr>
            <b/>
            <sz val="9"/>
            <color indexed="81"/>
            <rFont val="Tahoma"/>
            <family val="2"/>
          </rPr>
          <t>Author:</t>
        </r>
        <r>
          <rPr>
            <sz val="9"/>
            <color indexed="81"/>
            <rFont val="Tahoma"/>
            <family val="2"/>
          </rPr>
          <t xml:space="preserve">
DAYNA change folder that this target is in</t>
        </r>
      </text>
    </comment>
    <comment ref="F29" authorId="0" shapeId="0" xr:uid="{00000000-0006-0000-0600-00000B000000}">
      <text>
        <r>
          <rPr>
            <b/>
            <sz val="9"/>
            <color indexed="81"/>
            <rFont val="Tahoma"/>
            <family val="2"/>
          </rPr>
          <t>Author:</t>
        </r>
        <r>
          <rPr>
            <sz val="9"/>
            <color indexed="81"/>
            <rFont val="Tahoma"/>
            <family val="2"/>
          </rPr>
          <t xml:space="preserve">
glue OOS, size, assymetry</t>
        </r>
      </text>
    </comment>
    <comment ref="F32" authorId="0" shapeId="0" xr:uid="{00000000-0006-0000-0600-00000C000000}">
      <text>
        <r>
          <rPr>
            <b/>
            <sz val="9"/>
            <color indexed="81"/>
            <rFont val="Tahoma"/>
            <family val="2"/>
          </rPr>
          <t>Author:</t>
        </r>
        <r>
          <rPr>
            <sz val="9"/>
            <color indexed="81"/>
            <rFont val="Tahoma"/>
            <family val="2"/>
          </rPr>
          <t xml:space="preserve">
too small glue spot fell off stalk</t>
        </r>
      </text>
    </comment>
    <comment ref="A36" authorId="0" shapeId="0" xr:uid="{00000000-0006-0000-0600-00000D000000}">
      <text>
        <r>
          <rPr>
            <b/>
            <sz val="9"/>
            <color indexed="81"/>
            <rFont val="Tahoma"/>
            <family val="2"/>
          </rPr>
          <t>Author:</t>
        </r>
        <r>
          <rPr>
            <sz val="9"/>
            <color indexed="81"/>
            <rFont val="Tahoma"/>
            <family val="2"/>
          </rPr>
          <t xml:space="preserve">
MEQ, type 21 Target assembly</t>
        </r>
      </text>
    </comment>
    <comment ref="F40" authorId="0" shapeId="0" xr:uid="{759CB11F-FE59-4663-A2FD-F5EC7A56C8C1}">
      <text>
        <r>
          <rPr>
            <b/>
            <sz val="9"/>
            <color indexed="81"/>
            <rFont val="Tahoma"/>
            <family val="2"/>
          </rPr>
          <t>Author:</t>
        </r>
        <r>
          <rPr>
            <sz val="9"/>
            <color indexed="81"/>
            <rFont val="Tahoma"/>
            <family val="2"/>
          </rPr>
          <t xml:space="preserve">
Lost during handling 
</t>
        </r>
      </text>
    </comment>
    <comment ref="C41" authorId="0" shapeId="0" xr:uid="{80D9E63B-0894-4813-8E98-4432D348F548}">
      <text>
        <r>
          <rPr>
            <b/>
            <sz val="9"/>
            <color indexed="81"/>
            <rFont val="Tahoma"/>
            <family val="2"/>
          </rPr>
          <t>Author:</t>
        </r>
        <r>
          <rPr>
            <sz val="9"/>
            <color indexed="81"/>
            <rFont val="Tahoma"/>
            <family val="2"/>
          </rPr>
          <t xml:space="preserve">
Reglued 17um fiber, came loose
</t>
        </r>
      </text>
    </comment>
    <comment ref="F44" authorId="0" shapeId="0" xr:uid="{9B9A109F-28B9-4734-BCE0-ECF37E97FAAF}">
      <text>
        <r>
          <rPr>
            <b/>
            <sz val="9"/>
            <color indexed="81"/>
            <rFont val="Tahoma"/>
            <family val="2"/>
          </rPr>
          <t>Author:</t>
        </r>
        <r>
          <rPr>
            <sz val="9"/>
            <color indexed="81"/>
            <rFont val="Tahoma"/>
            <family val="2"/>
          </rPr>
          <t xml:space="preserve">
Rebuilt - glue footprint too small 
</t>
        </r>
      </text>
    </comment>
    <comment ref="F47" authorId="0" shapeId="0" xr:uid="{AE670923-75A4-4321-A207-6AB42687A4F2}">
      <text>
        <r>
          <rPr>
            <b/>
            <sz val="9"/>
            <color indexed="81"/>
            <rFont val="Tahoma"/>
            <family val="2"/>
          </rPr>
          <t>Author:</t>
        </r>
        <r>
          <rPr>
            <sz val="9"/>
            <color indexed="81"/>
            <rFont val="Tahoma"/>
            <family val="2"/>
          </rPr>
          <t xml:space="preserve">
target lost during handling before loading rack</t>
        </r>
      </text>
    </comment>
    <comment ref="F49" authorId="0" shapeId="0" xr:uid="{268AF8A9-9633-4B8F-8774-F83B831AA358}">
      <text>
        <r>
          <rPr>
            <b/>
            <sz val="9"/>
            <color indexed="81"/>
            <rFont val="Tahoma"/>
            <family val="2"/>
          </rPr>
          <t>Author:</t>
        </r>
        <r>
          <rPr>
            <sz val="9"/>
            <color indexed="81"/>
            <rFont val="Tahoma"/>
            <family val="2"/>
          </rPr>
          <t xml:space="preserve">
removed, assm. Glue mounting</t>
        </r>
      </text>
    </comment>
    <comment ref="F50" authorId="0" shapeId="0" xr:uid="{989406E7-1DEE-4407-8250-62BB9FF60D2D}">
      <text>
        <r>
          <rPr>
            <b/>
            <sz val="9"/>
            <color indexed="81"/>
            <rFont val="Tahoma"/>
            <family val="2"/>
          </rPr>
          <t>Author:</t>
        </r>
        <r>
          <rPr>
            <sz val="9"/>
            <color indexed="81"/>
            <rFont val="Tahoma"/>
            <family val="2"/>
          </rPr>
          <t xml:space="preserve">
removed and remounted</t>
        </r>
      </text>
    </comment>
    <comment ref="F56" authorId="0" shapeId="0" xr:uid="{75165141-E9B3-4750-9482-FBE93D1C274F}">
      <text>
        <r>
          <rPr>
            <b/>
            <sz val="9"/>
            <color indexed="81"/>
            <rFont val="Tahoma"/>
            <family val="2"/>
          </rPr>
          <t>Author:</t>
        </r>
        <r>
          <rPr>
            <sz val="9"/>
            <color indexed="81"/>
            <rFont val="Tahoma"/>
            <family val="2"/>
          </rPr>
          <t xml:space="preserve">
glue spot too small
</t>
        </r>
      </text>
    </comment>
    <comment ref="F57" authorId="0" shapeId="0" xr:uid="{AF4765DA-3F3E-4720-ADFB-C982DB635F6A}">
      <text>
        <r>
          <rPr>
            <b/>
            <sz val="9"/>
            <color indexed="81"/>
            <rFont val="Tahoma"/>
            <family val="2"/>
          </rPr>
          <t xml:space="preserve">Author:
</t>
        </r>
        <r>
          <rPr>
            <sz val="9"/>
            <color indexed="81"/>
            <rFont val="Tahoma"/>
            <family val="2"/>
          </rPr>
          <t>target lost during debris removal</t>
        </r>
      </text>
    </comment>
    <comment ref="Q57" authorId="0" shapeId="0" xr:uid="{DF4EB14E-6149-4562-B4C7-A298AFFF4757}">
      <text>
        <r>
          <rPr>
            <b/>
            <sz val="9"/>
            <color indexed="81"/>
            <rFont val="Tahoma"/>
            <family val="2"/>
          </rPr>
          <t>Author:</t>
        </r>
        <r>
          <rPr>
            <sz val="9"/>
            <color indexed="81"/>
            <rFont val="Tahoma"/>
            <family val="2"/>
          </rPr>
          <t xml:space="preserve">
24um glue
</t>
        </r>
      </text>
    </comment>
    <comment ref="F58" authorId="0" shapeId="0" xr:uid="{E644501D-EA5E-48A5-B408-FBF90C681CE1}">
      <text>
        <r>
          <rPr>
            <b/>
            <sz val="9"/>
            <color indexed="81"/>
            <rFont val="Tahoma"/>
            <family val="2"/>
          </rPr>
          <t>Author:</t>
        </r>
        <r>
          <rPr>
            <sz val="9"/>
            <color indexed="81"/>
            <rFont val="Tahoma"/>
            <family val="2"/>
          </rPr>
          <t xml:space="preserve">
Broken on transfer
</t>
        </r>
      </text>
    </comment>
    <comment ref="P58" authorId="0" shapeId="0" xr:uid="{2FCB7055-1733-4D7B-A9A4-42FD2267C756}">
      <text>
        <r>
          <rPr>
            <b/>
            <sz val="9"/>
            <color indexed="81"/>
            <rFont val="Tahoma"/>
            <family val="2"/>
          </rPr>
          <t>Author:</t>
        </r>
        <r>
          <rPr>
            <sz val="9"/>
            <color indexed="81"/>
            <rFont val="Tahoma"/>
            <family val="2"/>
          </rPr>
          <t xml:space="preserve">
6.7 Si atom %</t>
        </r>
      </text>
    </comment>
    <comment ref="Q58" authorId="0" shapeId="0" xr:uid="{03750C83-BB50-45CE-A5C7-7E993D0213E4}">
      <text>
        <r>
          <rPr>
            <b/>
            <sz val="9"/>
            <color indexed="81"/>
            <rFont val="Tahoma"/>
            <family val="2"/>
          </rPr>
          <t>Author:</t>
        </r>
        <r>
          <rPr>
            <sz val="9"/>
            <color indexed="81"/>
            <rFont val="Tahoma"/>
            <family val="2"/>
          </rPr>
          <t xml:space="preserve">
24,25um glue footprint
</t>
        </r>
      </text>
    </comment>
    <comment ref="P59" authorId="0" shapeId="0" xr:uid="{299AF5B5-6572-4F08-BB8C-0BDD33334A88}">
      <text>
        <r>
          <rPr>
            <b/>
            <sz val="9"/>
            <color indexed="81"/>
            <rFont val="Tahoma"/>
            <family val="2"/>
          </rPr>
          <t>Author:</t>
        </r>
        <r>
          <rPr>
            <sz val="9"/>
            <color indexed="81"/>
            <rFont val="Tahoma"/>
            <family val="2"/>
          </rPr>
          <t xml:space="preserve">
6.7 Si atom %</t>
        </r>
      </text>
    </comment>
    <comment ref="Q59" authorId="0" shapeId="0" xr:uid="{741CAC8B-5B8F-41FE-93FE-D50AD3291BEC}">
      <text>
        <r>
          <rPr>
            <b/>
            <sz val="9"/>
            <color indexed="81"/>
            <rFont val="Tahoma"/>
            <family val="2"/>
          </rPr>
          <t>Author:</t>
        </r>
        <r>
          <rPr>
            <sz val="9"/>
            <color indexed="81"/>
            <rFont val="Tahoma"/>
            <family val="2"/>
          </rPr>
          <t xml:space="preserve">
33,34um glue footprint</t>
        </r>
      </text>
    </comment>
    <comment ref="P60" authorId="0" shapeId="0" xr:uid="{2B717841-5000-4707-A11D-C170F0242ECD}">
      <text>
        <r>
          <rPr>
            <b/>
            <sz val="9"/>
            <color indexed="81"/>
            <rFont val="Tahoma"/>
            <family val="2"/>
          </rPr>
          <t>Author:</t>
        </r>
        <r>
          <rPr>
            <sz val="9"/>
            <color indexed="81"/>
            <rFont val="Tahoma"/>
            <family val="2"/>
          </rPr>
          <t xml:space="preserve">
6.7 Si atom %
</t>
        </r>
      </text>
    </comment>
    <comment ref="Q60" authorId="0" shapeId="0" xr:uid="{6B1A95A6-9B74-45CD-868A-D23A58E3C8C7}">
      <text>
        <r>
          <rPr>
            <b/>
            <sz val="9"/>
            <color indexed="81"/>
            <rFont val="Tahoma"/>
            <family val="2"/>
          </rPr>
          <t>Author:</t>
        </r>
        <r>
          <rPr>
            <sz val="9"/>
            <color indexed="81"/>
            <rFont val="Tahoma"/>
            <family val="2"/>
          </rPr>
          <t xml:space="preserve">
64,65 glue footprint
</t>
        </r>
      </text>
    </comment>
    <comment ref="P61" authorId="0" shapeId="0" xr:uid="{7D03E148-92D8-4ABF-B3FA-D21F13D683C4}">
      <text>
        <r>
          <rPr>
            <b/>
            <sz val="9"/>
            <color indexed="81"/>
            <rFont val="Tahoma"/>
            <family val="2"/>
          </rPr>
          <t>Author:</t>
        </r>
        <r>
          <rPr>
            <sz val="9"/>
            <color indexed="81"/>
            <rFont val="Tahoma"/>
            <family val="2"/>
          </rPr>
          <t xml:space="preserve">
6.7 Si atom %</t>
        </r>
      </text>
    </comment>
    <comment ref="Q61" authorId="0" shapeId="0" xr:uid="{64712864-16B3-499D-A896-681335F6BE67}">
      <text>
        <r>
          <rPr>
            <b/>
            <sz val="9"/>
            <color indexed="81"/>
            <rFont val="Tahoma"/>
            <family val="2"/>
          </rPr>
          <t>Author:</t>
        </r>
        <r>
          <rPr>
            <sz val="9"/>
            <color indexed="81"/>
            <rFont val="Tahoma"/>
            <family val="2"/>
          </rPr>
          <t xml:space="preserve">
70,71um glue footprint</t>
        </r>
      </text>
    </comment>
    <comment ref="F62" authorId="0" shapeId="0" xr:uid="{44AB89F8-198C-4F38-9097-F21A3B35B32F}">
      <text>
        <r>
          <rPr>
            <b/>
            <sz val="9"/>
            <color indexed="81"/>
            <rFont val="Tahoma"/>
            <family val="2"/>
          </rPr>
          <t>Author:</t>
        </r>
        <r>
          <rPr>
            <sz val="9"/>
            <color indexed="81"/>
            <rFont val="Tahoma"/>
            <family val="2"/>
          </rPr>
          <t xml:space="preserve">
Asm glue 
</t>
        </r>
      </text>
    </comment>
    <comment ref="P63" authorId="0" shapeId="0" xr:uid="{DE907002-C962-4CFB-BBD3-B7826401FF50}">
      <text>
        <r>
          <rPr>
            <b/>
            <sz val="9"/>
            <color indexed="81"/>
            <rFont val="Tahoma"/>
            <family val="2"/>
          </rPr>
          <t>Author:</t>
        </r>
        <r>
          <rPr>
            <sz val="9"/>
            <color indexed="81"/>
            <rFont val="Tahoma"/>
            <family val="2"/>
          </rPr>
          <t xml:space="preserve">
6.7 Si atom %</t>
        </r>
      </text>
    </comment>
    <comment ref="Q63" authorId="0" shapeId="0" xr:uid="{448DE49F-44EA-4C31-B54A-39A91AD89F75}">
      <text>
        <r>
          <rPr>
            <b/>
            <sz val="9"/>
            <color indexed="81"/>
            <rFont val="Tahoma"/>
            <family val="2"/>
          </rPr>
          <t>Author:</t>
        </r>
        <r>
          <rPr>
            <sz val="9"/>
            <color indexed="81"/>
            <rFont val="Tahoma"/>
            <family val="2"/>
          </rPr>
          <t xml:space="preserve">
92,91um glue footprint</t>
        </r>
      </text>
    </comment>
    <comment ref="P64" authorId="0" shapeId="0" xr:uid="{A941FFAF-565E-4D20-B4F8-65D65DD062B7}">
      <text>
        <r>
          <rPr>
            <b/>
            <sz val="9"/>
            <color indexed="81"/>
            <rFont val="Tahoma"/>
            <family val="2"/>
          </rPr>
          <t>Author:</t>
        </r>
        <r>
          <rPr>
            <sz val="9"/>
            <color indexed="81"/>
            <rFont val="Tahoma"/>
            <family val="2"/>
          </rPr>
          <t xml:space="preserve">
6.7 Si atom %</t>
        </r>
      </text>
    </comment>
    <comment ref="Q64" authorId="0" shapeId="0" xr:uid="{112D017E-4883-466F-81D9-B63DACB8F61E}">
      <text>
        <r>
          <rPr>
            <b/>
            <sz val="9"/>
            <color indexed="81"/>
            <rFont val="Tahoma"/>
            <family val="2"/>
          </rPr>
          <t>Author:</t>
        </r>
        <r>
          <rPr>
            <sz val="9"/>
            <color indexed="81"/>
            <rFont val="Tahoma"/>
            <family val="2"/>
          </rPr>
          <t xml:space="preserve">
91,90um glue footprint</t>
        </r>
      </text>
    </comment>
    <comment ref="P65" authorId="0" shapeId="0" xr:uid="{5E6115E1-9F30-42B6-80D6-E979A76C199D}">
      <text>
        <r>
          <rPr>
            <b/>
            <sz val="9"/>
            <color indexed="81"/>
            <rFont val="Tahoma"/>
            <family val="2"/>
          </rPr>
          <t>Author:</t>
        </r>
        <r>
          <rPr>
            <sz val="9"/>
            <color indexed="81"/>
            <rFont val="Tahoma"/>
            <family val="2"/>
          </rPr>
          <t xml:space="preserve">
6.7 Si atom %</t>
        </r>
      </text>
    </comment>
    <comment ref="Q65" authorId="0" shapeId="0" xr:uid="{2E510AC4-C10C-4C01-AABB-F0B123D95B51}">
      <text>
        <r>
          <rPr>
            <b/>
            <sz val="9"/>
            <color indexed="81"/>
            <rFont val="Tahoma"/>
            <family val="2"/>
          </rPr>
          <t>Author:</t>
        </r>
        <r>
          <rPr>
            <sz val="9"/>
            <color indexed="81"/>
            <rFont val="Tahoma"/>
            <family val="2"/>
          </rPr>
          <t xml:space="preserve">
30,30um glue footprint
</t>
        </r>
      </text>
    </comment>
    <comment ref="P66" authorId="0" shapeId="0" xr:uid="{15253E1E-81F4-47E5-90AB-641D85EF3B02}">
      <text>
        <r>
          <rPr>
            <b/>
            <sz val="9"/>
            <color indexed="81"/>
            <rFont val="Tahoma"/>
            <family val="2"/>
          </rPr>
          <t>Author:</t>
        </r>
        <r>
          <rPr>
            <sz val="9"/>
            <color indexed="81"/>
            <rFont val="Tahoma"/>
            <family val="2"/>
          </rPr>
          <t xml:space="preserve">
6.7 Si atom %</t>
        </r>
      </text>
    </comment>
    <comment ref="Q66" authorId="0" shapeId="0" xr:uid="{6A5D613E-D85F-4FE5-9441-B660E3412A23}">
      <text>
        <r>
          <rPr>
            <b/>
            <sz val="9"/>
            <color indexed="81"/>
            <rFont val="Tahoma"/>
            <family val="2"/>
          </rPr>
          <t>Author:</t>
        </r>
        <r>
          <rPr>
            <sz val="9"/>
            <color indexed="81"/>
            <rFont val="Tahoma"/>
            <family val="2"/>
          </rPr>
          <t xml:space="preserve">
35,36um glue footpritn
</t>
        </r>
      </text>
    </comment>
    <comment ref="P67" authorId="0" shapeId="0" xr:uid="{4D3BE7F9-D73F-41B6-B9AF-33F251125092}">
      <text>
        <r>
          <rPr>
            <b/>
            <sz val="9"/>
            <color indexed="81"/>
            <rFont val="Tahoma"/>
            <family val="2"/>
          </rPr>
          <t>Author:</t>
        </r>
        <r>
          <rPr>
            <sz val="9"/>
            <color indexed="81"/>
            <rFont val="Tahoma"/>
            <family val="2"/>
          </rPr>
          <t xml:space="preserve">
6.7 Si atom %</t>
        </r>
      </text>
    </comment>
    <comment ref="Q67" authorId="0" shapeId="0" xr:uid="{9D412D71-0B34-4FB8-AA80-2910BF4DFF3A}">
      <text>
        <r>
          <rPr>
            <b/>
            <sz val="9"/>
            <color indexed="81"/>
            <rFont val="Tahoma"/>
            <family val="2"/>
          </rPr>
          <t>Author:</t>
        </r>
        <r>
          <rPr>
            <sz val="9"/>
            <color indexed="81"/>
            <rFont val="Tahoma"/>
            <family val="2"/>
          </rPr>
          <t xml:space="preserve">
26.4,25.8 footprint</t>
        </r>
      </text>
    </comment>
    <comment ref="P68" authorId="0" shapeId="0" xr:uid="{6F94506C-BF90-45C3-8D03-F5133179A3BD}">
      <text>
        <r>
          <rPr>
            <b/>
            <sz val="9"/>
            <color indexed="81"/>
            <rFont val="Tahoma"/>
            <family val="2"/>
          </rPr>
          <t>Author:</t>
        </r>
        <r>
          <rPr>
            <sz val="9"/>
            <color indexed="81"/>
            <rFont val="Tahoma"/>
            <family val="2"/>
          </rPr>
          <t xml:space="preserve">
6.7 Si atom %</t>
        </r>
      </text>
    </comment>
    <comment ref="Q68" authorId="0" shapeId="0" xr:uid="{A6669C0C-81EB-4943-AD4C-F8596EACEA68}">
      <text>
        <r>
          <rPr>
            <b/>
            <sz val="9"/>
            <color indexed="81"/>
            <rFont val="Tahoma"/>
            <family val="2"/>
          </rPr>
          <t>Author:</t>
        </r>
        <r>
          <rPr>
            <sz val="9"/>
            <color indexed="81"/>
            <rFont val="Tahoma"/>
            <family val="2"/>
          </rPr>
          <t xml:space="preserve">
28.8,29.4 footprint</t>
        </r>
      </text>
    </comment>
    <comment ref="P69" authorId="0" shapeId="0" xr:uid="{B324E093-C879-4845-8619-88973E368133}">
      <text>
        <r>
          <rPr>
            <b/>
            <sz val="9"/>
            <color indexed="81"/>
            <rFont val="Tahoma"/>
            <family val="2"/>
          </rPr>
          <t>Author:</t>
        </r>
        <r>
          <rPr>
            <sz val="9"/>
            <color indexed="81"/>
            <rFont val="Tahoma"/>
            <family val="2"/>
          </rPr>
          <t xml:space="preserve">
6.7 Si atom %</t>
        </r>
      </text>
    </comment>
    <comment ref="Q69" authorId="0" shapeId="0" xr:uid="{10F3238C-B2A8-4F2C-A335-90840913D9A3}">
      <text>
        <r>
          <rPr>
            <b/>
            <sz val="9"/>
            <color indexed="81"/>
            <rFont val="Tahoma"/>
            <family val="2"/>
          </rPr>
          <t>Author:</t>
        </r>
        <r>
          <rPr>
            <sz val="9"/>
            <color indexed="81"/>
            <rFont val="Tahoma"/>
            <family val="2"/>
          </rPr>
          <t xml:space="preserve">
122,122 glue footprint
</t>
        </r>
      </text>
    </comment>
    <comment ref="P70" authorId="0" shapeId="0" xr:uid="{0B533339-03FD-4DF7-BAC3-969C1F430FF2}">
      <text>
        <r>
          <rPr>
            <b/>
            <sz val="9"/>
            <color indexed="81"/>
            <rFont val="Tahoma"/>
            <family val="2"/>
          </rPr>
          <t>Author:</t>
        </r>
        <r>
          <rPr>
            <sz val="9"/>
            <color indexed="81"/>
            <rFont val="Tahoma"/>
            <family val="2"/>
          </rPr>
          <t xml:space="preserve">
6.7% Si atom %</t>
        </r>
      </text>
    </comment>
    <comment ref="Q70" authorId="0" shapeId="0" xr:uid="{0A46C51A-A6FB-4E40-81B4-EE129D6505B4}">
      <text>
        <r>
          <rPr>
            <b/>
            <sz val="9"/>
            <color indexed="81"/>
            <rFont val="Tahoma"/>
            <family val="2"/>
          </rPr>
          <t>Author:</t>
        </r>
        <r>
          <rPr>
            <sz val="9"/>
            <color indexed="81"/>
            <rFont val="Tahoma"/>
            <family val="2"/>
          </rPr>
          <t xml:space="preserve">
75,72um glue footprint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M8" authorId="0" shapeId="0" xr:uid="{00000000-0006-0000-0900-000001000000}">
      <text>
        <r>
          <rPr>
            <b/>
            <sz val="8"/>
            <color indexed="81"/>
            <rFont val="Tahoma"/>
            <family val="2"/>
          </rPr>
          <t>Author:
resonance is coupled between x and y; both peaks of same magnitude</t>
        </r>
      </text>
    </comment>
    <comment ref="F15" authorId="0" shapeId="0" xr:uid="{00000000-0006-0000-0900-000002000000}">
      <text>
        <r>
          <rPr>
            <b/>
            <sz val="8"/>
            <color indexed="81"/>
            <rFont val="Tahoma"/>
            <family val="2"/>
          </rPr>
          <t>Author:</t>
        </r>
        <r>
          <rPr>
            <sz val="8"/>
            <color indexed="81"/>
            <rFont val="Tahoma"/>
            <family val="2"/>
          </rPr>
          <t xml:space="preserve">
Out Of Spec</t>
        </r>
      </text>
    </comment>
    <comment ref="F17" authorId="0" shapeId="0" xr:uid="{00000000-0006-0000-0900-000003000000}">
      <text>
        <r>
          <rPr>
            <b/>
            <sz val="8"/>
            <color indexed="81"/>
            <rFont val="Tahoma"/>
            <family val="2"/>
          </rPr>
          <t>Author:</t>
        </r>
        <r>
          <rPr>
            <sz val="8"/>
            <color indexed="81"/>
            <rFont val="Tahoma"/>
            <family val="2"/>
          </rPr>
          <t xml:space="preserve">
OOS</t>
        </r>
      </text>
    </comment>
    <comment ref="F23" authorId="0" shapeId="0" xr:uid="{00000000-0006-0000-0900-000004000000}">
      <text>
        <r>
          <rPr>
            <b/>
            <sz val="8"/>
            <color indexed="81"/>
            <rFont val="Tahoma"/>
            <family val="2"/>
          </rPr>
          <t>Author:</t>
        </r>
        <r>
          <rPr>
            <sz val="8"/>
            <color indexed="81"/>
            <rFont val="Tahoma"/>
            <family val="2"/>
          </rPr>
          <t xml:space="preserve">
OOS</t>
        </r>
      </text>
    </comment>
    <comment ref="F24" authorId="0" shapeId="0" xr:uid="{00000000-0006-0000-0900-000005000000}">
      <text>
        <r>
          <rPr>
            <b/>
            <sz val="8"/>
            <color indexed="81"/>
            <rFont val="Tahoma"/>
            <family val="2"/>
          </rPr>
          <t>Author:</t>
        </r>
        <r>
          <rPr>
            <sz val="8"/>
            <color indexed="81"/>
            <rFont val="Tahoma"/>
            <family val="2"/>
          </rPr>
          <t xml:space="preserve">
dEFECT</t>
        </r>
      </text>
    </comment>
    <comment ref="U30" authorId="0" shapeId="0" xr:uid="{00000000-0006-0000-0900-000006000000}">
      <text>
        <r>
          <rPr>
            <b/>
            <sz val="8"/>
            <color indexed="81"/>
            <rFont val="Tahoma"/>
            <family val="2"/>
          </rPr>
          <t>Author:</t>
        </r>
        <r>
          <rPr>
            <sz val="8"/>
            <color indexed="81"/>
            <rFont val="Tahoma"/>
            <family val="2"/>
          </rPr>
          <t xml:space="preserve">
amplitude at wr
</t>
        </r>
      </text>
    </comment>
    <comment ref="F40" authorId="0" shapeId="0" xr:uid="{00000000-0006-0000-0900-000007000000}">
      <text>
        <r>
          <rPr>
            <b/>
            <sz val="9"/>
            <color indexed="81"/>
            <rFont val="Tahoma"/>
            <family val="2"/>
          </rPr>
          <t>Author:</t>
        </r>
        <r>
          <rPr>
            <sz val="9"/>
            <color indexed="81"/>
            <rFont val="Tahoma"/>
            <family val="2"/>
          </rPr>
          <t xml:space="preserve">
glue failure while in He glovebox during loading</t>
        </r>
      </text>
    </comment>
    <comment ref="F44" authorId="0" shapeId="0" xr:uid="{00000000-0006-0000-0900-000008000000}">
      <text>
        <r>
          <rPr>
            <b/>
            <sz val="8"/>
            <color indexed="81"/>
            <rFont val="Tahoma"/>
            <family val="2"/>
          </rPr>
          <t>Author:</t>
        </r>
        <r>
          <rPr>
            <sz val="8"/>
            <color indexed="81"/>
            <rFont val="Tahoma"/>
            <family val="2"/>
          </rPr>
          <t xml:space="preserve">
Au coated shell 
on 3-9-15</t>
        </r>
      </text>
    </comment>
    <comment ref="F45" authorId="0" shapeId="0" xr:uid="{00000000-0006-0000-0900-000009000000}">
      <text>
        <r>
          <rPr>
            <b/>
            <sz val="8"/>
            <color indexed="81"/>
            <rFont val="Tahoma"/>
            <family val="2"/>
          </rPr>
          <t>Author:</t>
        </r>
        <r>
          <rPr>
            <sz val="8"/>
            <color indexed="81"/>
            <rFont val="Tahoma"/>
            <family val="2"/>
          </rPr>
          <t xml:space="preserve">
Au coated shell
on 3-9-15</t>
        </r>
      </text>
    </comment>
    <comment ref="F46" authorId="0" shapeId="0" xr:uid="{00000000-0006-0000-0900-00000A000000}">
      <text>
        <r>
          <rPr>
            <b/>
            <sz val="8"/>
            <color indexed="81"/>
            <rFont val="Tahoma"/>
            <family val="2"/>
          </rPr>
          <t>Author:</t>
        </r>
        <r>
          <rPr>
            <sz val="8"/>
            <color indexed="81"/>
            <rFont val="Tahoma"/>
            <family val="2"/>
          </rPr>
          <t xml:space="preserve">
Au coated shell
on 3-9-15</t>
        </r>
      </text>
    </comment>
    <comment ref="F49" authorId="0" shapeId="0" xr:uid="{00000000-0006-0000-0900-00000B000000}">
      <text>
        <r>
          <rPr>
            <b/>
            <sz val="8"/>
            <color indexed="81"/>
            <rFont val="Tahoma"/>
            <family val="2"/>
          </rPr>
          <t>Author:</t>
        </r>
        <r>
          <rPr>
            <sz val="8"/>
            <color indexed="81"/>
            <rFont val="Tahoma"/>
            <family val="2"/>
          </rPr>
          <t xml:space="preserve">
OOS</t>
        </r>
      </text>
    </comment>
    <comment ref="F50" authorId="0" shapeId="0" xr:uid="{00000000-0006-0000-0900-00000C000000}">
      <text>
        <r>
          <rPr>
            <b/>
            <sz val="8"/>
            <color indexed="81"/>
            <rFont val="Tahoma"/>
            <family val="2"/>
          </rPr>
          <t>Author:</t>
        </r>
        <r>
          <rPr>
            <sz val="8"/>
            <color indexed="81"/>
            <rFont val="Tahoma"/>
            <family val="2"/>
          </rPr>
          <t xml:space="preserve">
capsule OOS</t>
        </r>
      </text>
    </comment>
    <comment ref="F52" authorId="0" shapeId="0" xr:uid="{00000000-0006-0000-0900-00000D000000}">
      <text>
        <r>
          <rPr>
            <b/>
            <sz val="8"/>
            <color indexed="81"/>
            <rFont val="Tahoma"/>
            <family val="2"/>
          </rPr>
          <t>Author:</t>
        </r>
        <r>
          <rPr>
            <sz val="8"/>
            <color indexed="81"/>
            <rFont val="Tahoma"/>
            <family val="2"/>
          </rPr>
          <t xml:space="preserve">
72um glue footprint
may be NOA68</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B00-000001000000}">
      <text>
        <r>
          <rPr>
            <b/>
            <sz val="8"/>
            <color indexed="81"/>
            <rFont val="Tahoma"/>
            <family val="2"/>
          </rPr>
          <t>Author:</t>
        </r>
        <r>
          <rPr>
            <sz val="8"/>
            <color indexed="81"/>
            <rFont val="Tahoma"/>
            <family val="2"/>
          </rPr>
          <t xml:space="preserve">
kinked Zylon</t>
        </r>
      </text>
    </comment>
    <comment ref="G14" authorId="0" shapeId="0" xr:uid="{00000000-0006-0000-0B00-000002000000}">
      <text>
        <r>
          <rPr>
            <b/>
            <sz val="8"/>
            <color indexed="81"/>
            <rFont val="Tahoma"/>
            <family val="2"/>
          </rPr>
          <t>Author:</t>
        </r>
        <r>
          <rPr>
            <sz val="8"/>
            <color indexed="81"/>
            <rFont val="Tahoma"/>
            <family val="2"/>
          </rPr>
          <t xml:space="preserve">
double glue spot</t>
        </r>
      </text>
    </comment>
    <comment ref="A15" authorId="0" shapeId="0" xr:uid="{00000000-0006-0000-0B00-000003000000}">
      <text>
        <r>
          <rPr>
            <b/>
            <sz val="8"/>
            <color indexed="81"/>
            <rFont val="Tahoma"/>
            <family val="2"/>
          </rPr>
          <t>Author:</t>
        </r>
        <r>
          <rPr>
            <sz val="8"/>
            <color indexed="81"/>
            <rFont val="Tahoma"/>
            <family val="2"/>
          </rPr>
          <t xml:space="preserve">
rebuilt tripod, former shell OOS</t>
        </r>
      </text>
    </comment>
    <comment ref="G17" authorId="0" shapeId="0" xr:uid="{00000000-0006-0000-0B00-000004000000}">
      <text>
        <r>
          <rPr>
            <b/>
            <sz val="9"/>
            <color indexed="81"/>
            <rFont val="Tahoma"/>
            <family val="2"/>
          </rPr>
          <t>Julie Fooks:</t>
        </r>
        <r>
          <rPr>
            <sz val="9"/>
            <color indexed="81"/>
            <rFont val="Tahoma"/>
            <family val="2"/>
          </rPr>
          <t xml:space="preserve">
delivered to Rm 157 for diameter test (T. Michel) 8/5/15</t>
        </r>
      </text>
    </comment>
    <comment ref="G19" authorId="0" shapeId="0" xr:uid="{00000000-0006-0000-0B00-000005000000}">
      <text>
        <r>
          <rPr>
            <b/>
            <sz val="8"/>
            <color indexed="81"/>
            <rFont val="Tahoma"/>
            <family val="2"/>
          </rPr>
          <t>Author:</t>
        </r>
        <r>
          <rPr>
            <sz val="8"/>
            <color indexed="81"/>
            <rFont val="Tahoma"/>
            <family val="2"/>
          </rPr>
          <t xml:space="preserve">
capsule low quality</t>
        </r>
      </text>
    </comment>
    <comment ref="A23" authorId="0" shapeId="0" xr:uid="{00000000-0006-0000-0B00-000006000000}">
      <text>
        <r>
          <rPr>
            <b/>
            <sz val="8"/>
            <color indexed="81"/>
            <rFont val="Tahoma"/>
            <family val="2"/>
          </rPr>
          <t>Author:</t>
        </r>
        <r>
          <rPr>
            <sz val="8"/>
            <color indexed="81"/>
            <rFont val="Tahoma"/>
            <family val="2"/>
          </rPr>
          <t xml:space="preserve">
re-do tripod
</t>
        </r>
      </text>
    </comment>
    <comment ref="G23" authorId="0" shapeId="0" xr:uid="{00000000-0006-0000-0B00-000007000000}">
      <text>
        <r>
          <rPr>
            <b/>
            <sz val="9"/>
            <color indexed="81"/>
            <rFont val="Tahoma"/>
            <family val="2"/>
          </rPr>
          <t>Julie Fooks:</t>
        </r>
        <r>
          <rPr>
            <sz val="9"/>
            <color indexed="81"/>
            <rFont val="Tahoma"/>
            <family val="2"/>
          </rPr>
          <t xml:space="preserve">
delivered to Rm 157 for diameter test (T. Michel) 8/5/15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7" authorId="0" shapeId="0" xr:uid="{00000000-0006-0000-0E00-000001000000}">
      <text>
        <r>
          <rPr>
            <b/>
            <sz val="8"/>
            <color indexed="81"/>
            <rFont val="Tahoma"/>
            <family val="2"/>
          </rPr>
          <t>Author:</t>
        </r>
        <r>
          <rPr>
            <sz val="8"/>
            <color indexed="81"/>
            <rFont val="Tahoma"/>
            <family val="2"/>
          </rPr>
          <t xml:space="preserve">
remount
 ORIG from 3 Jan 2011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00000000-0006-0000-1000-000001000000}">
      <text>
        <r>
          <rPr>
            <b/>
            <sz val="8"/>
            <color indexed="81"/>
            <rFont val="Tahoma"/>
            <family val="2"/>
          </rPr>
          <t>Author:</t>
        </r>
        <r>
          <rPr>
            <sz val="8"/>
            <color indexed="81"/>
            <rFont val="Tahoma"/>
            <family val="2"/>
          </rPr>
          <t xml:space="preserve">
32um glue spot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8" authorId="0" shapeId="0" xr:uid="{00000000-0006-0000-1100-000001000000}">
      <text>
        <r>
          <rPr>
            <b/>
            <sz val="8"/>
            <color indexed="81"/>
            <rFont val="Tahoma"/>
            <family val="2"/>
          </rPr>
          <t>Author:</t>
        </r>
        <r>
          <rPr>
            <sz val="8"/>
            <color indexed="81"/>
            <rFont val="Tahoma"/>
            <family val="2"/>
          </rPr>
          <t xml:space="preserve">
needs PP glue
broken off during MB cleaning</t>
        </r>
      </text>
    </comment>
    <comment ref="F10" authorId="0" shapeId="0" xr:uid="{00000000-0006-0000-1100-000002000000}">
      <text>
        <r>
          <rPr>
            <b/>
            <sz val="8"/>
            <color indexed="81"/>
            <rFont val="Tahoma"/>
            <family val="2"/>
          </rPr>
          <t>Author:</t>
        </r>
        <r>
          <rPr>
            <sz val="8"/>
            <color indexed="81"/>
            <rFont val="Tahoma"/>
            <family val="2"/>
          </rPr>
          <t xml:space="preserve">
re mount on new SiC fiber to change wr</t>
        </r>
      </text>
    </comment>
    <comment ref="F16" authorId="0" shapeId="0" xr:uid="{00000000-0006-0000-1100-000003000000}">
      <text>
        <r>
          <rPr>
            <b/>
            <sz val="8"/>
            <color indexed="81"/>
            <rFont val="Tahoma"/>
            <family val="2"/>
          </rPr>
          <t>Author:</t>
        </r>
        <r>
          <rPr>
            <sz val="8"/>
            <color indexed="81"/>
            <rFont val="Tahoma"/>
            <family val="2"/>
          </rPr>
          <t xml:space="preserve">
PP glue OOS</t>
        </r>
      </text>
    </comment>
    <comment ref="F21" authorId="0" shapeId="0" xr:uid="{00000000-0006-0000-1100-000004000000}">
      <text>
        <r>
          <rPr>
            <b/>
            <sz val="8"/>
            <color indexed="81"/>
            <rFont val="Tahoma"/>
            <family val="2"/>
          </rPr>
          <t>Author:</t>
        </r>
        <r>
          <rPr>
            <sz val="8"/>
            <color indexed="81"/>
            <rFont val="Tahoma"/>
            <family val="2"/>
          </rPr>
          <t xml:space="preserve">
fiducial CDA target for V. Verstag</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13" authorId="0" shapeId="0" xr:uid="{00000000-0006-0000-1200-000001000000}">
      <text>
        <r>
          <rPr>
            <b/>
            <sz val="8"/>
            <color indexed="81"/>
            <rFont val="Tahoma"/>
            <family val="2"/>
          </rPr>
          <t>Author:</t>
        </r>
        <r>
          <rPr>
            <sz val="8"/>
            <color indexed="81"/>
            <rFont val="Tahoma"/>
            <family val="2"/>
          </rPr>
          <t xml:space="preserve">
symmetric tripod</t>
        </r>
      </text>
    </comment>
    <comment ref="H19" authorId="0" shapeId="0" xr:uid="{00000000-0006-0000-1200-000002000000}">
      <text>
        <r>
          <rPr>
            <b/>
            <sz val="8"/>
            <color indexed="81"/>
            <rFont val="Tahoma"/>
            <family val="2"/>
          </rPr>
          <t>Author:</t>
        </r>
        <r>
          <rPr>
            <sz val="8"/>
            <color indexed="81"/>
            <rFont val="Tahoma"/>
            <family val="2"/>
          </rPr>
          <t xml:space="preserve">
20um + defect in wall</t>
        </r>
      </text>
    </comment>
    <comment ref="H28" authorId="0" shapeId="0" xr:uid="{00000000-0006-0000-1200-000003000000}">
      <text>
        <r>
          <rPr>
            <b/>
            <sz val="8"/>
            <color indexed="81"/>
            <rFont val="Tahoma"/>
            <family val="2"/>
          </rPr>
          <t>Author:</t>
        </r>
        <r>
          <rPr>
            <sz val="8"/>
            <color indexed="81"/>
            <rFont val="Tahoma"/>
            <family val="2"/>
          </rPr>
          <t xml:space="preserve">
shell has a large defect arcing</t>
        </r>
      </text>
    </comment>
    <comment ref="H29" authorId="0" shapeId="0" xr:uid="{00000000-0006-0000-1200-000004000000}">
      <text>
        <r>
          <rPr>
            <b/>
            <sz val="8"/>
            <color indexed="81"/>
            <rFont val="Tahoma"/>
            <family val="2"/>
          </rPr>
          <t>Author:</t>
        </r>
        <r>
          <rPr>
            <sz val="8"/>
            <color indexed="81"/>
            <rFont val="Tahoma"/>
            <family val="2"/>
          </rPr>
          <t xml:space="preserve">
capsule too many scratches</t>
        </r>
      </text>
    </comment>
    <comment ref="H34" authorId="0" shapeId="0" xr:uid="{00000000-0006-0000-1200-000005000000}">
      <text>
        <r>
          <rPr>
            <b/>
            <sz val="9"/>
            <color indexed="81"/>
            <rFont val="Tahoma"/>
            <family val="2"/>
          </rPr>
          <t>Author:</t>
        </r>
        <r>
          <rPr>
            <sz val="9"/>
            <color indexed="81"/>
            <rFont val="Tahoma"/>
            <family val="2"/>
          </rPr>
          <t xml:space="preserve">
broken in FTS</t>
        </r>
      </text>
    </comment>
  </commentList>
</comments>
</file>

<file path=xl/sharedStrings.xml><?xml version="1.0" encoding="utf-8"?>
<sst xmlns="http://schemas.openxmlformats.org/spreadsheetml/2006/main" count="12041" uniqueCount="4511">
  <si>
    <t>Type1c</t>
  </si>
  <si>
    <t>Type4</t>
  </si>
  <si>
    <t>Type5</t>
  </si>
  <si>
    <t>Type6</t>
  </si>
  <si>
    <t>Pin #</t>
  </si>
  <si>
    <t>SiC fiber</t>
  </si>
  <si>
    <t>length (2.0mm)</t>
  </si>
  <si>
    <t>Polyimide tubing</t>
  </si>
  <si>
    <t>Stainless steel</t>
  </si>
  <si>
    <t>length (12.0mm)</t>
  </si>
  <si>
    <t>available quantity</t>
  </si>
  <si>
    <t>diameter, um</t>
  </si>
  <si>
    <t>length (1.0mm)</t>
  </si>
  <si>
    <t>length (7.42 - 7.72mm)</t>
  </si>
  <si>
    <t>150um diameter Polyimide tubing</t>
  </si>
  <si>
    <t>assembled length (24.2  - 24.8mm)</t>
  </si>
  <si>
    <t>D-TR-B-182</t>
  </si>
  <si>
    <t>Type1</t>
  </si>
  <si>
    <t>Pin#</t>
  </si>
  <si>
    <t>Zylon fiber</t>
  </si>
  <si>
    <t>0.1mm section</t>
  </si>
  <si>
    <t>0.5mm tripod length</t>
  </si>
  <si>
    <t>80um diameter SiC</t>
  </si>
  <si>
    <t>2.0mm</t>
  </si>
  <si>
    <t>250um diameter Be</t>
  </si>
  <si>
    <t>8.7 - 9.0mm</t>
  </si>
  <si>
    <t>21.4 - 22.0mm</t>
  </si>
  <si>
    <t>D-TR-C-151</t>
  </si>
  <si>
    <t>D-TR-C-184</t>
  </si>
  <si>
    <t>D-TR-B-207</t>
  </si>
  <si>
    <t>D-TR-B-201</t>
  </si>
  <si>
    <t>D-TR-B-208</t>
  </si>
  <si>
    <t>D-TR-B-209</t>
  </si>
  <si>
    <t>260um diameter Polyimide</t>
  </si>
  <si>
    <t>5.9 - 6.2mm</t>
  </si>
  <si>
    <t>24.2 - 24.8</t>
  </si>
  <si>
    <t>comment</t>
  </si>
  <si>
    <t>angled tip</t>
  </si>
  <si>
    <t>glue at tip?</t>
  </si>
  <si>
    <t>CRYO-ME-49</t>
  </si>
  <si>
    <t>Type 1d</t>
  </si>
  <si>
    <t>D-TR-B-227</t>
  </si>
  <si>
    <t>assembled length (21.4-22.0mm)</t>
  </si>
  <si>
    <t>length (9.7 - 10.0mm)</t>
  </si>
  <si>
    <t>20, 21</t>
  </si>
  <si>
    <t>17, 17</t>
  </si>
  <si>
    <t>16, 16</t>
  </si>
  <si>
    <t>19, 19</t>
  </si>
  <si>
    <t>shell</t>
  </si>
  <si>
    <t>no fiber</t>
  </si>
  <si>
    <t>7, 18</t>
  </si>
  <si>
    <t>2 fibers, shell</t>
  </si>
  <si>
    <t>glue 22um</t>
  </si>
  <si>
    <t>glue 28um</t>
  </si>
  <si>
    <t>PIN</t>
  </si>
  <si>
    <t>100um zylon</t>
  </si>
  <si>
    <t>500um zylon</t>
  </si>
  <si>
    <t>21.6mm SS tube</t>
  </si>
  <si>
    <t>used</t>
  </si>
  <si>
    <t>CRYO-ME-51</t>
  </si>
  <si>
    <t>CRYO-ME-52</t>
  </si>
  <si>
    <t>OAL</t>
  </si>
  <si>
    <t>length (1.4-1.6mm)</t>
  </si>
  <si>
    <t>CRYO-ME-56</t>
  </si>
  <si>
    <t>CRYO-ME-57</t>
  </si>
  <si>
    <t>18, 18</t>
  </si>
  <si>
    <t>18, 17</t>
  </si>
  <si>
    <t>17, 18</t>
  </si>
  <si>
    <t>assembled length (18.8 - 19.4mm)</t>
  </si>
  <si>
    <t>Type 6a</t>
  </si>
  <si>
    <t>Pin</t>
  </si>
  <si>
    <t>100um Zylon</t>
  </si>
  <si>
    <t>500um Zylon</t>
  </si>
  <si>
    <t>4.3mm polytube</t>
  </si>
  <si>
    <t>6.6mm Be</t>
  </si>
  <si>
    <t>Type 6b</t>
  </si>
  <si>
    <t>3.1mm Polytube</t>
  </si>
  <si>
    <t>7.8mm Be</t>
  </si>
  <si>
    <t>107um</t>
  </si>
  <si>
    <t>510um</t>
  </si>
  <si>
    <t>4.29mm</t>
  </si>
  <si>
    <t>6.62mm</t>
  </si>
  <si>
    <t>21.25mm</t>
  </si>
  <si>
    <t>32.67mm</t>
  </si>
  <si>
    <t>90um</t>
  </si>
  <si>
    <t>504um</t>
  </si>
  <si>
    <t>4.20mm</t>
  </si>
  <si>
    <t>6.57mm</t>
  </si>
  <si>
    <t>21.23mm</t>
  </si>
  <si>
    <t>32.50mm</t>
  </si>
  <si>
    <t>104um</t>
  </si>
  <si>
    <t>500um</t>
  </si>
  <si>
    <t>4.34mm</t>
  </si>
  <si>
    <t>6.63mm</t>
  </si>
  <si>
    <t>21.2mm</t>
  </si>
  <si>
    <t>32.69mm</t>
  </si>
  <si>
    <t>70um</t>
  </si>
  <si>
    <t>490um</t>
  </si>
  <si>
    <t>3.12mm</t>
  </si>
  <si>
    <t>7.83mm</t>
  </si>
  <si>
    <t>80um</t>
  </si>
  <si>
    <t>486um</t>
  </si>
  <si>
    <t>3.13mm</t>
  </si>
  <si>
    <t>7.92mm</t>
  </si>
  <si>
    <t>CRYO-ME-1235-0155</t>
  </si>
  <si>
    <t>OAL, mm</t>
  </si>
  <si>
    <t>21.6mm SS tube, mm</t>
  </si>
  <si>
    <t>CRYO-ME-53</t>
  </si>
  <si>
    <t>CRYO-ME-1235-0156</t>
  </si>
  <si>
    <t>CRYO-ME-1234-0154</t>
  </si>
  <si>
    <t>delivered to B Rice 29 Aug</t>
  </si>
  <si>
    <t>it failed during Z-stage motion (cold).</t>
  </si>
  <si>
    <t>CRYO-</t>
  </si>
  <si>
    <t>SiC positioned down bore of polyimide</t>
  </si>
  <si>
    <t>CRYO-2122-1850</t>
  </si>
  <si>
    <t>CRYO-2122-1848</t>
  </si>
  <si>
    <t>CRYO-2120-1851</t>
  </si>
  <si>
    <t>CRYO-2093-1865</t>
  </si>
  <si>
    <t>CRYO-2092-1873</t>
  </si>
  <si>
    <t>CRYO-2093-1860</t>
  </si>
  <si>
    <t>CRYO-2092-1856</t>
  </si>
  <si>
    <t>CRYO-2092-1862</t>
  </si>
  <si>
    <t>CRYO-2094-1857</t>
  </si>
  <si>
    <t>CRYO-ME-62</t>
  </si>
  <si>
    <t>Qualified</t>
  </si>
  <si>
    <t>delivered to B Rice 24 Aug</t>
  </si>
  <si>
    <t>CRYO-ME-1241-0161</t>
  </si>
  <si>
    <t>CRYO-ME-1231-0162</t>
  </si>
  <si>
    <t>CRYO-ME-1232-0163</t>
  </si>
  <si>
    <t>CRYO-ME-1233-0164</t>
  </si>
  <si>
    <t>DT</t>
  </si>
  <si>
    <t>RH, %</t>
  </si>
  <si>
    <t>Temp, F</t>
  </si>
  <si>
    <t>Build date</t>
  </si>
  <si>
    <t>Assembler</t>
  </si>
  <si>
    <t>Capsule ID#</t>
  </si>
  <si>
    <t>CRYO-ME-1237-0165</t>
  </si>
  <si>
    <t>CRYO-ME-1237-0166</t>
  </si>
  <si>
    <t>CRYO-ME-1237-0167</t>
  </si>
  <si>
    <t>blunt end</t>
  </si>
  <si>
    <t>HY835-HU114, 10/31/2012</t>
  </si>
  <si>
    <t>Post Mortem</t>
  </si>
  <si>
    <t>broken in CMR, during loading CART2; PM:  glue failed at stalk capsule interface</t>
  </si>
  <si>
    <t xml:space="preserve">broken in CART2, </t>
  </si>
  <si>
    <t>delivered to FTS2 rack, 18 Oct 2011</t>
  </si>
  <si>
    <t>Glue lot, exp. Date</t>
  </si>
  <si>
    <t>SiC tip profile</t>
  </si>
  <si>
    <t>delivered to Ulrich, 31 Oct, hand loaded MB, cart2</t>
  </si>
  <si>
    <t>delivered to Ulrich, 28 Oct, hand loaded MB cart3</t>
  </si>
  <si>
    <t>CRYO-ME-1232-0168</t>
  </si>
  <si>
    <t>CRYO-ME-1237-0170</t>
  </si>
  <si>
    <t>CRYO-ME-1237-0169</t>
  </si>
  <si>
    <t>see photo 2696 rev2</t>
  </si>
  <si>
    <t>SN</t>
  </si>
  <si>
    <t>D-TR-C-225</t>
  </si>
  <si>
    <t>Sphere OD, mm</t>
  </si>
  <si>
    <t>assembled length (28.6mm)</t>
  </si>
  <si>
    <t>TIR, mm</t>
  </si>
  <si>
    <t>na</t>
  </si>
  <si>
    <t>Shell surface inspection, Y</t>
  </si>
  <si>
    <t>Y</t>
  </si>
  <si>
    <t>photo</t>
  </si>
  <si>
    <t>CRYO-ME-1235-0171</t>
  </si>
  <si>
    <t>Wr, Hz</t>
  </si>
  <si>
    <t>CRYO-ME-1242-0172</t>
  </si>
  <si>
    <t>MB delivered to CART3, 3 Nov 2011, hand loaded</t>
  </si>
  <si>
    <t>Qualified, available</t>
  </si>
  <si>
    <t>delivered to Ulrich 8 Nov; Lintz hand loaded</t>
  </si>
  <si>
    <t>CRYO-ME-1235-0173</t>
  </si>
  <si>
    <t>NA</t>
  </si>
  <si>
    <t>CRYO-ME-1242-0174</t>
  </si>
  <si>
    <t>delivered to Ulrich 9 Nov; Lintz hand loaded</t>
  </si>
  <si>
    <t>Lost target CRYO ME 1237 167 while running Ti Z-stage, stage was stuck high w.r.t. 100V 1000Hz, MC2, 7 Nov</t>
  </si>
  <si>
    <t>failed in cleanroom; capsule/fiber adhesion; MB, 8 Nov 2011</t>
  </si>
  <si>
    <t>delivered to FTS2 rack, 15 Nov 2011, Koch</t>
  </si>
  <si>
    <t>ok</t>
  </si>
  <si>
    <t>15deg ok</t>
  </si>
  <si>
    <t>ok tip, runout</t>
  </si>
  <si>
    <t>CRYO-ME-1237-0168 (pin 2695) was lost in MC2 over the weekend.  It was lost sometime between retracting from TCC (on Friday) or while parking or parked in LaCave over the weekend.  14 Nov 2011; PM:  glue failure</t>
  </si>
  <si>
    <t>PM link</t>
  </si>
  <si>
    <t>CRYO-ME-1236-0179</t>
  </si>
  <si>
    <t>CRYO-ME-1237-0180</t>
  </si>
  <si>
    <t>CRYO-ME-1236-0175</t>
  </si>
  <si>
    <t>Other</t>
  </si>
  <si>
    <t>ok, 9deg</t>
  </si>
  <si>
    <t>CRYO-ME-2Q11-01-98</t>
  </si>
  <si>
    <t>827, 577, 752</t>
  </si>
  <si>
    <t>glue fractured</t>
  </si>
  <si>
    <t>CRYO-ME-1238-0176</t>
  </si>
  <si>
    <t>MB delivered to CART2 23 Nov 2011, hand loaded</t>
  </si>
  <si>
    <t>18 Nov 2011:  If possible, we need to transfer another MEQ type 1 target into cart 2 on 11/28 from FTS-2.  The current target, CRYO-ME-1235-0173, was lost at TCC. (The theta stepper motor was accidentally moved at 500 RPM.  The rapid motion caused the target to fail.)  In addition, we need to recover the failed target for Mark Bonino.  23 Nov - PM glue fractured</t>
  </si>
  <si>
    <t>DT delivered 28 Nov 2011, via FTS2 rack</t>
  </si>
  <si>
    <t>Delivered 29 Nov 2011</t>
  </si>
  <si>
    <t>0.62, 1.04</t>
  </si>
  <si>
    <t>CRYO-ME-1234-0177</t>
    <phoneticPr fontId="6"/>
  </si>
  <si>
    <t>CRYO-ME-1233-0178</t>
    <phoneticPr fontId="6"/>
  </si>
  <si>
    <t>CRYO-ME-1237-0182</t>
    <phoneticPr fontId="6"/>
  </si>
  <si>
    <t>CRYO-ME-1235-0183</t>
    <phoneticPr fontId="6"/>
  </si>
  <si>
    <t>CRYO-ME-1239-0181</t>
    <phoneticPr fontId="6"/>
  </si>
  <si>
    <t>2697*</t>
  </si>
  <si>
    <t>CRYO-ME-1236-0184</t>
    <phoneticPr fontId="6"/>
  </si>
  <si>
    <t>MB delivered to CARTS via FTS2 6Dec 2011</t>
  </si>
  <si>
    <t>Survived cart testing, target is in cleanroom waiting for analysis</t>
  </si>
  <si>
    <t>KL delivered to FTS2, 13 Dec 2011</t>
  </si>
  <si>
    <t>CRYO-ME-1240-0185</t>
    <phoneticPr fontId="6"/>
  </si>
  <si>
    <t>CRYO-ME-1232-0186</t>
  </si>
  <si>
    <t>Delivered 15 Dec 2011</t>
  </si>
  <si>
    <t>Lost CRYO-ME-1236-0175 pin # 2587 during unclamp operation (also had a LIM hiccup at the same time).  28 Nov 2011  Transfer of new ME target complete, CRYO-ME-1236-0175 pin # 2587. Warm FTS2 with a cold cart. Placed the old pin into the rack for removal and to turn over to engineering for investigation into why target fell off. From Slot 2. ??  Target fiber lost during mounting to SEM stub</t>
  </si>
  <si>
    <t>Transferred CRYO-ME-1233-0164 to a cold Cart#2 from a warm FTS#2. No issues.; CRYO-ME-1233-0164 capsule lost during violent motion of MC during docking at LP; MCTC#2, 18 OCT 2011</t>
  </si>
  <si>
    <t>M/E target (type 1 CRYO-ME-1237-166-2692) finally failed at 1500 Hz and 120 V using the theta PZT stage. Images of the stalk 3X25515, 3Y25516. Cart is isolated and warming.  CART#3, 1 NOV 2011</t>
  </si>
  <si>
    <t>MCTC</t>
  </si>
  <si>
    <t>MCTC#2</t>
  </si>
  <si>
    <t>MCTC#3</t>
  </si>
  <si>
    <t>MCTC #3</t>
  </si>
  <si>
    <t>Transfer target ID: CRYO-ME-1239-0181. Successful transfer. Vibration data taken. Warm rack, cold cart &amp; FTS. No cold soak ****Cart Moved to CMR Test Stand. Target OK****  14 Dec 2011</t>
  </si>
  <si>
    <t>MCTC #2</t>
  </si>
  <si>
    <t>CRYO-ME-1235-0171 installed (pin 2698). Pumping down. Theta stage now function from touchscreen in tenths of a degree.  No verdict?  23 Nov 2011</t>
  </si>
  <si>
    <t>Yes</t>
  </si>
  <si>
    <t>No, lost fiber</t>
  </si>
  <si>
    <t>Transfer target ID: CRYO-ME-1234-0177. Unsuccessful -- target missing. Stalk in tact. No glue spot visible. ??? 2 failed transfers in a row. Something not right?? Tansfers both seemed smooth enough that targets should have survived.  12-Dec-2011 17:02; waiting for SEM analysis</t>
  </si>
  <si>
    <t>Transfer of CRYO-ME-1237-0180 complete. no issues. This was a cold temperature transfer. *** Target lost while running Z-stage.  09-Dec-2011 09:28; waiting on pin</t>
  </si>
  <si>
    <t>Transfer target ID: CRYO-ME-1236-0179. Unsuccessful -- target missing. Stalk in tact. No glue spot visible. ???   12-Dec-2011 16:59; waiting on pin</t>
  </si>
  <si>
    <t>failed in cleanroom during loading into the rack,  6 Dec 2011; glue adhesion failure at capsule/glue interface; SEM?</t>
  </si>
  <si>
    <t>lost target during loading in cleanroom into rack KL, 13 Dec 2011; SEM?</t>
  </si>
  <si>
    <t>Target robustness test in test stand, type 1 CRYO-ME-1237-0170 target failed at 250 Hz and 60 V on 1st move, MC3, 7 Nov; ran into keyhole; software guys; Target robustness test in test stand, type 1 CRYO-ME-1237-0170 target failed at 250 Hz and 60 V on 1st move. (Determined later that target was run into keyhole during cryo view debug.)</t>
  </si>
  <si>
    <t>FTS</t>
  </si>
  <si>
    <t>SEM (Y or N, location)</t>
  </si>
  <si>
    <t>NO, tfab</t>
  </si>
  <si>
    <t>No , tfab</t>
  </si>
  <si>
    <t>NO</t>
  </si>
  <si>
    <r>
      <t xml:space="preserve">Target robustness test in test stand, type 1 CRYO-ME-1237-169 </t>
    </r>
    <r>
      <rPr>
        <b/>
        <sz val="11"/>
        <color theme="1"/>
        <rFont val="Calibri"/>
        <family val="2"/>
        <scheme val="minor"/>
      </rPr>
      <t>target failed</t>
    </r>
    <r>
      <rPr>
        <sz val="11"/>
        <color theme="1"/>
        <rFont val="Calibri"/>
        <family val="2"/>
        <scheme val="minor"/>
      </rPr>
      <t xml:space="preserve"> at 250 Hz and 120 V after 12 rotations; 14 Nov 2011</t>
    </r>
  </si>
  <si>
    <t>1.1, 0.875</t>
  </si>
  <si>
    <t>CRYO-ME-1234-0189</t>
    <phoneticPr fontId="6"/>
  </si>
  <si>
    <t>CRYO-ME-1239-0188</t>
  </si>
  <si>
    <t>CRYO-ME-1240-0190</t>
    <phoneticPr fontId="6"/>
  </si>
  <si>
    <t>CRYO-2095-1891</t>
  </si>
  <si>
    <t>CRYO-2093-1898</t>
  </si>
  <si>
    <t>CRYO-2092-1899</t>
  </si>
  <si>
    <t>CRYO-2093-1900</t>
  </si>
  <si>
    <t>images link</t>
  </si>
  <si>
    <t>MB delivered to Koch, FTS1 21 Dec 2011</t>
  </si>
  <si>
    <t>MB delivered to 157 21 Dec 2011</t>
  </si>
  <si>
    <t>CRYO-45054-076</t>
  </si>
  <si>
    <t>CRYO-44951-078</t>
  </si>
  <si>
    <t>CRYO-45449-088</t>
  </si>
  <si>
    <t>CRYO-45251-089</t>
  </si>
  <si>
    <t>CRYO-2094-1901</t>
  </si>
  <si>
    <t>2078*</t>
  </si>
  <si>
    <t>Target was broken when being removed from the collet after characterization, pin dragged on the collet during removal, MB, shell was saved and reused</t>
  </si>
  <si>
    <t>CRYO-ME-2Q11-01-36</t>
  </si>
  <si>
    <t>qualified</t>
  </si>
  <si>
    <t>broken in handling in tfab, transferring from collet 23 Dec 2011, MB</t>
  </si>
  <si>
    <t>KL delivered to FTS1, 27 Dec 2011</t>
  </si>
  <si>
    <t>delivered to FTS2 rack 27 Dec 2011, KL</t>
  </si>
  <si>
    <t>KL delivered 1st issue conditioned rack, targets to FTS1 29 Dec 2011</t>
  </si>
  <si>
    <t>1.9 - 2.1mm Poly tube</t>
  </si>
  <si>
    <t>8.7 - 9.0mm Be</t>
  </si>
  <si>
    <t>21.4 - 22.0mm SS tube</t>
  </si>
  <si>
    <t>Dymax 605 Lot #IH627-IE170, exp 30 Jun 2012, opened 10 Nov 2011</t>
  </si>
  <si>
    <t>Target ID</t>
  </si>
  <si>
    <t>Zylon tip profile</t>
  </si>
  <si>
    <t>CRYO-ME-63</t>
  </si>
  <si>
    <t xml:space="preserve">broken in cleanroom during loading into FTS2 rack, notch alignment (4 slot) issue, KL, 27 Dec 2011; glue failure </t>
  </si>
  <si>
    <t>MCTC#7</t>
  </si>
  <si>
    <t>Unsuccessful Transfer of CRYO-ME-57. Smooth transfer -- warm rack, cold cart, cold FTS -- no reason to expect target didn't survive. Stalk appears in tact -- no glue visible on fiber. Will recover pin during next transfer attempt; 20 Dec 2011, cart 7</t>
  </si>
  <si>
    <t>layering test, glue 35+/-5um</t>
  </si>
  <si>
    <t>CRYO-2092-1697</t>
  </si>
  <si>
    <t>CRYO-2093-1705</t>
  </si>
  <si>
    <t>CRYO-2094-1744</t>
  </si>
  <si>
    <t>CRYO-2093-1745</t>
  </si>
  <si>
    <t>CRYO-2092-1747</t>
  </si>
  <si>
    <t>CRYO-2094-1751</t>
  </si>
  <si>
    <t>CRYO-2093-1753</t>
  </si>
  <si>
    <t>CRYO-2093-1754</t>
  </si>
  <si>
    <t>304, 459, 583</t>
  </si>
  <si>
    <t>Delivered 13 Jan 2012</t>
  </si>
  <si>
    <t>CRYO-ME-1233-0194</t>
    <phoneticPr fontId="6"/>
  </si>
  <si>
    <t>CRYO-ME-1238-0195</t>
    <phoneticPr fontId="6"/>
  </si>
  <si>
    <t>440, 1039</t>
  </si>
  <si>
    <t>575, 1029</t>
  </si>
  <si>
    <t>qualified, available</t>
  </si>
  <si>
    <t>CRYO-ME-1240-0191</t>
    <phoneticPr fontId="6"/>
  </si>
  <si>
    <t>CRYO-ME-1241-0192</t>
  </si>
  <si>
    <t>available qualified</t>
  </si>
  <si>
    <t>CRYO-ME-1240-0197</t>
  </si>
  <si>
    <t>CRYO-ME-1238-0198</t>
  </si>
  <si>
    <t>failure in tfab; shell /glue adhesion</t>
  </si>
  <si>
    <t>y</t>
  </si>
  <si>
    <t>CRYO-44751-096</t>
  </si>
  <si>
    <t>CRYO-44749-097</t>
  </si>
  <si>
    <t>CRYO-44849-098</t>
  </si>
  <si>
    <t>CRYO-44648-099</t>
  </si>
  <si>
    <t>CRYO-44850-100</t>
  </si>
  <si>
    <t>CRYO-44849-101</t>
  </si>
  <si>
    <t>629, 649, 915</t>
  </si>
  <si>
    <t>414, 1076</t>
  </si>
  <si>
    <t>575, 750, 1029</t>
  </si>
  <si>
    <t>delivered to S.Verbridge, 19Jan2012 for FTS1</t>
  </si>
  <si>
    <t>layering test, glue 35+/-5um; 0.01% C/NOA68; delivered FTS1 11Jan2012</t>
  </si>
  <si>
    <t>layering test, glue 35+/-5um; delivered FTS1 11Jan2012</t>
  </si>
  <si>
    <t>CRYO-ME-1238-0199</t>
  </si>
  <si>
    <t>CRYO-ME-1239-0200</t>
  </si>
  <si>
    <t>Delivered to FTS1 23 Jan 2012, rack: CR #3</t>
  </si>
  <si>
    <t>Developmental Target designs</t>
  </si>
  <si>
    <t>photos</t>
  </si>
  <si>
    <t>83, 165</t>
  </si>
  <si>
    <t>PM: lost in shaker during setup, tapped collet with wrench, glue adhesion failure at capsule</t>
  </si>
  <si>
    <t>CRYO-ME-1241-0201</t>
  </si>
  <si>
    <t>CRYO-ME-1237-0103</t>
  </si>
  <si>
    <t>CRYO-ME-1242-0066</t>
  </si>
  <si>
    <t>SN, DT</t>
  </si>
  <si>
    <t>delivered to B Rice 24 Aug, broken "just walking" in CMR; remounted; delivered to FTS2 1 Feb 2012</t>
  </si>
  <si>
    <t>delivered to FTS2 1 Feb 2012</t>
  </si>
  <si>
    <t>577, 1105</t>
  </si>
  <si>
    <t>CRYO-2093-1714</t>
    <phoneticPr fontId="8" type="noConversion"/>
  </si>
  <si>
    <t>1.5, 1</t>
  </si>
  <si>
    <t>Delivered to B Rice, 10 Feb 2012, lab testing</t>
  </si>
  <si>
    <t>out of spec, ok by B. Rice 10 Feb 2012, delivered 10 Feb 2012</t>
  </si>
  <si>
    <t>CRYO-2093-1938</t>
  </si>
  <si>
    <t>CRYO-2093-1939</t>
  </si>
  <si>
    <t>CRYO-2094-1942</t>
  </si>
  <si>
    <t>CRYO-2093-1944</t>
  </si>
  <si>
    <t>CRYO-2092-1945</t>
  </si>
  <si>
    <t>CRYO-2093-1950</t>
  </si>
  <si>
    <t>CRYO-2094-1951</t>
  </si>
  <si>
    <t>CRYO-2093-1953</t>
  </si>
  <si>
    <t>CRYO-2092-1955</t>
  </si>
  <si>
    <t>CRYO-2093-1934</t>
  </si>
  <si>
    <t>CRYO-2093-1958</t>
  </si>
  <si>
    <t>CRYO-2094-1959</t>
  </si>
  <si>
    <t>Delivered to B Rice, 16 Feb 2012, lab testing</t>
  </si>
  <si>
    <t>CRYO-2094-1947</t>
  </si>
  <si>
    <t>CRYO-2095-1952</t>
  </si>
  <si>
    <t>taken apart</t>
  </si>
  <si>
    <t>defect on capsule</t>
  </si>
  <si>
    <t>Delivered to FTS1 17Feb2012</t>
  </si>
  <si>
    <t>CRYO-ME-1240-0202</t>
  </si>
  <si>
    <t>CRYO-ME-1238-0203</t>
  </si>
  <si>
    <t>CRYO-ME-1238-0204</t>
  </si>
  <si>
    <t>CRYO-ME-1240-0205</t>
  </si>
  <si>
    <t>Type 6c</t>
  </si>
  <si>
    <t>28 Feb 2012 2pm</t>
  </si>
  <si>
    <t>CRYO-ME-1236-0208</t>
  </si>
  <si>
    <t>0.5mm Zylon</t>
  </si>
  <si>
    <t>2.0mm Zylon tripd</t>
  </si>
  <si>
    <t>2.0mm Polytube, 76um OD</t>
  </si>
  <si>
    <t>0.25mm dia, Be</t>
  </si>
  <si>
    <t>106, 349</t>
  </si>
  <si>
    <t>CRYO-ME-1241-0206</t>
  </si>
  <si>
    <t>131, 136</t>
  </si>
  <si>
    <t>Type12 mounts</t>
  </si>
  <si>
    <t>CRYO-ME-1239-0207</t>
  </si>
  <si>
    <t>( Type1 with Zylon fiber in bore of polyimide)</t>
  </si>
  <si>
    <t>assembled length 18.8 - 19.4mm(acceptable to use out of spec for first issue parts)</t>
  </si>
  <si>
    <t>Failure in tfab; Zylon kinked, observed 5 Mar 2012</t>
  </si>
  <si>
    <t>shell defect level too great</t>
  </si>
  <si>
    <t>CRYO-45236-109</t>
  </si>
  <si>
    <t>CRYO-45039-110</t>
  </si>
  <si>
    <t>CRYO-44938-112</t>
  </si>
  <si>
    <t>CRYO-45038-115</t>
  </si>
  <si>
    <t>CRYO-45038-117</t>
  </si>
  <si>
    <t>CRYO-45038-111</t>
  </si>
  <si>
    <t>CRYO-45039-116</t>
  </si>
  <si>
    <t>Delivered to B. Rice 2 Mar 2012 for damper testing in lab; RETESTED, 8 Mar 2012 delivered to FTS1 hand loaded</t>
  </si>
  <si>
    <t>8 Mar 2012 delivered to FTS1 hand loaded</t>
  </si>
  <si>
    <t>CRYO-45038-113</t>
  </si>
  <si>
    <t>CRYO-45138-114</t>
  </si>
  <si>
    <t>CRYO-45039-118</t>
  </si>
  <si>
    <t>0.01% C NOA68</t>
  </si>
  <si>
    <t>950 - 1050</t>
  </si>
  <si>
    <t>delivered 3/12/12 to M. Koch</t>
  </si>
  <si>
    <t>Type 1 with solid CH balls down polyimide tube, for high damping</t>
  </si>
  <si>
    <t>CRYO-ME-1240-0210</t>
  </si>
  <si>
    <t>0.5mm section</t>
  </si>
  <si>
    <t>1.5mm tripod length</t>
  </si>
  <si>
    <t>7.7 - 8.0mm</t>
  </si>
  <si>
    <t>CRYO-ME-1237-0209</t>
  </si>
  <si>
    <t>124Hz, 0.5s damp time, +/-0.18mm at +/-1g</t>
  </si>
  <si>
    <t>Delivered 12 Mar 2012 to FTS1</t>
  </si>
  <si>
    <t>CRYO-ME-1238-0211</t>
  </si>
  <si>
    <t>CRYO-ME-1237-0212</t>
  </si>
  <si>
    <t>CRYO-ME-1235-0213</t>
  </si>
  <si>
    <t>CRYO-ME-1237-0214</t>
  </si>
  <si>
    <t>Delivered 16Mar2012 to FTS2</t>
  </si>
  <si>
    <t>0.01% Carbon Black</t>
  </si>
  <si>
    <t>20-Mar-2012 10:21, Transfer Cryo-45038-111, target missing, stalk ok.</t>
  </si>
  <si>
    <t>21 Mar 2012:  transfer cryo-45039-118, no target, stalk ok.</t>
  </si>
  <si>
    <t>CRYO-45237-120</t>
  </si>
  <si>
    <t>CRYO-44838-128</t>
  </si>
  <si>
    <t>CRYO-44838-126</t>
  </si>
  <si>
    <t>CRYO-44838-130</t>
  </si>
  <si>
    <t>CRYO-44838-133</t>
  </si>
  <si>
    <t>CRYO-45236-121</t>
  </si>
  <si>
    <t>CRYO-44937-123</t>
  </si>
  <si>
    <t>CRYO-44839-124</t>
  </si>
  <si>
    <t>CRYO-44838-131</t>
  </si>
  <si>
    <t>CRYO-44738-132</t>
  </si>
  <si>
    <t>CRYO-45036-127</t>
  </si>
  <si>
    <t>CD shell with NOA61 PP</t>
  </si>
  <si>
    <t>Delivered 29 Mar 2012 FTS2, Koch</t>
  </si>
  <si>
    <t>Delivered 29Mar2012 to FTS2</t>
  </si>
  <si>
    <t>Type1e</t>
  </si>
  <si>
    <t>length (1.5mm)</t>
  </si>
  <si>
    <t>length (7.116mm)</t>
  </si>
  <si>
    <t>Delivered 4 Apr 2012</t>
  </si>
  <si>
    <t>973.75-1130.0, survived +/- 2.4 g</t>
  </si>
  <si>
    <t>glue adhesion failure, in dry box</t>
  </si>
  <si>
    <t>953.75-1065, survived +/- 2.4g</t>
  </si>
  <si>
    <t>CRYO-ME-1232-0215</t>
  </si>
  <si>
    <t>CRYO-ME-1232-0216</t>
  </si>
  <si>
    <t>CRYO-ME-1228-0217</t>
  </si>
  <si>
    <t>CRYO-ME-1229-0218</t>
  </si>
  <si>
    <t>handling error, capsul fell off</t>
  </si>
  <si>
    <t>later fell off due to handling of button</t>
  </si>
  <si>
    <t>DELIVERED 29 MAR2012 FTS1</t>
  </si>
  <si>
    <t>350, 799</t>
  </si>
  <si>
    <t>assembled length (24.18  - 24.78mm)</t>
  </si>
  <si>
    <t>Type5a</t>
  </si>
  <si>
    <t>Delivered 13 Apr 2012 to FTS2 rack</t>
  </si>
  <si>
    <t>216.25; 208-220</t>
  </si>
  <si>
    <t>CRYO-2102-1802</t>
  </si>
  <si>
    <t>CRYO-2102-1803</t>
  </si>
  <si>
    <t>CRYO-2105-1805</t>
  </si>
  <si>
    <t>CRYO-2104-1806</t>
  </si>
  <si>
    <t>CRYO-2104-1810</t>
  </si>
  <si>
    <t>CRYO-2103-1811</t>
  </si>
  <si>
    <t>AA</t>
  </si>
  <si>
    <t>CRYO-2102-1816</t>
  </si>
  <si>
    <t>CRYO-2103-1817</t>
  </si>
  <si>
    <t>CRYO-2102-1807</t>
  </si>
  <si>
    <t>CRYO-2102-1813</t>
  </si>
  <si>
    <t>0.01% vulcan carbon black in NOA68</t>
  </si>
  <si>
    <t>CRYO-2103-1800</t>
  </si>
  <si>
    <t>SCD shell#3 NOA 61 PP</t>
  </si>
  <si>
    <t>SCD shell#2 NOA 61 PP</t>
  </si>
  <si>
    <t>SCD shell#5NOA 61 PP</t>
  </si>
  <si>
    <t>SCD shell#1 NOA 61 PP</t>
  </si>
  <si>
    <t>SCD shell#6 NOA 61 PP</t>
  </si>
  <si>
    <t>500um zylon (tripod)</t>
  </si>
  <si>
    <t>Delivered 20 Apr 2012 to FTS2</t>
  </si>
  <si>
    <t>broken in FTS1, Sal says set screw was too tight in the copper rack to transport jar.  While unscrewing it, the target nearest to the set screw was broken off the mount</t>
  </si>
  <si>
    <t>CRYO-2103-1798</t>
  </si>
  <si>
    <t>failure from normal handling, glue fracture</t>
  </si>
  <si>
    <t>CRYO-2104-1804</t>
  </si>
  <si>
    <t>Type 9</t>
  </si>
  <si>
    <t>9.7 - 10.0</t>
  </si>
  <si>
    <t>broken in TARGET FAB glovebox passthrough</t>
  </si>
  <si>
    <t>Delivered 18 Apr 2012 FTS1</t>
  </si>
  <si>
    <t>x</t>
  </si>
  <si>
    <t>failure from normal handling</t>
  </si>
  <si>
    <t>[glue spot over-spec; remounted]</t>
  </si>
  <si>
    <t>Y, 2104</t>
  </si>
  <si>
    <t>Y, 2103</t>
  </si>
  <si>
    <t>CRYO-ME-1238-0219</t>
  </si>
  <si>
    <t>CRYO-ISE-1Q05-02-11</t>
  </si>
  <si>
    <t>CRYO-ISE-1Q05-02-12</t>
  </si>
  <si>
    <t>OK</t>
  </si>
  <si>
    <t>failure from handling when loading into shaker; most likely due to a vertical shock</t>
  </si>
  <si>
    <t>failure from handling when loading into shaker; occurred when wrench was used to loosen collet</t>
  </si>
  <si>
    <t>577.5, survived +/- 2.4g</t>
  </si>
  <si>
    <t>failed to withstand 2.4g in transient test. Capsul fell to a non-centered position, and later completely fell off</t>
  </si>
  <si>
    <t>SCD shell#9 NOA 61 PP</t>
  </si>
  <si>
    <t>SCD shell#10 NOA 61 PP</t>
  </si>
  <si>
    <t>Zylon 0.5mm</t>
  </si>
  <si>
    <t>Epp fill tube 3.66mm</t>
  </si>
  <si>
    <t>390, survived +/- 2.3g</t>
  </si>
  <si>
    <t>Delivered to FTS2 rack via S. Verbridge; 3 May 2012</t>
  </si>
  <si>
    <t>CRYO-2123-1917</t>
  </si>
  <si>
    <t>CRYO-2120-1923</t>
  </si>
  <si>
    <t>CRYO-2123-1908</t>
  </si>
  <si>
    <t>CRYO-2124-1910</t>
  </si>
  <si>
    <t>CRYO-2122-1911</t>
  </si>
  <si>
    <t>CRYO-2117-1912</t>
  </si>
  <si>
    <t>CRYO-2120-1913</t>
  </si>
  <si>
    <t>CRYO-2124-1916</t>
  </si>
  <si>
    <t>CRYO-2119-1922</t>
  </si>
  <si>
    <t>CRYO-2122-1927</t>
  </si>
  <si>
    <t>2063 gr dot</t>
  </si>
  <si>
    <t>153, 306</t>
  </si>
  <si>
    <t>TIR, mm (1mm max)</t>
  </si>
  <si>
    <t>0.01% vulcan carbon black in NOA68 on fiber</t>
  </si>
  <si>
    <t>CRYO-2121-1907</t>
  </si>
  <si>
    <t xml:space="preserve">NOA68 w/ 0.01% vulcan carbon black in NOA68 PP </t>
  </si>
  <si>
    <t xml:space="preserve">NOA68 </t>
  </si>
  <si>
    <t>CRYO-2121-1906</t>
  </si>
  <si>
    <t>double peak:  465, 500</t>
  </si>
  <si>
    <t>480; 498 w/ C black overcoat</t>
  </si>
  <si>
    <t>CRYO-2108-2003</t>
  </si>
  <si>
    <t>CRYO-2108-2015</t>
  </si>
  <si>
    <t>CRYO-2108-2007</t>
  </si>
  <si>
    <t>CRYO-2108-2008</t>
  </si>
  <si>
    <t>CRYO-2107-2011</t>
  </si>
  <si>
    <t>CRYO-2108-2012</t>
  </si>
  <si>
    <t>CRYO-2108-2013</t>
  </si>
  <si>
    <t>CRYO-2108-2014</t>
  </si>
  <si>
    <t>CRYO-2107-2019</t>
  </si>
  <si>
    <t>CRYO-2108-2021</t>
  </si>
  <si>
    <t>delivered FTS1 15May2012</t>
  </si>
  <si>
    <t>Delivered FTS1 rack 15 May 2012</t>
  </si>
  <si>
    <t>OD, um</t>
  </si>
  <si>
    <t>1.4-1.6, mm</t>
  </si>
  <si>
    <t>9.7-10.0, mm</t>
  </si>
  <si>
    <t>21.4 - 22.0, mm</t>
  </si>
  <si>
    <t>SiC 17um Nicolon</t>
  </si>
  <si>
    <t>CRYO-ISE-1Q05-02-19</t>
  </si>
  <si>
    <t>CRYO-ISE-1Q05-02-21</t>
  </si>
  <si>
    <t>CRYO-ISE-1Q05-02-23</t>
  </si>
  <si>
    <t>CRYO-ISE-1Q05-02-28</t>
  </si>
  <si>
    <t>CRYO-ISE-1Q05-02-30</t>
  </si>
  <si>
    <t xml:space="preserve"> qualified</t>
  </si>
  <si>
    <t>CRYO-ISE-1Q05-02-34</t>
  </si>
  <si>
    <t>Delivered to FTS1 rack, 1 Jun 2012</t>
  </si>
  <si>
    <t>Delivered FTS2 8 Jun 2012</t>
  </si>
  <si>
    <t>Delivered 18 May 2012 FTS1</t>
  </si>
  <si>
    <t>delivered FTS1 18 May 2012</t>
  </si>
  <si>
    <t>Delivered to FTS2 rack via S. Verbridge; 3 May 2012; broken in lab 11 Jun 2012</t>
  </si>
  <si>
    <t>CRYO-ISE-1Q05-02-45</t>
  </si>
  <si>
    <t>CRYO-ISE-1Q05-02-40</t>
  </si>
  <si>
    <t>CRYO-ISE-1Q05-02-42</t>
  </si>
  <si>
    <t>CRYO-ISE-1Q05-02-44</t>
  </si>
  <si>
    <t>1.5 (1.45 - 1.55)  mm tripod length</t>
  </si>
  <si>
    <t>330, 454</t>
  </si>
  <si>
    <t>0.1% vulcan C black doped NOA68, with NOA65 overcoat.  PP was by panosonic led</t>
  </si>
  <si>
    <t>CRYO-2093-2043</t>
  </si>
  <si>
    <t>CRYO-2094-2044</t>
  </si>
  <si>
    <t>CRYO-2094-2045</t>
  </si>
  <si>
    <t>CRYO-2095-2046</t>
  </si>
  <si>
    <t>CRYO-2094-2047</t>
  </si>
  <si>
    <t>CRYO-2093-2048</t>
  </si>
  <si>
    <t>CRYO-2093-2049</t>
  </si>
  <si>
    <t>Switched to Panasonic LED, Green Spot down</t>
  </si>
  <si>
    <t>CRYO-2092-1995</t>
  </si>
  <si>
    <t>CRYO-2093-1997</t>
  </si>
  <si>
    <t>cured with panasonic LED</t>
  </si>
  <si>
    <t>CRYO-2093-1996</t>
  </si>
  <si>
    <t>CRYO-2094-1998</t>
  </si>
  <si>
    <t>CRYO-2093-2001</t>
  </si>
  <si>
    <t>cured with panasonic LED; delivered 21Jun 2012 FTS1</t>
  </si>
  <si>
    <t>cured with panasonic LED; delivered to FTS1 21Jun2012</t>
  </si>
  <si>
    <t>CRYO-47138-156</t>
  </si>
  <si>
    <t>Panasonic LED</t>
  </si>
  <si>
    <t>CRYO-47138-171</t>
  </si>
  <si>
    <t>CRYO-47138-157</t>
  </si>
  <si>
    <t>CRYO-47138-159</t>
  </si>
  <si>
    <t>CRYO-47139-161</t>
  </si>
  <si>
    <t>CRYO-47138-167</t>
  </si>
  <si>
    <t>CRYO-47138-163</t>
  </si>
  <si>
    <t>CRYO-47138-169</t>
  </si>
  <si>
    <t>CRYO-47139-175</t>
  </si>
  <si>
    <t>CRYO-47138-173</t>
  </si>
  <si>
    <t>CRYO-47138-165</t>
  </si>
  <si>
    <t>16.6/16</t>
  </si>
  <si>
    <t>CRYO-47139-158</t>
  </si>
  <si>
    <t>Panasonic LED, Delivered to FTS1 3Jul 2012</t>
  </si>
  <si>
    <t>cured with panasonic LED; delivered to FTS1 3Jul2012</t>
  </si>
  <si>
    <t>CRYO-2094-1961</t>
  </si>
  <si>
    <t>CRYO-2094-1965</t>
  </si>
  <si>
    <t>CRYO-2093-1966</t>
  </si>
  <si>
    <t>CRYO-2094-1968</t>
  </si>
  <si>
    <t>CRYO-2093-1972</t>
  </si>
  <si>
    <t>CRYO-2093-1976</t>
  </si>
  <si>
    <t>CRYO-2093-1977</t>
  </si>
  <si>
    <t>CRYO-2094-1978</t>
  </si>
  <si>
    <t>rebuilt</t>
  </si>
  <si>
    <t>CRYO-2093-1980</t>
  </si>
  <si>
    <t>SiC out of spec</t>
  </si>
  <si>
    <t>shell fell off, remounted, SiC out of spec</t>
  </si>
  <si>
    <t>CRYO-2095-1964</t>
  </si>
  <si>
    <t>0.95 to 1.05mm tripod</t>
  </si>
  <si>
    <t>CRYO-2094-1971</t>
  </si>
  <si>
    <t>CRYO-2093-1974</t>
  </si>
  <si>
    <t>CRYO-2095-1983</t>
  </si>
  <si>
    <t>CRYO-2092-1987</t>
  </si>
  <si>
    <t>extra glue on shell w/ PP</t>
  </si>
  <si>
    <t>Zylon fiber OD, um</t>
  </si>
  <si>
    <t>CRYO-2092-1990</t>
  </si>
  <si>
    <t>CRYO-2095-1943</t>
  </si>
  <si>
    <t>440, 560</t>
  </si>
  <si>
    <t>NOA68 exp. 6 Sep 2012, cured w/ Panasonic LED</t>
  </si>
  <si>
    <t>CRYO-ISE-1Q05-02-35</t>
  </si>
  <si>
    <t>CRYO-ISE-1Q05-02-36</t>
  </si>
  <si>
    <t>CRYO-ISE-1Q05-02-38</t>
  </si>
  <si>
    <t>17, 16</t>
  </si>
  <si>
    <t>Panasonic LED, Delivered to FTS1 27Jul2012</t>
  </si>
  <si>
    <t>Delivered to FTS1 Jul27 2012</t>
  </si>
  <si>
    <t>13.2 M5</t>
  </si>
  <si>
    <t>12.4 M5</t>
  </si>
  <si>
    <t>14 M5</t>
  </si>
  <si>
    <t>11 M5</t>
  </si>
  <si>
    <t>144, 143</t>
  </si>
  <si>
    <t>CRYO-ME-1239-0221</t>
  </si>
  <si>
    <t>M5</t>
  </si>
  <si>
    <t>CRYO-ISE-1Q05-02-48</t>
  </si>
  <si>
    <t>CRYO-ME-1239-0222</t>
  </si>
  <si>
    <t>CRYO-ME-1240-0223</t>
  </si>
  <si>
    <t>417, 473 double peak</t>
  </si>
  <si>
    <t>367, 395 double peak</t>
  </si>
  <si>
    <t>Delivered to S. Verbridge 8/8/12 FTS2</t>
  </si>
  <si>
    <t>Delivered to b.Rice 9 Aug 2012</t>
  </si>
  <si>
    <t>Delivered 9 Aug 2012 b rice</t>
  </si>
  <si>
    <t>Delivered to FTS2 15 Aug 2012</t>
  </si>
  <si>
    <t>delivered to FTS2 17 Aug 2012</t>
  </si>
  <si>
    <t>CRYO-2100-2058</t>
  </si>
  <si>
    <t>CRYO-2100-2063</t>
  </si>
  <si>
    <t>CRYO-2100-2064</t>
  </si>
  <si>
    <t>15.6 M5</t>
  </si>
  <si>
    <t>12.8 M5</t>
  </si>
  <si>
    <t>CRYO-2101-2056</t>
  </si>
  <si>
    <t>CRYO-2101-2055</t>
  </si>
  <si>
    <t>CRYO-2101-2057</t>
  </si>
  <si>
    <t>CRYO-2101-2059</t>
  </si>
  <si>
    <t>CRYO-2100-2066</t>
  </si>
  <si>
    <t>CRYO-2101-2060</t>
  </si>
  <si>
    <t>CRYO-2101-2070</t>
  </si>
  <si>
    <t>CRYO-2101-2073</t>
  </si>
  <si>
    <t>CRYO-2100-2065</t>
  </si>
  <si>
    <t>CRYO-2100-2061</t>
  </si>
  <si>
    <t>CRYO-2100-2068</t>
  </si>
  <si>
    <t>CRYO-2100-2069</t>
  </si>
  <si>
    <t>CRYO-2101-2074</t>
  </si>
  <si>
    <t>Panasonic LED; DELIVERED TO FTS1 29AUG2012</t>
  </si>
  <si>
    <t>Delivered to FTS1 29Aug2012</t>
  </si>
  <si>
    <t>Delivered for CART2 testing 5 Sep2012, broken in jar &lt;1hr later</t>
  </si>
  <si>
    <t>length (5.2mm)</t>
  </si>
  <si>
    <t>assembled length (26.1  - 26.7mm)</t>
  </si>
  <si>
    <t>CRYO-ME-1241-0226</t>
  </si>
  <si>
    <t>JF</t>
  </si>
  <si>
    <t>CRYO-ME-1232-0227</t>
  </si>
  <si>
    <t>Delivered 10 Aug 2012 Rice</t>
  </si>
  <si>
    <t>CRYO-ME-1239-0228</t>
  </si>
  <si>
    <t>D-TR-B-290</t>
  </si>
  <si>
    <t>Type1F</t>
  </si>
  <si>
    <t>available</t>
  </si>
  <si>
    <t>delivered FTS2 11 Sep 2012</t>
  </si>
  <si>
    <t>Glue joint overlap 1.0 - 1.48mm</t>
  </si>
  <si>
    <t>CRYO-2083-2089</t>
  </si>
  <si>
    <t>CRYO-2083-2090</t>
  </si>
  <si>
    <t>CRYO-2082-2091</t>
  </si>
  <si>
    <t>CRYO-2083-2092</t>
  </si>
  <si>
    <t>CRYO-2083-2093</t>
  </si>
  <si>
    <t>CRYO-2083-2094</t>
  </si>
  <si>
    <t>JC352-JB629, 1/31/2014</t>
  </si>
  <si>
    <t>CRYO-2083-2076</t>
  </si>
  <si>
    <t>CRYO-2083-2084</t>
  </si>
  <si>
    <t>KL</t>
  </si>
  <si>
    <t>n</t>
  </si>
  <si>
    <t>CRYO-ME-1235-0229</t>
  </si>
  <si>
    <t>CRYO-ME-1239-0231</t>
  </si>
  <si>
    <t>CRYO-ME-1238-0230</t>
  </si>
  <si>
    <t>Delivered  to B.Rice 28 Sept 2012</t>
  </si>
  <si>
    <t>Switched to Panasonic LED, Green Spot down; Delivered to FTS2 4 Oct 2012</t>
  </si>
  <si>
    <t>Delivered to FTS1  25 Sep 2012</t>
  </si>
  <si>
    <t>Delivered to B.Rice 9 Oct 2012</t>
  </si>
  <si>
    <t>CRYO-2093-2105</t>
  </si>
  <si>
    <t>CRYO-2095-2111</t>
  </si>
  <si>
    <t>CRYO-2094-2112</t>
  </si>
  <si>
    <t>CRYO-2094-2114</t>
  </si>
  <si>
    <t>CRYO-2094-2115</t>
  </si>
  <si>
    <t>CRYO-2093-2116</t>
  </si>
  <si>
    <t>CRYO-2093-2103</t>
  </si>
  <si>
    <t>CRYO-2094-2104</t>
  </si>
  <si>
    <t>CRYO-2094-2098</t>
  </si>
  <si>
    <t>delivered to FTS1  15 Oct 2012</t>
  </si>
  <si>
    <t>&lt;MEQ wr&gt;</t>
  </si>
  <si>
    <t>delivered assemblies since upgrade</t>
  </si>
  <si>
    <t>total shells, sum since upgrade</t>
  </si>
  <si>
    <t>Total physics shells attempted</t>
  </si>
  <si>
    <t>Total physics shells delivered FTS1</t>
  </si>
  <si>
    <t>Type8</t>
  </si>
  <si>
    <t>Type9</t>
  </si>
  <si>
    <t>MEQ</t>
  </si>
  <si>
    <t>Since Jan 2012, 14 deliveries of physics targets were sent to FTS1</t>
  </si>
  <si>
    <t xml:space="preserve"> Capsules used</t>
  </si>
  <si>
    <t>total physics</t>
  </si>
  <si>
    <t>fill delivery dates</t>
  </si>
  <si>
    <t>Switched to Panasonic LED, Green Spot down; delivered to FTS1 21Jun2012</t>
  </si>
  <si>
    <t>shot day</t>
  </si>
  <si>
    <t>delta, days</t>
  </si>
  <si>
    <t>total</t>
  </si>
  <si>
    <t>four OOS mounts</t>
  </si>
  <si>
    <t>Capsules used (out of 6 delivered)</t>
  </si>
  <si>
    <t>defects on shells</t>
  </si>
  <si>
    <t>Mark,</t>
  </si>
  <si>
    <t>   Everything should also be in the following link:  http://omegawww/Target_Offset/Target_Offset.php</t>
  </si>
  <si>
    <t>   All values are in microns</t>
  </si>
  <si>
    <t>Frederic</t>
  </si>
  <si>
    <t>Target Type</t>
  </si>
  <si>
    <t>Cart#</t>
  </si>
  <si>
    <t>Neutron yield</t>
  </si>
  <si>
    <t>Offset, um</t>
  </si>
  <si>
    <t>shot         offset (microns)</t>
  </si>
  <si>
    <t>67603        13</t>
  </si>
  <si>
    <t>67604        6</t>
  </si>
  <si>
    <t>67606        7</t>
  </si>
  <si>
    <t>67609        14</t>
  </si>
  <si>
    <t>Shot number</t>
  </si>
  <si>
    <t>All,</t>
  </si>
  <si>
    <t>   Target positions determined from the five XRPHC relative to the reference shot 66995 are posted in the file cryo_xray_image_table.xls.</t>
  </si>
  <si>
    <t>Values not corrected for reference offset are:</t>
  </si>
  <si>
    <t>66999      17 ± 5</t>
  </si>
  <si>
    <t>67000      28 ± 6</t>
  </si>
  <si>
    <t>67001      11 ± 4</t>
  </si>
  <si>
    <t>67003      10 ± 7</t>
  </si>
  <si>
    <t>67004      9  ±  3</t>
  </si>
  <si>
    <r>
      <t>Shot Yield rR (mg/cm</t>
    </r>
    <r>
      <rPr>
        <vertAlign val="superscript"/>
        <sz val="11"/>
        <color theme="1"/>
        <rFont val="Calibri"/>
        <family val="2"/>
        <scheme val="minor"/>
      </rPr>
      <t>2</t>
    </r>
    <r>
      <rPr>
        <sz val="11"/>
        <color theme="1"/>
        <rFont val="Calibri"/>
        <family val="2"/>
        <scheme val="minor"/>
      </rPr>
      <t>) Ti (keV) Offset (mm) 66767 1.4E+13 190 2.3 &lt;8 66768 1.2E+13 200 2.7 &lt;19 66771 1.0E+13 150 2.8 &lt;35</t>
    </r>
  </si>
  <si>
    <t>Shot</t>
  </si>
  <si>
    <t xml:space="preserve">Shot </t>
  </si>
  <si>
    <t>Yield rR (mg/cm2) Ti (keV) Offset (mm)</t>
  </si>
  <si>
    <t xml:space="preserve"> rR (mg/cm2) </t>
  </si>
  <si>
    <t xml:space="preserve">Ti (keV) </t>
  </si>
  <si>
    <t>Offset (mm)</t>
  </si>
  <si>
    <t>On the admin page, if the SD enters the yield that he is told, you can access it online.  otherwise you need to go to the neutron summary spreadsheet kept here:</t>
  </si>
  <si>
    <t>\\Hopi-fs\shares\Experimental\neutron\summary</t>
  </si>
  <si>
    <t>Or if you want to look at the raw data you can go to here:</t>
  </si>
  <si>
    <t>\\Redwood\dataneutron\scint</t>
  </si>
  <si>
    <t>Morse is supposed to make the data accessible from the shot images and reports page.  But it's not getting any attention.</t>
  </si>
  <si>
    <t>\\hopi-fs\shares\Experimental\Cryo</t>
  </si>
  <si>
    <t>DBL</t>
  </si>
  <si>
    <t>Date</t>
  </si>
  <si>
    <t>STI_POSITIONER</t>
  </si>
  <si>
    <t>Yield</t>
  </si>
  <si>
    <t>CRYO-1Q00-03</t>
  </si>
  <si>
    <t/>
  </si>
  <si>
    <t>CRYO-1Q00-03-17</t>
  </si>
  <si>
    <t>CRYO-1Q00-01-09</t>
  </si>
  <si>
    <t>CRYO-4Q00-01-07</t>
  </si>
  <si>
    <t>CRYO-3Q01-01-34</t>
  </si>
  <si>
    <t>CRYO-3Q01-02-23</t>
  </si>
  <si>
    <t>CRYO-3Q01-02-24</t>
  </si>
  <si>
    <t>CRYO-3Q01-02-28</t>
  </si>
  <si>
    <t>CRYO-3Q01-02-05</t>
  </si>
  <si>
    <t>CRYO-3Q01-01-03</t>
  </si>
  <si>
    <t>CRYO-XXXX-XX-XX</t>
  </si>
  <si>
    <t>CRYO-P601-2</t>
  </si>
  <si>
    <t>CRYO</t>
  </si>
  <si>
    <t>CRYO-4Q01-2-D-01</t>
  </si>
  <si>
    <t>CRYO-3Q00-15-22</t>
  </si>
  <si>
    <t>CRYO-2Q02-01-04</t>
  </si>
  <si>
    <t>CRYO-2Q02-01-01</t>
  </si>
  <si>
    <t>CRYO-2Q02-01-03</t>
  </si>
  <si>
    <t>CRYO-4Q02-01-01</t>
  </si>
  <si>
    <t>CRYO-1051-074</t>
  </si>
  <si>
    <t>CRYO-1048-075</t>
  </si>
  <si>
    <t>CRYO-1051-078</t>
  </si>
  <si>
    <t>CRYO-1049-080</t>
  </si>
  <si>
    <t>CRYO-1049-081</t>
  </si>
  <si>
    <t>CRYO-1050-083</t>
  </si>
  <si>
    <t>CRYO-2039-116</t>
  </si>
  <si>
    <t>CRYO-2038-118</t>
  </si>
  <si>
    <t>CRYO-P133-5</t>
  </si>
  <si>
    <t>CRYO-P133-6</t>
  </si>
  <si>
    <t>CRYO-2038-133</t>
  </si>
  <si>
    <t>CRYO-2038-132</t>
  </si>
  <si>
    <t>CRYO-2038-217</t>
  </si>
  <si>
    <t>CRYO-2039-139</t>
  </si>
  <si>
    <t>CRYO-MESURROGATE</t>
  </si>
  <si>
    <t>CRYO-2038-251</t>
  </si>
  <si>
    <t>CRYO-2037-254</t>
  </si>
  <si>
    <t>CRYO-2039-256</t>
  </si>
  <si>
    <t>CRYO-2038-260</t>
  </si>
  <si>
    <t>CRYO-2037-259</t>
  </si>
  <si>
    <t>CRYO-2037-257</t>
  </si>
  <si>
    <t>CRYO-2037-263</t>
  </si>
  <si>
    <t>CRYO-3Q03-02-16</t>
  </si>
  <si>
    <t>CRYO-FOAM-0309-03</t>
  </si>
  <si>
    <t>CRYO-2039-271</t>
  </si>
  <si>
    <t>CRYO-2038-277</t>
  </si>
  <si>
    <t>CRYO-2038-274</t>
  </si>
  <si>
    <t>CRYO-2038-273</t>
  </si>
  <si>
    <t>CRYO-2035-285</t>
  </si>
  <si>
    <t>CRYO-2038-283</t>
  </si>
  <si>
    <t>CRYO-2037-282</t>
  </si>
  <si>
    <t>CRYO-2036-288</t>
  </si>
  <si>
    <t>CRYO-2036-287</t>
  </si>
  <si>
    <t>CRYO-2036-286</t>
  </si>
  <si>
    <t>CRYO-2035-290</t>
  </si>
  <si>
    <t>CRYO-2035-291</t>
  </si>
  <si>
    <t>CRYO-SURROGATE</t>
  </si>
  <si>
    <t>CRYO-TBD</t>
  </si>
  <si>
    <t>CRYO-SURROGATE2</t>
  </si>
  <si>
    <t>CRYO-2043-298</t>
  </si>
  <si>
    <t>CRYO-2043-305</t>
  </si>
  <si>
    <t>CRYO-2042-304</t>
  </si>
  <si>
    <t>CRYO-2042-307</t>
  </si>
  <si>
    <t>CRYO-2044-302</t>
  </si>
  <si>
    <t>CRYO-2042-311</t>
  </si>
  <si>
    <t>CRYO-2043-306</t>
  </si>
  <si>
    <t>CRYO-2038-309</t>
  </si>
  <si>
    <t>CRYO-2039-313</t>
  </si>
  <si>
    <t>CRYO-2042-314</t>
  </si>
  <si>
    <t>CRYO-2041-315</t>
  </si>
  <si>
    <t>CRYO-2042-318</t>
  </si>
  <si>
    <t>CRYO-2041-323</t>
  </si>
  <si>
    <t>CRYO-2040-327</t>
  </si>
  <si>
    <t>CRYO-0309-05</t>
  </si>
  <si>
    <t>CRYO-2036-344</t>
  </si>
  <si>
    <t>CRYO-2034-349</t>
  </si>
  <si>
    <t>CRYO-2035-373</t>
  </si>
  <si>
    <t>CRYO-2033-374</t>
  </si>
  <si>
    <t>CRYO-2038-015TAIL</t>
  </si>
  <si>
    <t>CRYO-2036-377</t>
  </si>
  <si>
    <t>CRYO-2035-379</t>
  </si>
  <si>
    <t>CRYO-2037-389</t>
  </si>
  <si>
    <t>CRYO-2037-395</t>
  </si>
  <si>
    <t>CRYO-2035-405</t>
  </si>
  <si>
    <t>CRYO-2033-410</t>
  </si>
  <si>
    <t>CRYO-2035-420</t>
  </si>
  <si>
    <t>CRYO-2033-418</t>
  </si>
  <si>
    <t>CRYO-2036-384</t>
  </si>
  <si>
    <t>CRYO-2035-386</t>
  </si>
  <si>
    <t>CRYO-2036-385</t>
  </si>
  <si>
    <t>CRYO-SURROGATE PIN 16</t>
  </si>
  <si>
    <t>CRYO-2035-388</t>
  </si>
  <si>
    <t>CRYO-1Q05-01-20</t>
  </si>
  <si>
    <t>CTHS</t>
  </si>
  <si>
    <t>CRYO-1Q05-01-19</t>
  </si>
  <si>
    <t>CRYO-ME-1</t>
  </si>
  <si>
    <t>CRYO-3120-01</t>
  </si>
  <si>
    <t>CRYO-ME-3</t>
  </si>
  <si>
    <t>CRYO-3120-03</t>
  </si>
  <si>
    <t>CRYO-2039-432</t>
  </si>
  <si>
    <t>CRYO-ME-TBD</t>
  </si>
  <si>
    <t>CRYO-2037-435</t>
  </si>
  <si>
    <t>CRYO-2037-438</t>
  </si>
  <si>
    <t>CRYO-2037-439</t>
  </si>
  <si>
    <t>CRYO-2040-437</t>
  </si>
  <si>
    <t>CRYO-2040-517</t>
  </si>
  <si>
    <t>CRYO-2040-523</t>
  </si>
  <si>
    <t>CRYO-2040-515</t>
  </si>
  <si>
    <t>CRYO-2037-537</t>
  </si>
  <si>
    <t>CRYO-2036-496</t>
  </si>
  <si>
    <t>CRYO-2080-582</t>
  </si>
  <si>
    <t>CRYO-2102-593</t>
  </si>
  <si>
    <t>CRYO-2085-600</t>
  </si>
  <si>
    <t>CRYO-2036-553</t>
  </si>
  <si>
    <t>CRYO-2038-556</t>
  </si>
  <si>
    <t>CRYO-2036-560</t>
  </si>
  <si>
    <t>CRYO-2037-559</t>
  </si>
  <si>
    <t>CRYO-2036-546</t>
  </si>
  <si>
    <t>CRYO-2037-565</t>
  </si>
  <si>
    <t>CRYO-2036-577</t>
  </si>
  <si>
    <t>CRYO-2036-573</t>
  </si>
  <si>
    <t>CRYO-2038-569</t>
  </si>
  <si>
    <t>CRYO-2050-696</t>
  </si>
  <si>
    <t>CRYO-2054-686</t>
  </si>
  <si>
    <t>CRYO-2054-690</t>
  </si>
  <si>
    <t>CRYO-2053-702</t>
  </si>
  <si>
    <t>CRYO-2046-708</t>
  </si>
  <si>
    <t>CRYO-2048-709</t>
  </si>
  <si>
    <t>CRYO-2048-715</t>
  </si>
  <si>
    <t>CRYO-2045-713</t>
  </si>
  <si>
    <t>CRYO-2047-712</t>
  </si>
  <si>
    <t>CRYO-2049-716</t>
  </si>
  <si>
    <t>CRYO-2048-719</t>
  </si>
  <si>
    <t>CRYO-2062-669</t>
  </si>
  <si>
    <t>CRYO-2062-678</t>
  </si>
  <si>
    <t>CRYO-2036-575</t>
  </si>
  <si>
    <t>CRYO-2055-732</t>
  </si>
  <si>
    <t>CRYO-2059-734</t>
  </si>
  <si>
    <t>CRYO-2045-738</t>
  </si>
  <si>
    <t>CRYO-2045-739</t>
  </si>
  <si>
    <t>CRYO-2051-758</t>
  </si>
  <si>
    <t>CRYO-2047-769</t>
  </si>
  <si>
    <t>CRYO-2047-775</t>
  </si>
  <si>
    <t>CRYO-2045-774</t>
  </si>
  <si>
    <t>CRYO-2049-789</t>
  </si>
  <si>
    <t>CRYO-2046-770</t>
  </si>
  <si>
    <t>CRYO-2047-777</t>
  </si>
  <si>
    <t>CRYO-2046-797</t>
  </si>
  <si>
    <t>CRYO-2054-784</t>
  </si>
  <si>
    <t>CRYO-2045-802</t>
  </si>
  <si>
    <t>CRYO-2045-801</t>
  </si>
  <si>
    <t>CRYO-2045-796</t>
  </si>
  <si>
    <t>CRYO-3049-05-3</t>
  </si>
  <si>
    <t>CRYO-2102-597</t>
  </si>
  <si>
    <t>CRYO-2100-596</t>
  </si>
  <si>
    <t>CRYO-3047-05-10</t>
  </si>
  <si>
    <t>CRYO-2099-893</t>
  </si>
  <si>
    <t>CRYO-2098-883</t>
  </si>
  <si>
    <t>CRYO-3048-05-4</t>
  </si>
  <si>
    <t>CRYO-2103-884</t>
  </si>
  <si>
    <t>CRYO-2105-894</t>
  </si>
  <si>
    <t>CRYO-2097-882</t>
  </si>
  <si>
    <t>CRYO-6728-018</t>
  </si>
  <si>
    <t>CRYO-3034-001</t>
  </si>
  <si>
    <t>CRYO-2106-903</t>
  </si>
  <si>
    <t>CRYO-2105-904</t>
  </si>
  <si>
    <t>CRYO-2106-905</t>
  </si>
  <si>
    <t>MCTC-3 (Spherical)</t>
  </si>
  <si>
    <t>CRYO-44651-028</t>
  </si>
  <si>
    <t>MCTC-5 (Spherical)</t>
  </si>
  <si>
    <t>CRYO-2098-928</t>
  </si>
  <si>
    <t>MCTC-2 (Spherical)</t>
  </si>
  <si>
    <t>CRYO-2096-939</t>
  </si>
  <si>
    <t>CRYO-2097-942</t>
  </si>
  <si>
    <t>CRYO-2103-944</t>
  </si>
  <si>
    <t>MCTC-1 (Spherical)</t>
  </si>
  <si>
    <t>CRYO-2096-941</t>
  </si>
  <si>
    <t>CRYO-2095-940</t>
  </si>
  <si>
    <t>CRYO-2098-967</t>
  </si>
  <si>
    <t>CRYO-2101-964</t>
  </si>
  <si>
    <t>CRYO-44850-032</t>
  </si>
  <si>
    <t>CRYO-2050-827</t>
  </si>
  <si>
    <t>CRYO-2050-828</t>
  </si>
  <si>
    <t>CRYO-2050-829</t>
  </si>
  <si>
    <t>CRYO-2101-971</t>
  </si>
  <si>
    <t>CRYO-2103-976</t>
  </si>
  <si>
    <t>CRYO-2101-983</t>
  </si>
  <si>
    <t>CRYO-2100-986</t>
  </si>
  <si>
    <t>CRYO-2102-989</t>
  </si>
  <si>
    <t>CRYO-44554-046</t>
  </si>
  <si>
    <t>CRYO-45155-055</t>
  </si>
  <si>
    <t>CRYO-44957-056</t>
  </si>
  <si>
    <t>CRYO-2130-869</t>
  </si>
  <si>
    <t>CRYO-3Q07-03-98</t>
  </si>
  <si>
    <t>CRYO-2100-991</t>
  </si>
  <si>
    <t>CRYO-2100-994</t>
  </si>
  <si>
    <t>CRYO-2037-731</t>
  </si>
  <si>
    <t>CRYO-2037-728</t>
  </si>
  <si>
    <t>CRYO-2040-761</t>
  </si>
  <si>
    <t>CRYO-2039-762</t>
  </si>
  <si>
    <t>CRYO-2040-764</t>
  </si>
  <si>
    <t>CRYO-2051-841</t>
  </si>
  <si>
    <t>CRYO-2050-839</t>
  </si>
  <si>
    <t>CRYO-2Q08-MO1</t>
  </si>
  <si>
    <t>CRYO-2025-1080</t>
  </si>
  <si>
    <t>CRYO-2020-1081</t>
  </si>
  <si>
    <t>CRYO-2026-1083</t>
  </si>
  <si>
    <t>CRYO-2046-815</t>
  </si>
  <si>
    <t>CRYO-2046-816</t>
  </si>
  <si>
    <t>CRYO-2047-823</t>
  </si>
  <si>
    <t>CRYO-2103-1006</t>
  </si>
  <si>
    <t>CRYO-44851-063</t>
  </si>
  <si>
    <t>CRYO-4048-01</t>
  </si>
  <si>
    <t>CRYO-2100-1010</t>
  </si>
  <si>
    <t>CRYO-3046-036</t>
  </si>
  <si>
    <t>CRYO-4051-02</t>
  </si>
  <si>
    <t>CRYO-4Q06-07-53</t>
  </si>
  <si>
    <t>CRYO-2051-835</t>
  </si>
  <si>
    <t>CRYO-2098-1021</t>
  </si>
  <si>
    <t>CRYO-2098-1063</t>
  </si>
  <si>
    <t>CRYO-2052-844</t>
  </si>
  <si>
    <t>CRYO-2100-1061</t>
  </si>
  <si>
    <t>CRYO-2098-1079</t>
  </si>
  <si>
    <t>CRYO-2110-907</t>
  </si>
  <si>
    <t>CRYO-2096-1075</t>
  </si>
  <si>
    <t>CRYO-2Q08-01-31</t>
  </si>
  <si>
    <t>CRYO-2095-1117</t>
  </si>
  <si>
    <t>CRYO-2095-1119</t>
  </si>
  <si>
    <t>CRYO-2095-1116</t>
  </si>
  <si>
    <t>CRYO-2Q08-01-52</t>
  </si>
  <si>
    <t>CRYO-2095-1122</t>
  </si>
  <si>
    <t>CRYO-2095-1121</t>
  </si>
  <si>
    <t>CRYO-ME-3Q06-01-74</t>
  </si>
  <si>
    <t>CRYO-2096-1163</t>
  </si>
  <si>
    <t>CRYO-2098-1166</t>
  </si>
  <si>
    <t>CRYO-2099-1135</t>
  </si>
  <si>
    <t>CRYO-2097-1136</t>
  </si>
  <si>
    <t>CRYO-2096-1178</t>
  </si>
  <si>
    <t>CRYO-2105-1215</t>
  </si>
  <si>
    <t>CRYO-2096-1213</t>
  </si>
  <si>
    <t>CRYO-ME-3Q08-01-21</t>
  </si>
  <si>
    <t>CRYO-2095-1226</t>
  </si>
  <si>
    <t>CRYO-2102-1220</t>
  </si>
  <si>
    <t>CRYO-2096-1232</t>
  </si>
  <si>
    <t>CRYO-2096-1259</t>
  </si>
  <si>
    <t>CRYO-2096-1261</t>
  </si>
  <si>
    <t>CRYO-2098-1164</t>
  </si>
  <si>
    <t>CRYO-2095-1228</t>
  </si>
  <si>
    <t>CRYO-2096-1271</t>
  </si>
  <si>
    <t>CRYO-2096-1276</t>
  </si>
  <si>
    <t>CRYO-2095-1272</t>
  </si>
  <si>
    <t>CRYO-2095-1281</t>
  </si>
  <si>
    <t>CRYO-2095-1273</t>
  </si>
  <si>
    <t>CRYO-2096-1277</t>
  </si>
  <si>
    <t>CRYO-2097-1283</t>
  </si>
  <si>
    <t>CRYO-2099-1297</t>
  </si>
  <si>
    <t>CRYO-2101-1302</t>
  </si>
  <si>
    <t>CRYO-2099-1300</t>
  </si>
  <si>
    <t>CRYO-2104-1286</t>
  </si>
  <si>
    <t>CRYO-2097-1306</t>
  </si>
  <si>
    <t>CRYO-2097-1304</t>
  </si>
  <si>
    <t>CRYO-2048-1088</t>
  </si>
  <si>
    <t>CRYO-2047-1090</t>
  </si>
  <si>
    <t>CRYO-2050-1089</t>
  </si>
  <si>
    <t>CRYO-2100-1296</t>
  </si>
  <si>
    <t>CRYO-2100-1316</t>
  </si>
  <si>
    <t>CRYO-2052-1109</t>
  </si>
  <si>
    <t>CRYO-2046-1112</t>
  </si>
  <si>
    <t>CRYO-2048-1111</t>
  </si>
  <si>
    <t>CRYO-2101-1326</t>
  </si>
  <si>
    <t>CRYO-ME-3Q08-02-22</t>
  </si>
  <si>
    <t>CRYO-ME-2Q09-01-25</t>
  </si>
  <si>
    <t>CRYO-ME-2Q09-01-16</t>
  </si>
  <si>
    <t>CRYO-ME-3Q08-02-19</t>
  </si>
  <si>
    <t>CRYO-2100-1334</t>
  </si>
  <si>
    <t>CRYO-2100-1335</t>
  </si>
  <si>
    <t>CRYO-2099-1341</t>
  </si>
  <si>
    <t>CRYO-2099-1340</t>
  </si>
  <si>
    <t>CRYO-2096-1349</t>
  </si>
  <si>
    <t>CRYO-2097-1344</t>
  </si>
  <si>
    <t>CRYO-2097-1351</t>
  </si>
  <si>
    <t>CRYO-2098-1362</t>
  </si>
  <si>
    <t>CRYO-2096-1339</t>
  </si>
  <si>
    <t>CRYO-2097-1447</t>
  </si>
  <si>
    <t>CRYO-2097-1443</t>
  </si>
  <si>
    <t>CRYO-2097-1354</t>
  </si>
  <si>
    <t>CRYO-2095-1356</t>
  </si>
  <si>
    <t>CRYO-2097-1450</t>
  </si>
  <si>
    <t>CRYO-2096-1451</t>
  </si>
  <si>
    <t>CRYO-2101-1454</t>
  </si>
  <si>
    <t>CRYO-2101-1458</t>
  </si>
  <si>
    <t>CRYO-2097-1372</t>
  </si>
  <si>
    <t>CRYO-2099-1371</t>
  </si>
  <si>
    <t>CRYO-2101-1460</t>
  </si>
  <si>
    <t>CRYO-2099-1343</t>
  </si>
  <si>
    <t>CRYO-2099-1478</t>
  </si>
  <si>
    <t>CRYO-2102-1468</t>
  </si>
  <si>
    <t>CRYO-2105-1471</t>
  </si>
  <si>
    <t>CRYO-2098-1480</t>
  </si>
  <si>
    <t>CRYO-2102-1456</t>
  </si>
  <si>
    <t>CRYO-2099-1479</t>
  </si>
  <si>
    <t>CRYO-2097-1497</t>
  </si>
  <si>
    <t>CRYO-2100-1535</t>
  </si>
  <si>
    <t>CRYO-2100-1534</t>
  </si>
  <si>
    <t>CRYO-2098-1504</t>
  </si>
  <si>
    <t>CRYO-2092-1569</t>
  </si>
  <si>
    <t>CRYO-2091-1566</t>
  </si>
  <si>
    <t>CRYO-2093-1558</t>
  </si>
  <si>
    <t>CRYO-2092-1557</t>
  </si>
  <si>
    <t>CRYO-2092-1578</t>
  </si>
  <si>
    <t>CRYO-2092-1573</t>
  </si>
  <si>
    <t>CRYO-2092-1575</t>
  </si>
  <si>
    <t>CRYO-2093-1586</t>
  </si>
  <si>
    <t>CRYO-2092-1587</t>
  </si>
  <si>
    <t>CRYO-2092-1588</t>
  </si>
  <si>
    <t>CRYO-2093-1599</t>
  </si>
  <si>
    <t>MCTC-7 (Spherical)</t>
  </si>
  <si>
    <t>CRYO-2093-1590</t>
  </si>
  <si>
    <t>CRYO-2092-1582</t>
  </si>
  <si>
    <t>CRYO-2094-1592</t>
  </si>
  <si>
    <t>CRYO-2094-1591</t>
  </si>
  <si>
    <t>CRYO-2094-1643</t>
  </si>
  <si>
    <t>CRYO-2094-1640</t>
  </si>
  <si>
    <t>CRYO-2094-1633</t>
  </si>
  <si>
    <t>CRYO-2092-1553</t>
  </si>
  <si>
    <t>CRYO-2094-1652</t>
  </si>
  <si>
    <t>CRYO-2092-1666</t>
  </si>
  <si>
    <t>CRYO-2092-1663</t>
  </si>
  <si>
    <t>CRYO-2093-1664</t>
  </si>
  <si>
    <t>CRYO-2093-1624</t>
  </si>
  <si>
    <t>CRYO-2092-1685</t>
  </si>
  <si>
    <t>CRYO-2095-1677</t>
  </si>
  <si>
    <t>CRYO-2095-1693</t>
  </si>
  <si>
    <t>CRYO-2095-1675</t>
  </si>
  <si>
    <t>CRYO-2093-1551</t>
  </si>
  <si>
    <t>CRYO-2093-1604</t>
  </si>
  <si>
    <t>CRYO-2092-1560</t>
  </si>
  <si>
    <t>CRYO-2092-1572</t>
  </si>
  <si>
    <t>CRYO-2051-1428</t>
  </si>
  <si>
    <t>CRYO-2050-1414</t>
  </si>
  <si>
    <t>CRYO-2051-1422</t>
  </si>
  <si>
    <t>CRYO-2053-1416</t>
  </si>
  <si>
    <t>CRYO-2092-1742</t>
  </si>
  <si>
    <t>CRYO-2092-1762</t>
  </si>
  <si>
    <t>CRYO-2092-1729</t>
  </si>
  <si>
    <t>CRYO-2094-1830</t>
  </si>
  <si>
    <t>CRYO-2095-1831</t>
  </si>
  <si>
    <t>CRYO-2117-1845</t>
  </si>
  <si>
    <t>CRYO-2117-1841</t>
  </si>
  <si>
    <t>CRYO-2121-1837</t>
  </si>
  <si>
    <t>CRYO-2093-1884</t>
  </si>
  <si>
    <t>CRYO-2094-1888</t>
  </si>
  <si>
    <t>~9.3um</t>
  </si>
  <si>
    <t>scabbed  OOS</t>
  </si>
  <si>
    <t>Delivered to S. Verbridge 8/8/12 FTS2 ; 24 Oct 2012 found in lab!  Given to Steve?</t>
  </si>
  <si>
    <t>   Look in file cryo_xray_image_table.xls in \hopi-fs\experimental.  Click on date to display most recent files and it will be first or second.</t>
  </si>
  <si>
    <t>Delivered to CART 3 on 26Oct2012</t>
  </si>
  <si>
    <t>All targets were in disposable racks (2 failures in Tfab glovebox)</t>
  </si>
  <si>
    <t>The target in MCTC#2, CRYO-2094-2104, was lost between 6:15 and 8:00 this morning.  The cause is unknown.</t>
  </si>
  <si>
    <t>13.6/12.4, M5</t>
  </si>
  <si>
    <t>test MEQ 3022</t>
  </si>
  <si>
    <t>test MEQ 3021</t>
  </si>
  <si>
    <t>13.6/13, M5</t>
  </si>
  <si>
    <t>Delivered to CART2 28 Nov 2012, broken overnite</t>
  </si>
  <si>
    <t>Delivered physics capsules to FTS1 by design from Jan2012 to Nov2012</t>
  </si>
  <si>
    <t>Delivered to CART2 29 Nov 2012, broken, "see folder for explanation"  M5 fiber snap</t>
  </si>
  <si>
    <t>HY835-HU114, 10/31/2012; delivered to B. Rice 5 Dec 2012</t>
  </si>
  <si>
    <t>assembled length 21.4mm - 22mm(acceptable to use out of spec for first issue parts)</t>
  </si>
  <si>
    <t>1.52mm</t>
  </si>
  <si>
    <t>9.95mm</t>
  </si>
  <si>
    <t>81.6um</t>
  </si>
  <si>
    <t xml:space="preserve">           M5       </t>
  </si>
  <si>
    <t>33.14mm</t>
  </si>
  <si>
    <t>0.492mm</t>
  </si>
  <si>
    <t>1.55mm</t>
  </si>
  <si>
    <t>9.9mm</t>
  </si>
  <si>
    <t>79.4um</t>
  </si>
  <si>
    <t>21.24mm</t>
  </si>
  <si>
    <t>33.13mm</t>
  </si>
  <si>
    <t>0.734mm</t>
  </si>
  <si>
    <t>M5 fiber Tripod</t>
  </si>
  <si>
    <t>SiC Fiber</t>
  </si>
  <si>
    <t>assembled length 21.4mm-22mm(acceptable to use out of spec for first issue parts)</t>
  </si>
  <si>
    <t>Length (9.9mm)</t>
  </si>
  <si>
    <t>79.2um</t>
  </si>
  <si>
    <t>9.87mm</t>
  </si>
  <si>
    <t>21.28mm</t>
  </si>
  <si>
    <t>9.79mm</t>
  </si>
  <si>
    <t>33.02mm</t>
  </si>
  <si>
    <t>0.172mm</t>
  </si>
  <si>
    <t>Type13</t>
  </si>
  <si>
    <t>0.08mm diam. SiC fiber</t>
  </si>
  <si>
    <t>length (9.7-10.0mm)</t>
  </si>
  <si>
    <t>glue overlap, mm (1.25 - 1.75)</t>
  </si>
  <si>
    <t>CRYO-ME-1231-0232</t>
  </si>
  <si>
    <t>CRYO-ME-1232-0233</t>
  </si>
  <si>
    <t>CRYO-ME-1242-0234</t>
  </si>
  <si>
    <t>CRYO-ME-1242-0235</t>
  </si>
  <si>
    <t>Type14</t>
  </si>
  <si>
    <t>OAL (1.45-1.55mm)</t>
  </si>
  <si>
    <t>Tripod length 0.95-1.05mm</t>
  </si>
  <si>
    <t>RH%</t>
  </si>
  <si>
    <t>CRYO-ME-1237-0236</t>
  </si>
  <si>
    <t>&gt;1</t>
  </si>
  <si>
    <t>CRYO-2084-2130</t>
  </si>
  <si>
    <t>CRYO-2085-2132</t>
  </si>
  <si>
    <t>CRYO-2085-2133</t>
  </si>
  <si>
    <t>CRYO-2085-2140</t>
  </si>
  <si>
    <t>CRYO-2084-2141</t>
  </si>
  <si>
    <t>CRYO-2085-2127</t>
  </si>
  <si>
    <t>JC352-JB629, 1/31/14</t>
  </si>
  <si>
    <t>CRYO-2085-2135</t>
  </si>
  <si>
    <t>CRYO-2084-2131</t>
  </si>
  <si>
    <t>NOA68 exp.6 Jul 2013, cured w/ Panasonic LED</t>
  </si>
  <si>
    <t>CRYO-2084-2134</t>
  </si>
  <si>
    <t>Delivered to B. Rice 14Jan2013</t>
  </si>
  <si>
    <t>Delivered 14 Jan 2013 M. Koch</t>
  </si>
  <si>
    <t>CRYO-ME-1242-0237</t>
  </si>
  <si>
    <t>CRYO-ME-1242-0238</t>
  </si>
  <si>
    <t>CRYO-ME-1240-0239</t>
  </si>
  <si>
    <t>CRYO-ME-1240-0240</t>
  </si>
  <si>
    <t>1% Mogul E Carbon blackdoped Dymax 921gel over tripod 0.5mm length</t>
  </si>
  <si>
    <t>170 to 210Hz Wr, Hz</t>
  </si>
  <si>
    <t>broken in TFS1, fell off after hand loaded ( Sal), Verbridge loaded into breech lock, target was missing)</t>
  </si>
  <si>
    <t>delivered 16 Jan 2013, hand loaded Sal FTS1</t>
  </si>
  <si>
    <t>DELIVERED TO FTS1 22JAN2013</t>
  </si>
  <si>
    <t>delivered to FTS1 22 Jan 2013</t>
  </si>
  <si>
    <t>CRYO-2084-2152</t>
  </si>
  <si>
    <t>CRYO-2084-2153</t>
  </si>
  <si>
    <t>CRYO-2084-2154</t>
  </si>
  <si>
    <t>CRYO-2083-2156</t>
  </si>
  <si>
    <t>CRYO-2084-2157</t>
  </si>
  <si>
    <t>CRYO-2084-2159</t>
  </si>
  <si>
    <t>CRYO-2083-2160</t>
  </si>
  <si>
    <t>CRYO-2084-2151</t>
  </si>
  <si>
    <t>CRYO-2083-2145</t>
  </si>
  <si>
    <t>CRYO-2083-2155</t>
  </si>
  <si>
    <t>CRYO-2084-2144</t>
  </si>
  <si>
    <t>broken during xfers in FTS</t>
  </si>
  <si>
    <t>Delivered to FTS1 4Feb 2013</t>
  </si>
  <si>
    <t>Delivered 4Feb2013 to FTS1</t>
  </si>
  <si>
    <t>broken in TFS during loading to breach lock, SSCA</t>
  </si>
  <si>
    <t>Delivered 5Feb2013 to FTS1</t>
  </si>
  <si>
    <t>failed during loading into collet for characterization in Nikon.  Remounted.</t>
  </si>
  <si>
    <t>CRYO-2084-2166</t>
  </si>
  <si>
    <t>CRYO-2084-2167</t>
  </si>
  <si>
    <t>CRYO-2083-2171</t>
  </si>
  <si>
    <t>CRYO-2083-2175</t>
  </si>
  <si>
    <t>CRYO-2082-2176</t>
  </si>
  <si>
    <t>CRYO-2083-2177</t>
  </si>
  <si>
    <t>33.1mm</t>
  </si>
  <si>
    <t>CRYO-2084-2169</t>
  </si>
  <si>
    <t>210, 206</t>
  </si>
  <si>
    <t>226, 249</t>
  </si>
  <si>
    <t>CRYO-2084-2168</t>
  </si>
  <si>
    <t>CRYO-ME-1240-0241</t>
  </si>
  <si>
    <t>CRYO-ME-1242-0242</t>
  </si>
  <si>
    <t>Delivered to FTS1 19Feb2013</t>
  </si>
  <si>
    <t>CRYO-2082-2174</t>
  </si>
  <si>
    <t>characterized with rocket, Delivered to FTS1 19Feb2013</t>
  </si>
  <si>
    <t>CRYO-2083-2178</t>
  </si>
  <si>
    <t>CRYO-2083-2179</t>
  </si>
  <si>
    <t xml:space="preserve">CRYO-2082-2181   </t>
  </si>
  <si>
    <t>CRYO-2082-2184</t>
  </si>
  <si>
    <t>CRYO-2083-2185</t>
  </si>
  <si>
    <t>CRYO-2072-2186</t>
  </si>
  <si>
    <t xml:space="preserve">CRYO-2073-2192     </t>
  </si>
  <si>
    <t>CRYO-2074-2195</t>
  </si>
  <si>
    <t>delivered 3/5/13 to B. Rice</t>
  </si>
  <si>
    <t>broken in TFS during loading glovebox in jar, SSCA</t>
  </si>
  <si>
    <t>ISE-3Q06-01-86</t>
  </si>
  <si>
    <t>FIG-1Q07-01-119</t>
  </si>
  <si>
    <t>FIG-1Q07-01-100</t>
  </si>
  <si>
    <t>FIG-1Q07-01-106</t>
  </si>
  <si>
    <t>FIG-1Q07-01-111</t>
  </si>
  <si>
    <t>ABCD</t>
  </si>
  <si>
    <t>FI-2Q06-01-75</t>
  </si>
  <si>
    <t>FI-2Q06-01-71</t>
  </si>
  <si>
    <t>FI-2Q06-01-67</t>
  </si>
  <si>
    <t>CRYO-2082-2180</t>
  </si>
  <si>
    <t>Stainless steel (D-TR-C-151)</t>
  </si>
  <si>
    <t>diameter, um  *16 to 19um</t>
  </si>
  <si>
    <t>Delivered to characterization rocket, C. Fella, 13Mar2013; delivered to FTS1, 14Mar2013</t>
  </si>
  <si>
    <t>Delivered to FTS1 14Mar2013</t>
  </si>
  <si>
    <t>Delivered to FTS1 14Mar2013; broken in delivery jar in TFS glovebox</t>
  </si>
  <si>
    <t>CRYO-ME-1236-0243</t>
  </si>
  <si>
    <t>CRYO-2072-2189</t>
  </si>
  <si>
    <t>5/9/2012, 3/14/13</t>
  </si>
  <si>
    <t>CRYO-2076-2196</t>
  </si>
  <si>
    <t>CRYO-2075-2197</t>
  </si>
  <si>
    <t>CRYO-2076-2198</t>
  </si>
  <si>
    <t>CRYO-2075-2199</t>
  </si>
  <si>
    <t>CRYO-2075-2200</t>
  </si>
  <si>
    <t>CRYO-2076-2201</t>
  </si>
  <si>
    <t>CRYO-2074-2202</t>
  </si>
  <si>
    <t>Delivered to FTS2 3/26/13</t>
  </si>
  <si>
    <t>CRYO-2122-1846</t>
  </si>
  <si>
    <t>CRYO-ME-1Q13-01-05</t>
  </si>
  <si>
    <t>delivered for pre char in CMR</t>
  </si>
  <si>
    <t>broken in TFAB, MB, adhesion failure, golf tee</t>
  </si>
  <si>
    <t>broken in TFAB, DT, adhesion failure, golf tee, remounted</t>
  </si>
  <si>
    <t>Broken in Tfab while loading into FTS2 rack, SHELL LOST, glue fractured</t>
  </si>
  <si>
    <t>broken in TFAB, DT, in handling with confocal</t>
  </si>
  <si>
    <t>CRYO-2075-2203</t>
  </si>
  <si>
    <t>CRYO-2075-2204</t>
  </si>
  <si>
    <t>broken in TFAB, DT, in handling with confocal, remounted</t>
  </si>
  <si>
    <t>CRYO-2075-2205</t>
  </si>
  <si>
    <t>broken in TargetFab glovebox, golf tee</t>
  </si>
  <si>
    <t>broken in TFS during opening jar, SSCA</t>
  </si>
  <si>
    <t>CRYO-2084-2210</t>
  </si>
  <si>
    <t>CRYO-2084-2211</t>
  </si>
  <si>
    <t>CRYO-2083-2208</t>
  </si>
  <si>
    <t>CRYO-2084-2209</t>
  </si>
  <si>
    <t>cured with panasonic LED, Si-coated</t>
  </si>
  <si>
    <t>cured with panasonic LED, Lost in Si coater</t>
  </si>
  <si>
    <t>CRYO-2084-2212</t>
  </si>
  <si>
    <t>CRYO-2084-2213</t>
  </si>
  <si>
    <t>cured with panasonic LED; rejected - glue spot too big</t>
  </si>
  <si>
    <t>CRYO-2083-2214</t>
  </si>
  <si>
    <t>CRYO-2083-2216</t>
  </si>
  <si>
    <t>CRYO-2084-2217</t>
  </si>
  <si>
    <t>CRYO-2084-2218</t>
  </si>
  <si>
    <t>CRYO-2084-2219</t>
  </si>
  <si>
    <t>cured with panasonic LED, post-processed w/ NOA65, Si-coated</t>
  </si>
  <si>
    <t>cured with panasonic LED, Si-coated; post-processed w. NOA65</t>
  </si>
  <si>
    <t>broken in Rocket, TFS, VV; glue adhesion failure</t>
  </si>
  <si>
    <t>polyimide tube is bent at SST joint, SiC fiber in tact, glue shear failure, glue shear</t>
  </si>
  <si>
    <t>broken in TFS during loading glovebox in jar, SSCA, fiber in tact, glue shear.  Glue spot doesn't appear at all like early photos</t>
  </si>
  <si>
    <t>Delivered to FTS2 4/24/13</t>
  </si>
  <si>
    <t>Assem bler</t>
  </si>
  <si>
    <t>DELIVERED FTS1 8 APR2013</t>
  </si>
  <si>
    <t>delivered for pre char in CMR; DELIVERED FTS1 8APR2013</t>
  </si>
  <si>
    <t>Delivered FTS1 8 May 2013 test fill</t>
  </si>
  <si>
    <t>Delivered to FTS1 8 May 2013, test fill</t>
  </si>
  <si>
    <t>Type10</t>
  </si>
  <si>
    <t>Position</t>
  </si>
  <si>
    <t>D-TR-B-371</t>
  </si>
  <si>
    <t>Overlap (1.25 - 1.75mm)</t>
  </si>
  <si>
    <t>1.5 (1.4 - 1.6)  mm SiC length</t>
  </si>
  <si>
    <t>Sic diam., um</t>
  </si>
  <si>
    <t>274, 426</t>
  </si>
  <si>
    <t>269, 430</t>
  </si>
  <si>
    <t>393, 388</t>
  </si>
  <si>
    <t>352, 340</t>
  </si>
  <si>
    <t>270, 439</t>
  </si>
  <si>
    <t>275, 431</t>
  </si>
  <si>
    <t>Mass, g</t>
  </si>
  <si>
    <t>DELIVERED TO FTS1 29APR2013, CATASTROPHIC FAILED FILL</t>
  </si>
  <si>
    <t>Delivered to J. Ulrich 5/17/13</t>
  </si>
  <si>
    <t>CRYO-2085-2220</t>
  </si>
  <si>
    <t>CRYO-2085-2221</t>
  </si>
  <si>
    <t>CRYO-2085-2222</t>
  </si>
  <si>
    <t>CRYO-2085-2226</t>
  </si>
  <si>
    <t>CRYO-2085-2227</t>
  </si>
  <si>
    <t>CRYO-2083-2229</t>
  </si>
  <si>
    <t>CRYO-2082-2230</t>
  </si>
  <si>
    <t>CRYO-2083-2231</t>
  </si>
  <si>
    <t>cured with panasonic LED; delivered 5/13/13 for test fill</t>
  </si>
  <si>
    <t>delivered for Test Fill 5/13/13</t>
  </si>
  <si>
    <t>Delivered to FTS1 for test fill 5/13/13</t>
  </si>
  <si>
    <t>lost during Si coating</t>
  </si>
  <si>
    <t>broken during assembly</t>
  </si>
  <si>
    <t>glue OOS</t>
  </si>
  <si>
    <t>CRYO-2085-2223</t>
  </si>
  <si>
    <t>CRYO-2085-2224</t>
  </si>
  <si>
    <t>CRYO-2085-2225</t>
  </si>
  <si>
    <t>mishandled before Si coating</t>
  </si>
  <si>
    <t>"</t>
  </si>
  <si>
    <t>delivered to FTS1 5/24/13</t>
  </si>
  <si>
    <t>413, 426</t>
  </si>
  <si>
    <t xml:space="preserve"> 383, 394</t>
  </si>
  <si>
    <t>Delivered to FTS1 6/6/13</t>
  </si>
  <si>
    <t>delivered FTS1 6/6/13</t>
  </si>
  <si>
    <t>delivered to FTS1 6/6/13</t>
  </si>
  <si>
    <t>CRYO-2075-2206</t>
  </si>
  <si>
    <t>CRYO-2075-2207</t>
  </si>
  <si>
    <t>CRYO-2108-2017</t>
  </si>
  <si>
    <t>CRYO-2055-1787</t>
  </si>
  <si>
    <t>CRYO-2055-1788</t>
  </si>
  <si>
    <t>CRYO-2053-1790</t>
  </si>
  <si>
    <t>CRYO-2055-1791</t>
  </si>
  <si>
    <t>CRYO-2055-1792</t>
  </si>
  <si>
    <t>CRYO-2073-2244</t>
  </si>
  <si>
    <t>CRYO-2054-1793</t>
  </si>
  <si>
    <t>CRYO-2055-1794</t>
  </si>
  <si>
    <t>CRYO-2074-2245</t>
  </si>
  <si>
    <t>Delivered to J Ulrich, 19 Jun2013</t>
  </si>
  <si>
    <t>delivered to FTS1 6/20/13</t>
  </si>
  <si>
    <t>CRYO-2083-2232</t>
  </si>
  <si>
    <t>CRYO-2083-2235</t>
  </si>
  <si>
    <t>CRYO-2082-2236</t>
  </si>
  <si>
    <t>CRYO-2082-2237</t>
  </si>
  <si>
    <t>CRYO-2083-2238</t>
  </si>
  <si>
    <t>CRYO-2082-2239</t>
  </si>
  <si>
    <t>Delivered to M. Koch, 28 Jun 2013</t>
  </si>
  <si>
    <t>CRYO-2083-2234</t>
  </si>
  <si>
    <t>delivered to FTS1 7/3/13</t>
  </si>
  <si>
    <t>CRYO-ME-1Q13-01-47</t>
  </si>
  <si>
    <t>CRYO-ME-1Q13-01-61</t>
  </si>
  <si>
    <t>CRYO-ME-1Q13-01-63</t>
  </si>
  <si>
    <t>CRYO-ME-1Q13-01-64</t>
  </si>
  <si>
    <t>CRYO-2074-2246</t>
  </si>
  <si>
    <t>CRYO-2072-2247</t>
  </si>
  <si>
    <t>CRYO-2074-2248</t>
  </si>
  <si>
    <t>CRYO-2073-2250</t>
  </si>
  <si>
    <t>CRYO-2074-2251</t>
  </si>
  <si>
    <t>CRYO-2073-2253</t>
  </si>
  <si>
    <t>CRYO-2074-2254</t>
  </si>
  <si>
    <t>CRYO-2074-2256</t>
  </si>
  <si>
    <t>CRYO-2074-2257</t>
  </si>
  <si>
    <t>CRYO-2075-2258</t>
  </si>
  <si>
    <t>delivered to Mike Koch 7/17/13, wr waived in MB absence</t>
  </si>
  <si>
    <t>Delivered to Sal 7/26/13; broken due to tweezer snap while loading into FTS1 rack</t>
  </si>
  <si>
    <t>Delivered to Sal 7/26/13  slot #3</t>
  </si>
  <si>
    <t>cured with panasonic LED; rollover Si</t>
  </si>
  <si>
    <t>rollover Si coating</t>
  </si>
  <si>
    <t>cured with panasonic LED; stalk mounted Si coating, 3min 20s</t>
  </si>
  <si>
    <t>cured with panasonic LED; Goodfellow PI</t>
  </si>
  <si>
    <t>Delivered 7/30/13 C. Fella</t>
  </si>
  <si>
    <t>BROKEN in glovebox, before loading into rack24, adhesion failure golf tee</t>
  </si>
  <si>
    <t>Delivered FTS1 7/29/13</t>
  </si>
  <si>
    <t>BROKEN DURING FILL</t>
  </si>
  <si>
    <t>CRYO-2071-2277</t>
  </si>
  <si>
    <t>CRYO-2072-2285</t>
  </si>
  <si>
    <t>CRYO-2071-2279</t>
  </si>
  <si>
    <t>CRYO-2072-2282</t>
  </si>
  <si>
    <t>CRYO-2071-2284</t>
  </si>
  <si>
    <t>CRYO-2072-2286</t>
  </si>
  <si>
    <t>CRYO-2074-2289</t>
  </si>
  <si>
    <t>BROKEN DURING REMOVAL FROM CONFOCAL; glue fracture</t>
  </si>
  <si>
    <t>BROKEN, due to tweezer snap, during hand loading to FTS1 rack SAL</t>
  </si>
  <si>
    <t>Physics capsules:  &gt;330 Hz Wr, Hz</t>
  </si>
  <si>
    <t>Delivered FTS1 8/16/13</t>
  </si>
  <si>
    <t>CRYO-ME-1Q13-01-80</t>
  </si>
  <si>
    <t>CRYO-ME-1Q13-01-81</t>
  </si>
  <si>
    <t>Delivered FTS2 9/3/13</t>
  </si>
  <si>
    <t>Rice R and R 6/20/2013; returned same day; Delivered FTS2 9/3/13</t>
  </si>
  <si>
    <t>201 transverse, 252 lateral</t>
  </si>
  <si>
    <t>CRYO-2074-2260</t>
  </si>
  <si>
    <t>CRYO-2075-2290</t>
  </si>
  <si>
    <t>Delivered 9/10/13, FTS2</t>
  </si>
  <si>
    <t>CRYO-2084-2149</t>
  </si>
  <si>
    <t>CRYO-2082-2088</t>
  </si>
  <si>
    <t>CRYO-2083-2085</t>
  </si>
  <si>
    <t>CRYO-2085-2096</t>
  </si>
  <si>
    <t>Shell was knocked off using confocal, shell remounted, remeasured</t>
  </si>
  <si>
    <t>CRYO-2085-2082</t>
  </si>
  <si>
    <t>CRYO-2083-2083</t>
  </si>
  <si>
    <t>366, 364</t>
  </si>
  <si>
    <t>SCDSAMPLE080813-1</t>
  </si>
  <si>
    <t>SCDSAMPLE080813-2</t>
  </si>
  <si>
    <t>SCDSAMPLE080813-3</t>
  </si>
  <si>
    <t>SCDSAMPLE080813-4</t>
  </si>
  <si>
    <t>Delivered 9/10/13, FTS2; delivered back to FTS2 9/17/13</t>
  </si>
  <si>
    <t>SCDSAMPLE080813-5</t>
  </si>
  <si>
    <t>SCDSAMPLE080813-6</t>
  </si>
  <si>
    <t>from EC pos 7</t>
  </si>
  <si>
    <t>from EC pos 6</t>
  </si>
  <si>
    <t>Delivered FTS1 9/23/13</t>
  </si>
  <si>
    <t>SCDSAMPLE080813-8</t>
  </si>
  <si>
    <t>SCDSAMPLE080813-9</t>
  </si>
  <si>
    <t>TC measureed</t>
  </si>
  <si>
    <t>CRYO-2074-2268</t>
  </si>
  <si>
    <t>CRYO-2075-2269</t>
  </si>
  <si>
    <t>CRYO-2075-2270</t>
  </si>
  <si>
    <t>CRYO-2075-2271</t>
  </si>
  <si>
    <t>CRYO-2074-2272</t>
  </si>
  <si>
    <t>CRYO-2074-2274</t>
  </si>
  <si>
    <t>CRYO-2075-2305</t>
  </si>
  <si>
    <t>CRYO-2072-2293</t>
  </si>
  <si>
    <t>CRYO-2074-2294</t>
  </si>
  <si>
    <t>CRYO-2074-2304</t>
  </si>
  <si>
    <t>Delivered FTS1 10/4/13 Verbridge</t>
  </si>
  <si>
    <t>CRYO-2073-2263</t>
  </si>
  <si>
    <t>CRYO-2073-2264</t>
  </si>
  <si>
    <t>CRYO-2073-2265</t>
  </si>
  <si>
    <t>CRYO-2074-2266</t>
  </si>
  <si>
    <t>CRYO-2074-2267</t>
  </si>
  <si>
    <t>CRYO-2074-2275</t>
  </si>
  <si>
    <t>CRYO-2094-2117</t>
  </si>
  <si>
    <t>CRYO-2094-2118</t>
  </si>
  <si>
    <t>CRYO-2095-2119</t>
  </si>
  <si>
    <t>CRYO-2095-2120</t>
  </si>
  <si>
    <t>CRYO-2094-2122</t>
  </si>
  <si>
    <t>CRYO-2094-2123</t>
  </si>
  <si>
    <t>CRYO-2094-2124</t>
  </si>
  <si>
    <t>CRYO-2095-2125</t>
  </si>
  <si>
    <t>CRYO-2092-2126</t>
  </si>
  <si>
    <t>CRYO-2094-2099</t>
  </si>
  <si>
    <t>Delivered 10/11/13, FTS2</t>
  </si>
  <si>
    <t>SCDSAMPLE080813-7</t>
  </si>
  <si>
    <t>from EC pos1</t>
  </si>
  <si>
    <t>from EC pos2</t>
  </si>
  <si>
    <t>from EC pos3</t>
  </si>
  <si>
    <t>from EC pos 5</t>
  </si>
  <si>
    <t>from EC pos 4</t>
  </si>
  <si>
    <t>Shell fell off during confocal measurement</t>
  </si>
  <si>
    <t>Delivered FTS1 10/16/13</t>
  </si>
  <si>
    <t>Target delivered to B. Rice for FIB analysis</t>
  </si>
  <si>
    <t>CRYO-2093-2097</t>
  </si>
  <si>
    <t>&gt;10um defect</t>
  </si>
  <si>
    <t>CRYO-2074-2295</t>
  </si>
  <si>
    <t>CRYO-2075-2296</t>
  </si>
  <si>
    <t>CRYO-2075-2298</t>
  </si>
  <si>
    <t>CRYO-2073-2299</t>
  </si>
  <si>
    <t>CRYO-2072-2300</t>
  </si>
  <si>
    <t>buckled FTS2</t>
  </si>
  <si>
    <t>Delivered 10/11/13, FTS2; redelivered 10/18/13</t>
  </si>
  <si>
    <t>CRYO-2074-2291</t>
  </si>
  <si>
    <t>Delivered FTS1 10/31/13</t>
  </si>
  <si>
    <t>cured with panasonic LED, 330A oblique, 610A normal</t>
  </si>
  <si>
    <t>cured with panasonic LED; 370A oblique, 740A normal</t>
  </si>
  <si>
    <t>cured with panasonic LED; 510A oblique, 495A normal</t>
  </si>
  <si>
    <t>cured with panasonic LED; 630A normal, 550A oblique</t>
  </si>
  <si>
    <t>cured with panasonic LED; 460A normal; 350A oblique; batch of 4 shells coated together</t>
  </si>
  <si>
    <t>270, defects added from FTS2</t>
  </si>
  <si>
    <t>0, defects added from FTS2</t>
  </si>
  <si>
    <t>CRYO-ME-1240-0244</t>
  </si>
  <si>
    <t>CRYO-ME-1236-0245</t>
  </si>
  <si>
    <t>CRYO-ME-1230-0246</t>
  </si>
  <si>
    <t>CRYO-ME-1242-0247</t>
  </si>
  <si>
    <t>Delivered 12/2/13 JU</t>
  </si>
  <si>
    <t>296, 318 2x peak</t>
  </si>
  <si>
    <t>broken during loading into rack, not fully off the stalk</t>
  </si>
  <si>
    <t>Delivered to MK 12/9/13, FTS2</t>
  </si>
  <si>
    <t>213, 226</t>
  </si>
  <si>
    <t>221, 200</t>
  </si>
  <si>
    <t>319, 309 and 359</t>
  </si>
  <si>
    <t>CRYO-2074-2308</t>
  </si>
  <si>
    <t>CRYO-2074-2309</t>
  </si>
  <si>
    <t>CRYO-2075-2310</t>
  </si>
  <si>
    <t>CRYO-2073-2306</t>
  </si>
  <si>
    <t>CRYO-2073-2307</t>
  </si>
  <si>
    <t>CRYO-2074-2311</t>
  </si>
  <si>
    <t>CRYO-2073-2312</t>
  </si>
  <si>
    <t xml:space="preserve">delivered to FTS1 1/7/14 </t>
  </si>
  <si>
    <t>CRYO-2074-2335</t>
  </si>
  <si>
    <t>CRYO-2075-2339</t>
  </si>
  <si>
    <t>CRYO-2071-2340</t>
  </si>
  <si>
    <t>CRYO-2073-2341</t>
  </si>
  <si>
    <t>CRYO-2075-2336</t>
  </si>
  <si>
    <t>CRYO-2075-2337</t>
  </si>
  <si>
    <t>CRYO-2074-2338</t>
  </si>
  <si>
    <t>CRYO-2074-2343</t>
  </si>
  <si>
    <t>CRYO-2072-2344</t>
  </si>
  <si>
    <t>CRYO-2074-2345</t>
  </si>
  <si>
    <t>CRYO-2075-2346</t>
  </si>
  <si>
    <t>CRYO-2073-2347</t>
  </si>
  <si>
    <t>CRYO-2073-2348</t>
  </si>
  <si>
    <t>408, 409</t>
  </si>
  <si>
    <t>Delivered to SV 1/24/14</t>
  </si>
  <si>
    <t>delivered to FTS1, 1/27/14 SS</t>
  </si>
  <si>
    <t>CRYO-2083-2352</t>
  </si>
  <si>
    <t>CRYO-2085-2353</t>
  </si>
  <si>
    <t>CRYO-2082-2354</t>
  </si>
  <si>
    <t>CRYO-2083-2355</t>
  </si>
  <si>
    <t>CRYO-2083-2356</t>
  </si>
  <si>
    <t>CRYO-2084-2357</t>
  </si>
  <si>
    <t>CRYO-2084-2358</t>
  </si>
  <si>
    <t>CRYO-2084-2359</t>
  </si>
  <si>
    <t>CRYO-2084-2360</t>
  </si>
  <si>
    <t>CRYO-2085-2361</t>
  </si>
  <si>
    <t>dented</t>
  </si>
  <si>
    <t>CRYO-2085-2362</t>
  </si>
  <si>
    <t>NFG</t>
  </si>
  <si>
    <t>CRYO-2082-2363</t>
  </si>
  <si>
    <t>CRYO-2084-2364</t>
  </si>
  <si>
    <t>CRYO-2082-2366</t>
  </si>
  <si>
    <t>465, 480</t>
  </si>
  <si>
    <t>Delivered to FTS1, 2/24/14</t>
  </si>
  <si>
    <t>CRYO-ISE-1Q14-07-06</t>
  </si>
  <si>
    <t>CRYO-ISE-1Q14-07-02</t>
  </si>
  <si>
    <t>CRYO-ISE-1Q14-07-07</t>
  </si>
  <si>
    <t>CRYO-ISE-1Q14-07-09</t>
  </si>
  <si>
    <t>CRYO-ISE-1Q14-07-11</t>
  </si>
  <si>
    <t>CRYO-ISE-1Q14-07-08</t>
  </si>
  <si>
    <t>336, 346</t>
  </si>
  <si>
    <t>Dymax 921 gel lot #KO078-KN002  exp 7/31/15</t>
  </si>
  <si>
    <t>delivered to FTS 3/10/14</t>
  </si>
  <si>
    <t>CRYO-44135-196</t>
  </si>
  <si>
    <t>CRYO-44035-198</t>
  </si>
  <si>
    <t>CRYO-44134-197</t>
  </si>
  <si>
    <t>CRYO-43836-199</t>
  </si>
  <si>
    <t>CRYO-44135-200</t>
  </si>
  <si>
    <t>CRYO-44135-202</t>
  </si>
  <si>
    <t>CRYO-44034-203</t>
  </si>
  <si>
    <t>CRYO-44135-204</t>
  </si>
  <si>
    <t>*CRYO-44035-201*</t>
  </si>
  <si>
    <t>X</t>
  </si>
  <si>
    <t>Delivered to FTS1 3/17/14, MK</t>
  </si>
  <si>
    <t>CRYO-2074-2367</t>
  </si>
  <si>
    <t>CRYO-2073-2369</t>
  </si>
  <si>
    <t>CRYO-2073-2370</t>
  </si>
  <si>
    <t>CRYO-2073-2371</t>
  </si>
  <si>
    <t>CRYO-2074-2372</t>
  </si>
  <si>
    <t>CRYO-2074-2377</t>
  </si>
  <si>
    <t>CRYO-2073-2378</t>
  </si>
  <si>
    <t>CRYO-2075-2368</t>
  </si>
  <si>
    <t>CRYO-2074-2373</t>
  </si>
  <si>
    <t>CRYO-2074-2374</t>
  </si>
  <si>
    <t>CRYO-2073-2375</t>
  </si>
  <si>
    <t>CRYO-2074-2376</t>
  </si>
  <si>
    <t>Delivered to FTS1 4/14/14, SV</t>
  </si>
  <si>
    <t>OOS capsule</t>
  </si>
  <si>
    <t>CRYO-2074-2384</t>
  </si>
  <si>
    <t>CRYO-2075-2385</t>
  </si>
  <si>
    <t>CRYO-2071-2387</t>
  </si>
  <si>
    <t>CRYO-2074-2388</t>
  </si>
  <si>
    <t>CRYO-2072-2391</t>
  </si>
  <si>
    <t>CRYO-2071-2390</t>
  </si>
  <si>
    <t>CRYO-2072-2392</t>
  </si>
  <si>
    <t>376; 365, 374</t>
  </si>
  <si>
    <t>409; 415</t>
  </si>
  <si>
    <t>453; 447</t>
  </si>
  <si>
    <t>CRYO-2074-2383</t>
  </si>
  <si>
    <t>CRYO-2075-2386</t>
  </si>
  <si>
    <t>CRYO-2075-2389</t>
  </si>
  <si>
    <t>Shell Lost during CF meas.</t>
  </si>
  <si>
    <t>delivered to FTS1 5/13/14</t>
  </si>
  <si>
    <t>Delivered to FTS1 5/13/14</t>
  </si>
  <si>
    <t>Delivered to FTS1 5/13/14 MK</t>
  </si>
  <si>
    <t>delivered to FTS1 5/13/14 MK</t>
  </si>
  <si>
    <t>168um diameter Polyimide tubing</t>
  </si>
  <si>
    <t>length (11.5mm)</t>
  </si>
  <si>
    <t>assembled length (19.8  - 20.4mm)</t>
  </si>
  <si>
    <t>DDC1701Cryo-14J Sample-1</t>
  </si>
  <si>
    <t>DDC1701Cryo-14J Sample-2</t>
  </si>
  <si>
    <t>167, 334</t>
  </si>
  <si>
    <t>143, 285</t>
  </si>
  <si>
    <t>CRYO-ISE-3Q04-04-52</t>
  </si>
  <si>
    <t>CRYO-ISE-3Q04-04-51</t>
  </si>
  <si>
    <t>CRYO-2070-2393</t>
  </si>
  <si>
    <t>CRYO-2070-2394</t>
  </si>
  <si>
    <t>CRYO-2071-2399</t>
  </si>
  <si>
    <t>CRYO-2071-2400</t>
  </si>
  <si>
    <t>CRYO-2069-2402</t>
  </si>
  <si>
    <t>CRYO-2069-2404</t>
  </si>
  <si>
    <t>CRYO-2071-2405</t>
  </si>
  <si>
    <t>CRYO-2071-2396</t>
  </si>
  <si>
    <t>delivered 6/18/14 Verbridge</t>
  </si>
  <si>
    <t>CRYO-2072-2397</t>
  </si>
  <si>
    <t>CRYO-2069-2407</t>
  </si>
  <si>
    <t>CRYO-2069-2401</t>
  </si>
  <si>
    <t>CRYO-2069-2403</t>
  </si>
  <si>
    <t>CRYO-2070-2406</t>
  </si>
  <si>
    <t>216, 231</t>
  </si>
  <si>
    <t>broken</t>
  </si>
  <si>
    <t>fell off stalk after CF measurement</t>
  </si>
  <si>
    <t xml:space="preserve">fell off stalk  </t>
  </si>
  <si>
    <t>delivered 6/23/14 FTS1</t>
  </si>
  <si>
    <t>CRYO-2070-2415</t>
  </si>
  <si>
    <t>CRYO-2072-2416</t>
  </si>
  <si>
    <t>CRYO-2074-2417</t>
  </si>
  <si>
    <t>CRYO-2073-2418</t>
  </si>
  <si>
    <t>CRYO-2071-2419</t>
  </si>
  <si>
    <t>CRYO-2072-2421</t>
  </si>
  <si>
    <t>CRYO-2074-2420</t>
  </si>
  <si>
    <t>CRYO-2072-2422</t>
  </si>
  <si>
    <t>CRYO-2073-2423</t>
  </si>
  <si>
    <t>CRYO-2072-2424</t>
  </si>
  <si>
    <t>Shell fell off during inspection</t>
  </si>
  <si>
    <t>CRYO-2072-2425</t>
  </si>
  <si>
    <t>CRYO-2075-2429</t>
  </si>
  <si>
    <t>CRYO-2072-2427</t>
  </si>
  <si>
    <t>CRYO-2072-2428</t>
  </si>
  <si>
    <t>delivered to FTS1 7/16/14</t>
  </si>
  <si>
    <t>delivered 7/20/14 S. Scarantino</t>
  </si>
  <si>
    <t>CRYO-2074-2430</t>
  </si>
  <si>
    <t>CRYO-2075-2431</t>
  </si>
  <si>
    <t>CRYO-2074-2432</t>
  </si>
  <si>
    <t>CRYO-2072-2434</t>
  </si>
  <si>
    <t>CRYO-2073-2435</t>
  </si>
  <si>
    <t>CRYO-2073-2436</t>
  </si>
  <si>
    <t>CRYO-2072-2437</t>
  </si>
  <si>
    <t>CRYO-2073-2438</t>
  </si>
  <si>
    <t>CRYO-2075-2440</t>
  </si>
  <si>
    <t>CRYO-2077-2441</t>
  </si>
  <si>
    <t>DELIVERED 8/11/14 S. VERBRIDGE</t>
  </si>
  <si>
    <t>Delivered 13 Aug 2014</t>
  </si>
  <si>
    <t>CRYO-2082-2448</t>
  </si>
  <si>
    <t>CRYO-2082-2450</t>
  </si>
  <si>
    <t>CRYO-2081-2449</t>
  </si>
  <si>
    <t>CRYO-2080-2451</t>
  </si>
  <si>
    <t>CRYO-2080-2455</t>
  </si>
  <si>
    <t>CRYO-2080-2453</t>
  </si>
  <si>
    <t>CRYO-2079-2454</t>
  </si>
  <si>
    <t>CRYO-2082-2447</t>
  </si>
  <si>
    <t>CRYO-2079-2452</t>
  </si>
  <si>
    <t>CRYO-2079-2456</t>
  </si>
  <si>
    <t>CRYO-2082-2457</t>
  </si>
  <si>
    <t>delivered to FTS1 9/15/14 SV</t>
  </si>
  <si>
    <t>CRYO-2079-2458</t>
  </si>
  <si>
    <t>CRYO-2081-2459</t>
  </si>
  <si>
    <t>CRYO-2083-2460</t>
  </si>
  <si>
    <t>CRYO-2079-2461</t>
  </si>
  <si>
    <t>CRYO-2080-2462</t>
  </si>
  <si>
    <t>376, 390</t>
  </si>
  <si>
    <t>393, 410</t>
  </si>
  <si>
    <t>Delivered to FTS1, via Scarantino, 9/22/14</t>
  </si>
  <si>
    <t>CRYO-2072-2463</t>
  </si>
  <si>
    <t>CRYO-2071-2464</t>
  </si>
  <si>
    <t>CRYO-2073-2465</t>
  </si>
  <si>
    <t>CRYO-2073-2466</t>
  </si>
  <si>
    <t>CRYO-2071-2467</t>
  </si>
  <si>
    <t>CRYO-2071-2468</t>
  </si>
  <si>
    <t>CRYO-2071-2469</t>
  </si>
  <si>
    <t>CRYO-2072-2470</t>
  </si>
  <si>
    <t>CRYO-2071-2471</t>
  </si>
  <si>
    <t>CRYO-2072-2472</t>
  </si>
  <si>
    <t>CRYO-2072-2473</t>
  </si>
  <si>
    <t>217, 233</t>
  </si>
  <si>
    <t>CRYO-2071-2474</t>
  </si>
  <si>
    <t>FELL OFF VACUUM CHUCK, DEBRIS ADDED</t>
  </si>
  <si>
    <t>CRYO-2071-2475</t>
  </si>
  <si>
    <t>CRYO-2071-2477</t>
  </si>
  <si>
    <t>delivered to FTS1 10/20/14</t>
  </si>
  <si>
    <t>CRYO-2081-2479</t>
  </si>
  <si>
    <t>CRYO-2081-2480</t>
  </si>
  <si>
    <t>CRYO-2081-2481</t>
  </si>
  <si>
    <t>CRYO-2082-2482</t>
  </si>
  <si>
    <t>CRYO-2081-2483</t>
  </si>
  <si>
    <t>CRYO-2081-2484</t>
  </si>
  <si>
    <t>CRYO-2080-2485</t>
  </si>
  <si>
    <t>CRYO-2081-2486</t>
  </si>
  <si>
    <t>used for C Fella, 111114</t>
  </si>
  <si>
    <t>CRYO-2081-2487</t>
  </si>
  <si>
    <t>CRYO-2081-2488</t>
  </si>
  <si>
    <t>374, 375</t>
  </si>
  <si>
    <t>fiber aligned to H13</t>
  </si>
  <si>
    <t>delivered to FTS1 11/14/14</t>
  </si>
  <si>
    <t>CRYO-ISE-2Q15-08-2</t>
  </si>
  <si>
    <t>CRYO-ISE-2Q15-08-4</t>
  </si>
  <si>
    <t>delivered to CMR 12/23/14</t>
  </si>
  <si>
    <t>used for FTS2 pressure ramp test 12/23/14</t>
  </si>
  <si>
    <t>CRYO-2101-2071</t>
  </si>
  <si>
    <t>CRYO-2080-2495</t>
  </si>
  <si>
    <t>CRYO-2081-2496</t>
  </si>
  <si>
    <t>CRYO-2080-2498</t>
  </si>
  <si>
    <t>CRYO-2080-2499</t>
  </si>
  <si>
    <t>CRYO-2080-2500</t>
  </si>
  <si>
    <t>CRYO-2078-2501</t>
  </si>
  <si>
    <t>CRYO-2080-2502</t>
  </si>
  <si>
    <t>CRYO-2082-2503</t>
  </si>
  <si>
    <t>CRYO-2080-2505</t>
  </si>
  <si>
    <t>CRYO-2080-2507</t>
  </si>
  <si>
    <t>CRYO-2082-2510</t>
  </si>
  <si>
    <t>CRYO-2080-2509</t>
  </si>
  <si>
    <t>CRYO-2081-2490</t>
  </si>
  <si>
    <t>delivered to C. Fella 1-26-15</t>
  </si>
  <si>
    <t>Delivered 1/23/15 to FTS</t>
  </si>
  <si>
    <t>fiber aligned to H13. delivered to FTS1 11/14/14, actually H9</t>
  </si>
  <si>
    <t>CRYO-2086-2511</t>
  </si>
  <si>
    <t>CRYO-2085-2512</t>
  </si>
  <si>
    <t>CRYO-2086-2514</t>
  </si>
  <si>
    <t>CRYO-2085-2515</t>
  </si>
  <si>
    <t>CRYO-2086-2516</t>
  </si>
  <si>
    <t>CRYO-2085-2517</t>
  </si>
  <si>
    <t xml:space="preserve"> </t>
  </si>
  <si>
    <t>CRYO-2087-2518</t>
  </si>
  <si>
    <t>CRYO-2086-2519</t>
  </si>
  <si>
    <t>CRYO-2085-2520</t>
  </si>
  <si>
    <t>CRYO-2088-2521</t>
  </si>
  <si>
    <t>CRYO-2086-2522</t>
  </si>
  <si>
    <t>CRYO-2086-2524</t>
  </si>
  <si>
    <t>CRYO-2086-2525</t>
  </si>
  <si>
    <t>CRYO-2086-2527</t>
  </si>
  <si>
    <t>CRYO-2086-2528</t>
  </si>
  <si>
    <t>CRYO-2085-2529</t>
  </si>
  <si>
    <t>CRYO-2086-2530</t>
  </si>
  <si>
    <t>40s, 10mtorr gold coating, 2/6/15 KJL</t>
  </si>
  <si>
    <t>CRYO-2087-2526</t>
  </si>
  <si>
    <t>DELIVERED 2/9/15 FTS1 VERBRIDGE</t>
  </si>
  <si>
    <t>Delivered to D. Bowens 2/10/15</t>
  </si>
  <si>
    <t>delivered to FTS2 for screening, 2/6/15, returned 2/16</t>
  </si>
  <si>
    <t>CRYO-2085-2531</t>
  </si>
  <si>
    <t>CRYO-2084-2532</t>
  </si>
  <si>
    <t>CRYO-2087-2533</t>
  </si>
  <si>
    <t>CRYO-2087-2534</t>
  </si>
  <si>
    <t>CRYO-2087-2535</t>
  </si>
  <si>
    <t>CRYO-2088-2536</t>
  </si>
  <si>
    <t>CRYO-2087-2537</t>
  </si>
  <si>
    <t>CRYO-2087-2538</t>
  </si>
  <si>
    <t>CRYO-2087-2539</t>
  </si>
  <si>
    <t>CRYO-2089-2540</t>
  </si>
  <si>
    <t>CRYO-2087-2541</t>
  </si>
  <si>
    <t>CRYO-2086-2542</t>
  </si>
  <si>
    <t>360, 363</t>
  </si>
  <si>
    <t>344, 343</t>
  </si>
  <si>
    <t>379, 380</t>
  </si>
  <si>
    <t>delivered to FTS2 for screening, 2/6/15, returned 2/16, delivery to FTS1 2/27/15</t>
  </si>
  <si>
    <t>KO078-KN002, 7/31/2015 921 GEL</t>
  </si>
  <si>
    <t>CRYO-ISE-1Q14-07-12</t>
  </si>
  <si>
    <t>CRYO-ISE-1Q14-07-13</t>
  </si>
  <si>
    <t>CRYO-2123-1919</t>
  </si>
  <si>
    <t>CRYO-2122-1920</t>
  </si>
  <si>
    <t>Delivered to CMR 3/6/15</t>
  </si>
  <si>
    <t>broken in CMR 6 Mar 2015</t>
  </si>
  <si>
    <t>CRYO-2089-2543</t>
  </si>
  <si>
    <t>CRYO-2087-2544</t>
  </si>
  <si>
    <t>CRYO-2089-2545</t>
  </si>
  <si>
    <t>CRYO-2088-2546</t>
  </si>
  <si>
    <t>CRYO-2089-2547</t>
  </si>
  <si>
    <t>CRYO-2089-2548</t>
  </si>
  <si>
    <t>CRYO-2088-2549</t>
  </si>
  <si>
    <t>CRYO-2088-2550</t>
  </si>
  <si>
    <t>CRYO-2087-2553</t>
  </si>
  <si>
    <t>CRYO-2084-2555</t>
  </si>
  <si>
    <t>CRYO-2085-2557</t>
  </si>
  <si>
    <t>400A gold</t>
  </si>
  <si>
    <t>Delivered to FTS1 2/27/15</t>
  </si>
  <si>
    <t>delivered to FTS1 3/20/15 S Scarantino</t>
  </si>
  <si>
    <t>Rice borrowed for campus talk, 10/23/13; returned same day; delivered to J. Ulrich 3/31/15</t>
  </si>
  <si>
    <t>CRYO-2080-2562</t>
  </si>
  <si>
    <t>CRYO-2080-2564</t>
  </si>
  <si>
    <t>CRYO-2080-2565</t>
  </si>
  <si>
    <t>CRYO-2081-2567</t>
  </si>
  <si>
    <t>CRYO-2077-2568</t>
  </si>
  <si>
    <t>CRYO-2078-2569</t>
  </si>
  <si>
    <t>delivered to FTS1, 4/3/15 Scarantino</t>
  </si>
  <si>
    <t>delivered to FTS1 4/3/15, Scarantino</t>
  </si>
  <si>
    <t>CRYO-2079-2559 Au</t>
  </si>
  <si>
    <t>CRYO-2080-2560 Au</t>
  </si>
  <si>
    <t>CRYO-2079-2561 Au</t>
  </si>
  <si>
    <t>CRYO-2078-2571</t>
  </si>
  <si>
    <t>CRYO-2080-2572</t>
  </si>
  <si>
    <t>CRYO-2079-2574</t>
  </si>
  <si>
    <t>CRYO-ISE-3Q03-06-05 MEQ</t>
  </si>
  <si>
    <t>CRYO-ISE-3Q03-06-08 MEQ</t>
  </si>
  <si>
    <t>CRYO-ISE-3Q03-06-09 MEQ</t>
  </si>
  <si>
    <t>Delivered 4/14/15 FTS1 Scarantino</t>
  </si>
  <si>
    <t>7um C</t>
  </si>
  <si>
    <t>0.4 to 0.6mm</t>
  </si>
  <si>
    <t>0.3 to 0.5mm overlap</t>
  </si>
  <si>
    <t>glue bond</t>
  </si>
  <si>
    <t>17um SiC</t>
  </si>
  <si>
    <t>0.9 to 1.1mm</t>
  </si>
  <si>
    <t>D-TR-B-520</t>
  </si>
  <si>
    <t>Type16</t>
  </si>
  <si>
    <t>1.25 to 1.75mm</t>
  </si>
  <si>
    <t>7.116mm</t>
  </si>
  <si>
    <t>168um OD polyimide</t>
  </si>
  <si>
    <t>ProtoType16</t>
  </si>
  <si>
    <t>CRYO-ISE-1Q14-07-14 MEQ</t>
  </si>
  <si>
    <t>CRYO-ISE-1Q14-07-15 MEQ</t>
  </si>
  <si>
    <t>40s, 10mtorr gold coating, 4/2/15 KJL</t>
  </si>
  <si>
    <t>CRYO-2078-2576</t>
  </si>
  <si>
    <t>CRYO-2077-2577</t>
  </si>
  <si>
    <t>CRYO-2079-2578</t>
  </si>
  <si>
    <t>CRYO-2078-2579</t>
  </si>
  <si>
    <t>CRYO-2078-2580</t>
  </si>
  <si>
    <t>CRYO-2078-2582</t>
  </si>
  <si>
    <t>CRYO-2078-2583</t>
  </si>
  <si>
    <t>CRYO-2080-2584</t>
  </si>
  <si>
    <t>CRYO-2078-2585</t>
  </si>
  <si>
    <t>413, 439</t>
  </si>
  <si>
    <t>Delivered 5/4/15 S. Verbridge</t>
  </si>
  <si>
    <t>CRYO-2079-2587</t>
  </si>
  <si>
    <t>CRYO-2080-2588</t>
  </si>
  <si>
    <t>CRYO-2079-2589</t>
  </si>
  <si>
    <t>40s, 10mtorr gold coating, 4/28/15 KJL</t>
  </si>
  <si>
    <t>CRYO-2121-1903</t>
  </si>
  <si>
    <t>CRYO-2123-1904</t>
  </si>
  <si>
    <t>Delivered 5/12/15 MK</t>
  </si>
  <si>
    <t>CRYO-2088-2602</t>
  </si>
  <si>
    <t>CRYO-2087-2603</t>
  </si>
  <si>
    <t>CRYO-2087-2604</t>
  </si>
  <si>
    <t>CRYO-2089-2605</t>
  </si>
  <si>
    <t>CRYO-2088-2606</t>
  </si>
  <si>
    <t>CRYO-2089-2607</t>
  </si>
  <si>
    <t>CRYO-2087-2608</t>
  </si>
  <si>
    <t>CRYO-2088-2609</t>
  </si>
  <si>
    <t>CRYO-2087-2610</t>
  </si>
  <si>
    <t>CRYO-ME-1238-0249</t>
  </si>
  <si>
    <t>CRYO-ME-1235-0250</t>
  </si>
  <si>
    <t>CRYO-ME-1234-0251</t>
  </si>
  <si>
    <t>CRYO-2087-2611</t>
  </si>
  <si>
    <t>CRYO-2085-2612</t>
  </si>
  <si>
    <t>CRYO-2085-2613</t>
  </si>
  <si>
    <t>CRYO-2086-2614</t>
  </si>
  <si>
    <t>delivered to FTS1 6/1/15</t>
  </si>
  <si>
    <t>comb 4-4</t>
  </si>
  <si>
    <t>comb 4-6</t>
  </si>
  <si>
    <t>comb4-8</t>
  </si>
  <si>
    <t>comb4-9</t>
  </si>
  <si>
    <t>comb4-10</t>
  </si>
  <si>
    <t>comb4-11</t>
  </si>
  <si>
    <t>240, 259</t>
  </si>
  <si>
    <t>CRYO-ISE-4Q09-05-115</t>
  </si>
  <si>
    <t>CRYO-ISE-4Q15-06-01</t>
  </si>
  <si>
    <t>CRYO-ISE-4Q15-06-02</t>
  </si>
  <si>
    <t>CRYO-ISE-4Q15-06-03</t>
  </si>
  <si>
    <t>Delivered to FTS1 6/29/15 dendrite</t>
  </si>
  <si>
    <t>delivered to cryo for offset test 7/9/15</t>
  </si>
  <si>
    <t>296, 310</t>
  </si>
  <si>
    <t>314, 327</t>
  </si>
  <si>
    <t>delivered to cryo for offset test 7/10/15</t>
  </si>
  <si>
    <t>delivered to cryo for offset test 7/17/15</t>
  </si>
  <si>
    <t>CRYO-ME-1241-0252</t>
  </si>
  <si>
    <t>Delivered to Cryo 7/20/15</t>
  </si>
  <si>
    <t>CRYO-2079-2622</t>
  </si>
  <si>
    <t>CRYO-2081-2625</t>
  </si>
  <si>
    <t>CRYO-2079-2627</t>
  </si>
  <si>
    <t>CRYO-2080-2628</t>
  </si>
  <si>
    <t>CRYO-2078-2630</t>
  </si>
  <si>
    <t>CRYO-2078-2631</t>
  </si>
  <si>
    <t>CRYO-2078-2632</t>
  </si>
  <si>
    <t>CRYO-2079-2633</t>
  </si>
  <si>
    <t>CRYO-2078-2634</t>
  </si>
  <si>
    <t>CRYO-2078-2635</t>
  </si>
  <si>
    <t>CRYO-2078-2636</t>
  </si>
  <si>
    <t>Dymax 921 gel lot #479114  exp 7/19/16</t>
  </si>
  <si>
    <t>Shell too dirty (LLE)</t>
  </si>
  <si>
    <t>CRYO-2081-2491</t>
  </si>
  <si>
    <t>CRYO-2080-2492</t>
  </si>
  <si>
    <t>CRYO-2080-2493</t>
  </si>
  <si>
    <t>435, 450, 445</t>
  </si>
  <si>
    <t>CRYO-2080-2623</t>
  </si>
  <si>
    <t>398, 396</t>
  </si>
  <si>
    <t>CRYO-2079-2624</t>
  </si>
  <si>
    <t>CRYO-2078-2626</t>
  </si>
  <si>
    <t>CRYO-ME-1232-0193</t>
  </si>
  <si>
    <t>Deliver Rm157 8/5/15</t>
  </si>
  <si>
    <t>CRYO-1076-003</t>
  </si>
  <si>
    <t>CRYO-1076-005</t>
  </si>
  <si>
    <t>CRYO-2080-2652</t>
  </si>
  <si>
    <t>CRYO-2081-2653</t>
  </si>
  <si>
    <t>CRYO-2080-2654</t>
  </si>
  <si>
    <t>CRYO-2081-2655</t>
  </si>
  <si>
    <t>CRYO-2081-2656</t>
  </si>
  <si>
    <t>CRYO-2081-2658</t>
  </si>
  <si>
    <t>CRYO-2079-2659</t>
  </si>
  <si>
    <t>CRYO-2080-2663</t>
  </si>
  <si>
    <t>CRYO-2080-2665</t>
  </si>
  <si>
    <t>delivered to FTS1 7/30/15</t>
  </si>
  <si>
    <t>353, 364</t>
  </si>
  <si>
    <t>delivered to FTS1 8/31/15 Sal</t>
  </si>
  <si>
    <t>delivered to FTS1 8/31/15 Sal; LOST IN TFS GLOVEBOX</t>
  </si>
  <si>
    <t>delivered to FTS1 8/31/15 Sal; REPLACEMENT, LOST IN TFS GLOVEBOX</t>
  </si>
  <si>
    <t>CRYO-2079-2666</t>
  </si>
  <si>
    <t>CRYO-2080-2668</t>
  </si>
  <si>
    <t>CRYO-2079-2669</t>
  </si>
  <si>
    <t>delivered to FTS1 for hand loading, 9/1/15, Sal; broken in glovebox</t>
  </si>
  <si>
    <t>391, 407</t>
  </si>
  <si>
    <t>delivered to FTS1 hand loaded, Sal 9/1/15</t>
  </si>
  <si>
    <t>CRYO-2081-2676</t>
  </si>
  <si>
    <t>CRYO-2079-2677</t>
  </si>
  <si>
    <t>CRYO-2080-2678</t>
  </si>
  <si>
    <t>CRYO-2078-2680</t>
  </si>
  <si>
    <t>CRYO-2079-2681</t>
  </si>
  <si>
    <t>CRYO-2079-2682</t>
  </si>
  <si>
    <t>CRYO-2079-2683</t>
  </si>
  <si>
    <t>CRYO-2079-2686</t>
  </si>
  <si>
    <t>CRYO-2077-2687</t>
  </si>
  <si>
    <t>CRYO-2080-2689</t>
  </si>
  <si>
    <t>CRYO-2081-2690</t>
  </si>
  <si>
    <t>CRYO-2081-2691</t>
  </si>
  <si>
    <t>CRYO-2081-2693</t>
  </si>
  <si>
    <t>CRYO-2081-2694</t>
  </si>
  <si>
    <t>CRYO-2080-2695</t>
  </si>
  <si>
    <t>CRYO-2081-2697</t>
  </si>
  <si>
    <t>CRYO-2079-2698</t>
  </si>
  <si>
    <t>CRYO-2079-2699</t>
  </si>
  <si>
    <t>delivered for DJP 9/21/15</t>
  </si>
  <si>
    <t>delivered to DJP 9/21/15</t>
  </si>
  <si>
    <t>delivered for FTS1 for CRYO-16A 9/21/15</t>
  </si>
  <si>
    <t>SCD Samples 890x42um-4</t>
  </si>
  <si>
    <t>SCD Samples 890x42um-5</t>
  </si>
  <si>
    <t>SCD Samples 890x42um-6</t>
  </si>
  <si>
    <t>SCD Samples 890x42um-7</t>
  </si>
  <si>
    <t>SCD47G-21  F</t>
  </si>
  <si>
    <t>2278-2  E</t>
  </si>
  <si>
    <t xml:space="preserve">Si bead-1  B  </t>
  </si>
  <si>
    <t>CRYO-2079-2700</t>
  </si>
  <si>
    <t>CRYO-2078-2701</t>
  </si>
  <si>
    <t>CRYO-2079-2702</t>
  </si>
  <si>
    <t>CRYO-2079-2703</t>
  </si>
  <si>
    <t>CRYO-2078-2704</t>
  </si>
  <si>
    <t>CRYO-2079-2706</t>
  </si>
  <si>
    <t>CRYO-2082-2707</t>
  </si>
  <si>
    <t>CRYO-2082-2708</t>
  </si>
  <si>
    <t>CRYO-2083-2710</t>
  </si>
  <si>
    <t>CRYO-2082-2711</t>
  </si>
  <si>
    <t>CRYO-2082-2714</t>
  </si>
  <si>
    <t>CRYO-2081-2716</t>
  </si>
  <si>
    <t>Delivered to Jacobs-Perkins 10/13/15</t>
  </si>
  <si>
    <t>used for dendrite rehersal test to remove shell from mount</t>
  </si>
  <si>
    <t>USED FOR DENDRITE REHERSAL 10/13/15</t>
  </si>
  <si>
    <t>CRYO-ISE-3Q09-03-36</t>
  </si>
  <si>
    <t>delivered to Chad Fella (DJP) for cart testing on 10/16/15</t>
  </si>
  <si>
    <t>385, 400</t>
  </si>
  <si>
    <t>Delivered to FTS1 10/19/15</t>
  </si>
  <si>
    <t>broken in He glovebox upon transfer to glass jar</t>
  </si>
  <si>
    <t>delivered to FTS1 10/19/15</t>
  </si>
  <si>
    <t>Dymax 605</t>
  </si>
  <si>
    <t xml:space="preserve">Si bead-2  C  </t>
  </si>
  <si>
    <t>CRYO-2081-2724</t>
  </si>
  <si>
    <t>CRYO-2081-2725</t>
  </si>
  <si>
    <t>CRYO-2081-2726</t>
  </si>
  <si>
    <t>CRYO-2080-2727</t>
  </si>
  <si>
    <t>CRYO-2081-2730</t>
  </si>
  <si>
    <t>CRYO-2081-2731</t>
  </si>
  <si>
    <t>CRYO-2080-2732</t>
  </si>
  <si>
    <t>CRYO-2080-2733</t>
  </si>
  <si>
    <t>CRYO-2082-2734</t>
  </si>
  <si>
    <t>CRYO-2080-2735</t>
  </si>
  <si>
    <t>CRYO-2083-2737</t>
  </si>
  <si>
    <t>CRYO-2080-2739</t>
  </si>
  <si>
    <t>delivered to D. Bowens 11/11/15</t>
  </si>
  <si>
    <t>OOS</t>
  </si>
  <si>
    <t>19, 18</t>
  </si>
  <si>
    <t>374, 393</t>
  </si>
  <si>
    <t>CRYO-2080-2740</t>
  </si>
  <si>
    <t>CRYO-2078-2746</t>
  </si>
  <si>
    <t>CRYO-2077-2747</t>
  </si>
  <si>
    <t>CRYO-2082-2717</t>
  </si>
  <si>
    <t>CRYO-2082-2718</t>
  </si>
  <si>
    <t>delivered to S Scar 11/20/15</t>
  </si>
  <si>
    <t>delivered to C Fella 12-18-15</t>
  </si>
  <si>
    <t>CRYO-ME-4Q13-3</t>
  </si>
  <si>
    <t>CRYO-ME-4Q13-5</t>
  </si>
  <si>
    <t>CRYO-ME-4Q13-7</t>
  </si>
  <si>
    <t>CRYO-ME-4Q13-8</t>
  </si>
  <si>
    <t>CRYO-ME-4Q13-10</t>
  </si>
  <si>
    <t>CRYO-ME-4Q13-12</t>
  </si>
  <si>
    <t>CRYO-ME-4Q13-15</t>
  </si>
  <si>
    <t>CRYO-ISE-1Q14-07-21</t>
  </si>
  <si>
    <t>CRYO-ISE-1Q14-07-23</t>
  </si>
  <si>
    <t>CRYO-ISE-1Q14-07-24</t>
  </si>
  <si>
    <t>drawn cap taper length, mm</t>
  </si>
  <si>
    <t>glue spot 0 deg</t>
  </si>
  <si>
    <t>glue spot 90 deg</t>
  </si>
  <si>
    <t>26.8um</t>
  </si>
  <si>
    <t>24.2um</t>
  </si>
  <si>
    <t>43.2um</t>
  </si>
  <si>
    <t>29.8um</t>
  </si>
  <si>
    <t>29.6um</t>
  </si>
  <si>
    <t>Fiber length 1mm</t>
  </si>
  <si>
    <t>0.998 SiC</t>
  </si>
  <si>
    <t>0.992 SiC</t>
  </si>
  <si>
    <t>32.55 shell center to taper</t>
  </si>
  <si>
    <t>32.08 shell center to taper</t>
  </si>
  <si>
    <t>33.15 shell center to taper</t>
  </si>
  <si>
    <t>delivered to C. Fella 1/6/16</t>
  </si>
  <si>
    <t>delivered to C. Fella 1/8/16</t>
  </si>
  <si>
    <t>1.006 Alumina</t>
  </si>
  <si>
    <t>33.78 shell center to taper</t>
  </si>
  <si>
    <t>25.2um</t>
  </si>
  <si>
    <t>25um</t>
  </si>
  <si>
    <t>CRYO-ISE-1Q14-07-25</t>
  </si>
  <si>
    <t>CRYO-ISE-1Q14-07-27</t>
  </si>
  <si>
    <t>CRYO-ISE-1Q14-07-29</t>
  </si>
  <si>
    <t>white noise 0.5V, failed at 0.75V; glue fail</t>
  </si>
  <si>
    <t>CRYO-ISE-1Q14-07-03</t>
  </si>
  <si>
    <t>CRYO-ISE-1Q14-07-18</t>
  </si>
  <si>
    <t>CRYO-ISE-1Q14-07-30</t>
  </si>
  <si>
    <t>1.015 Alumina</t>
  </si>
  <si>
    <t>32.21 shell center to taper</t>
  </si>
  <si>
    <t>18.8um</t>
  </si>
  <si>
    <t>17.4um</t>
  </si>
  <si>
    <t>1.000 Alumina</t>
  </si>
  <si>
    <t>33.43 shell center to taper</t>
  </si>
  <si>
    <t>31.8um</t>
  </si>
  <si>
    <t>29.2um</t>
  </si>
  <si>
    <t>1.000 Carbon</t>
  </si>
  <si>
    <t>33.27 shell center to taper</t>
  </si>
  <si>
    <t>28.2um</t>
  </si>
  <si>
    <t>28um</t>
  </si>
  <si>
    <t>33.17 shell center to taper</t>
  </si>
  <si>
    <t>14.8um</t>
  </si>
  <si>
    <t>32.56 shell center to taper</t>
  </si>
  <si>
    <t>26.0um</t>
  </si>
  <si>
    <t>27.0um</t>
  </si>
  <si>
    <t>white noise 0.87V, glue fail</t>
  </si>
  <si>
    <t>white noise, 1.5V, glue fail (no ramp up, first time testing)</t>
  </si>
  <si>
    <t>white noise 1.15V ramp, fiber snap 50um from shell!</t>
  </si>
  <si>
    <t>CRYO-ME-4Q13-27</t>
  </si>
  <si>
    <t>CRYO-ME-4Q13-22</t>
  </si>
  <si>
    <t>CRYO-ME-4Q13-29</t>
  </si>
  <si>
    <t>delivered to C. Fella 1/28/16</t>
  </si>
  <si>
    <t>white noise 0.58V, glue failure</t>
  </si>
  <si>
    <t>white noise 0.87, glue failure</t>
  </si>
  <si>
    <t>white noise, 1.15V, glue failure</t>
  </si>
  <si>
    <t>CRYO-5081-0002</t>
  </si>
  <si>
    <t>CRYO-5081-0003</t>
  </si>
  <si>
    <t>CRYO-5082-0014</t>
  </si>
  <si>
    <t>CRYO-5084-0015</t>
  </si>
  <si>
    <t>CRYO-5083-0016</t>
  </si>
  <si>
    <t>CRYO-5083-0017</t>
  </si>
  <si>
    <t>white noise, 0.58V glue failure</t>
  </si>
  <si>
    <t>white noise, 0.87V glue failure</t>
  </si>
  <si>
    <t>CRYO-5080-0006</t>
  </si>
  <si>
    <t>CRYO-5083-0018</t>
  </si>
  <si>
    <t>CRYO-5083-0019</t>
  </si>
  <si>
    <t>CRYO-5080-0020</t>
  </si>
  <si>
    <t>CRYO-5080-0001  0.4atm% Ge</t>
  </si>
  <si>
    <t>CRYO-5084-0013  0.7atm% Ge</t>
  </si>
  <si>
    <t>388, 406</t>
  </si>
  <si>
    <t>delivered to TFS 2/9/16</t>
  </si>
  <si>
    <t>CRYO-1080-008</t>
  </si>
  <si>
    <t>CRYO-1080-009</t>
  </si>
  <si>
    <t>CRYO-1080-011</t>
  </si>
  <si>
    <t>CRYO-1080-012</t>
  </si>
  <si>
    <t>CRYO-1080-013</t>
  </si>
  <si>
    <t>CRYO-1078-010</t>
  </si>
  <si>
    <t>CRYO-1079-014</t>
  </si>
  <si>
    <t>CRYO-1077-015</t>
  </si>
  <si>
    <t>CRYO-1077-016</t>
  </si>
  <si>
    <t>CRYO-1078-017</t>
  </si>
  <si>
    <t>CRYO-1079-018</t>
  </si>
  <si>
    <t>CRYO-1079-019</t>
  </si>
  <si>
    <t>CRYO-1078-020</t>
  </si>
  <si>
    <t>CRYO-1080-021</t>
  </si>
  <si>
    <t>CRYO-1079-022</t>
  </si>
  <si>
    <t>CRYO-1078-023</t>
  </si>
  <si>
    <t>Type 15</t>
  </si>
  <si>
    <t>CRYO-ISE-3Q03-06-11</t>
  </si>
  <si>
    <t>CRYO-ISE-3Q03-06-12</t>
  </si>
  <si>
    <t>http://www.lle.rochester.edu/04_resources/04_07_PDM/pdmdocs/release/D/D-TR/D-TR-B-509/A/D-TR-B-509_REVA.PDF</t>
  </si>
  <si>
    <t>delivered 3/7/16 S.Scarantino</t>
  </si>
  <si>
    <t>6  Hamamatsu</t>
  </si>
  <si>
    <t>12 Hamamatsu</t>
  </si>
  <si>
    <t>26 Hamamatsu</t>
  </si>
  <si>
    <t>23 Hamamatsu</t>
  </si>
  <si>
    <t>18 Hamamatsu</t>
  </si>
  <si>
    <t>34 Hamamatsu</t>
  </si>
  <si>
    <t>36 Hamamatsu</t>
  </si>
  <si>
    <t>37 Hamamatsu</t>
  </si>
  <si>
    <t>38 Hamamatsu</t>
  </si>
  <si>
    <t>delivered to S Scar 3/29/16</t>
  </si>
  <si>
    <t>used for testing 4/12/16</t>
  </si>
  <si>
    <t>CRYO-1081-024</t>
  </si>
  <si>
    <t>CRYO-1081-025</t>
  </si>
  <si>
    <t>CRYO-1081-026</t>
  </si>
  <si>
    <t>CRYO-1081-027</t>
  </si>
  <si>
    <t>CRYO-1081-028</t>
  </si>
  <si>
    <t>CRYO-1081-029</t>
  </si>
  <si>
    <t>CRYO-1082-031</t>
  </si>
  <si>
    <t>CRYO-1081-032</t>
  </si>
  <si>
    <t>CRYO-1082-033</t>
  </si>
  <si>
    <t>CRYO-1080-035</t>
  </si>
  <si>
    <t>CRYO-1080-036</t>
  </si>
  <si>
    <t>CRYO-1079-037</t>
  </si>
  <si>
    <t>Confocal scans 130deg, 270deg</t>
  </si>
  <si>
    <t>Confocal scan 180deg</t>
  </si>
  <si>
    <t>Confocal scan 90deg</t>
  </si>
  <si>
    <t>delivered to S Scar 4/19/16</t>
  </si>
  <si>
    <t>CRYO-1116-0043</t>
  </si>
  <si>
    <t>CRYO-1119-0045</t>
  </si>
  <si>
    <t>CRYO-1117-0049</t>
  </si>
  <si>
    <t>CRYO-1118-0041</t>
  </si>
  <si>
    <t>CRYO-1117-0042</t>
  </si>
  <si>
    <t>CRYO-1118-0054</t>
  </si>
  <si>
    <t>CRYO-1116-0050</t>
  </si>
  <si>
    <t>CRYO-1119-0055</t>
  </si>
  <si>
    <t>CRYO-1115-0058</t>
  </si>
  <si>
    <t>CRYO-1115-0040</t>
  </si>
  <si>
    <t>CRYO-1123-0044</t>
  </si>
  <si>
    <t>CRYO-1125-0046</t>
  </si>
  <si>
    <t>CRYO-1116-0051</t>
  </si>
  <si>
    <t>CRYO-1116-0052</t>
  </si>
  <si>
    <t>CRYO-1116-0053</t>
  </si>
  <si>
    <t>CRYO-1121-0056</t>
  </si>
  <si>
    <t>CRYO-1118-0057</t>
  </si>
  <si>
    <t>CRYO-1118-0059</t>
  </si>
  <si>
    <t>CRYO-1124-0048</t>
  </si>
  <si>
    <t>delivered to B. Ruth 5/9/16</t>
  </si>
  <si>
    <t>delivered to FTS</t>
  </si>
  <si>
    <t>delivered to C. Fella 6/6/16</t>
  </si>
  <si>
    <t>CRYO-5079-0031</t>
  </si>
  <si>
    <t>CRYO-5081-0041</t>
  </si>
  <si>
    <t>CRYO-5079-0034</t>
  </si>
  <si>
    <t>CRYO-5079-0039</t>
  </si>
  <si>
    <t>CRYO-5082-0007</t>
  </si>
  <si>
    <t>CRYO-5080-0008</t>
  </si>
  <si>
    <t>CRYO-5080-0010</t>
  </si>
  <si>
    <t>CRYO-5081-0011</t>
  </si>
  <si>
    <t>CRYO-5082-0012</t>
  </si>
  <si>
    <t>Delivered to 157 6/10/16</t>
  </si>
  <si>
    <t>CRYO-ME-4Q13-7 (MEQ)</t>
  </si>
  <si>
    <t>CRYO-ISE-2Q16-10-A201 (MEQ)</t>
  </si>
  <si>
    <t>delivered to C. Fella 6/16/16</t>
  </si>
  <si>
    <t>ISE-2Q16-10-A205 (MEQ)</t>
  </si>
  <si>
    <t>ISE-2Q16-10-A208 (MEQ)</t>
  </si>
  <si>
    <t>ISE-2Q16-10-A212 (MEQ)</t>
  </si>
  <si>
    <t>CRYO-1078-0061</t>
  </si>
  <si>
    <t>CRYO-1078-0063</t>
  </si>
  <si>
    <t>CRYO-1079-0064</t>
  </si>
  <si>
    <t>CRYO-1078-0065</t>
  </si>
  <si>
    <t>CRYO-1078-0067</t>
  </si>
  <si>
    <t>CRYO-1079-0068</t>
  </si>
  <si>
    <t>CRYO-1081-0069</t>
  </si>
  <si>
    <t>CRYO-1079-0070</t>
  </si>
  <si>
    <t>CRYO-1078-0071</t>
  </si>
  <si>
    <t>CRYO-1080-0072</t>
  </si>
  <si>
    <t>%</t>
  </si>
  <si>
    <t>11um wall capsules</t>
  </si>
  <si>
    <t>Quantity</t>
  </si>
  <si>
    <t>Type1E  targets assembled  to date*</t>
  </si>
  <si>
    <t>*does not include MEQ targets</t>
  </si>
  <si>
    <t>Out-of-spec targets  (first natural frequency &lt;330Hz )</t>
  </si>
  <si>
    <t>Breakdown of out-of-spec targets</t>
  </si>
  <si>
    <t>Unknown reason (dimensionally to-spec targets)</t>
  </si>
  <si>
    <t>Silicon carbide fiber less than 16um diameter</t>
  </si>
  <si>
    <t>Shaker data</t>
  </si>
  <si>
    <t>Delivered for FTS2 test 6/24/16</t>
  </si>
  <si>
    <t>delivered to FTS2 6/24/16</t>
  </si>
  <si>
    <t>delivered to S.Scarantino 7/18/16</t>
  </si>
  <si>
    <t>CRYO-9104-0016</t>
  </si>
  <si>
    <t>CRYO-9107-0017</t>
  </si>
  <si>
    <t>CRYO-9114-0018</t>
  </si>
  <si>
    <t>CRYO-9106-0019</t>
  </si>
  <si>
    <t>CRYO-9112-0020</t>
  </si>
  <si>
    <t>CRYO-9116-0021</t>
  </si>
  <si>
    <t>CRYO-9106-0022</t>
  </si>
  <si>
    <t>CRYO-9107-0023</t>
  </si>
  <si>
    <t>Dymax 921 gel lot #512686  exp  8/5/17</t>
  </si>
  <si>
    <t>ISE-2Q16-10-B117</t>
  </si>
  <si>
    <t>Handed off to M. Koch 8/10/16</t>
  </si>
  <si>
    <t>Delivered to Rm. 157 8/12/16</t>
  </si>
  <si>
    <t>CRYO-2076-2748</t>
  </si>
  <si>
    <t>CRYO-2075-2750</t>
  </si>
  <si>
    <t>CRYO-2075-2751</t>
  </si>
  <si>
    <t>CRYO-2076-2752</t>
  </si>
  <si>
    <t>CRYO-2076-2754</t>
  </si>
  <si>
    <t>CRYO-2076-2755</t>
  </si>
  <si>
    <t>CRYO-2075-2757</t>
  </si>
  <si>
    <t>CRYO-2076-2759</t>
  </si>
  <si>
    <t>delivered to C. Fella 9/9/16</t>
  </si>
  <si>
    <t>ISE-2Q16-10-A215</t>
  </si>
  <si>
    <t>ISE-2Q16-10-A218</t>
  </si>
  <si>
    <t>Handed off to B. Ruth 9/14/16</t>
  </si>
  <si>
    <t>Delivered to Rm. 157 9/20/16, M. Koch</t>
  </si>
  <si>
    <t>CRYO-ISE-1Q11-01-45</t>
  </si>
  <si>
    <t>CRYO-ISE-1Q11-01-70</t>
  </si>
  <si>
    <t>CRYO-ISE-1Q11-01-63</t>
  </si>
  <si>
    <t>CRYO-ISE-1Q11-01-75</t>
  </si>
  <si>
    <t>delivered to M. Koch 10/10/16</t>
  </si>
  <si>
    <t>CRYO-ISE-2Q16-10-A220</t>
  </si>
  <si>
    <t>CRYO-ISE-2Q16-10-B101</t>
  </si>
  <si>
    <t>CRYO-ISE-2Q16-10-B102</t>
  </si>
  <si>
    <t>CRYO-ISE-2Q16-10-B107</t>
  </si>
  <si>
    <t>CRYO-ISE-2Q16-10-B109</t>
  </si>
  <si>
    <t>CRYO-ISE-2Q16-10-B110</t>
  </si>
  <si>
    <t>284, 296</t>
  </si>
  <si>
    <t>236, 247</t>
  </si>
  <si>
    <t>Handed off to C. Fella 11/18/16</t>
  </si>
  <si>
    <t>Handed off to M. Koch 11/23/16</t>
  </si>
  <si>
    <t>Handed to C. Fella 12/2/16</t>
  </si>
  <si>
    <t>Handed to C. Fella 12/12/16</t>
  </si>
  <si>
    <t>12/15/16 to S. Scarantino</t>
  </si>
  <si>
    <t>CRYO-ISE-2Q16-10-B112</t>
  </si>
  <si>
    <t>CRYO-ISE-2Q16-10-B113</t>
  </si>
  <si>
    <t>CRYO-ISE-2Q16-10-B114</t>
  </si>
  <si>
    <t>CRYO-ISE-2Q16-10-B115</t>
  </si>
  <si>
    <t>CRYO-2076-2764</t>
  </si>
  <si>
    <t>CRYO-2077-2766</t>
  </si>
  <si>
    <t>CRYO-2076-2768</t>
  </si>
  <si>
    <t>CRYO-2077-2769</t>
  </si>
  <si>
    <t>CRYO-2077-2770</t>
  </si>
  <si>
    <t>CRYO-2076-2771</t>
  </si>
  <si>
    <t>CRYO-2078-2772</t>
  </si>
  <si>
    <t>Delivered to SSCA 1/3/17</t>
  </si>
  <si>
    <t>delivered to SSCA 1/3/17</t>
  </si>
  <si>
    <t>CRYO-2078-2775</t>
  </si>
  <si>
    <t>CRYO-2076-2776</t>
  </si>
  <si>
    <t>CRYO-2077-2777</t>
  </si>
  <si>
    <t>CRYO-2077-2778</t>
  </si>
  <si>
    <t>glue</t>
  </si>
  <si>
    <t>defects &gt;5um</t>
  </si>
  <si>
    <t>for debris test in CART7</t>
  </si>
  <si>
    <t>CRYO-9079-0025</t>
  </si>
  <si>
    <t>CRYO-9079-0026</t>
  </si>
  <si>
    <t>CRYO-9080-0028</t>
  </si>
  <si>
    <t>CRYO-9080-0029</t>
  </si>
  <si>
    <t>CRYO-9080-0034</t>
  </si>
  <si>
    <t>CRYO-9080-0033</t>
  </si>
  <si>
    <t>CRYO-9079-0030</t>
  </si>
  <si>
    <t>CRYO-9079-0031</t>
  </si>
  <si>
    <t>CRYO-9079-0036</t>
  </si>
  <si>
    <t>Delivered to M. Koch 2/14/17</t>
  </si>
  <si>
    <t>shell fell off in dry box and lost</t>
  </si>
  <si>
    <t>CRYO-ISE-2Q16-10-B116</t>
  </si>
  <si>
    <t xml:space="preserve">CRYO-ISE-2Q16-10-B118 </t>
  </si>
  <si>
    <t>CRYO-9077-0024</t>
  </si>
  <si>
    <t>CRYO-9076-0027</t>
  </si>
  <si>
    <t>CRYO-9077-0032</t>
  </si>
  <si>
    <t>CRYO-9077-0035</t>
  </si>
  <si>
    <t>CRYO-9078-0038</t>
  </si>
  <si>
    <t>CRYO-9077-0040</t>
  </si>
  <si>
    <t>387, 398</t>
  </si>
  <si>
    <t>CRYO-9079-0037</t>
  </si>
  <si>
    <t>CRYO-9079-0042</t>
  </si>
  <si>
    <t>450, 466</t>
  </si>
  <si>
    <t>CRYO-9080-0041</t>
  </si>
  <si>
    <t>Fill tube test no. 1</t>
  </si>
  <si>
    <t>Fill tube test no. 2</t>
  </si>
  <si>
    <t>Delivered to Rm 157 2/23/17</t>
  </si>
  <si>
    <t>delivered to Rm. 157  1/16/17</t>
  </si>
  <si>
    <t>DELIVERED TO C. FELLA 3/7/17</t>
  </si>
  <si>
    <t>CRYO-2075-2749</t>
  </si>
  <si>
    <t>CRYO-2077-2753</t>
  </si>
  <si>
    <t>CRYO-2076-2756</t>
  </si>
  <si>
    <t>CRYO-2076-2760</t>
  </si>
  <si>
    <t>CRYO-2075-2761</t>
  </si>
  <si>
    <t>CRYO-2075-2762</t>
  </si>
  <si>
    <t>CRYO-2074-2763</t>
  </si>
  <si>
    <t>CRYO-2076-2779</t>
  </si>
  <si>
    <t>CRYO-1080-0089</t>
  </si>
  <si>
    <t>CRYO-1080-0090</t>
  </si>
  <si>
    <t>CRYO-1079-0091</t>
  </si>
  <si>
    <t>CRYO-1079-0093</t>
  </si>
  <si>
    <t>CRYO-1079-0092</t>
  </si>
  <si>
    <t>CRYO-1079-0094</t>
  </si>
  <si>
    <t>CRYO-1079-0095</t>
  </si>
  <si>
    <t>CRYO-1079-0088</t>
  </si>
  <si>
    <t>CRYO-1079-0081</t>
  </si>
  <si>
    <t>ISE-2Q16-10-B122 MEQ</t>
  </si>
  <si>
    <t>delivered to Rm157 3/21/17</t>
  </si>
  <si>
    <t xml:space="preserve"> CRYO-1078-0083CRYO-dirty, cavity #4</t>
  </si>
  <si>
    <t>shell fell off</t>
  </si>
  <si>
    <t>CRYO-FT-001</t>
  </si>
  <si>
    <t>CRYO-FT-002</t>
  </si>
  <si>
    <t>CRYO-5084-0073</t>
  </si>
  <si>
    <t>CRYO-5084-0074</t>
  </si>
  <si>
    <t>CRYO-5084-0075</t>
  </si>
  <si>
    <t>CRYO-5084-0076</t>
  </si>
  <si>
    <t>CRYO-5084-0077</t>
  </si>
  <si>
    <t>CRYO-5081-0057</t>
  </si>
  <si>
    <t>CRYO-5086-0070</t>
  </si>
  <si>
    <t>CRYO-5085-0071</t>
  </si>
  <si>
    <t>CRYO-5084-0069</t>
  </si>
  <si>
    <t>CRYO-5082-0054</t>
  </si>
  <si>
    <t>CRYO-5081-0055</t>
  </si>
  <si>
    <t>CRYO-5081-0056</t>
  </si>
  <si>
    <t>CRYO-5083-0072</t>
  </si>
  <si>
    <t>CRYO-5085-0068</t>
  </si>
  <si>
    <t>CRYO-5078-0061</t>
  </si>
  <si>
    <t>CRYO-5077-0060</t>
  </si>
  <si>
    <t>CRYO-5077-0059</t>
  </si>
  <si>
    <t>CRYO-5077-0058</t>
  </si>
  <si>
    <t>CRYO-5077-0065</t>
  </si>
  <si>
    <t>CRYO-5086-0067</t>
  </si>
  <si>
    <t>CRYO-ISE-2Q16-10-B125</t>
  </si>
  <si>
    <t>CRYO-ISE-3Q12-04-01</t>
  </si>
  <si>
    <t>PHOTOS IN MBON CRYO FOLDER FOR CRYO-17G</t>
  </si>
  <si>
    <t>good</t>
  </si>
  <si>
    <t>good, sm</t>
  </si>
  <si>
    <t>delivered to Rm. 157 4-14-17</t>
  </si>
  <si>
    <t>delivered to Rm. 157 4-10-17</t>
  </si>
  <si>
    <t>0.94atm% Ge; delivered to Sal 4/17/17</t>
  </si>
  <si>
    <t>0.95atm% Ge; delivered to Sal 4/17/17</t>
  </si>
  <si>
    <t>0.62atm% Ge; delivered to Sal 4/17/17</t>
  </si>
  <si>
    <t>CRYO-1079-0096</t>
  </si>
  <si>
    <t>CRYO-1079-0097</t>
  </si>
  <si>
    <t>CRYO-1079-0098</t>
  </si>
  <si>
    <t>CRYO-1079-0099</t>
  </si>
  <si>
    <t>CRYO-1079-0100</t>
  </si>
  <si>
    <t>CRYO-1079-0106</t>
  </si>
  <si>
    <t>CRYO-1079-0115</t>
  </si>
  <si>
    <t>CRYO-1079-0109</t>
  </si>
  <si>
    <t>CRYO-1080-0110</t>
  </si>
  <si>
    <t>34/35</t>
  </si>
  <si>
    <t>30/31</t>
  </si>
  <si>
    <t>CRYO-1080-0111</t>
  </si>
  <si>
    <t>29/41</t>
  </si>
  <si>
    <t>33/35</t>
  </si>
  <si>
    <t>CRYO-1080-0107</t>
  </si>
  <si>
    <t>24/25</t>
  </si>
  <si>
    <t>CRYO-1079-0108</t>
  </si>
  <si>
    <t>33/38</t>
  </si>
  <si>
    <t>28/30</t>
  </si>
  <si>
    <t>26/27</t>
  </si>
  <si>
    <t>24/23</t>
  </si>
  <si>
    <t>22/23</t>
  </si>
  <si>
    <t>sp</t>
  </si>
  <si>
    <t>delivered to FTS group 5/10/17</t>
  </si>
  <si>
    <t>primary; delivered 5-16-17</t>
  </si>
  <si>
    <t>Used for pre-fill characterization experiment</t>
  </si>
  <si>
    <t>Used for pre-fill characterization experiment, put into char station</t>
  </si>
  <si>
    <t>Delivered 6/6/17 FTS1</t>
  </si>
  <si>
    <t>CRYO-2075-2792</t>
  </si>
  <si>
    <t>CRYO-2075-2793</t>
  </si>
  <si>
    <t>CRYO-2074-2794</t>
  </si>
  <si>
    <t>CRYO-2075-2796</t>
  </si>
  <si>
    <t>CRYO-2075-2797</t>
  </si>
  <si>
    <t>CRYO-2075-2798</t>
  </si>
  <si>
    <t>CRYO-2074-2800</t>
  </si>
  <si>
    <t>CRYO-2075-2801</t>
  </si>
  <si>
    <t>23/23</t>
  </si>
  <si>
    <t>32/34</t>
  </si>
  <si>
    <t>28/29</t>
  </si>
  <si>
    <t>24/24</t>
  </si>
  <si>
    <t>20/19</t>
  </si>
  <si>
    <t>35/39</t>
  </si>
  <si>
    <t>29/34</t>
  </si>
  <si>
    <t>CRYO-2075-2795</t>
  </si>
  <si>
    <t>25/26</t>
  </si>
  <si>
    <t>CRYO-2076-2802</t>
  </si>
  <si>
    <t>CRYO-2074-2803</t>
  </si>
  <si>
    <t>26/26</t>
  </si>
  <si>
    <t>22/22</t>
  </si>
  <si>
    <t>CRYO-ISE-2Q16-10-B126</t>
  </si>
  <si>
    <t>CRYO-ISE-2Q16-10-B123</t>
  </si>
  <si>
    <t>delivered to TFS 6/23/17</t>
  </si>
  <si>
    <t>delivered to S Scarantino 6-23-17</t>
  </si>
  <si>
    <t>CRYO-1079-0118</t>
  </si>
  <si>
    <t>CRYO-1079-0119</t>
  </si>
  <si>
    <t>CRYO-1079-0120</t>
  </si>
  <si>
    <t>CRYO-1121-0124</t>
  </si>
  <si>
    <t>CRYO-1120-0125</t>
  </si>
  <si>
    <t>CRYO-1120-0126</t>
  </si>
  <si>
    <t>28/28</t>
  </si>
  <si>
    <t>25/29</t>
  </si>
  <si>
    <t>37/38</t>
  </si>
  <si>
    <t>CRYO-1079-0121</t>
  </si>
  <si>
    <t>CRYO-1079-0122</t>
  </si>
  <si>
    <t>Dymax 921 gel lot #551456  exp  7/10/18</t>
  </si>
  <si>
    <t>32/30</t>
  </si>
  <si>
    <t>32/36</t>
  </si>
  <si>
    <t>2036'</t>
  </si>
  <si>
    <t>27/30</t>
  </si>
  <si>
    <t>CRYO-9078-0045</t>
  </si>
  <si>
    <t>CRYO-9082-0046</t>
  </si>
  <si>
    <t>CRYO-9079-0047</t>
  </si>
  <si>
    <t>30/32</t>
  </si>
  <si>
    <t>23/25</t>
  </si>
  <si>
    <t>29/28</t>
  </si>
  <si>
    <t>24/26</t>
  </si>
  <si>
    <t>CRYO-1120-0127</t>
  </si>
  <si>
    <t>CRYO-1119-0128</t>
  </si>
  <si>
    <t>CRYO-1121-0129</t>
  </si>
  <si>
    <t>28/31</t>
  </si>
  <si>
    <t>35/40</t>
  </si>
  <si>
    <t>CRYO-ISE-2Q16-10-B128</t>
  </si>
  <si>
    <t>handed off to S. Scarantino 7/24/17</t>
  </si>
  <si>
    <t>CRYO-1079-0102</t>
  </si>
  <si>
    <t>CRYO-1079-0103</t>
  </si>
  <si>
    <t>CRYO-1079-0104</t>
  </si>
  <si>
    <t>CRYO-1079-0105</t>
  </si>
  <si>
    <t>21/20</t>
  </si>
  <si>
    <t>20/23</t>
  </si>
  <si>
    <t>delivered to S Scarantino 8-2-17</t>
  </si>
  <si>
    <t>18-002</t>
  </si>
  <si>
    <t>18-003</t>
  </si>
  <si>
    <t>18-004</t>
  </si>
  <si>
    <t>CRYO-ISE-2Q16-10-B130</t>
  </si>
  <si>
    <t>CRYO-ISE-2Q16-10-B131</t>
  </si>
  <si>
    <t>CRYO-ISE-2Q16-10-B132</t>
  </si>
  <si>
    <t>CRYO-ISE-2Q16-10-B135</t>
  </si>
  <si>
    <t>CRYO-ISE-2Q16-10-B129</t>
  </si>
  <si>
    <t>Stainless steel ( xxxx)</t>
  </si>
  <si>
    <t>Type18</t>
  </si>
  <si>
    <t>CRYO-2077-2805</t>
  </si>
  <si>
    <t>CRYO-2077-2807</t>
  </si>
  <si>
    <t>CRYO-2077-2808</t>
  </si>
  <si>
    <t>CRYO-2077-2809</t>
  </si>
  <si>
    <t>29/29</t>
  </si>
  <si>
    <t>29/32</t>
  </si>
  <si>
    <t>delivered to Sal S 8-16-17</t>
  </si>
  <si>
    <t>CRYO-2076-2813</t>
  </si>
  <si>
    <t>CRYO-2076-2814</t>
  </si>
  <si>
    <t>CRYO-2076-2816</t>
  </si>
  <si>
    <t>CRYO-2077-2818</t>
  </si>
  <si>
    <t>27/28</t>
  </si>
  <si>
    <t>37/32</t>
  </si>
  <si>
    <t>CRYO-2077-2804</t>
  </si>
  <si>
    <t>CRYO-2077-2811</t>
  </si>
  <si>
    <t>CRYO-2077-2815</t>
  </si>
  <si>
    <t>CRYO-2077-2820</t>
  </si>
  <si>
    <t>22.4/24</t>
  </si>
  <si>
    <t>24.4/25.2</t>
  </si>
  <si>
    <t>24.4/24.4</t>
  </si>
  <si>
    <t>29.2/35</t>
  </si>
  <si>
    <t>CRYO-2077-2812</t>
  </si>
  <si>
    <t>931x7.7</t>
  </si>
  <si>
    <t>929x7.7</t>
  </si>
  <si>
    <t>954x7.6</t>
  </si>
  <si>
    <t>961x7.7</t>
  </si>
  <si>
    <t>954x7.7</t>
  </si>
  <si>
    <t>Physics capsules:  &gt;330 Hz Wr</t>
  </si>
  <si>
    <t>delivered to Sal S 8-21-17</t>
  </si>
  <si>
    <t>18-001</t>
  </si>
  <si>
    <t>18-005</t>
  </si>
  <si>
    <t>CRYO-ISE-2Q16-10-B136</t>
  </si>
  <si>
    <t>CRYO-ISE-2Q16-10-B138</t>
  </si>
  <si>
    <t>18-006</t>
  </si>
  <si>
    <t>CRYO-ISE-1Q18-01-D01</t>
  </si>
  <si>
    <t>CRYO-2078-2817</t>
  </si>
  <si>
    <t>34/31</t>
  </si>
  <si>
    <t>CRYO-2078-2819</t>
  </si>
  <si>
    <t>CRYO-2077-2806</t>
  </si>
  <si>
    <t>CRYO-2077-2810</t>
  </si>
  <si>
    <t>32/28</t>
  </si>
  <si>
    <t>CRYO-2074-2848</t>
  </si>
  <si>
    <t>984x7.4um</t>
  </si>
  <si>
    <t>CRYO-2074-2850</t>
  </si>
  <si>
    <t>CRYO-2074-2856</t>
  </si>
  <si>
    <t>32/32</t>
  </si>
  <si>
    <t>30/34</t>
  </si>
  <si>
    <t>CRYO-2074-2858</t>
  </si>
  <si>
    <t>CRYO-2074-2860</t>
  </si>
  <si>
    <t>CRYO-2074-2859</t>
  </si>
  <si>
    <t>33/28</t>
  </si>
  <si>
    <t>984x7.4um; delivered 9/19/17 Koch</t>
  </si>
  <si>
    <t>981x7.4um; delivered 9/19/17 Koch</t>
  </si>
  <si>
    <t>982x7.4um; delivered 9/19/17 Koch</t>
  </si>
  <si>
    <t>928x7.7um, 69um footprint; delivered 9/19/17 Koch</t>
  </si>
  <si>
    <t>925x7.7um; delivered 9/19/17 Koch</t>
  </si>
  <si>
    <t>963x7.8um; delivered 9/19/17 Koch</t>
  </si>
  <si>
    <t>Delivered to Sal S 10-5-17</t>
  </si>
  <si>
    <t>CRYO-2076-2861</t>
  </si>
  <si>
    <t>CRYO-2076-2862</t>
  </si>
  <si>
    <t>CRYO-2076-2863</t>
  </si>
  <si>
    <t>CRYO-2077-2864</t>
  </si>
  <si>
    <t>CRYO-2076-2865</t>
  </si>
  <si>
    <t>CRYO-2077-2866</t>
  </si>
  <si>
    <t>CRYO-2077-2867</t>
  </si>
  <si>
    <t>CRYO-2077-2868</t>
  </si>
  <si>
    <t>31/32</t>
  </si>
  <si>
    <t>30/30</t>
  </si>
  <si>
    <t>26/28</t>
  </si>
  <si>
    <t>24/31</t>
  </si>
  <si>
    <t>25/24</t>
  </si>
  <si>
    <t>37/27</t>
  </si>
  <si>
    <t>32/33</t>
  </si>
  <si>
    <t>CRYO-2076-2869</t>
  </si>
  <si>
    <t>CRYO-2078-2871</t>
  </si>
  <si>
    <t>27/24</t>
  </si>
  <si>
    <t>CRYO-2077-2872</t>
  </si>
  <si>
    <t>6 domes &gt;5um</t>
  </si>
  <si>
    <t>CRYO-2077-2873</t>
  </si>
  <si>
    <t>CRYO-2076-2874</t>
  </si>
  <si>
    <t>CRYO-2076-2875</t>
  </si>
  <si>
    <t>CRYO-2076-2876</t>
  </si>
  <si>
    <t>26/29</t>
  </si>
  <si>
    <t>Delivered 10-16-17</t>
  </si>
  <si>
    <t>CRYO-ISE-1Q18-01-D05</t>
  </si>
  <si>
    <t>CRYO-ISE-1Q18-01-D08</t>
  </si>
  <si>
    <t>CRYO-ISE-1Q18-01-D09</t>
  </si>
  <si>
    <t>CRYO-ISE-1Q18-01-D13</t>
  </si>
  <si>
    <t>CRYO-ISE-1Q18-01-D14</t>
  </si>
  <si>
    <t>CRYO-ISE-1Q18-01-D15</t>
  </si>
  <si>
    <t>CRYO-ISE-1Q18-01-D17</t>
  </si>
  <si>
    <t>CRYO-ISE-1Q18-01-D18</t>
  </si>
  <si>
    <t>D-TR-B-050</t>
  </si>
  <si>
    <t>length (1.5-1.7mm)</t>
  </si>
  <si>
    <t>CRYO-2075-2822</t>
  </si>
  <si>
    <t>18-007</t>
  </si>
  <si>
    <t>18-008</t>
  </si>
  <si>
    <t>18-009</t>
  </si>
  <si>
    <t>18-010</t>
  </si>
  <si>
    <t>18-011</t>
  </si>
  <si>
    <t>18-012</t>
  </si>
  <si>
    <t>18-013</t>
  </si>
  <si>
    <t>18-014</t>
  </si>
  <si>
    <t>18-016</t>
  </si>
  <si>
    <t>18-017</t>
  </si>
  <si>
    <t>CRYO-2073-2824</t>
  </si>
  <si>
    <t>CRYO-2074-2832</t>
  </si>
  <si>
    <t>CRYO-2068-2835</t>
  </si>
  <si>
    <t>CRYO-2068-2839</t>
  </si>
  <si>
    <t>CRYO-2069-2843</t>
  </si>
  <si>
    <t>CRYO-2074-2846</t>
  </si>
  <si>
    <t>CRYO-2074-2857</t>
  </si>
  <si>
    <t>CRYO-2069-2877</t>
  </si>
  <si>
    <t>CRYO-2069-2882</t>
  </si>
  <si>
    <t>31/30</t>
  </si>
  <si>
    <t>29/30</t>
  </si>
  <si>
    <t>30/28</t>
  </si>
  <si>
    <t>24/28</t>
  </si>
  <si>
    <t>CRYO-2074-2827</t>
  </si>
  <si>
    <t>7.5x1013</t>
  </si>
  <si>
    <t>7.4x1014</t>
  </si>
  <si>
    <t>7.3x1011</t>
  </si>
  <si>
    <t>7.4x1011</t>
  </si>
  <si>
    <t>6.8x1011</t>
  </si>
  <si>
    <t>7.4x986</t>
  </si>
  <si>
    <t>7.4x985</t>
  </si>
  <si>
    <t>CRYO-2073-2830</t>
  </si>
  <si>
    <t>7.3x1016</t>
  </si>
  <si>
    <t>CRYO-2074-2831</t>
  </si>
  <si>
    <t>6.9x959</t>
  </si>
  <si>
    <t>28/26</t>
  </si>
  <si>
    <t>6.9x1010 sp</t>
  </si>
  <si>
    <t>delivered to C. Fella 11-3-17</t>
  </si>
  <si>
    <t>CRYO-2074-2847</t>
  </si>
  <si>
    <t>28/27</t>
  </si>
  <si>
    <t>row</t>
  </si>
  <si>
    <t>7.4x986 sp</t>
  </si>
  <si>
    <t>6.9x959sp</t>
  </si>
  <si>
    <t>7.4x1016 sp</t>
  </si>
  <si>
    <t>field</t>
  </si>
  <si>
    <t>296, 333</t>
  </si>
  <si>
    <t>Delivered 12-4-17 LIM Test</t>
  </si>
  <si>
    <t>CRYO-ISE-1Q18-01-D19</t>
  </si>
  <si>
    <t>Delivered 12-11-17 LIM test</t>
  </si>
  <si>
    <t>CRYO-2075-2826</t>
  </si>
  <si>
    <t>CRYO-2075-2828</t>
  </si>
  <si>
    <t>CRYO-2074-2833</t>
  </si>
  <si>
    <t>CRYO-2074-2855</t>
  </si>
  <si>
    <t>CRYO-2069-2844</t>
  </si>
  <si>
    <t>CRYO-2068-2845</t>
  </si>
  <si>
    <t>CRYO-2069-2836</t>
  </si>
  <si>
    <t>982x7.4um</t>
  </si>
  <si>
    <t>42/45</t>
  </si>
  <si>
    <t>32/29</t>
  </si>
  <si>
    <t>23/22</t>
  </si>
  <si>
    <t>20/26</t>
  </si>
  <si>
    <t>354, 383</t>
  </si>
  <si>
    <t>1017x7.5um; del'rd 1/2/18</t>
  </si>
  <si>
    <t>1016x7.4um; del'rd 1/2/18</t>
  </si>
  <si>
    <t>1012x6.9um; del'rd 1/2/18</t>
  </si>
  <si>
    <t>1014x6.8um; del'rd 1/2/18</t>
  </si>
  <si>
    <t>983x7.4um; del'ry 1/2/18</t>
  </si>
  <si>
    <t>CRYO-2078-2670</t>
  </si>
  <si>
    <t>CRYO-2078-2674</t>
  </si>
  <si>
    <t>CRYO-2078-2675</t>
  </si>
  <si>
    <t>CRYO-2078-2705</t>
  </si>
  <si>
    <t>CRYO-2082-2709</t>
  </si>
  <si>
    <t>CRYO-2082-2722</t>
  </si>
  <si>
    <t>31/28</t>
  </si>
  <si>
    <t>CRYO-2078-2736</t>
  </si>
  <si>
    <t>CRYO-2082-2720</t>
  </si>
  <si>
    <t>CRYO-2078-2721</t>
  </si>
  <si>
    <t>30/29</t>
  </si>
  <si>
    <t>25/27</t>
  </si>
  <si>
    <t>C. Fella 1-18-18</t>
  </si>
  <si>
    <t>CRYO-2079-2696</t>
  </si>
  <si>
    <t>26/24</t>
  </si>
  <si>
    <t>CRYO-ISE-1Q18-01-I09</t>
  </si>
  <si>
    <t>22/24</t>
  </si>
  <si>
    <t>Delivered 1/19/18</t>
  </si>
  <si>
    <t>Delivered 1/31/18</t>
  </si>
  <si>
    <t>ISE-1Q18-01-123</t>
  </si>
  <si>
    <t>ISE-1Q18-01-128</t>
  </si>
  <si>
    <t>ISE-1Q18-01-129</t>
  </si>
  <si>
    <t>Delivered to C. Fella, 2-7-18</t>
  </si>
  <si>
    <t>CRYO-2077-2897</t>
  </si>
  <si>
    <t>CRYO-2077-2898</t>
  </si>
  <si>
    <t>CRYO-2081-2910</t>
  </si>
  <si>
    <t>CRYO-2081-2911</t>
  </si>
  <si>
    <t>CRYO-2074-2933</t>
  </si>
  <si>
    <t>CRYO-2075-2934</t>
  </si>
  <si>
    <t>CRYO-2074-2935</t>
  </si>
  <si>
    <t>CRYO-2075-2950</t>
  </si>
  <si>
    <t>CRYO-2075-2955</t>
  </si>
  <si>
    <t>CRYO-2074-2956</t>
  </si>
  <si>
    <t>26/23</t>
  </si>
  <si>
    <t>CRYO-2081-2909</t>
  </si>
  <si>
    <t>CRYO-2074-2936</t>
  </si>
  <si>
    <t>30/26</t>
  </si>
  <si>
    <t>36/35</t>
  </si>
  <si>
    <t>36/41</t>
  </si>
  <si>
    <t>35/34</t>
  </si>
  <si>
    <t>33/34</t>
  </si>
  <si>
    <t>delivered 2/12/18</t>
  </si>
  <si>
    <t>delivered 2/19/18 S. Scarantino</t>
  </si>
  <si>
    <t>CRYO-2076-2959</t>
  </si>
  <si>
    <t>CRYO-2077-2961</t>
  </si>
  <si>
    <t>CRYO-2077-2962</t>
  </si>
  <si>
    <t>CRYO-2076-2979</t>
  </si>
  <si>
    <t>CRYO-2076-2982</t>
  </si>
  <si>
    <t>CRYO-2077-2985</t>
  </si>
  <si>
    <t>CRYO-2077-2998</t>
  </si>
  <si>
    <t>CRYO-2077-3002</t>
  </si>
  <si>
    <t>used for C. Fella 3/14/18</t>
  </si>
  <si>
    <t>20/22</t>
  </si>
  <si>
    <t>50/50</t>
  </si>
  <si>
    <t>CRYO-2076-2983</t>
  </si>
  <si>
    <t>CRYO-2076-2984</t>
  </si>
  <si>
    <t>CRYO-2076-2990</t>
  </si>
  <si>
    <t>33/31</t>
  </si>
  <si>
    <t>40/30</t>
  </si>
  <si>
    <t>960x7.6</t>
  </si>
  <si>
    <t>&gt;10um x1; 956x7.7</t>
  </si>
  <si>
    <t>&gt; 10um x1, 960x7.6</t>
  </si>
  <si>
    <t>2 + line</t>
  </si>
  <si>
    <t>CRYO-2076-2995</t>
  </si>
  <si>
    <t>CRYO-2076-3004</t>
  </si>
  <si>
    <t>24/22</t>
  </si>
  <si>
    <t>used for Cryo testing</t>
  </si>
  <si>
    <t>893x12um</t>
  </si>
  <si>
    <t>883x12um</t>
  </si>
  <si>
    <t>884x11um</t>
  </si>
  <si>
    <t>880x6um</t>
  </si>
  <si>
    <t>930x7.6; delivered FTS1 3/19/18</t>
  </si>
  <si>
    <t>928x7.7; delivered FTS1 3/19/18</t>
  </si>
  <si>
    <t>960x7.6; delivered FTS1 3/19/18</t>
  </si>
  <si>
    <t>958x7.7; delivered FTS1 3/19/18</t>
  </si>
  <si>
    <t>959x7.6; delivered FTS1 3/19/18</t>
  </si>
  <si>
    <t>Delivered to C. Fella 4-5-18</t>
  </si>
  <si>
    <t>Delivered to C. Fella 4-12-18</t>
  </si>
  <si>
    <t>Type 19</t>
  </si>
  <si>
    <t>D-TR-B-564</t>
  </si>
  <si>
    <t>CRYO-2085-2617</t>
  </si>
  <si>
    <t>CRYO-2087-2618</t>
  </si>
  <si>
    <t>CRYO-2085-2620</t>
  </si>
  <si>
    <t>TIR shell, mm</t>
  </si>
  <si>
    <t>hole clear</t>
  </si>
  <si>
    <t>yes</t>
  </si>
  <si>
    <t>Tip diameter  (13-15um ID)  (20-22um OD)  MPB-FP-35 (um)</t>
  </si>
  <si>
    <t>Runout @ stainless tube (um)</t>
  </si>
  <si>
    <t>glue spot (um)</t>
  </si>
  <si>
    <t>Delivered to C. Fella, 4/23/18</t>
  </si>
  <si>
    <t>CRYO-2087-2597</t>
  </si>
  <si>
    <t>ISE-1Q18-01-I33</t>
  </si>
  <si>
    <t>ISE-1Q18-01-I35</t>
  </si>
  <si>
    <t>delivered 4/30/18</t>
  </si>
  <si>
    <t>Delivered to S. Scar 4/30/18</t>
  </si>
  <si>
    <t>CRYO-2079-3052</t>
  </si>
  <si>
    <t>CRYO-2080-3058</t>
  </si>
  <si>
    <t>CRYO-2080-3065</t>
  </si>
  <si>
    <t>CRYO-4073-0214</t>
  </si>
  <si>
    <t>CRYO-4072-0223</t>
  </si>
  <si>
    <t>CRYO-4073-0224</t>
  </si>
  <si>
    <t>CRYO-2080-3064</t>
  </si>
  <si>
    <t>CRYO-4072-0227</t>
  </si>
  <si>
    <t>44/42</t>
  </si>
  <si>
    <t>24/30</t>
  </si>
  <si>
    <t>29/26</t>
  </si>
  <si>
    <t>22/20</t>
  </si>
  <si>
    <t>CRYO-2080-3053</t>
  </si>
  <si>
    <t>CRYO-2080-3054</t>
  </si>
  <si>
    <t>CRYO-4073-0212</t>
  </si>
  <si>
    <t>CRYO-4073-0213</t>
  </si>
  <si>
    <t>CRYO-2080-3061</t>
  </si>
  <si>
    <t>CRYO-4072-0221</t>
  </si>
  <si>
    <t>Delivered to M. Koch 5/16/18</t>
  </si>
  <si>
    <t>debris field OOS</t>
  </si>
  <si>
    <t>CRYO-2080-3068</t>
  </si>
  <si>
    <t>CRYO-2080-3072</t>
  </si>
  <si>
    <t>CRYO-2080-3075</t>
  </si>
  <si>
    <t>CRYO-2076-2986</t>
  </si>
  <si>
    <t>CRYO-2076-2987</t>
  </si>
  <si>
    <t>CRYO-44036-0237</t>
  </si>
  <si>
    <t>CRYO-44036-0238</t>
  </si>
  <si>
    <t>CRYO-44037-0239</t>
  </si>
  <si>
    <t>CRYO-44036-0240</t>
  </si>
  <si>
    <t>CRYO-2081-3066</t>
  </si>
  <si>
    <t>CRYO-2081-3069</t>
  </si>
  <si>
    <t>CRYO-2076-2991</t>
  </si>
  <si>
    <t>dome cluster, 28um</t>
  </si>
  <si>
    <t>CRYO-2081-3074</t>
  </si>
  <si>
    <t>CRYO-2076-2994</t>
  </si>
  <si>
    <t>25/25</t>
  </si>
  <si>
    <t>31/33</t>
  </si>
  <si>
    <t>21/23</t>
  </si>
  <si>
    <t>x2 &lt;10um</t>
  </si>
  <si>
    <t>960x7.7, delivered 6/22/18 S. Scarantino</t>
  </si>
  <si>
    <t>980x7.7; delivered 6/22/18 S. Scar</t>
  </si>
  <si>
    <t>CRYO-44036-0236</t>
  </si>
  <si>
    <t>980x8.0; delivered 6/22/18 S. Scar</t>
  </si>
  <si>
    <t>983x8.1; delivered 6/22/18 S. Scar</t>
  </si>
  <si>
    <t>CRYO-2076-2996</t>
  </si>
  <si>
    <t>CRYO-2076-3000</t>
  </si>
  <si>
    <t>CRYO-2076-3001</t>
  </si>
  <si>
    <t>CRYO-2081-3071</t>
  </si>
  <si>
    <t>CRYO-2081-3073</t>
  </si>
  <si>
    <t>x1 11um</t>
  </si>
  <si>
    <t>32/27</t>
  </si>
  <si>
    <t>980x8.1; delivered 7/3/18 M. Koch</t>
  </si>
  <si>
    <t>958x7.6; delivered 7/3/18 M. Koch</t>
  </si>
  <si>
    <t>961x7.6; delivered 7/3/18 M. Koch</t>
  </si>
  <si>
    <t>959x7.6 ; delivered 7/3/18 M. Koch</t>
  </si>
  <si>
    <t>984x8.1; broken during loading</t>
  </si>
  <si>
    <t>CRYO-2075-3030</t>
  </si>
  <si>
    <t>CRYO-2074-3034</t>
  </si>
  <si>
    <t>CRYO-2075-3035</t>
  </si>
  <si>
    <t>CRYO-2076-3036</t>
  </si>
  <si>
    <t>CRYO-2075-3038</t>
  </si>
  <si>
    <t>CRYO-2075-3039</t>
  </si>
  <si>
    <t>CRYO-2075-3044</t>
  </si>
  <si>
    <t>22, 23</t>
  </si>
  <si>
    <t>25, 25</t>
  </si>
  <si>
    <t>24, 24</t>
  </si>
  <si>
    <t>878 x 7.5um</t>
  </si>
  <si>
    <t>28, 29</t>
  </si>
  <si>
    <t>CRYO-2074-3031</t>
  </si>
  <si>
    <t>CRYO-2074-3032</t>
  </si>
  <si>
    <t>CRYO-2074-3033</t>
  </si>
  <si>
    <t>CRYO-2076-3037</t>
  </si>
  <si>
    <t>CRYO-2074-3041</t>
  </si>
  <si>
    <t>CRYO-2074-3042</t>
  </si>
  <si>
    <t>CRYO-2074-3045</t>
  </si>
  <si>
    <t>36, 37</t>
  </si>
  <si>
    <t>34, 34</t>
  </si>
  <si>
    <t>CRYO-2074-3050</t>
  </si>
  <si>
    <t>30, 28</t>
  </si>
  <si>
    <t>6, 2 &gt; 10um</t>
  </si>
  <si>
    <t>30, 31</t>
  </si>
  <si>
    <t>29, 27</t>
  </si>
  <si>
    <t>CRYO-2074-3051</t>
  </si>
  <si>
    <t>27, 28</t>
  </si>
  <si>
    <t>873 x 7.4um; delivered to B. Ruth 7/23/18</t>
  </si>
  <si>
    <t>877 x 7.4um; delivered to B. Ruth 7/23/18</t>
  </si>
  <si>
    <t>877 x 7.5um; delivered to B. Ruth 7/23/18</t>
  </si>
  <si>
    <t>881 x 7.5um; delivered to B. Ruth 7/23/18</t>
  </si>
  <si>
    <t>878 x 7.6um; delivered to B. Ruth 7/23/18</t>
  </si>
  <si>
    <t>876 x 7.4um; delivered to B. Ruth 7/23/18</t>
  </si>
  <si>
    <t>Dymax 921 gel lot #599289  exp  7/21/19</t>
  </si>
  <si>
    <t>CRYO-2080-3076</t>
  </si>
  <si>
    <t>CRYO-2082-3077</t>
  </si>
  <si>
    <t>CRYO-2081-3078</t>
  </si>
  <si>
    <t>CRYO-2081-3079</t>
  </si>
  <si>
    <t>CRYO-2080-2712</t>
  </si>
  <si>
    <t>CRYO-2080-2713</t>
  </si>
  <si>
    <t>25, 28</t>
  </si>
  <si>
    <t>25, 26</t>
  </si>
  <si>
    <t>31, 35</t>
  </si>
  <si>
    <t>33, 34</t>
  </si>
  <si>
    <t>22, 22</t>
  </si>
  <si>
    <t>26, 32</t>
  </si>
  <si>
    <t>CRYO-2081-3081</t>
  </si>
  <si>
    <t>CRYO-2081-3082</t>
  </si>
  <si>
    <t>CRYO-2076-2442</t>
  </si>
  <si>
    <t>CRYO-2075-2443</t>
  </si>
  <si>
    <t>CRYO-2076-2444</t>
  </si>
  <si>
    <t>26, 29</t>
  </si>
  <si>
    <t>24, 23</t>
  </si>
  <si>
    <t>24, 22</t>
  </si>
  <si>
    <t>CRYO-9082-0051</t>
  </si>
  <si>
    <t>CRYO-9078-0052</t>
  </si>
  <si>
    <t>CRYO-9078-0053</t>
  </si>
  <si>
    <t>46, 43</t>
  </si>
  <si>
    <t>27, 26</t>
  </si>
  <si>
    <t>CRYO-2077-2433</t>
  </si>
  <si>
    <t>880 x 7.5</t>
  </si>
  <si>
    <t>CRYO-9080-0054</t>
  </si>
  <si>
    <t>28, 27</t>
  </si>
  <si>
    <t>897 x 8; delivered to Rm 157 S. Scar 8/17/18</t>
  </si>
  <si>
    <t>900 x 8.1; delivered to Rm 157 S. Scar 8/17/18</t>
  </si>
  <si>
    <t>874 x 7.6; delivered to Rm 157 S. Scar 8/17/18</t>
  </si>
  <si>
    <t>873 x 7.6; delivered to Rm 157 S. Scar 8/17/18</t>
  </si>
  <si>
    <t>907 x 7.8; delivered to Rm 157 S. Scar 8/17/18</t>
  </si>
  <si>
    <t>23, 26</t>
  </si>
  <si>
    <t>913 x 7.8; delivered to Rm 157 S. Scar 8/17/18</t>
  </si>
  <si>
    <t>CRYO-2076-2980</t>
  </si>
  <si>
    <t>CRYO-2076-2989</t>
  </si>
  <si>
    <t>CRYO-2076-2992</t>
  </si>
  <si>
    <t>963 x 7.6um</t>
  </si>
  <si>
    <t>CRYO-2076-3099</t>
  </si>
  <si>
    <t>CRYO-2076-3109</t>
  </si>
  <si>
    <t>CRYO-2079-3125</t>
  </si>
  <si>
    <t>CRYO-2080-3126</t>
  </si>
  <si>
    <t>CRYO-2079-3131</t>
  </si>
  <si>
    <t>33, 29</t>
  </si>
  <si>
    <t>31, 27</t>
  </si>
  <si>
    <t>25, 27</t>
  </si>
  <si>
    <t>26, 26</t>
  </si>
  <si>
    <t>29, 30</t>
  </si>
  <si>
    <t>23, 21</t>
  </si>
  <si>
    <t>29, 37</t>
  </si>
  <si>
    <t>CRYO-2079-3130</t>
  </si>
  <si>
    <t>CRYO-2069-2834</t>
  </si>
  <si>
    <t>CRYO-2067-2838</t>
  </si>
  <si>
    <t>23, 25</t>
  </si>
  <si>
    <t>972 x 7.9um</t>
  </si>
  <si>
    <t>976 x 7.9</t>
  </si>
  <si>
    <t>979 x 8.0</t>
  </si>
  <si>
    <t>980 x 8</t>
  </si>
  <si>
    <t>956 x 7.6um; delivered to Rm. 157 9/24/18</t>
  </si>
  <si>
    <t>954 x 7.6um; delivered to Rm. 157 9/24/18</t>
  </si>
  <si>
    <t>975 x 7.9; delivered to Rm. 157 9/24/18</t>
  </si>
  <si>
    <t>974 x 7.6um; delivered to Rm. 157 9/24/18</t>
  </si>
  <si>
    <t>1010 x 6.9; delivered to Rm. 157 9/24/18</t>
  </si>
  <si>
    <t>980 x 8, delivered to Rm. 157 9/24/18</t>
  </si>
  <si>
    <t>CRYO-2081-3138</t>
  </si>
  <si>
    <t>CRYO-2081-3139</t>
  </si>
  <si>
    <t>CRYO-2082-3140</t>
  </si>
  <si>
    <t>CRYO-2082-3141</t>
  </si>
  <si>
    <t>CRYO-2081-3144</t>
  </si>
  <si>
    <t>CRYO-2081-3146</t>
  </si>
  <si>
    <t>CRYO-2082-3147</t>
  </si>
  <si>
    <t>CRYO-2081-3148</t>
  </si>
  <si>
    <t>CRYO-2079-3149</t>
  </si>
  <si>
    <t>CRYO-2079-3150</t>
  </si>
  <si>
    <t>42, 37</t>
  </si>
  <si>
    <t>46,46.4</t>
  </si>
  <si>
    <t>28,28.8</t>
  </si>
  <si>
    <t>38, 43.2</t>
  </si>
  <si>
    <t>25.6, 27.2</t>
  </si>
  <si>
    <t>26.4, 23.6</t>
  </si>
  <si>
    <t>38.8,44</t>
  </si>
  <si>
    <t>31.6,33.2</t>
  </si>
  <si>
    <t>897 x 7.9</t>
  </si>
  <si>
    <t>898 x 7.9</t>
  </si>
  <si>
    <t>30, 34</t>
  </si>
  <si>
    <t>31, 31</t>
  </si>
  <si>
    <t>896 x 8.2, delivered 10/10/18 S. Scar</t>
  </si>
  <si>
    <t>897 x 8.2, delivered 10/10/18 S. Scar</t>
  </si>
  <si>
    <t>897 x 8.1, delivered 10/10/18 S. Scar</t>
  </si>
  <si>
    <t>892 x 8.2, delivered 10/10/18 S. Scar</t>
  </si>
  <si>
    <t>896 x 8.1</t>
  </si>
  <si>
    <t>CRYO-2079-3151</t>
  </si>
  <si>
    <t>CRYO-2079-3153</t>
  </si>
  <si>
    <t>CRYO-2079-3160</t>
  </si>
  <si>
    <t>CRYO-2079-3163</t>
  </si>
  <si>
    <t>24, 25</t>
  </si>
  <si>
    <t>30,30</t>
  </si>
  <si>
    <t>30, 27</t>
  </si>
  <si>
    <t>900x8</t>
  </si>
  <si>
    <t>900x8; Delivered 10-19-18 S.Scar</t>
  </si>
  <si>
    <t>895 x 8.1; Delivered 10/19/18 S.Scar</t>
  </si>
  <si>
    <t>shell removed, mount reused</t>
  </si>
  <si>
    <t>Shell removed, mount reused</t>
  </si>
  <si>
    <t>CRYO-2080-3168</t>
  </si>
  <si>
    <t>CRYO-2081-3169</t>
  </si>
  <si>
    <t>CRYO-2080-3172</t>
  </si>
  <si>
    <t>CRYO-2080-3173</t>
  </si>
  <si>
    <t>CRYO-2080-3178</t>
  </si>
  <si>
    <t>29, 26</t>
  </si>
  <si>
    <t>27, 27</t>
  </si>
  <si>
    <t>23, 24</t>
  </si>
  <si>
    <t>ISE-1Q19-09-001</t>
  </si>
  <si>
    <t>55, 63</t>
  </si>
  <si>
    <t>CRYO-9081-0068</t>
  </si>
  <si>
    <t>CRYO-9078-0069</t>
  </si>
  <si>
    <t>CRYO-9082-0073</t>
  </si>
  <si>
    <t>CRYO-9080-0074</t>
  </si>
  <si>
    <t>30, 29</t>
  </si>
  <si>
    <t>44, 46</t>
  </si>
  <si>
    <t>CRYO-9078-0071</t>
  </si>
  <si>
    <t>CRYO-9078-0075</t>
  </si>
  <si>
    <t>25, 29</t>
  </si>
  <si>
    <t>Delivered 11/5/18 S.Scar</t>
  </si>
  <si>
    <t>delivered to Rm 157 11-9-18</t>
  </si>
  <si>
    <t>ISE-2Q16-10-C305</t>
  </si>
  <si>
    <t>ISE-2Q16-10-C313</t>
  </si>
  <si>
    <t>ISE-2Q16-10-C314</t>
  </si>
  <si>
    <t>ISE-2Q16-10-C315</t>
  </si>
  <si>
    <t>delivered to C. Fella 12/11/18</t>
  </si>
  <si>
    <t>Roger 40um, delivered 12/13/18</t>
  </si>
  <si>
    <t>CRYO-2078-3116</t>
  </si>
  <si>
    <t>CRYO-2078-3113</t>
  </si>
  <si>
    <t>CRYO-2078-3120</t>
  </si>
  <si>
    <t>CRYO-2078-3114</t>
  </si>
  <si>
    <t>CRYO-2082-3132</t>
  </si>
  <si>
    <t>CRYO-2078-3119</t>
  </si>
  <si>
    <t>CRYO-2080-3129</t>
  </si>
  <si>
    <t>CRYO-2081-3128</t>
  </si>
  <si>
    <t>CRYO-2080-3127</t>
  </si>
  <si>
    <t>36/32</t>
  </si>
  <si>
    <t>40/41</t>
  </si>
  <si>
    <t>1 &gt;10</t>
  </si>
  <si>
    <t>981x7.8um</t>
  </si>
  <si>
    <t>979x7.8um</t>
  </si>
  <si>
    <t>981x8um</t>
  </si>
  <si>
    <t>29/27</t>
  </si>
  <si>
    <t>x1 &gt;10; x6</t>
  </si>
  <si>
    <t>CRYO-2080-3134</t>
  </si>
  <si>
    <t>34/34</t>
  </si>
  <si>
    <t>CRYO-2078-3115</t>
  </si>
  <si>
    <t>CRYO-2078-3117</t>
  </si>
  <si>
    <t>35/32</t>
  </si>
  <si>
    <t>978 x 7.8um; Delivered 1/18/19 S. Scar</t>
  </si>
  <si>
    <t>31/34</t>
  </si>
  <si>
    <t>977x8um; delivered 1/18/19 S. Scar</t>
  </si>
  <si>
    <t>982x8um; delivered 1/18/19 S.Scar</t>
  </si>
  <si>
    <t>981x8.1um; delivered 1/18/19 S. Scar</t>
  </si>
  <si>
    <t>984x7.8um; delivered 1/18/19 S. Scar</t>
  </si>
  <si>
    <t>CRYO-2091-3233</t>
  </si>
  <si>
    <t>CRYO-2091-3235</t>
  </si>
  <si>
    <t>CRYO-2090-3240</t>
  </si>
  <si>
    <t>CRYO-2090-3241</t>
  </si>
  <si>
    <t>CRYO-2090-3243</t>
  </si>
  <si>
    <t>CRYO-2090-3244</t>
  </si>
  <si>
    <t>CRYO-2091-3245</t>
  </si>
  <si>
    <t>CRYO-2091-3251</t>
  </si>
  <si>
    <t>27/29</t>
  </si>
  <si>
    <t>22/21</t>
  </si>
  <si>
    <t>40/40</t>
  </si>
  <si>
    <t>CRYO-2090-3234</t>
  </si>
  <si>
    <t>CRYO-2090-3236</t>
  </si>
  <si>
    <t>CRYO-2091-3237</t>
  </si>
  <si>
    <t>CRYO-2090-3238</t>
  </si>
  <si>
    <t>used for CARS UNL</t>
  </si>
  <si>
    <t>27/27</t>
  </si>
  <si>
    <t>23/27</t>
  </si>
  <si>
    <t>21/22</t>
  </si>
  <si>
    <t>27/26</t>
  </si>
  <si>
    <t>CRYO-2091-3242</t>
  </si>
  <si>
    <t>CRYO-2092-3246</t>
  </si>
  <si>
    <t>CRYO-2091-3247</t>
  </si>
  <si>
    <t>23/24</t>
  </si>
  <si>
    <t>20/20</t>
  </si>
  <si>
    <t>5 + 1 &gt;10um</t>
  </si>
  <si>
    <t>899 x 9um; delivered 2/15/19 S. Scar</t>
  </si>
  <si>
    <t>900 x 9um; delivered 2/15/19 S. Scar</t>
  </si>
  <si>
    <t>903 x 9um; delivered 2/15/19 S.Scar</t>
  </si>
  <si>
    <t>898 x 9um; delivered 2/15/19 S. Scar</t>
  </si>
  <si>
    <t>901 x 9.1um; delivered 2/15/19 S. Scar</t>
  </si>
  <si>
    <t>25/22</t>
  </si>
  <si>
    <t>CRYO-2078-3121</t>
  </si>
  <si>
    <t>CRYO-2078-3122</t>
  </si>
  <si>
    <t>CRYO-2078-3123</t>
  </si>
  <si>
    <t>CRYO-2078-3124</t>
  </si>
  <si>
    <t>CRYO-2078-3214</t>
  </si>
  <si>
    <t>CRYO-2078-3215</t>
  </si>
  <si>
    <t>CRYO-2078-3216</t>
  </si>
  <si>
    <t>CRYO-2078-3217</t>
  </si>
  <si>
    <t>CRYO-2078-3218</t>
  </si>
  <si>
    <t>CRYO-2078-3221</t>
  </si>
  <si>
    <t>21/21</t>
  </si>
  <si>
    <t>36/34</t>
  </si>
  <si>
    <t>1 + 1 &gt;10um</t>
  </si>
  <si>
    <t>CRYO-2078-3219</t>
  </si>
  <si>
    <t>CRYO-2078-3223</t>
  </si>
  <si>
    <t>CRYO-2078-3224</t>
  </si>
  <si>
    <t>CRYO-2078-3227</t>
  </si>
  <si>
    <t>CRYO-2078-3228</t>
  </si>
  <si>
    <t>CRYO-2078-3229</t>
  </si>
  <si>
    <t>CRYO-2078-3230</t>
  </si>
  <si>
    <t>CRYO-2078-3231</t>
  </si>
  <si>
    <t>29/23</t>
  </si>
  <si>
    <t>1 &gt;10um</t>
  </si>
  <si>
    <t>delivered 3/18/19</t>
  </si>
  <si>
    <t>CRYO-2078-3222</t>
  </si>
  <si>
    <t>CRYO-2078-3225</t>
  </si>
  <si>
    <t>delivered 4/12/19</t>
  </si>
  <si>
    <t>Handed off for viewing</t>
  </si>
  <si>
    <t>CRYO-2079-3360</t>
  </si>
  <si>
    <t>CRYO-2079-3363</t>
  </si>
  <si>
    <t>CRYO-2080-3365</t>
  </si>
  <si>
    <t>CRYO-2079-3366</t>
  </si>
  <si>
    <t>CRYO-2079-3381</t>
  </si>
  <si>
    <t>CRYO-2078-3391</t>
  </si>
  <si>
    <t>CRYO-2078-3392</t>
  </si>
  <si>
    <t>26/25</t>
  </si>
  <si>
    <t>3, 1&gt;10um</t>
  </si>
  <si>
    <t>CRYO-2080-3387</t>
  </si>
  <si>
    <t>CRYO-2078-3388</t>
  </si>
  <si>
    <t>CRYO-2079-3385</t>
  </si>
  <si>
    <t>869 x 7.9</t>
  </si>
  <si>
    <t>871 x 7.8</t>
  </si>
  <si>
    <t>26, 27</t>
  </si>
  <si>
    <t>28, 32</t>
  </si>
  <si>
    <t>57, 59</t>
  </si>
  <si>
    <t>C. Fella5/14/19</t>
  </si>
  <si>
    <t>872 x 7.9; delivered 5/20/19</t>
  </si>
  <si>
    <t>871 x 8.0; delivered 5/20/19</t>
  </si>
  <si>
    <t>865 x 7.8; delivered 5/20/19</t>
  </si>
  <si>
    <t>869 x 7.8; delivered 5/20/19</t>
  </si>
  <si>
    <t>867 x 7.9; delivered 5/20/19</t>
  </si>
  <si>
    <t>870 x 7.9; delivered 5/20/19</t>
  </si>
  <si>
    <t>CRYO-2081-3091</t>
  </si>
  <si>
    <t>CRYO-2081-3092</t>
  </si>
  <si>
    <t>CRYO-2077-3213</t>
  </si>
  <si>
    <t>CRYO-2077-3195</t>
  </si>
  <si>
    <t>CRYO-2077-3197</t>
  </si>
  <si>
    <t>CRYO-2077-3198</t>
  </si>
  <si>
    <t>CRYO-2077-3204</t>
  </si>
  <si>
    <t>CRYO-2078-3208</t>
  </si>
  <si>
    <t>CRYO-2078-3333</t>
  </si>
  <si>
    <t>CRYO-2078-3334</t>
  </si>
  <si>
    <t>26, 24</t>
  </si>
  <si>
    <t>32, 32</t>
  </si>
  <si>
    <t>28, 26</t>
  </si>
  <si>
    <t>shell fell off, dirty</t>
  </si>
  <si>
    <t>28, 25</t>
  </si>
  <si>
    <t>34, 33</t>
  </si>
  <si>
    <t>53, 52</t>
  </si>
  <si>
    <t>982x7.7um</t>
  </si>
  <si>
    <t>956x8.1um</t>
  </si>
  <si>
    <t>1035x8.1</t>
  </si>
  <si>
    <t>956x8.1um; delivered to S.Scar 6/21/19</t>
  </si>
  <si>
    <t>963x7.8um; delivered to S.Scar 6/21/19</t>
  </si>
  <si>
    <t>964x7.8um; delivered to S.Scar 6/21/19</t>
  </si>
  <si>
    <t>982x7.7um; delivered to S.Scar 6/21/19</t>
  </si>
  <si>
    <t>979x7.7um; delivered to S.Scar 6/21/19</t>
  </si>
  <si>
    <t>901x8.1um</t>
  </si>
  <si>
    <t>delivered to Rm 157 7-9-19</t>
  </si>
  <si>
    <t>CRYO-2076-3407</t>
  </si>
  <si>
    <t>CRYO-2076-3409</t>
  </si>
  <si>
    <t>CRYO-2076-3415</t>
  </si>
  <si>
    <t>CRYO-2080-3441</t>
  </si>
  <si>
    <t>CRYO-2081-3445</t>
  </si>
  <si>
    <t>CRYO-2080-3447</t>
  </si>
  <si>
    <t>CRYO-2081-3450</t>
  </si>
  <si>
    <t>32,28</t>
  </si>
  <si>
    <t>43,37</t>
  </si>
  <si>
    <t>28,26</t>
  </si>
  <si>
    <t>53,51</t>
  </si>
  <si>
    <t>50,52</t>
  </si>
  <si>
    <t>28,33</t>
  </si>
  <si>
    <t>33,34</t>
  </si>
  <si>
    <t>CRYO-2076-3395</t>
  </si>
  <si>
    <t>CRYO-2076-3396</t>
  </si>
  <si>
    <t>CRYO-2076-3411</t>
  </si>
  <si>
    <t>CRYO-2080-3448</t>
  </si>
  <si>
    <t>CRYO-2081-3449</t>
  </si>
  <si>
    <t>CRYO-2080-3451</t>
  </si>
  <si>
    <t>30,29</t>
  </si>
  <si>
    <t>26,28</t>
  </si>
  <si>
    <t>985x8um</t>
  </si>
  <si>
    <t>955x7.6um</t>
  </si>
  <si>
    <t>957x7.6um</t>
  </si>
  <si>
    <t>CRYO-2081-3088</t>
  </si>
  <si>
    <t>CRYO-2081-3089</t>
  </si>
  <si>
    <t>CRYO-2081-3090</t>
  </si>
  <si>
    <t>CRYO-2075-3394</t>
  </si>
  <si>
    <t>CRYO-2077-3397</t>
  </si>
  <si>
    <t>CRYO-2077-3398</t>
  </si>
  <si>
    <t>28,30</t>
  </si>
  <si>
    <t>27,28</t>
  </si>
  <si>
    <t>26,26</t>
  </si>
  <si>
    <t>25,26</t>
  </si>
  <si>
    <t>30,31</t>
  </si>
  <si>
    <t>953x8.1um, assym glue</t>
  </si>
  <si>
    <t>958x8.1um</t>
  </si>
  <si>
    <t>957x7.5um glue spike</t>
  </si>
  <si>
    <t>987x8um; delivered 7/22/19 s scar</t>
  </si>
  <si>
    <t>984x8um; delivered 7/22/19 s scar</t>
  </si>
  <si>
    <t>delivered 7/22/19</t>
  </si>
  <si>
    <t>954x7.7um; delivered 7/22/19, s scar</t>
  </si>
  <si>
    <t>965x7.7um; delivered 7/22/19</t>
  </si>
  <si>
    <t>956x8.1um; delivered 7/22/19 s scar</t>
  </si>
  <si>
    <t>982x7.8um</t>
  </si>
  <si>
    <t>target ID</t>
  </si>
  <si>
    <t>dimensions</t>
  </si>
  <si>
    <t>pin #</t>
  </si>
  <si>
    <t>982x7.8um; delivered 7/30/19 M Koch</t>
  </si>
  <si>
    <t>956x8.1um; DELIVERED 7/30/19 M KOCH</t>
  </si>
  <si>
    <t>985x8um; Delivered 7/30/19 M Koch</t>
  </si>
  <si>
    <t>955x7.6um; Delivered 7/30/19 M Koch</t>
  </si>
  <si>
    <t>CRYO-9081-0116</t>
  </si>
  <si>
    <t>CRYO-9081-0117</t>
  </si>
  <si>
    <t>CRYO-9082-0118</t>
  </si>
  <si>
    <t>CRYO-9081-0119</t>
  </si>
  <si>
    <t>CRYO-9081-0121</t>
  </si>
  <si>
    <t>CRYO-9080-0122</t>
  </si>
  <si>
    <t>CRYO-9080-0123</t>
  </si>
  <si>
    <t>40,40</t>
  </si>
  <si>
    <t>28,28</t>
  </si>
  <si>
    <t>CRYO-9081-0124</t>
  </si>
  <si>
    <t>22,24</t>
  </si>
  <si>
    <t>CRYO-9079-0127</t>
  </si>
  <si>
    <t>37,40</t>
  </si>
  <si>
    <t>CRYO-9079-0139</t>
  </si>
  <si>
    <t>36,44</t>
  </si>
  <si>
    <t>CRYO-9079-0142</t>
  </si>
  <si>
    <t>31,29</t>
  </si>
  <si>
    <t>CRYO-9081-0140</t>
  </si>
  <si>
    <t>CRYO-9081-0132</t>
  </si>
  <si>
    <t>CRYO-9081-0110</t>
  </si>
  <si>
    <t>24,24</t>
  </si>
  <si>
    <t>CRYO-9079-0130</t>
  </si>
  <si>
    <t>30,27</t>
  </si>
  <si>
    <t>CRYO-9079-0138</t>
  </si>
  <si>
    <t>877x8um; delivered S.Scar 8/13/19</t>
  </si>
  <si>
    <t>873x7.9um; delivered S.Scar 8/13/19</t>
  </si>
  <si>
    <t>870x8.1um; delivered S. Scar 8/13/19</t>
  </si>
  <si>
    <t>878x8.1um; delivered S. Scar 8/13/19</t>
  </si>
  <si>
    <t>872x7.9um; delivered S. Scar 8/13/19</t>
  </si>
  <si>
    <t>DW</t>
  </si>
  <si>
    <t>CRYO-2078-3595</t>
  </si>
  <si>
    <t>folder</t>
  </si>
  <si>
    <t>27,29</t>
  </si>
  <si>
    <t>CRYO-2078-3589</t>
  </si>
  <si>
    <t>CRYO-2078-3588</t>
  </si>
  <si>
    <t>22,22</t>
  </si>
  <si>
    <t>31,30</t>
  </si>
  <si>
    <t>CRYO-2078-3596</t>
  </si>
  <si>
    <t>41,41</t>
  </si>
  <si>
    <t>CRYO-2077-3594</t>
  </si>
  <si>
    <t>CRYO-2078-3597</t>
  </si>
  <si>
    <t>26,25</t>
  </si>
  <si>
    <t>30,32</t>
  </si>
  <si>
    <t>CRYO-2078-3591</t>
  </si>
  <si>
    <t>CRYO-2079-3593</t>
  </si>
  <si>
    <t>33,32</t>
  </si>
  <si>
    <t>CRYO-2078-3592</t>
  </si>
  <si>
    <t>CRYO-2079-3558</t>
  </si>
  <si>
    <t>CRYO-2079-3562</t>
  </si>
  <si>
    <t>27,30</t>
  </si>
  <si>
    <t>CRYO-2077-3570</t>
  </si>
  <si>
    <t>29,27</t>
  </si>
  <si>
    <t>CRYO-2077-3605</t>
  </si>
  <si>
    <t>CRYO-2078-3574</t>
  </si>
  <si>
    <t>42,37</t>
  </si>
  <si>
    <t>CRYO-2078-3548</t>
  </si>
  <si>
    <t>977x7.8</t>
  </si>
  <si>
    <t>967x7.7um;</t>
  </si>
  <si>
    <t>2 &gt; 10um</t>
  </si>
  <si>
    <t>CRYO-2076-3617</t>
  </si>
  <si>
    <t>25,25</t>
  </si>
  <si>
    <t>32,29</t>
  </si>
  <si>
    <r>
      <t>CRYO</t>
    </r>
    <r>
      <rPr>
        <sz val="11"/>
        <rFont val="Calibri"/>
        <family val="2"/>
        <scheme val="minor"/>
      </rPr>
      <t>-2077</t>
    </r>
    <r>
      <rPr>
        <sz val="11"/>
        <color theme="1"/>
        <rFont val="Calibri"/>
        <family val="2"/>
        <scheme val="minor"/>
      </rPr>
      <t>-3403</t>
    </r>
  </si>
  <si>
    <t>CRYO-2076-3615</t>
  </si>
  <si>
    <t>Dymax 921 gel lot#1982317 exp 01/10/21</t>
  </si>
  <si>
    <t>CRYO-9083-0146</t>
  </si>
  <si>
    <t>CRYO-9084-0145</t>
  </si>
  <si>
    <t>CRYO-9082-0156</t>
  </si>
  <si>
    <t>CRYO-9079-0159</t>
  </si>
  <si>
    <t>36,34</t>
  </si>
  <si>
    <t>CRYO-9084-0171</t>
  </si>
  <si>
    <t>CRYO-9082-0154</t>
  </si>
  <si>
    <t>CRYO-9081-0176</t>
  </si>
  <si>
    <t>CRYO-9082-0157</t>
  </si>
  <si>
    <t>CRYO-9081-0174</t>
  </si>
  <si>
    <t>CRYO-9082-0183</t>
  </si>
  <si>
    <t>CRYO-9081-0184</t>
  </si>
  <si>
    <t>23,22</t>
  </si>
  <si>
    <t>CRYO-9084-0185</t>
  </si>
  <si>
    <t>25,23</t>
  </si>
  <si>
    <t>CRYO-9083-0190</t>
  </si>
  <si>
    <t>CRYO-9077-0191</t>
  </si>
  <si>
    <t>29,28</t>
  </si>
  <si>
    <t>974x8.1um;</t>
  </si>
  <si>
    <t>CRYO-9085-0194</t>
  </si>
  <si>
    <t>34,29</t>
  </si>
  <si>
    <t>CRYO-9083-0173</t>
  </si>
  <si>
    <t>990x8.5um;</t>
  </si>
  <si>
    <t>CRYO-9084-0152</t>
  </si>
  <si>
    <t>32,32</t>
  </si>
  <si>
    <t>963x8.2um</t>
  </si>
  <si>
    <t>27,27</t>
  </si>
  <si>
    <t>965x8.3um; delivered 9/26/19</t>
  </si>
  <si>
    <t>961x8.1um; delivered 9/26/19</t>
  </si>
  <si>
    <t>983x7.7um; delivered 9/26/19</t>
  </si>
  <si>
    <t>989x8.1um; delivered 9/26/19</t>
  </si>
  <si>
    <t>985x8.3um; delivered 9/26/19</t>
  </si>
  <si>
    <t>957x7.7um; delivered 9/3/19</t>
  </si>
  <si>
    <t>962x7.9um; delivered 9/3/19</t>
  </si>
  <si>
    <t>987x7.9um; delivered 9/3/19</t>
  </si>
  <si>
    <t>982x7.9um; delivered 9/3/19</t>
  </si>
  <si>
    <t>968x7.8um; delivered  9/3/19</t>
  </si>
  <si>
    <t>979 X 7.8um; delivered 9/3/19</t>
  </si>
  <si>
    <t>972 x 7.6um; delivered 9/26/19</t>
  </si>
  <si>
    <t>CRYO-2078-3662</t>
  </si>
  <si>
    <t>CRYO-2078-3643</t>
  </si>
  <si>
    <t>34,32</t>
  </si>
  <si>
    <t>CRYO-2078-3510</t>
  </si>
  <si>
    <t>983x7.8um</t>
  </si>
  <si>
    <t>CRYO-2078-3509</t>
  </si>
  <si>
    <t>980x7.8um</t>
  </si>
  <si>
    <t>CRYO-2078-3488</t>
  </si>
  <si>
    <t>29,29</t>
  </si>
  <si>
    <t>CRYO-2078-3489</t>
  </si>
  <si>
    <t>27,26</t>
  </si>
  <si>
    <t>CRYO-2061-3513</t>
  </si>
  <si>
    <t>768x6.1um</t>
  </si>
  <si>
    <t>21,20</t>
  </si>
  <si>
    <t>CRYO-2062-3521</t>
  </si>
  <si>
    <t>delivered on 10/10/19</t>
  </si>
  <si>
    <t>CRYO-2079-3493</t>
  </si>
  <si>
    <t>28,29</t>
  </si>
  <si>
    <t>CRYO-2079-3499</t>
  </si>
  <si>
    <t>32,33</t>
  </si>
  <si>
    <t>976x7.9um</t>
  </si>
  <si>
    <t>CRYO-2079-3500</t>
  </si>
  <si>
    <t>CRYO-2078-3118</t>
  </si>
  <si>
    <t>CRYO-2078-3442</t>
  </si>
  <si>
    <t>35,35</t>
  </si>
  <si>
    <t>CRYO-2077-3426</t>
  </si>
  <si>
    <t>29,30</t>
  </si>
  <si>
    <t>983x 7.8um; deliivered 10/22/19</t>
  </si>
  <si>
    <t>979x7.8um; delivered 10/22/19</t>
  </si>
  <si>
    <t>983x7.8um; delivered 10/22/19</t>
  </si>
  <si>
    <t>976.6x7.8um; delivered 10/22/19</t>
  </si>
  <si>
    <t>983.4x7.7um; delivered 10/22/19</t>
  </si>
  <si>
    <t>766x6.2um; delivered 10/22/19</t>
  </si>
  <si>
    <t>CRYO-2063-3678</t>
  </si>
  <si>
    <t>CRYO-2061-3679</t>
  </si>
  <si>
    <t>CRYO-2063-3683</t>
  </si>
  <si>
    <t>27,24</t>
  </si>
  <si>
    <t>26,23</t>
  </si>
  <si>
    <t>CRYO-2060-3696</t>
  </si>
  <si>
    <t>28,25</t>
  </si>
  <si>
    <t>765x6.0um</t>
  </si>
  <si>
    <t>CRYO-2063-3703</t>
  </si>
  <si>
    <t>CRYO-2062-3704</t>
  </si>
  <si>
    <t>CRYO-2062-3705</t>
  </si>
  <si>
    <t>CRYO-2065-3707</t>
  </si>
  <si>
    <t>23,24</t>
  </si>
  <si>
    <t>CRYO-2063-3708</t>
  </si>
  <si>
    <t>CRYO-2064-3709</t>
  </si>
  <si>
    <t>767x6.4um</t>
  </si>
  <si>
    <t>772x6.3um</t>
  </si>
  <si>
    <t>CRYO-2063-3714</t>
  </si>
  <si>
    <t>26,24</t>
  </si>
  <si>
    <t>CRYO-2064-3716</t>
  </si>
  <si>
    <t>CRYO-2062-3519</t>
  </si>
  <si>
    <t>765x6.2um</t>
  </si>
  <si>
    <t>30,28</t>
  </si>
  <si>
    <t>CRYO-2063-3520</t>
  </si>
  <si>
    <t>CRYO-2062-3524</t>
  </si>
  <si>
    <t>CRYO-2062-3529</t>
  </si>
  <si>
    <t>28,27</t>
  </si>
  <si>
    <t>769x6.3um; delivered 11/14/19</t>
  </si>
  <si>
    <t>768x6.3um; delivered 11/14/19</t>
  </si>
  <si>
    <t>768x6.5um; delivered 11/14/19</t>
  </si>
  <si>
    <t>766x6.2um; delivered 11/14/19</t>
  </si>
  <si>
    <t>767x6.3um; delivered 11/14/19</t>
  </si>
  <si>
    <t>873x7.9um ; pre-char cryo uscope, delivered 11/14/19</t>
  </si>
  <si>
    <t>delivered to C. Fella 11/27/19</t>
  </si>
  <si>
    <t>CRYO-2062-3804</t>
  </si>
  <si>
    <t>CRYO-2062-3803</t>
  </si>
  <si>
    <t>CRYO-2063-3802</t>
  </si>
  <si>
    <t>28,31</t>
  </si>
  <si>
    <t>CRYO-2062-3799</t>
  </si>
  <si>
    <t>25,27</t>
  </si>
  <si>
    <t>CRYO-2062-3797</t>
  </si>
  <si>
    <t>764.87x6.2um</t>
  </si>
  <si>
    <t>31,32</t>
  </si>
  <si>
    <t>18-018</t>
  </si>
  <si>
    <t>CRYO-2062-3795</t>
  </si>
  <si>
    <t>CRYO-2063-3794</t>
  </si>
  <si>
    <t>763.08x6.2um</t>
  </si>
  <si>
    <t>CRYO-2061-3796</t>
  </si>
  <si>
    <t>CRYO-2060-3801</t>
  </si>
  <si>
    <t>34, 37</t>
  </si>
  <si>
    <t>28, 36</t>
  </si>
  <si>
    <t>CRYO-2062-3800</t>
  </si>
  <si>
    <t>39,36</t>
  </si>
  <si>
    <t>CRYO-2063-3798</t>
  </si>
  <si>
    <t>CRYO-2063-3793</t>
  </si>
  <si>
    <t>24,25</t>
  </si>
  <si>
    <t>CRYO-2063-3792</t>
  </si>
  <si>
    <t>CRYO-2063-3721</t>
  </si>
  <si>
    <t>35,32</t>
  </si>
  <si>
    <t>CRYO-2062-3731</t>
  </si>
  <si>
    <t>25,28</t>
  </si>
  <si>
    <t>CRYO-2062-3752</t>
  </si>
  <si>
    <t>CRYO-2063-3753</t>
  </si>
  <si>
    <t>CRYO-2063-3754</t>
  </si>
  <si>
    <t>770x6.3um</t>
  </si>
  <si>
    <t>CRYO-2061-3790</t>
  </si>
  <si>
    <t>18-019</t>
  </si>
  <si>
    <t>CRYO-2063-3763</t>
  </si>
  <si>
    <t>CRYO-2062-3764</t>
  </si>
  <si>
    <t>29, 32</t>
  </si>
  <si>
    <t>CRYO-2063-3761</t>
  </si>
  <si>
    <t>CRYO-2063-3778</t>
  </si>
  <si>
    <t>CRYO-2062-3776</t>
  </si>
  <si>
    <t>20,21</t>
  </si>
  <si>
    <t>763x6.2um</t>
  </si>
  <si>
    <t>CRYO-2063-3775</t>
  </si>
  <si>
    <t>22,21</t>
  </si>
  <si>
    <t>18-020</t>
  </si>
  <si>
    <t>CRYO-2063-3771</t>
  </si>
  <si>
    <t>CRYO-2063-3777</t>
  </si>
  <si>
    <t>29,32</t>
  </si>
  <si>
    <t>CRYO-2062-3768</t>
  </si>
  <si>
    <t>18-021</t>
  </si>
  <si>
    <t>CRYO-2079-3833</t>
  </si>
  <si>
    <t>958x7.9um</t>
  </si>
  <si>
    <t>CRYO-2081-3831</t>
  </si>
  <si>
    <t>CRYO-2079-3832</t>
  </si>
  <si>
    <t>CRYO-2081-3829</t>
  </si>
  <si>
    <t>CRYO-2079-3828</t>
  </si>
  <si>
    <t>CRYO-2081-3827</t>
  </si>
  <si>
    <t>23,25</t>
  </si>
  <si>
    <t>CRYO-2081-3826</t>
  </si>
  <si>
    <t>26, 28</t>
  </si>
  <si>
    <t>CRYO-2081-3825</t>
  </si>
  <si>
    <t>CRYO-2080-3824</t>
  </si>
  <si>
    <t>26,27</t>
  </si>
  <si>
    <t>CRYO-44235-0228</t>
  </si>
  <si>
    <t>CRYO-44335-0229</t>
  </si>
  <si>
    <t>CRYO-44235-0230</t>
  </si>
  <si>
    <t>769x6.3um; delivered 1-22-19 Ruth</t>
  </si>
  <si>
    <t>delivered 1-22-19 Ruth</t>
  </si>
  <si>
    <t>763x6.1um; delivered 1-22-19 Ruth</t>
  </si>
  <si>
    <t>764.31x6.2um; delivered 1-22-19 Ruth</t>
  </si>
  <si>
    <t>765.83x6.3um; delivered 1-22-19 Ruth</t>
  </si>
  <si>
    <t>772x6.3um; Delivered 1-22-19 Ruth</t>
  </si>
  <si>
    <t>762x6.3um; delivered 1-22-20 Ruth</t>
  </si>
  <si>
    <t>989x4.2um</t>
  </si>
  <si>
    <t>CRYO-44335-0231</t>
  </si>
  <si>
    <t>CRYO-44335-0232</t>
  </si>
  <si>
    <t>CRYO-44235-0233</t>
  </si>
  <si>
    <t>CRYO-44335-0234</t>
  </si>
  <si>
    <t>33,33</t>
  </si>
  <si>
    <t>982x4.3um</t>
  </si>
  <si>
    <t>CRYO-44235-0235</t>
  </si>
  <si>
    <t>CRYO-2063-3862</t>
  </si>
  <si>
    <t>CRYO-2063-3853</t>
  </si>
  <si>
    <t>CRYO-2060-3858</t>
  </si>
  <si>
    <t>CRYO-2064-3863</t>
  </si>
  <si>
    <t>CRYO-2061-3851</t>
  </si>
  <si>
    <t>CRYO-2060-3861</t>
  </si>
  <si>
    <t>CRYO-2061-3860</t>
  </si>
  <si>
    <t>NEW TYPE 18 TARGET DESIGN -- TITANIUM</t>
  </si>
  <si>
    <t>CRYO-2060-3859</t>
  </si>
  <si>
    <t>CRYO-2063-3844</t>
  </si>
  <si>
    <t>31, 32</t>
  </si>
  <si>
    <t>CRYO-2061-3845</t>
  </si>
  <si>
    <t>CRYO-2060-3847</t>
  </si>
  <si>
    <t>CRYO-2061-3850</t>
  </si>
  <si>
    <t>CRYO-2060-3843</t>
  </si>
  <si>
    <t>955x8.1um; delivered 2/12/2020 Koch</t>
  </si>
  <si>
    <t>960x8.1um; delivered 2/12/2020</t>
  </si>
  <si>
    <t>958x8.1um; delivered 2/12/2020</t>
  </si>
  <si>
    <t>980x7.7; DELIVERED 2/12/2020 Koch</t>
  </si>
  <si>
    <t xml:space="preserve">980x7.7; delivered 2/14/2020 </t>
  </si>
  <si>
    <t>962x8.0um; delivered 2/14/2020</t>
  </si>
  <si>
    <t>964x8.1um; delivered 2/14/2020</t>
  </si>
  <si>
    <t>969x8.4um; delivered 2/14/20</t>
  </si>
  <si>
    <t>766x6.2um; delivered 2/14/20</t>
  </si>
  <si>
    <t>766x6.1um; delivered 3/6/2020</t>
  </si>
  <si>
    <t>767x6.0um; delivered 3/6/2020</t>
  </si>
  <si>
    <t>770x6.1um; delivered 3/6/2020</t>
  </si>
  <si>
    <t>768x6.1um; delivered 3/6/2020</t>
  </si>
  <si>
    <t>768x6.3um; delivered 3/6/2020</t>
  </si>
  <si>
    <t>768x6.0um; delivered 3/6/2020</t>
  </si>
  <si>
    <t>980x7.9um; delivered 3/6/2020</t>
  </si>
  <si>
    <t>CRYO-2077-3901</t>
  </si>
  <si>
    <t>CRYO-2077-3899</t>
  </si>
  <si>
    <t>28, 28</t>
  </si>
  <si>
    <t>CRYO-2080-3900</t>
  </si>
  <si>
    <t>CRYO-2080-3898</t>
  </si>
  <si>
    <t>18-022</t>
  </si>
  <si>
    <t>18-023</t>
  </si>
  <si>
    <t>18-024</t>
  </si>
  <si>
    <t>18-025</t>
  </si>
  <si>
    <t>CRYO-2078-3894</t>
  </si>
  <si>
    <t>CRYO-2080-3897</t>
  </si>
  <si>
    <t>CRYO-2077-3006</t>
  </si>
  <si>
    <t>1013x7.7um</t>
  </si>
  <si>
    <t>32,34</t>
  </si>
  <si>
    <t>CRYO-2078-3008</t>
  </si>
  <si>
    <t>CRYO-2077-3012</t>
  </si>
  <si>
    <t>1014x7.7um</t>
  </si>
  <si>
    <t>CRYO-2079-3892</t>
  </si>
  <si>
    <t>36/36</t>
  </si>
  <si>
    <t>963x7.9um</t>
  </si>
  <si>
    <t>CRYO-2080-3895</t>
  </si>
  <si>
    <t>960x8.0</t>
  </si>
  <si>
    <t>CRYO-2079-3891</t>
  </si>
  <si>
    <t>CRYO-2077-3888</t>
  </si>
  <si>
    <t>34,35</t>
  </si>
  <si>
    <t>CRYO-2078-3887</t>
  </si>
  <si>
    <t>955x7.8um</t>
  </si>
  <si>
    <t>CRYO-2077-3015</t>
  </si>
  <si>
    <t>CRYO-2077-3017</t>
  </si>
  <si>
    <t>CRYO-2077-3021</t>
  </si>
  <si>
    <t>1012x7.7um</t>
  </si>
  <si>
    <t>CRYO-2077-3025</t>
  </si>
  <si>
    <t>CRYO-2077-3995</t>
  </si>
  <si>
    <t>CRYO-2078-3992</t>
  </si>
  <si>
    <t>CRYO-2077-3990</t>
  </si>
  <si>
    <t>24, 26</t>
  </si>
  <si>
    <t>CRYO-2077-3987</t>
  </si>
  <si>
    <t>CRYO-2079-3988</t>
  </si>
  <si>
    <t>CRYO-2078-3989</t>
  </si>
  <si>
    <t>CRYO-2079-3993</t>
  </si>
  <si>
    <t>CRYO-2078-3984</t>
  </si>
  <si>
    <t>CRYO-2079-3977</t>
  </si>
  <si>
    <t>CRYO-2078-3975</t>
  </si>
  <si>
    <t>CRYO-2077-3010</t>
  </si>
  <si>
    <t>CRYO-2077-3022</t>
  </si>
  <si>
    <t>CRYO-2077-3028</t>
  </si>
  <si>
    <t>44,40</t>
  </si>
  <si>
    <t>CRYO-2077-3011</t>
  </si>
  <si>
    <t>38,39</t>
  </si>
  <si>
    <t>1016x7.7um; delivered to B. Ruth 26Jun2020</t>
  </si>
  <si>
    <t>1012x7.7um; delivered to B. Ruth 26Jun2020</t>
  </si>
  <si>
    <t>956x7.7um; delivered to B. Ruth 26Jun2020</t>
  </si>
  <si>
    <t>958x8.1um; ; delivered to B. Ruth 26Jun2020</t>
  </si>
  <si>
    <t>962x7.9um; delivered to B. Ruth 26Jun2020</t>
  </si>
  <si>
    <t>959x8.0um; delivered to B. Ruth 26Jun2020</t>
  </si>
  <si>
    <t>CRYO-2076-3018</t>
  </si>
  <si>
    <t>CRYO-2076-3026</t>
  </si>
  <si>
    <t>1017x7.6um</t>
  </si>
  <si>
    <t>CRYO-2076-3020</t>
  </si>
  <si>
    <t>CRYO-2077-3007</t>
  </si>
  <si>
    <t>CRYO-2076-3014</t>
  </si>
  <si>
    <t>ISE-3Q20-07-A01</t>
  </si>
  <si>
    <t>ISE-3Q20-07-A02</t>
  </si>
  <si>
    <t>859x22.8um</t>
  </si>
  <si>
    <t>858x22.2um</t>
  </si>
  <si>
    <t>CRYO-2060-3999</t>
  </si>
  <si>
    <t>CRYO-2063-4002</t>
  </si>
  <si>
    <t>23,26</t>
  </si>
  <si>
    <t>CRYO-2063-4007</t>
  </si>
  <si>
    <t>CRYO-2061-4008</t>
  </si>
  <si>
    <t xml:space="preserve">folder </t>
  </si>
  <si>
    <t>CRYO-2063-4009</t>
  </si>
  <si>
    <t>CRYO-2061-4010</t>
  </si>
  <si>
    <t>CRYO-2062-4011</t>
  </si>
  <si>
    <t>769x6.2um</t>
  </si>
  <si>
    <t>23,23</t>
  </si>
  <si>
    <t>CRYO-2061-4013</t>
  </si>
  <si>
    <t>CRYO-2061-4014</t>
  </si>
  <si>
    <t>CRYO-2062-4017</t>
  </si>
  <si>
    <t>25,24</t>
  </si>
  <si>
    <t>CRYO-2060-4025</t>
  </si>
  <si>
    <t>764x6.0um</t>
  </si>
  <si>
    <t>CRYO-2061-4027</t>
  </si>
  <si>
    <t>959x7.9um; delivered on 7/22/2020</t>
  </si>
  <si>
    <t>961x7.8; delivered on 7/22/2020</t>
  </si>
  <si>
    <t>959x7.8um; delivered on 7/22/2020</t>
  </si>
  <si>
    <t>1018x7.6um; delivered on 7/22/2020</t>
  </si>
  <si>
    <t>1011x7.7um; delivered on 7/22/2020</t>
  </si>
  <si>
    <t>1020x7.7um; delivered on 7/22/2020</t>
  </si>
  <si>
    <t>18-027</t>
  </si>
  <si>
    <t>767x6.3um; delivered Sal 8/13/202</t>
  </si>
  <si>
    <t>769x6.3um; delivered Sal 8/13/202</t>
  </si>
  <si>
    <t>770x6.1um; delivered Sal 8/13/202</t>
  </si>
  <si>
    <t>768x6.3um; delivered Sal 8/13/202</t>
  </si>
  <si>
    <t>765x6.1um; delivered Sal 8/13/202</t>
  </si>
  <si>
    <t>769x6.1um; delivered Sal 8/13/202</t>
  </si>
  <si>
    <t>765x6.2um; delivered Sal 8/13/202</t>
  </si>
  <si>
    <t>CRYO-2081-4141</t>
  </si>
  <si>
    <t>CRYO-2081-4132</t>
  </si>
  <si>
    <t>959x8.1um</t>
  </si>
  <si>
    <t>CRYO-2082-4134</t>
  </si>
  <si>
    <t xml:space="preserve">964x8.2um </t>
  </si>
  <si>
    <t>CRYO-2076-3027</t>
  </si>
  <si>
    <t>CRYO-2076-3029</t>
  </si>
  <si>
    <t>CRYO-9080-0290</t>
  </si>
  <si>
    <t>CRYO-9080-0295</t>
  </si>
  <si>
    <t>871x8.0um</t>
  </si>
  <si>
    <t>CRYO-9080-0304</t>
  </si>
  <si>
    <t>CRYO-9081-0307</t>
  </si>
  <si>
    <t>870x8.1um</t>
  </si>
  <si>
    <t>CRYO-9080-0320</t>
  </si>
  <si>
    <t>CRYO-9081-0312</t>
  </si>
  <si>
    <t>24,23</t>
  </si>
  <si>
    <t>CRYO-9081-0313</t>
  </si>
  <si>
    <t>872x8.1um</t>
  </si>
  <si>
    <t>Dymax 921 gel lot#1982317 exp 01/10/21, delivered to B. Ruth 9/3/2020</t>
  </si>
  <si>
    <t>Dymax 921 gel lot#1982317 exp 01/10/21; delivered to B. Ruth ,9/3/2020</t>
  </si>
  <si>
    <t>Dymax 921 gel lot#1982317 exp 01/10/21; lost during routine inspection in glovebox</t>
  </si>
  <si>
    <t>1016x7.6um; delivered to B. Ruth 9/3/2020</t>
  </si>
  <si>
    <t>1018x7.6um; delviered to B. Ruth 9/3/2020</t>
  </si>
  <si>
    <t>1019x7.6um; delivered to B. Ruth 9/3/2020</t>
  </si>
  <si>
    <t>959x7.7um; delivered to B. Ruth 9/3/2020</t>
  </si>
  <si>
    <t>958x7.7um; delivered to B. Ruth 9/3/2020</t>
  </si>
  <si>
    <t>956x7.8um; pre char, broken during after char inspection</t>
  </si>
  <si>
    <t>CRYO-9080-0340</t>
  </si>
  <si>
    <t>CRYO-9080-0338</t>
  </si>
  <si>
    <t>CRYO-9081-0335</t>
  </si>
  <si>
    <t>CRYO-9081-0317</t>
  </si>
  <si>
    <t>CRYO-9080-0315</t>
  </si>
  <si>
    <t>CRYO-9080-0327</t>
  </si>
  <si>
    <t>873x8.0um</t>
  </si>
  <si>
    <t>CRYO-9081-0316</t>
  </si>
  <si>
    <t>CRYO-9081-0319</t>
  </si>
  <si>
    <t>875x8.1um</t>
  </si>
  <si>
    <t>CRYO-9079-0318</t>
  </si>
  <si>
    <t>CRYO-9079-0311</t>
  </si>
  <si>
    <t>Failure, SEM image</t>
  </si>
  <si>
    <t>CRYO-2079-4074</t>
  </si>
  <si>
    <t>965x7.9um</t>
  </si>
  <si>
    <t>32,35</t>
  </si>
  <si>
    <t>CRYO-2079-4066</t>
  </si>
  <si>
    <t>CRYO-2078-4063</t>
  </si>
  <si>
    <t>CRYO-2078-4067</t>
  </si>
  <si>
    <t>965x7.8um</t>
  </si>
  <si>
    <t>960x7.8um</t>
  </si>
  <si>
    <t>CRYO-2078-4069</t>
  </si>
  <si>
    <t>CRYO-2078-4078</t>
  </si>
  <si>
    <t>CRYO-2078-4082</t>
  </si>
  <si>
    <t>952x7.8um</t>
  </si>
  <si>
    <t>CRYO-2079-4117</t>
  </si>
  <si>
    <t>CRYO-2079-4088</t>
  </si>
  <si>
    <t>CRYO-2079-4091</t>
  </si>
  <si>
    <t>34,33</t>
  </si>
  <si>
    <t>CRYO-2076-4174</t>
  </si>
  <si>
    <t>1018x7.6um</t>
  </si>
  <si>
    <t>CRYO-2076-4172</t>
  </si>
  <si>
    <t>1020x7.6um</t>
  </si>
  <si>
    <t>CRYO-2077-4179</t>
  </si>
  <si>
    <t>CRYO-2076-4154</t>
  </si>
  <si>
    <t>CRYO-2078-4157</t>
  </si>
  <si>
    <t>CRYO-2077-4158</t>
  </si>
  <si>
    <t>CRYO-2078-4167</t>
  </si>
  <si>
    <t>1019x7.8um</t>
  </si>
  <si>
    <t>874x7.9um; delviered 9/22/2020</t>
  </si>
  <si>
    <t>871x8.0um; delviered 9/22/2020</t>
  </si>
  <si>
    <t>871x8.1um; delviered 9/22/2020</t>
  </si>
  <si>
    <t>872x8.1um; delviered 9/22/2020</t>
  </si>
  <si>
    <t>876x8.0um; delviered 9/22/2020</t>
  </si>
  <si>
    <t>CRYO-2075-4176</t>
  </si>
  <si>
    <t>CRYO-2077-4092</t>
  </si>
  <si>
    <t>964x7.7um</t>
  </si>
  <si>
    <t>CRYO-2065-4296</t>
  </si>
  <si>
    <t>CRYO-2066-4291</t>
  </si>
  <si>
    <t>CRYO-2066-4270</t>
  </si>
  <si>
    <t>32,30</t>
  </si>
  <si>
    <t>CRYO-2067-4273</t>
  </si>
  <si>
    <t>872x6.6um</t>
  </si>
  <si>
    <t>CRYO-2066-4274</t>
  </si>
  <si>
    <t>CRYO-2067-4279</t>
  </si>
  <si>
    <t>CRYO-2066-4280</t>
  </si>
  <si>
    <t>CRYO-2065-4282</t>
  </si>
  <si>
    <t>CRYO-2065-4283</t>
  </si>
  <si>
    <t>delivered B. Ruth 10/5/2020</t>
  </si>
  <si>
    <t>delivered to B. Ruth 10/5/2020</t>
  </si>
  <si>
    <t>delivered to B. Ruth 10/7/2020</t>
  </si>
  <si>
    <t>CRYO-2059-4241</t>
  </si>
  <si>
    <t>CRYO-2060-4243</t>
  </si>
  <si>
    <t>CRYO-2076-4315</t>
  </si>
  <si>
    <t>CRYO-2074-4310</t>
  </si>
  <si>
    <t>958x7.9um; delivered 10/14/2020</t>
  </si>
  <si>
    <t>964x7.9um; delivered 10/14/2020</t>
  </si>
  <si>
    <t>965x7.9um; delivered 10/14/2020</t>
  </si>
  <si>
    <t>1013x7.8um; delivered 10/14/2020</t>
  </si>
  <si>
    <t>1014x7.6um; delivered 10/14/2020</t>
  </si>
  <si>
    <t>1020x7.5um; delivered 10/14/2020</t>
  </si>
  <si>
    <t>989x8.1um; delivered 10/14/2020</t>
  </si>
  <si>
    <t>glue spot size (um)</t>
  </si>
  <si>
    <t>765x5.9um; delivered 11/11/2020</t>
  </si>
  <si>
    <t>765x6.0um; delivered 11/11/2020</t>
  </si>
  <si>
    <t>869x6.6um; delivered 11/11/2020</t>
  </si>
  <si>
    <t>963x7.4um; delivered 11/11/2020</t>
  </si>
  <si>
    <t>966x7.6um; delivered 11/11/2020</t>
  </si>
  <si>
    <t>768x6.0um; delivered 11/11/2020</t>
  </si>
  <si>
    <t>CRYO-ISE-3Q20-07-A17</t>
  </si>
  <si>
    <t>CRYO-ISE-3Q20-07-A19</t>
  </si>
  <si>
    <t>CRYO-2060-4317</t>
  </si>
  <si>
    <t>760x6.0um</t>
  </si>
  <si>
    <t>CRYO-2057-4318</t>
  </si>
  <si>
    <t>763x5.7um</t>
  </si>
  <si>
    <r>
      <t xml:space="preserve">858x22.3um; in </t>
    </r>
    <r>
      <rPr>
        <b/>
        <sz val="11"/>
        <rFont val="Calibri"/>
        <family val="2"/>
        <scheme val="minor"/>
      </rPr>
      <t>"</t>
    </r>
    <r>
      <rPr>
        <b/>
        <sz val="11"/>
        <color rgb="FFFF0000"/>
        <rFont val="Calibri"/>
        <family val="2"/>
        <scheme val="minor"/>
      </rPr>
      <t>MEQ</t>
    </r>
    <r>
      <rPr>
        <sz val="11"/>
        <rFont val="Calibri"/>
        <family val="2"/>
        <scheme val="minor"/>
      </rPr>
      <t>"</t>
    </r>
    <r>
      <rPr>
        <sz val="11"/>
        <color theme="1"/>
        <rFont val="Calibri"/>
        <family val="2"/>
        <scheme val="minor"/>
      </rPr>
      <t xml:space="preserve"> button, slot 4; DELIVERED TO C. FELLA 12/7/2020</t>
    </r>
  </si>
  <si>
    <r>
      <t xml:space="preserve">858x22.0um; in </t>
    </r>
    <r>
      <rPr>
        <b/>
        <sz val="11"/>
        <rFont val="Calibri"/>
        <family val="2"/>
        <scheme val="minor"/>
      </rPr>
      <t>"</t>
    </r>
    <r>
      <rPr>
        <b/>
        <sz val="11"/>
        <color rgb="FFFF0000"/>
        <rFont val="Calibri"/>
        <family val="2"/>
        <scheme val="minor"/>
      </rPr>
      <t>MEQ</t>
    </r>
    <r>
      <rPr>
        <sz val="11"/>
        <rFont val="Calibri"/>
        <family val="2"/>
        <scheme val="minor"/>
      </rPr>
      <t>"</t>
    </r>
    <r>
      <rPr>
        <sz val="11"/>
        <color theme="1"/>
        <rFont val="Calibri"/>
        <family val="2"/>
        <scheme val="minor"/>
      </rPr>
      <t xml:space="preserve"> button, slot 5; DELIVERED TO C. FELLA 12/7/2020</t>
    </r>
  </si>
  <si>
    <t>DELIVERED TO C FELLA 12/7/2020</t>
  </si>
  <si>
    <t>FTS2 micropscope test 12/7/2020</t>
  </si>
  <si>
    <t>asymmetric glue, FTS2test 12/7/2020</t>
  </si>
  <si>
    <t>CRYO-2060-4319</t>
  </si>
  <si>
    <t>CRYO-2060-4320</t>
  </si>
  <si>
    <t>CRYO-2060-4321</t>
  </si>
  <si>
    <t>CRYO-2061-4322</t>
  </si>
  <si>
    <t>7-10</t>
  </si>
  <si>
    <t>CRYO-2059-4325</t>
  </si>
  <si>
    <t>CRYO-2064-4334</t>
  </si>
  <si>
    <t>771x6.4um</t>
  </si>
  <si>
    <t>CRYO-2065-4338</t>
  </si>
  <si>
    <t>768x6.5um</t>
  </si>
  <si>
    <t>CRYO-2061-4349</t>
  </si>
  <si>
    <t>766x6.1um</t>
  </si>
  <si>
    <t>29, 29</t>
  </si>
  <si>
    <t>CRYO-2061-4352</t>
  </si>
  <si>
    <t>30, 30</t>
  </si>
  <si>
    <t>CRYO-2060-4356</t>
  </si>
  <si>
    <t>767x6.0um</t>
  </si>
  <si>
    <t>CRYO-2062-4370</t>
  </si>
  <si>
    <t>29,31</t>
  </si>
  <si>
    <t>CRYO-2076-4223</t>
  </si>
  <si>
    <t>CRYO-2076-4214</t>
  </si>
  <si>
    <t>CRYO-2075-4185</t>
  </si>
  <si>
    <t>CRYO-2081-3943</t>
  </si>
  <si>
    <t>CRYO-2081-3942</t>
  </si>
  <si>
    <t>CRYO-2080-3948</t>
  </si>
  <si>
    <t>CRYO-2080-4382</t>
  </si>
  <si>
    <t>927x8.0um</t>
  </si>
  <si>
    <t>29,33</t>
  </si>
  <si>
    <t>CRYO-2080-4383</t>
  </si>
  <si>
    <t>928x8.0um</t>
  </si>
  <si>
    <t>33,36</t>
  </si>
  <si>
    <t>CRYO-2080-4375</t>
  </si>
  <si>
    <t>CRYO-2081-4384</t>
  </si>
  <si>
    <t>CRYO-2079-4388</t>
  </si>
  <si>
    <t>21,21</t>
  </si>
  <si>
    <t>CRYO-2081-4390</t>
  </si>
  <si>
    <t>CRYO-2080-3969</t>
  </si>
  <si>
    <t>sample targets</t>
  </si>
  <si>
    <t>sample target</t>
  </si>
  <si>
    <t>760x5.9um; delivered 1/28/2021</t>
  </si>
  <si>
    <t>760x6.0um; delivered 1/28/2021</t>
  </si>
  <si>
    <t>761x6.0um; delivered 1/28/2021</t>
  </si>
  <si>
    <t>770x6.1um; delivered 1/28/2021</t>
  </si>
  <si>
    <t>774x6.1um; delivered 1/28/2021</t>
  </si>
  <si>
    <t>769x6.2um; delivered 1/28/2021</t>
  </si>
  <si>
    <t>CRYO-2060-4424</t>
  </si>
  <si>
    <t>768x6.0um</t>
  </si>
  <si>
    <t>CRYO-2060-4428</t>
  </si>
  <si>
    <t>CRYO-2060-4417</t>
  </si>
  <si>
    <t>CRYO-2063-4413</t>
  </si>
  <si>
    <t>CRYO-2064-4408</t>
  </si>
  <si>
    <t>CRYO-2060-4435</t>
  </si>
  <si>
    <t>CRYO-2064-4407</t>
  </si>
  <si>
    <t>CRYO-2063-4409</t>
  </si>
  <si>
    <t>CRYO-2061-4420</t>
  </si>
  <si>
    <t>926x7.9um; delivered TFS 2/25/2021</t>
  </si>
  <si>
    <t>927x8.1um; delivered TFS 2/25/2021</t>
  </si>
  <si>
    <t>932x8.0um; delivered TFS 2/25/2021</t>
  </si>
  <si>
    <t>953x8.0um; delivered TFS 2/25/2021</t>
  </si>
  <si>
    <t>955x8.1um; delivered TFS 2/25/2021</t>
  </si>
  <si>
    <t>1018x7.6um; delivered TFS 2/25/2021</t>
  </si>
  <si>
    <t>CRYO-2055-4391</t>
  </si>
  <si>
    <t>Dymax 921 gel lot#1982561 exp 02/25/21</t>
  </si>
  <si>
    <t>diameter, um  *77 to 83</t>
  </si>
  <si>
    <t>0 deg diam (mm)</t>
  </si>
  <si>
    <t>90 deg diam (mm)</t>
  </si>
  <si>
    <t>30um diameter Polyimide tubing</t>
  </si>
  <si>
    <t>Cryo-UT-4185</t>
  </si>
  <si>
    <t>Cryo-UT-4186</t>
  </si>
  <si>
    <t>Cryo-UT-4187</t>
  </si>
  <si>
    <t>Cryo-UT-4188</t>
  </si>
  <si>
    <t>Dymax 921 gel lot#2620895 exp 07/10/22</t>
  </si>
  <si>
    <t>CRYO-2074-4479</t>
  </si>
  <si>
    <t>CRYO-2076-4476</t>
  </si>
  <si>
    <t>CRYO-2074-4491</t>
  </si>
  <si>
    <t>CRYO-2074-4495</t>
  </si>
  <si>
    <t>CRYO-2074-4497</t>
  </si>
  <si>
    <t>776x7.4um</t>
  </si>
  <si>
    <t>CRYO-2079-3973</t>
  </si>
  <si>
    <t>CRYO-2078-3974</t>
  </si>
  <si>
    <t>CRYO-2078-3966</t>
  </si>
  <si>
    <t>954x7.8um</t>
  </si>
  <si>
    <t>CRYO-2078-3968</t>
  </si>
  <si>
    <t>CRYO-2078-3152</t>
  </si>
  <si>
    <t>892x7.8um</t>
  </si>
  <si>
    <t>CRYO-2078-3154</t>
  </si>
  <si>
    <t>CRYO-2082-4376</t>
  </si>
  <si>
    <t>936x8.2um</t>
  </si>
  <si>
    <t>CRYO-2079-4377</t>
  </si>
  <si>
    <t>929x7.9um</t>
  </si>
  <si>
    <t>CRYO-2078-3161</t>
  </si>
  <si>
    <t>CRYO-2078-3162</t>
  </si>
  <si>
    <t>CRYO-2078-4389</t>
  </si>
  <si>
    <t>CRYO-2079-4380</t>
  </si>
  <si>
    <t>CRYO-2079-4381</t>
  </si>
  <si>
    <t>CRYO-2079-4506</t>
  </si>
  <si>
    <t>CRYO-2081-4509</t>
  </si>
  <si>
    <t>CRYO-2076-4478</t>
  </si>
  <si>
    <t>CRYO-2076-4481</t>
  </si>
  <si>
    <t>CRYO-2075-4475</t>
  </si>
  <si>
    <t>778x7.5um</t>
  </si>
  <si>
    <t>CRYO-2077-4191</t>
  </si>
  <si>
    <t>CRYO-2081-3191</t>
  </si>
  <si>
    <t>CRYO-2074-4474</t>
  </si>
  <si>
    <t>CRYO-2075-4500</t>
  </si>
  <si>
    <t>896x7.8um; delivered 4/29/2021</t>
  </si>
  <si>
    <t>897x8.1; delivered 4/29/2021</t>
  </si>
  <si>
    <t>901x8.1um; delivered 4/29/2021</t>
  </si>
  <si>
    <t>927x7.9um; delivered 4/29/2021</t>
  </si>
  <si>
    <t>1014x7.6um; delivered 4/29/2021</t>
  </si>
  <si>
    <t>1022x7.7um; delivered 4/29/2021</t>
  </si>
  <si>
    <t>CRYO-42054-0298</t>
  </si>
  <si>
    <t>CRYO-41955-0299</t>
  </si>
  <si>
    <t>CRYO-41856-0303</t>
  </si>
  <si>
    <t>CRYO-41955-0294</t>
  </si>
  <si>
    <t>CRYO-42251-0293</t>
  </si>
  <si>
    <t>948x7.3um</t>
  </si>
  <si>
    <t>CRYO-2076-3024</t>
  </si>
  <si>
    <t>CRYO-2075-4211</t>
  </si>
  <si>
    <t>CRYO-2075-4217</t>
  </si>
  <si>
    <t>CRYO-2075-4202</t>
  </si>
  <si>
    <t>1014x7.5um</t>
  </si>
  <si>
    <t>CRYO-2075-4192</t>
  </si>
  <si>
    <t>CRYO-2075-4189</t>
  </si>
  <si>
    <t>32,31</t>
  </si>
  <si>
    <t>771x7.9um; delivered 5/13/21</t>
  </si>
  <si>
    <t>773x7.6um; delivered 5/13/21</t>
  </si>
  <si>
    <t>772x8.1um; delivered 5/13/21</t>
  </si>
  <si>
    <t>778x7.6um; delivered 5/13/21</t>
  </si>
  <si>
    <t>772x7.4um; delivered 5/13/21</t>
  </si>
  <si>
    <t>773x7.4um; delivered 5/13/21</t>
  </si>
  <si>
    <t>774x7.4um; delivered 5/13/21</t>
  </si>
  <si>
    <t>770x6.4um; delivered 3/25/21</t>
  </si>
  <si>
    <t>770x6.4um; delviered 3/25/21</t>
  </si>
  <si>
    <t>768x6.3um; delivered 3/25/21</t>
  </si>
  <si>
    <t>764x6.3um; delivered 3/25/21</t>
  </si>
  <si>
    <t>767x6.0um; delivered 3/25/21</t>
  </si>
  <si>
    <t>768x6.1um; delivered 3/25/21</t>
  </si>
  <si>
    <t>988x7.7um; FTS2test 12/7/2020; delivered for fill 3/25/21</t>
  </si>
  <si>
    <t>CRYO-2078-4607</t>
  </si>
  <si>
    <t>773x7.8um</t>
  </si>
  <si>
    <t>CRYO-2078-4602</t>
  </si>
  <si>
    <t>CRYO-2076-4585</t>
  </si>
  <si>
    <t>CRYO-2078-4595</t>
  </si>
  <si>
    <t>768x7.8um</t>
  </si>
  <si>
    <t>CRYO-2076-4599</t>
  </si>
  <si>
    <t>CRYO-2077-4600</t>
  </si>
  <si>
    <t>774x7.7um</t>
  </si>
  <si>
    <t>CRYO-2081-4515</t>
  </si>
  <si>
    <t>774x8.1um</t>
  </si>
  <si>
    <t>CRYO-2077-4601</t>
  </si>
  <si>
    <t>CRYO-2078-4586</t>
  </si>
  <si>
    <t>CRYO-2078-4568</t>
  </si>
  <si>
    <t>CRYO-2079-4575</t>
  </si>
  <si>
    <t>CRYO-2079-4579</t>
  </si>
  <si>
    <t>CRYO-2075-4574</t>
  </si>
  <si>
    <t>CRYO-2077-4591</t>
  </si>
  <si>
    <t>CRYO-2076-4584</t>
  </si>
  <si>
    <t>CRYO-2077-4587</t>
  </si>
  <si>
    <t>31,31</t>
  </si>
  <si>
    <t>768x7.5um</t>
  </si>
  <si>
    <t>CRYO-9081-0365</t>
  </si>
  <si>
    <t>36,33</t>
  </si>
  <si>
    <t>CRYO-9079-0367</t>
  </si>
  <si>
    <t>874x7.9um</t>
  </si>
  <si>
    <t>CRYO-9081-0351</t>
  </si>
  <si>
    <t>CRYO-9081-0354</t>
  </si>
  <si>
    <t>CRYO-9080-0358</t>
  </si>
  <si>
    <t>CRYO-9081-0359</t>
  </si>
  <si>
    <t>874x8.1um</t>
  </si>
  <si>
    <t>26,30</t>
  </si>
  <si>
    <t>CRYO-9080-0361</t>
  </si>
  <si>
    <t>CRYO-9082-0371</t>
  </si>
  <si>
    <t>CRYO-9080-0375</t>
  </si>
  <si>
    <t>CRYO-9079-0392</t>
  </si>
  <si>
    <t>CRYO-9081-0388</t>
  </si>
  <si>
    <t>CRYO-9079-0387</t>
  </si>
  <si>
    <t>CRYO-9081-0369</t>
  </si>
  <si>
    <t>CRYO-9081-0370</t>
  </si>
  <si>
    <t>CRYO-9081-0378</t>
  </si>
  <si>
    <t xml:space="preserve">771x7.8um; delivered 6/25/2021 </t>
  </si>
  <si>
    <t>774x7.9um; delivered 6/25/2021</t>
  </si>
  <si>
    <t>770x7.7um; delivered 6/25/2021</t>
  </si>
  <si>
    <t>772x7.7um; delivered 6/25/2021</t>
  </si>
  <si>
    <t>775x7.9um; delivered 6/25/2021</t>
  </si>
  <si>
    <t>768x7.6um; delivered 6/25/2021</t>
  </si>
  <si>
    <t>871x8.1um; delivered 7/22/2021</t>
  </si>
  <si>
    <t>872x8.1um; delivered to Rm157 7/22/2021</t>
  </si>
  <si>
    <t>870x8.2um; delivered to Rm157 7/22/2021</t>
  </si>
  <si>
    <t>873x7.9um; delivered to Rm.157 7/22/2021</t>
  </si>
  <si>
    <t>875x8.1um; delivered to Rm157 7/22/2021</t>
  </si>
  <si>
    <t>871x8.1um; delivered to Rm157 7/22/2021</t>
  </si>
  <si>
    <t>955x7.4um; delivered 6/10/2021</t>
  </si>
  <si>
    <t>959x7.4um; delivered 6/10/2021</t>
  </si>
  <si>
    <t>955x7.9um; delivered 6/10/2021</t>
  </si>
  <si>
    <t>954x7.8um; delivered 6/10/2021</t>
  </si>
  <si>
    <t>1018x7.5um; delivered 6/10/2021</t>
  </si>
  <si>
    <t>1016x7.5um; delivered 6/10/2021</t>
  </si>
  <si>
    <t>CRYO-42053-0286</t>
  </si>
  <si>
    <t>CRYO-42053-0287</t>
  </si>
  <si>
    <t>CRYO-42152-0282</t>
  </si>
  <si>
    <t>CRYO-42152-0272</t>
  </si>
  <si>
    <t xml:space="preserve">927x7.3um </t>
  </si>
  <si>
    <t>CRYO-2078-4611</t>
  </si>
  <si>
    <t>CRYO-2079-4613</t>
  </si>
  <si>
    <t>CRYO-2078-4616</t>
  </si>
  <si>
    <t>902x7.8um</t>
  </si>
  <si>
    <t>CRYO-42050-329</t>
  </si>
  <si>
    <t>CRYO-42050-331</t>
  </si>
  <si>
    <t>CRYO-41950-338</t>
  </si>
  <si>
    <t>CRYO-42053-365</t>
  </si>
  <si>
    <t>CRYO-42053-366</t>
  </si>
  <si>
    <t>1019x7.3um</t>
  </si>
  <si>
    <t>CRYO-42053-367</t>
  </si>
  <si>
    <t>CRYO-2079-4617</t>
  </si>
  <si>
    <t>895x7.9um</t>
  </si>
  <si>
    <t>CRYO-41951-340</t>
  </si>
  <si>
    <t>CRYO-41951-336</t>
  </si>
  <si>
    <t>911x7.0um</t>
  </si>
  <si>
    <t>CRYO-42051-323</t>
  </si>
  <si>
    <t>899x7.1um</t>
  </si>
  <si>
    <t>CRYO-42050-330</t>
  </si>
  <si>
    <t>CRYO-42249-0256</t>
  </si>
  <si>
    <t>CRYO-42050-0263</t>
  </si>
  <si>
    <t>CRYO-42053-0266</t>
  </si>
  <si>
    <t>CRYO-42053-0274</t>
  </si>
  <si>
    <t>CRYO-42152-0277</t>
  </si>
  <si>
    <t>894x6.9um; delivered 8/23/2021</t>
  </si>
  <si>
    <t>895x7.8um; delivered 8/23/2021</t>
  </si>
  <si>
    <t>898x7.0um; delivered 8/23/2021</t>
  </si>
  <si>
    <t>902x7.9um; delivered 8/23/2021</t>
  </si>
  <si>
    <t>925x7.3um; delivered 8/23/2021</t>
  </si>
  <si>
    <t>1018x7.3um; delivered 8/23/2021</t>
  </si>
  <si>
    <t>1019x7.3um; delivered 8/23/2021</t>
  </si>
  <si>
    <t>CRYO-42251-0281</t>
  </si>
  <si>
    <t>CRYO-42152-0278</t>
  </si>
  <si>
    <t>CRYO-2073-4740</t>
  </si>
  <si>
    <t>1018x7.3um</t>
  </si>
  <si>
    <t>CRYO-2072-4741</t>
  </si>
  <si>
    <t>CRYO-2073-4743</t>
  </si>
  <si>
    <t>CRYO-2073-4744</t>
  </si>
  <si>
    <t>CRYO-42159-381</t>
  </si>
  <si>
    <t>1014x8.1um</t>
  </si>
  <si>
    <t>CRYO-42259-380</t>
  </si>
  <si>
    <t>1012x8.1um</t>
  </si>
  <si>
    <t>CRYO-42360-379</t>
  </si>
  <si>
    <t>CRYO-42260-375</t>
  </si>
  <si>
    <t>1015x8.1um</t>
  </si>
  <si>
    <t>CRYO-42459-376</t>
  </si>
  <si>
    <t>1013x8.3um</t>
  </si>
  <si>
    <t>CRYO-42256-373</t>
  </si>
  <si>
    <t>CRYO-42356-372</t>
  </si>
  <si>
    <t>907x7.0um; delivered 10/7/2021</t>
  </si>
  <si>
    <t>895x7.0um; delivered 10/7/2021</t>
  </si>
  <si>
    <t>897x7.0um; delivered 10/7/2021</t>
  </si>
  <si>
    <t>931x7.0um; delivered 10/7/2021</t>
  </si>
  <si>
    <t>929x7.0um; delivered 10/7/2021</t>
  </si>
  <si>
    <t>926x7.3um; delivered 10/7/2021</t>
  </si>
  <si>
    <t>CRYO-41954-439</t>
  </si>
  <si>
    <t>CRYO-42056-449</t>
  </si>
  <si>
    <t xml:space="preserve">1019x7.6um </t>
  </si>
  <si>
    <t>CRYO-42154-447</t>
  </si>
  <si>
    <t>CRYO-42052-438</t>
  </si>
  <si>
    <t>CRYO-41953-350</t>
  </si>
  <si>
    <t>CRYO-42050-0248</t>
  </si>
  <si>
    <t>CRYO-41953-0280</t>
  </si>
  <si>
    <t>CRYO-42249-0262</t>
  </si>
  <si>
    <t>CRYO-42152-407</t>
  </si>
  <si>
    <t>1018x7.3um; delivered 10/21/2021</t>
  </si>
  <si>
    <t>1017x7.2um; delivered 10/21/2021</t>
  </si>
  <si>
    <t>1019x7.3um; delivered 10/25/2021</t>
  </si>
  <si>
    <t>1016x7.3um; delivered 10/21/2021</t>
  </si>
  <si>
    <t>1017x8.2um; delivered 10/25/2021</t>
  </si>
  <si>
    <t>1010x7.9um; delivered 10/21/2021</t>
  </si>
  <si>
    <t>953x7.4um; delivered 10/25/2021</t>
  </si>
  <si>
    <t>CRYO-41955-0297</t>
  </si>
  <si>
    <t>775x7.4um; Set aside for Sal 1/2022</t>
  </si>
  <si>
    <t>777x7.6um; Set aside for Sal 1/2022</t>
  </si>
  <si>
    <t>766x5.5um; Set aside for Sal 1/2022</t>
  </si>
  <si>
    <t>873x6.7um; Removed 1/2022</t>
  </si>
  <si>
    <t>864x6.5um; Removed 1/2022</t>
  </si>
  <si>
    <t>868x6.5um; Removed 1/2022</t>
  </si>
  <si>
    <t>926x8.1um; Removed 1/2022</t>
  </si>
  <si>
    <t>773x7.5um; Removed 1/2022</t>
  </si>
  <si>
    <t>1018x7.6um; Removed 1/2022</t>
  </si>
  <si>
    <t>963x7.9um; Removed 1/2022</t>
  </si>
  <si>
    <t>958x7.8um; Removed 1/2022</t>
  </si>
  <si>
    <t>873x8.1um; Removed 1/2022</t>
  </si>
  <si>
    <t>872x7.9um; Set aside for Sal 1/2022</t>
  </si>
  <si>
    <t>874x8.1um; Removed 1/2022</t>
  </si>
  <si>
    <t>866x6.5um; Removed 1/2022</t>
  </si>
  <si>
    <t>943x7.3um ; Removed 1/2022</t>
  </si>
  <si>
    <t>1009 x 6.7; Removed 1/2022</t>
  </si>
  <si>
    <t>1020x7.5um; Removed 1/2022</t>
  </si>
  <si>
    <t>770x7.8um; Removed 1/2022</t>
  </si>
  <si>
    <t>768x7.6um; Removed 1/2022</t>
  </si>
  <si>
    <t>770x6.0um; Removed 1/2022</t>
  </si>
  <si>
    <t>871x8.1um; Set aside for Sal 1/2022</t>
  </si>
  <si>
    <t>870x8.0um; Set aside for Sal 1/2022</t>
  </si>
  <si>
    <t>879 x 7.5um; Removed 1/2022</t>
  </si>
  <si>
    <t>976x7.8; Removed 1/2022</t>
  </si>
  <si>
    <t>961x8.3um; Set aside for Sal 1/2022</t>
  </si>
  <si>
    <t>771x6.2um; Removed 1/2022</t>
  </si>
  <si>
    <t>760x6.1um; Removed 1/2022</t>
  </si>
  <si>
    <t>962x7.8um; Removed 1/2022</t>
  </si>
  <si>
    <t>Removed 1/2022</t>
  </si>
  <si>
    <t>965x7.8um; Removed 1/2022</t>
  </si>
  <si>
    <t>956x8.0um; Removed 1/2022</t>
  </si>
  <si>
    <t>1009x7.7um; Removed 1/2022</t>
  </si>
  <si>
    <t>1015x7.7um; Removed 1/2022</t>
  </si>
  <si>
    <t>901x9.1; Removed 1/2022</t>
  </si>
  <si>
    <t>898x8.2um; Removed 1/2022</t>
  </si>
  <si>
    <t>878 x 7.8um; Removed 1/2022</t>
  </si>
  <si>
    <t>931x7.8um; Removed 1/2022</t>
  </si>
  <si>
    <t>Set aside for Sal 1/2022</t>
  </si>
  <si>
    <t>934x7.7; Removed 1/2022</t>
  </si>
  <si>
    <t>spare; Removed 1/2022</t>
  </si>
  <si>
    <r>
      <rPr>
        <sz val="11"/>
        <color rgb="FFFF0000"/>
        <rFont val="Calibri"/>
        <family val="2"/>
        <scheme val="minor"/>
      </rPr>
      <t>987</t>
    </r>
    <r>
      <rPr>
        <sz val="11"/>
        <color theme="1"/>
        <rFont val="Calibri"/>
        <family val="2"/>
        <scheme val="minor"/>
      </rPr>
      <t>x7.4um, remove debris near stalk, 66um fp; Removed 1/2022</t>
    </r>
  </si>
  <si>
    <t>1013x7.7um; Set aside for Sal 1/2022</t>
  </si>
  <si>
    <t>1008x7.8um; Set aside for Sal 1/2022</t>
  </si>
  <si>
    <t>cured with panasonic LED; Removed 1/2022</t>
  </si>
  <si>
    <t>900 x 8.2; Removed 1/2022</t>
  </si>
  <si>
    <t>891x8.1; Set aside for Chad 1/2022</t>
  </si>
  <si>
    <t>896 x 8.1; Set aside for Chad 1/2022</t>
  </si>
  <si>
    <t>898 x 8.1; Set aside for Chad 1/2022</t>
  </si>
  <si>
    <t>0.94atm% Ge; Removed 1/2022</t>
  </si>
  <si>
    <t>0.57atm% Ge; Removed 1/2022</t>
  </si>
  <si>
    <t>NOA68 exp. 6 Sep 2012, cured w/ Panasonic LED; Removed 1/2022</t>
  </si>
  <si>
    <t>0.1% vulcan C black doped NOA68; Removed 1/2022</t>
  </si>
  <si>
    <t>1015x6.9um; Set aside for Chad 1/2022</t>
  </si>
  <si>
    <t>981x7.9um; Set aside for Chad 1/2022</t>
  </si>
  <si>
    <t>Delivered 1/31/18; Set aside for Chad 1/2022</t>
  </si>
  <si>
    <t>cured with panasonic LED; stalk mounted Si coating; 1min, 40s; Removed 1/2022</t>
  </si>
  <si>
    <t>400A gold; Removed 1/2022</t>
  </si>
  <si>
    <t>Set aside for Chad 1/2022</t>
  </si>
  <si>
    <t>40s, 10mtorr gold coating, 4/28/15 KJL; Removed 1/2022</t>
  </si>
  <si>
    <t>1030 x 7.7um; Removed 1/2022</t>
  </si>
  <si>
    <t>CRYO-42356-479</t>
  </si>
  <si>
    <t>DELIVERED TO C FELLA 1/5/2022</t>
  </si>
  <si>
    <t>CRYO-42456-482</t>
  </si>
  <si>
    <t>963x8.0um</t>
  </si>
  <si>
    <t>CRYO-42150-0258</t>
  </si>
  <si>
    <t>CRYO-42248-0260</t>
  </si>
  <si>
    <t>1020x7.3um; delivered 11/11/2021</t>
  </si>
  <si>
    <t>1022x7.4um; delivered 11/11/2021</t>
  </si>
  <si>
    <t>1020x7.2um; delivered 11/111/2021</t>
  </si>
  <si>
    <t>964x7.4um; delivered 111/11/2021</t>
  </si>
  <si>
    <t>966x7.4um; delivered 11/11/2021</t>
  </si>
  <si>
    <t>929x7.0um; delivered 11/11/2021</t>
  </si>
  <si>
    <t>927x7.2um; delivered 11/11/2021</t>
  </si>
  <si>
    <t>ISE-2Q16-10-C317</t>
  </si>
  <si>
    <t>ISE-2Q16-10-C318</t>
  </si>
  <si>
    <t>ISE-2Q16-10-C319</t>
  </si>
  <si>
    <t>ISE-2Q16-10-C320</t>
  </si>
  <si>
    <t>934x7.4um; hand loaded FT1 10/8/2021</t>
  </si>
  <si>
    <t>CRYO-42052-0289</t>
  </si>
  <si>
    <t>944x7.2um</t>
  </si>
  <si>
    <t>CRYO-41854-0284</t>
  </si>
  <si>
    <t>CRYO-42250-0283</t>
  </si>
  <si>
    <t>CRYO-42151-0285</t>
  </si>
  <si>
    <t>939x7.4um</t>
  </si>
  <si>
    <t>CRYO-42250-0288</t>
  </si>
  <si>
    <t>26,32</t>
  </si>
  <si>
    <t>CRYO-42051-0247</t>
  </si>
  <si>
    <t>938x7.1um</t>
  </si>
  <si>
    <t>CRYO-42149-0245</t>
  </si>
  <si>
    <t>936x7.0um</t>
  </si>
  <si>
    <t>CRYO-41164-552</t>
  </si>
  <si>
    <t>CRYO-41264-548</t>
  </si>
  <si>
    <t>CRYO-41562-543</t>
  </si>
  <si>
    <t>940x7.7um</t>
  </si>
  <si>
    <t>CRYO-41562-531</t>
  </si>
  <si>
    <t>CRYO-41264-556</t>
  </si>
  <si>
    <t>CRYO-42149-0250</t>
  </si>
  <si>
    <t>removed 1/2022</t>
  </si>
  <si>
    <t>CRYO-41955-0296</t>
  </si>
  <si>
    <t>CRYO-41856-0300</t>
  </si>
  <si>
    <t>CRYO-41856-0295</t>
  </si>
  <si>
    <t>CRYO-41856-0304</t>
  </si>
  <si>
    <t>CRYO-42053-0302</t>
  </si>
  <si>
    <t>CRYO-42360-400</t>
  </si>
  <si>
    <t>CRYO-42360-405</t>
  </si>
  <si>
    <t>1008x8.3um</t>
  </si>
  <si>
    <t>31,33</t>
  </si>
  <si>
    <t>937x7.6um; delivered 3/3/2022</t>
  </si>
  <si>
    <t>938x7.6um; delivered 3/3/2022</t>
  </si>
  <si>
    <t>940x7.7um; delivered 3/3/2022</t>
  </si>
  <si>
    <t>940x7.2um; delivered 3/3/2022</t>
  </si>
  <si>
    <t>939x7.4um; delivered 3/3/2022</t>
  </si>
  <si>
    <t>943x7.3um; broken 3/3/2022</t>
  </si>
  <si>
    <t>936x7.0um; delivered 3/3/2022</t>
  </si>
  <si>
    <t>CRYO-42360-404</t>
  </si>
  <si>
    <t>CRYO-42360-401</t>
  </si>
  <si>
    <t>CRYO-41953-344</t>
  </si>
  <si>
    <t>CRYO-41953-345</t>
  </si>
  <si>
    <t>CRYO-41953-355</t>
  </si>
  <si>
    <t>CRYO-ISE-1Q19-09-004</t>
  </si>
  <si>
    <t>CRYO-ISE-1Q19-09-008</t>
  </si>
  <si>
    <t>876x41.1um</t>
  </si>
  <si>
    <t>37,36</t>
  </si>
  <si>
    <t>CRYO-42050-577</t>
  </si>
  <si>
    <t>770x6.9um</t>
  </si>
  <si>
    <t>CRYO-42050-580</t>
  </si>
  <si>
    <t>CRYO-42050-582</t>
  </si>
  <si>
    <t>770x7.0um</t>
  </si>
  <si>
    <t>901 x 8.2; removed 1/2022</t>
  </si>
  <si>
    <t>CRYO-42042-584</t>
  </si>
  <si>
    <t>24,26</t>
  </si>
  <si>
    <t>CRYO-42042-587</t>
  </si>
  <si>
    <t>771x6.2um</t>
  </si>
  <si>
    <t>CRYO-42042-588</t>
  </si>
  <si>
    <t>CRYO-42042-598</t>
  </si>
  <si>
    <t>CRYO-42042-603</t>
  </si>
  <si>
    <t>CRYO-42042-593</t>
  </si>
  <si>
    <t>CRYO-42042-586</t>
  </si>
  <si>
    <t>CRYO-42042-597</t>
  </si>
  <si>
    <t>957x7.4um; delivered 4/7/22</t>
  </si>
  <si>
    <t>1018x7.2um; delivered 4/7/22</t>
  </si>
  <si>
    <t>1019x7.2um; delivered 4/7/22</t>
  </si>
  <si>
    <t>960x7.3um; delivered 4/7/22</t>
  </si>
  <si>
    <t>1016x8.3um; delivered 4/7/22</t>
  </si>
  <si>
    <t>1012x8.3um ; delivered 4/7/22</t>
  </si>
  <si>
    <t>CRYO-41264-554</t>
  </si>
  <si>
    <t>CRYO-41264-545</t>
  </si>
  <si>
    <t>935x7.6um</t>
  </si>
  <si>
    <t>CRYO-41264-544</t>
  </si>
  <si>
    <t>CRYO-42255-604</t>
  </si>
  <si>
    <t>CRYO-42255-605</t>
  </si>
  <si>
    <t>CRYO-42255-607</t>
  </si>
  <si>
    <t>CRYO-42255-608</t>
  </si>
  <si>
    <t>CRYO-42354-610</t>
  </si>
  <si>
    <t>935x7.8um</t>
  </si>
  <si>
    <t>24,28</t>
  </si>
  <si>
    <t>CRYO-42255-613</t>
  </si>
  <si>
    <t>CRYO-42255-615</t>
  </si>
  <si>
    <t>CRYO-42255-618</t>
  </si>
  <si>
    <t>CRYO-42355-620</t>
  </si>
  <si>
    <t>CRYO-42355-606</t>
  </si>
  <si>
    <t>CRYO-41264-553</t>
  </si>
  <si>
    <t>769x6.2um; delivered 4/21/22</t>
  </si>
  <si>
    <t>767x6.2um; delivered 4/21/22</t>
  </si>
  <si>
    <t>766x6.2um; delivered 4/21/22</t>
  </si>
  <si>
    <t>771x6.2um; delivered 4/21/22</t>
  </si>
  <si>
    <t>772x7.0um; delivered 4/21/22</t>
  </si>
  <si>
    <t>CRYO-2070-4850</t>
  </si>
  <si>
    <t>CRYO-2070-4873</t>
  </si>
  <si>
    <t>CRYO-2070-4874</t>
  </si>
  <si>
    <t>784x7.0um</t>
  </si>
  <si>
    <t>CRYO-2070-4876</t>
  </si>
  <si>
    <t>783x7.0um</t>
  </si>
  <si>
    <t>CRYO-2070-4844</t>
  </si>
  <si>
    <t>787x7.0um</t>
  </si>
  <si>
    <t>CRYO-2081-4781</t>
  </si>
  <si>
    <t>CRYO-2081-4785</t>
  </si>
  <si>
    <t>878x8.1um</t>
  </si>
  <si>
    <t>CRYO-2081-4776</t>
  </si>
  <si>
    <t>CRYO-2081-4791</t>
  </si>
  <si>
    <t>CRYO-2081-4780</t>
  </si>
  <si>
    <t>CRYO-2091-4795</t>
  </si>
  <si>
    <t>CRYO-2091-4799</t>
  </si>
  <si>
    <t>CRYO-2091-4817</t>
  </si>
  <si>
    <t>CRYO-2090-4825</t>
  </si>
  <si>
    <t>1027x9.0um</t>
  </si>
  <si>
    <t>CRYO-2091-4792</t>
  </si>
  <si>
    <t>1022x9.1um</t>
  </si>
  <si>
    <t>CRYO-2070-4851</t>
  </si>
  <si>
    <t>CRYO-2070-4853</t>
  </si>
  <si>
    <t>794x7.0um</t>
  </si>
  <si>
    <t>CRYO-2070-4879</t>
  </si>
  <si>
    <t>773x7.0um</t>
  </si>
  <si>
    <t>935x7.7um; delivered 5/12/2022</t>
  </si>
  <si>
    <t>936x7.7um; delivered 5/12/2022</t>
  </si>
  <si>
    <t>938x7.7um; delivered 5/12/2022</t>
  </si>
  <si>
    <t>938x7.8um; delivered 5/12/2022</t>
  </si>
  <si>
    <t>939x7.7um; delivered 5/12/2022</t>
  </si>
  <si>
    <t>936x7.6um; delivered 5/12/2022</t>
  </si>
  <si>
    <t>18-028</t>
  </si>
  <si>
    <t>18-029</t>
  </si>
  <si>
    <t>18-030</t>
  </si>
  <si>
    <t>18-031</t>
  </si>
  <si>
    <t>18-032</t>
  </si>
  <si>
    <t>18-033</t>
  </si>
  <si>
    <t>18-034</t>
  </si>
  <si>
    <t>CRYO-ME-1239-0253</t>
  </si>
  <si>
    <t>CRYO-ME-1230-0254</t>
  </si>
  <si>
    <t>AB</t>
  </si>
  <si>
    <t>37,37</t>
  </si>
  <si>
    <t>785x7.0um; delivered 6/2/22</t>
  </si>
  <si>
    <t>786x7.0um; delivered 6/2/22</t>
  </si>
  <si>
    <t>877x8.1um; delivered 6/2/22</t>
  </si>
  <si>
    <t>878x8.1um; delivered 6/2/22</t>
  </si>
  <si>
    <t>1027x9.1um; delivered 6/2/22</t>
  </si>
  <si>
    <t>1024x9.1um; delivered 6/2/22</t>
  </si>
  <si>
    <t>CRYO-5080-017</t>
  </si>
  <si>
    <t>CRYO-5079-027</t>
  </si>
  <si>
    <t>932x7.8um</t>
  </si>
  <si>
    <t>932x8.0um</t>
  </si>
  <si>
    <t>6/9/022</t>
  </si>
  <si>
    <t>CRYO-5079-022</t>
  </si>
  <si>
    <t>933x7.8um</t>
  </si>
  <si>
    <t>CRYO-5078-031</t>
  </si>
  <si>
    <t>CRYO-42252-0267</t>
  </si>
  <si>
    <t>CRYO-42351-0273</t>
  </si>
  <si>
    <t>CRYO-5079-021</t>
  </si>
  <si>
    <t>CRYO-5079-023</t>
  </si>
  <si>
    <t>CRYO-5081-020</t>
  </si>
  <si>
    <t>931x8.1um</t>
  </si>
  <si>
    <t>CRYO-5078-056</t>
  </si>
  <si>
    <t>CRYO-5079-063</t>
  </si>
  <si>
    <t>CRYO-5078-061</t>
  </si>
  <si>
    <t>930x7.9um</t>
  </si>
  <si>
    <t>CRYO-5078-069</t>
  </si>
  <si>
    <t>CRYO-5079-055</t>
  </si>
  <si>
    <t>CRYO-ME-1230-0255</t>
  </si>
  <si>
    <t>CRYO-ME-1237-0258</t>
  </si>
  <si>
    <t>874x23.7um</t>
  </si>
  <si>
    <t>CRYO-ME-1241-0261</t>
  </si>
  <si>
    <t>CRYO-ME-1237-0262</t>
  </si>
  <si>
    <t>856.2x24.1um</t>
  </si>
  <si>
    <t>931x7.9um; delivered 6/29/22</t>
  </si>
  <si>
    <t>933x7.8um; delivered 6/29/22</t>
  </si>
  <si>
    <t>934x7.8um; delivered 6/29/22</t>
  </si>
  <si>
    <t>932x7.8um; delivered 6/29/22</t>
  </si>
  <si>
    <t>930x7.9um; delivered 6/29/22</t>
  </si>
  <si>
    <t>935x7.4um; delivered 6/29/22</t>
  </si>
  <si>
    <t>861x23.9um; delivered for 7slot rack test</t>
  </si>
  <si>
    <t>Dymax 921 gel lot#3356299 exp 10/31/23</t>
  </si>
  <si>
    <t>CRYO-2085-4917</t>
  </si>
  <si>
    <t>CRYO-2084-4894</t>
  </si>
  <si>
    <t>CRYO-2086-4895</t>
  </si>
  <si>
    <t>CRYO-2085-4885</t>
  </si>
  <si>
    <t>CRYO-2086-4892</t>
  </si>
  <si>
    <t>CRYO-2084-4890</t>
  </si>
  <si>
    <t>871x8.4um</t>
  </si>
  <si>
    <t>CRYO-2083-4896</t>
  </si>
  <si>
    <t>874x8.3um</t>
  </si>
  <si>
    <t>CRYO-2083-4897</t>
  </si>
  <si>
    <t>873x8.3um</t>
  </si>
  <si>
    <t>CRYO-2084-4901</t>
  </si>
  <si>
    <t>CRYO-2083-4898</t>
  </si>
  <si>
    <t>867x8.3um; delivered 7/19/2022</t>
  </si>
  <si>
    <t>861x8.4um; delivered 7/19/2022</t>
  </si>
  <si>
    <t>863x8.4um; delivered 7/19/2022</t>
  </si>
  <si>
    <t>868x8.5um; delivered 7/19/2022</t>
  </si>
  <si>
    <t>864x8.5um; delivered 7/19/2022</t>
  </si>
  <si>
    <t>866x8.6um; delivered 7/19/2022</t>
  </si>
  <si>
    <t>CRYO-2087-4905</t>
  </si>
  <si>
    <t xml:space="preserve">871x8.7um </t>
  </si>
  <si>
    <t>CRYO-2084-4915</t>
  </si>
  <si>
    <t>CRYO-2084-4921</t>
  </si>
  <si>
    <t>CRYO-2085-4936</t>
  </si>
  <si>
    <t xml:space="preserve">874x8.5um </t>
  </si>
  <si>
    <t>CRYO-2086-4943</t>
  </si>
  <si>
    <t>CRYO-2086-4944</t>
  </si>
  <si>
    <t>30,33</t>
  </si>
  <si>
    <t>876x8.6um</t>
  </si>
  <si>
    <t>CRYO-2085-4945</t>
  </si>
  <si>
    <t>CRYO-2085-4932</t>
  </si>
  <si>
    <t>CRYO-2085-4933</t>
  </si>
  <si>
    <t>876x8.5um</t>
  </si>
  <si>
    <t>CRYO-2085-4948</t>
  </si>
  <si>
    <t>CRYO-2084-4951</t>
  </si>
  <si>
    <t>CRYO-2085-4953</t>
  </si>
  <si>
    <t>873x8.5um</t>
  </si>
  <si>
    <t>CRYO-2085-4966</t>
  </si>
  <si>
    <t>CRYO-2085-4950</t>
  </si>
  <si>
    <t>CRYO-2086-4956</t>
  </si>
  <si>
    <t>868x8.5um</t>
  </si>
  <si>
    <t>CRYO-2086-4949</t>
  </si>
  <si>
    <t>CRYO-2087-4941</t>
  </si>
  <si>
    <t>CRYO-2088-4935</t>
  </si>
  <si>
    <t>CRYO-2083-4900</t>
  </si>
  <si>
    <t>?</t>
  </si>
  <si>
    <t>865x23.0um; delivered 8/10/22</t>
  </si>
  <si>
    <t>874x23.7um; Broken when loading rack</t>
  </si>
  <si>
    <t>872x23.0um; Broken when loading rack</t>
  </si>
  <si>
    <t>872.4x23.7um; delivered 8/10/22</t>
  </si>
  <si>
    <t>870x8.5um; delivered 8/11/2022</t>
  </si>
  <si>
    <t>873x8.5um; delivered 8/11/2022</t>
  </si>
  <si>
    <t>876x8.5um; delivered 8/11/2022</t>
  </si>
  <si>
    <t>876x8.8um; delivered 8/11/2022</t>
  </si>
  <si>
    <t>881x8.3um; delivered 8/11/2022</t>
  </si>
  <si>
    <t>870x8.4um; delivered 8/11/2022</t>
  </si>
  <si>
    <t>CRYO-43453-623</t>
  </si>
  <si>
    <t>CRYO-43354-630</t>
  </si>
  <si>
    <t>CRYO-43354-624</t>
  </si>
  <si>
    <t>913x8.7um</t>
  </si>
  <si>
    <t>926x7.0um; delivered 8/31/22</t>
  </si>
  <si>
    <t>928x7.1um; delivered 8/31/22</t>
  </si>
  <si>
    <t>932x7.1um; delivered 8/31/22</t>
  </si>
  <si>
    <t>960x7.4um; delivreed 8/31/22</t>
  </si>
  <si>
    <t>961x7.9um; delivered 8/31/22</t>
  </si>
  <si>
    <t>928x7.8um; delivered 8/31/22</t>
  </si>
  <si>
    <t>935x7.7um; delivered 8/31/22</t>
  </si>
  <si>
    <t>CRYO-43354-625</t>
  </si>
  <si>
    <t>CRYO-43354-629</t>
  </si>
  <si>
    <t>908x8.7um</t>
  </si>
  <si>
    <t>CRYO-43354-631</t>
  </si>
  <si>
    <t>CRYO-43554-621</t>
  </si>
  <si>
    <t>CRYO-43555-639</t>
  </si>
  <si>
    <t>CRYO-43355-645</t>
  </si>
  <si>
    <t>913x8.9um</t>
  </si>
  <si>
    <t>CRYO-43258-638</t>
  </si>
  <si>
    <t>CRYO-43454-635</t>
  </si>
  <si>
    <t>CRYO-43454-636</t>
  </si>
  <si>
    <t>CRYO-43557-640</t>
  </si>
  <si>
    <t>CRYO-ME-1235-0263</t>
  </si>
  <si>
    <t>CRYO-ME-1234-0265</t>
  </si>
  <si>
    <t>CRYO-ME-1238-0264</t>
  </si>
  <si>
    <t>821x23.4um</t>
  </si>
  <si>
    <t>CRYO-ME-1242-0267</t>
  </si>
  <si>
    <t>CRYO-ME-1242-0266</t>
  </si>
  <si>
    <t>822x24.2um</t>
  </si>
  <si>
    <t>913x8.7um; delivered 9/29/22</t>
  </si>
  <si>
    <t>911x8.7um; delivered 9/29/22</t>
  </si>
  <si>
    <t>909x8.7um; delivered 9/29/22</t>
  </si>
  <si>
    <t>914x8.8um; delivered 9/29/22</t>
  </si>
  <si>
    <t>CRYO-43354-632</t>
  </si>
  <si>
    <t>CRYO-43353-626</t>
  </si>
  <si>
    <t>CRYO-43455-622</t>
  </si>
  <si>
    <t>911x9um; delivered 9/29/22</t>
  </si>
  <si>
    <t>914x9.1um; delivered 9/29/22</t>
  </si>
  <si>
    <t>914x8.9um; delivered 9/29/22</t>
  </si>
  <si>
    <t>CRYO-41858-654</t>
  </si>
  <si>
    <t>CRYO-41858-655</t>
  </si>
  <si>
    <t>CRYO-42057-651</t>
  </si>
  <si>
    <t>CRYO-42055-653</t>
  </si>
  <si>
    <t>CRYO-41858-650</t>
  </si>
  <si>
    <t>CRYO-42352-647</t>
  </si>
  <si>
    <t>934x7.5um</t>
  </si>
  <si>
    <t>CRYO-41362-661</t>
  </si>
  <si>
    <t>CRYO-41362-660</t>
  </si>
  <si>
    <t>CRYO-41362-663</t>
  </si>
  <si>
    <t>816x23.5um; broken when loading rack 10/12/22</t>
  </si>
  <si>
    <t>930x7.5um ; delivered 10/26/22</t>
  </si>
  <si>
    <t>931x7.3um; delivered 10/26/22</t>
  </si>
  <si>
    <t>957x7.4um; delivered 10/26/22</t>
  </si>
  <si>
    <t>940x7.5um; delivered 10/26/22</t>
  </si>
  <si>
    <t>934x7.6um; delivered 10/26/22</t>
  </si>
  <si>
    <t>932x7.7um; delivered 10/26/22</t>
  </si>
  <si>
    <t>CRYO-41855-664</t>
  </si>
  <si>
    <t>925x7.3um</t>
  </si>
  <si>
    <t>15 (7 in notes)</t>
  </si>
  <si>
    <t>CRYO-41854-675</t>
  </si>
  <si>
    <t>938x7.3um</t>
  </si>
  <si>
    <t>CRYO-41855-679</t>
  </si>
  <si>
    <t>935x7.3um</t>
  </si>
  <si>
    <t>CRYO-41657-682</t>
  </si>
  <si>
    <t>CRYO-41855-686</t>
  </si>
  <si>
    <t>936x7.3um</t>
  </si>
  <si>
    <t>CRYO-41954-688</t>
  </si>
  <si>
    <t>36,36</t>
  </si>
  <si>
    <t xml:space="preserve">CRYO-41855-691 </t>
  </si>
  <si>
    <t>CRYO-41855-674</t>
  </si>
  <si>
    <t>932x7.3um</t>
  </si>
  <si>
    <t>CRYO-41656-670</t>
  </si>
  <si>
    <t>CRYO-41955-676</t>
  </si>
  <si>
    <t>CRYO-41657-669</t>
  </si>
  <si>
    <t>CRYO-42055-684</t>
  </si>
  <si>
    <t>CRYO-41855-685</t>
  </si>
  <si>
    <t>CRYO-41855-689</t>
  </si>
  <si>
    <t>CRYO-41657-683</t>
  </si>
  <si>
    <t>933x7.2um; delivered 11/9/22</t>
  </si>
  <si>
    <t>938x7.3um; delivered 11/9/22</t>
  </si>
  <si>
    <t>935x7.5um; delivered 11/9/22</t>
  </si>
  <si>
    <t>933x7.3um; delivered 11/9/22</t>
  </si>
  <si>
    <t>935x7.3um; delivered 11/9/22</t>
  </si>
  <si>
    <t>934x7.3um; delivered 11/9/22</t>
  </si>
  <si>
    <t>936x7.3um; delivered 11/9/22</t>
  </si>
  <si>
    <t>18-035</t>
  </si>
  <si>
    <t>18-036</t>
  </si>
  <si>
    <t>18-037</t>
  </si>
  <si>
    <t>27,25</t>
  </si>
  <si>
    <t>881x21.4um</t>
  </si>
  <si>
    <t xml:space="preserve">CRYO-ISE-2Q16-10-C316 </t>
  </si>
  <si>
    <t>CRYO-ISE-2Q16-10-C322</t>
  </si>
  <si>
    <t>ISE-2Q16-10-C324</t>
  </si>
  <si>
    <t>CRYO-ISE-2Q16-10-C323</t>
  </si>
  <si>
    <t>ISE-2Q16-10-C325</t>
  </si>
  <si>
    <t>ISE-2Q16-10-C326</t>
  </si>
  <si>
    <t>886x21.6um; delivered to Rm157 1/12/23</t>
  </si>
  <si>
    <t>883x21.8um; delivered to Rm157 1/12/23</t>
  </si>
  <si>
    <t>CRYO-9082-0349</t>
  </si>
  <si>
    <t xml:space="preserve">872x8.2um </t>
  </si>
  <si>
    <t>CRYO-9080-0368</t>
  </si>
  <si>
    <t>869x8.0um</t>
  </si>
  <si>
    <t>CRYO-9082-0372</t>
  </si>
  <si>
    <t>34,34</t>
  </si>
  <si>
    <t>CRYO-9081-0376</t>
  </si>
  <si>
    <t>867x8.1um</t>
  </si>
  <si>
    <t>CRYO-9081-0382</t>
  </si>
  <si>
    <t>CRYO-9082-0384</t>
  </si>
  <si>
    <t>873x8.2um</t>
  </si>
  <si>
    <t>CRYO-9082-0385</t>
  </si>
  <si>
    <t>CRYO-9082-0386</t>
  </si>
  <si>
    <t>CRYO-9081-0390</t>
  </si>
  <si>
    <t>CRYO-9082-0293</t>
  </si>
  <si>
    <t>CRYO-9082-0305</t>
  </si>
  <si>
    <t>CRYO-9082-0308</t>
  </si>
  <si>
    <t>870x8.0um; delivered TFS 2/8/23</t>
  </si>
  <si>
    <t>875x8.0um; delivered TFS 2/8/23</t>
  </si>
  <si>
    <t>871x8.2um; delivered TFS 2/8/23</t>
  </si>
  <si>
    <t>870x8.2um; delivered 2/8/23</t>
  </si>
  <si>
    <t>869x8.2um; delivered 2/8/23</t>
  </si>
  <si>
    <t>874x8.0um; delivered TFS 2/8/23</t>
  </si>
  <si>
    <t>865x8.2um; delivered TFS 2/8/23</t>
  </si>
  <si>
    <t>CRYO-41956-696</t>
  </si>
  <si>
    <t>CRYO-41956-697</t>
  </si>
  <si>
    <t>CRYO-41858-698</t>
  </si>
  <si>
    <t>CRYO-41956-699</t>
  </si>
  <si>
    <t>CRYO-41956-700</t>
  </si>
  <si>
    <t>CRYO-41956-701</t>
  </si>
  <si>
    <t>CRYO-42056-702</t>
  </si>
  <si>
    <t>CRYO-42056-707</t>
  </si>
  <si>
    <t>CRYO-41957-709</t>
  </si>
  <si>
    <t>CRYO-41859-693</t>
  </si>
  <si>
    <t>30,</t>
  </si>
  <si>
    <t>CRYO-41759-703</t>
  </si>
  <si>
    <t>CRYO-41858-704</t>
  </si>
  <si>
    <t>CRYO-41659-705</t>
  </si>
  <si>
    <t>CRYO-41859-708</t>
  </si>
  <si>
    <t>CRYO-41858-710</t>
  </si>
  <si>
    <t>CRYO-41958-694</t>
  </si>
  <si>
    <t>936x7.7um</t>
  </si>
  <si>
    <t>CRYO-41858-648</t>
  </si>
  <si>
    <t>CRYO-41659-649</t>
  </si>
  <si>
    <t>18-040</t>
  </si>
  <si>
    <t>CRYO-41955-720</t>
  </si>
  <si>
    <t>CRYO-41855-722</t>
  </si>
  <si>
    <t>CRYO-41955-723</t>
  </si>
  <si>
    <t xml:space="preserve">943x7.4um </t>
  </si>
  <si>
    <t>CRYO-41955-725</t>
  </si>
  <si>
    <t>18-041</t>
  </si>
  <si>
    <t>CRYO-41955-727</t>
  </si>
  <si>
    <t>CRYO-41955-729</t>
  </si>
  <si>
    <t>18-042</t>
  </si>
  <si>
    <t>61,65</t>
  </si>
  <si>
    <t>18-043</t>
  </si>
  <si>
    <t>CRYO-42155-712</t>
  </si>
  <si>
    <t>18-044</t>
  </si>
  <si>
    <t>CRYO-41955-713</t>
  </si>
  <si>
    <t>78,73</t>
  </si>
  <si>
    <t>18-046</t>
  </si>
  <si>
    <t>CRYO-41955-714</t>
  </si>
  <si>
    <t>78,78</t>
  </si>
  <si>
    <t>18-047</t>
  </si>
  <si>
    <t>18-048</t>
  </si>
  <si>
    <t>CRYO-41955-715</t>
  </si>
  <si>
    <t>CRYO-41956-716</t>
  </si>
  <si>
    <t>933x7.4um</t>
  </si>
  <si>
    <t>CRYO-41955-719</t>
  </si>
  <si>
    <t>18-039</t>
  </si>
  <si>
    <t>18-050</t>
  </si>
  <si>
    <t>CRYO-41955-718</t>
  </si>
  <si>
    <t>18-038</t>
  </si>
  <si>
    <t>CRYO-41855-726</t>
  </si>
  <si>
    <t>`</t>
  </si>
  <si>
    <t>CRYO-41955-728</t>
  </si>
  <si>
    <t>63,61</t>
  </si>
  <si>
    <t>936x7.4um</t>
  </si>
  <si>
    <t>937x7.4um; delivered 3/29/23</t>
  </si>
  <si>
    <t>938x7.4um; delivered 3/29/23</t>
  </si>
  <si>
    <t>940x7.4um; delivered 3/29/23</t>
  </si>
  <si>
    <t>942x7.3um; delivered 3/29/23</t>
  </si>
  <si>
    <t>939x7.3um; delivered 3/29/23</t>
  </si>
  <si>
    <t>939x7.4um; delivered 3/29/23</t>
  </si>
  <si>
    <t>941x7.4um; delivered 3/29/23</t>
  </si>
  <si>
    <t>937x7.6um; Delivered 3/8/23</t>
  </si>
  <si>
    <t>936x7.6um; delivered 3/8/23</t>
  </si>
  <si>
    <t>936x7.6um; delviered 3/8/23</t>
  </si>
  <si>
    <t>940x7.6um; delivered 3/8/23</t>
  </si>
  <si>
    <t>939x7.6um; delivered 3/8/23</t>
  </si>
  <si>
    <t>989x7.6um; delivered 3/8/23</t>
  </si>
  <si>
    <t>CRYO-42260-396</t>
  </si>
  <si>
    <t>CRYO-42260-403</t>
  </si>
  <si>
    <t>CRYO-42158-732</t>
  </si>
  <si>
    <t>CRYO-42257-734</t>
  </si>
  <si>
    <t>768x7.9um</t>
  </si>
  <si>
    <t>CRYO-42257-730</t>
  </si>
  <si>
    <t>CRYO-41860-735</t>
  </si>
  <si>
    <t>CRYO-42058-733</t>
  </si>
  <si>
    <t>CRYO-42058-736</t>
  </si>
  <si>
    <t>CRYO-42054-745</t>
  </si>
  <si>
    <t>CRYO-41857-746</t>
  </si>
  <si>
    <t>866x7.5um</t>
  </si>
  <si>
    <t>CRYO-41856-748</t>
  </si>
  <si>
    <t>869x7.4um</t>
  </si>
  <si>
    <t>CRYO-41957-747</t>
  </si>
  <si>
    <t>CRYO-42456-750</t>
  </si>
  <si>
    <t>CRYO-42456-754</t>
  </si>
  <si>
    <t xml:space="preserve">940x8.0um </t>
  </si>
  <si>
    <t>CRYO-42456-764</t>
  </si>
  <si>
    <t>CRYO-42258-752</t>
  </si>
  <si>
    <t>CRYO-41657-672</t>
  </si>
  <si>
    <t xml:space="preserve">937x7.3um </t>
  </si>
  <si>
    <t>CRYO-41657-673</t>
  </si>
  <si>
    <t>CRYO-42659-765</t>
  </si>
  <si>
    <t>CRYO-42659-767</t>
  </si>
  <si>
    <t xml:space="preserve">938x8.5um </t>
  </si>
  <si>
    <t>CRYO-42659-773</t>
  </si>
  <si>
    <t>CRYO-42659-777</t>
  </si>
  <si>
    <t>CRYO-42456-751</t>
  </si>
  <si>
    <t xml:space="preserve">935x8.0um </t>
  </si>
  <si>
    <t>CRYO-42355-761</t>
  </si>
  <si>
    <t>CRYO-42346-782</t>
  </si>
  <si>
    <t>CRYO-42447-783</t>
  </si>
  <si>
    <t>1013x8.2um; delivered 4/19/23</t>
  </si>
  <si>
    <t>1012x8.2um; delivered 4/19/23</t>
  </si>
  <si>
    <t>867x7.6um; delivered 4/19/23</t>
  </si>
  <si>
    <t>870x7.5um; delivered 4/19/23</t>
  </si>
  <si>
    <t>776x7.8um; delivered 4/19/23</t>
  </si>
  <si>
    <t>776x7.9um; delivered 4/19/23</t>
  </si>
  <si>
    <t>775x7.8um; devlivered 4/19/23</t>
  </si>
  <si>
    <t>CRYO-42342-784</t>
  </si>
  <si>
    <t>763x7.1um</t>
  </si>
  <si>
    <t>CRYO-42241-785</t>
  </si>
  <si>
    <t>CRYO-42041-786</t>
  </si>
  <si>
    <t>CRYO-42143-787</t>
  </si>
  <si>
    <t>768x6.3um</t>
  </si>
  <si>
    <t>CRYO-41846-789</t>
  </si>
  <si>
    <t>CRYO-42045-790</t>
  </si>
  <si>
    <t>CRYO-42044-791</t>
  </si>
  <si>
    <t>CRYO-41846-795</t>
  </si>
  <si>
    <t>CRYO-41544-788</t>
  </si>
  <si>
    <t>CRYO-42041-792</t>
  </si>
  <si>
    <t>762x6.2um</t>
  </si>
  <si>
    <t>CRYO-42143-793</t>
  </si>
  <si>
    <t>CRYO-42341-794</t>
  </si>
  <si>
    <t>941x8.5um ; delivered 5/17/23</t>
  </si>
  <si>
    <t xml:space="preserve">943x8.5um; delivered 5/17/23 </t>
  </si>
  <si>
    <t>943x8.0um ; delivered 5/17/23</t>
  </si>
  <si>
    <t>941x8.0um; delivered 5/17/23</t>
  </si>
  <si>
    <t>941x8.5um; delivered 5/17/23</t>
  </si>
  <si>
    <t>941x8.0um ; delivered 5/17/23</t>
  </si>
  <si>
    <t>937x7.3um; delivered 5/17/23</t>
  </si>
  <si>
    <t>769x6.4um; delivered 5/31/23</t>
  </si>
  <si>
    <t>767x7.0um; delivered 5/31/23</t>
  </si>
  <si>
    <t>762x6.5um; delivered 5/31/23</t>
  </si>
  <si>
    <t>765x6.4um; delivered 5/31/23</t>
  </si>
  <si>
    <t>766x6.4um; delivered 5/31/23</t>
  </si>
  <si>
    <t>771x6.3um; delivered 5/31/23</t>
  </si>
  <si>
    <t>765x6.3um; delivered 5/31/23</t>
  </si>
  <si>
    <t>CRYO-2045-4971</t>
  </si>
  <si>
    <t>CRYO-2046-4974</t>
  </si>
  <si>
    <t>CRYO-2046-4978</t>
  </si>
  <si>
    <t>CRYO-2046-4980</t>
  </si>
  <si>
    <t>40,44</t>
  </si>
  <si>
    <t>CRYO-2046-4982</t>
  </si>
  <si>
    <t>CRYO-2046-4983</t>
  </si>
  <si>
    <t>CRYO-2046-4984</t>
  </si>
  <si>
    <t>849 x 4.6um</t>
  </si>
  <si>
    <t>CRYO-2045-4981</t>
  </si>
  <si>
    <t>CRYO-2046-4972</t>
  </si>
  <si>
    <t>35,36</t>
  </si>
  <si>
    <t>6 1x greater than 10um</t>
  </si>
  <si>
    <t>10 1x greater than 10um</t>
  </si>
  <si>
    <t>13 1x huge defect/debris</t>
  </si>
  <si>
    <t>CRYO-2045-4977</t>
  </si>
  <si>
    <t>10,  3x large debris streaks</t>
  </si>
  <si>
    <t>CRYO-2046-4976</t>
  </si>
  <si>
    <t>CRYO-42157-796</t>
  </si>
  <si>
    <t>CRYO-42156-806</t>
  </si>
  <si>
    <t>CRYO-42057-800</t>
  </si>
  <si>
    <t>CRYO-42157-802</t>
  </si>
  <si>
    <t>Dymax 921 gel lot#3703431 exp 07/21/24</t>
  </si>
  <si>
    <t>CRYO-42057-812</t>
  </si>
  <si>
    <t>CRYO-42057-805</t>
  </si>
  <si>
    <t>CRYO-42157-804</t>
  </si>
  <si>
    <t>CRYO-42156-803</t>
  </si>
  <si>
    <t>846 x 4.6um; delivered 6/29/23</t>
  </si>
  <si>
    <t>850 x 4.6um; delivered 6/29/23</t>
  </si>
  <si>
    <t>851 x 4.6um; broken in tfab</t>
  </si>
  <si>
    <t>849 x 4.6um; broken in tfab</t>
  </si>
  <si>
    <t>849 x 4.6um; delivered 6/29/23</t>
  </si>
  <si>
    <t>849 x 4.5um ; delivered 6/29/23</t>
  </si>
  <si>
    <t>846 x 4.5um; delivered 6/29/23</t>
  </si>
  <si>
    <t>845 x 4.6um; delivered 6/29/23</t>
  </si>
  <si>
    <t>s</t>
  </si>
  <si>
    <t>845 x 4.6um</t>
  </si>
  <si>
    <t>847 x 4.5um; delivered 6/29/23</t>
  </si>
  <si>
    <t>930x7.7um; delivered 8/2/23</t>
  </si>
  <si>
    <t>937x7.7um; delivered 8/2/23</t>
  </si>
  <si>
    <t>936x7.7um; delivered 8/2/23</t>
  </si>
  <si>
    <t>932x7.9um; delivered 8/2/23</t>
  </si>
  <si>
    <t>934x7.7um; delivered 8/2/23</t>
  </si>
  <si>
    <t>935x7.7um; delivered 8/2/23</t>
  </si>
  <si>
    <t>935x7.8um; deliveed 8/2/23</t>
  </si>
  <si>
    <t>936x7.6um; delivered 8/2/23</t>
  </si>
  <si>
    <t>935x7.4um; delivered 8/2/23</t>
  </si>
  <si>
    <t>934x7.6um; delivered 8/2/23</t>
  </si>
  <si>
    <t>941x7.6um; delivered 8/2/23</t>
  </si>
  <si>
    <t>CRYO-41758-834</t>
  </si>
  <si>
    <t>123, 175</t>
  </si>
  <si>
    <t>CRYO-41858-839</t>
  </si>
  <si>
    <t>38, 39</t>
  </si>
  <si>
    <t>CRYO-41957-842</t>
  </si>
  <si>
    <t>35, 38</t>
  </si>
  <si>
    <t>CRYO-41858-844</t>
  </si>
  <si>
    <t>940x7.6um</t>
  </si>
  <si>
    <t>CRYO-41858-846</t>
  </si>
  <si>
    <t>CRYO-41858-845</t>
  </si>
  <si>
    <t>88, 91</t>
  </si>
  <si>
    <t>CRYO-41758-847</t>
  </si>
  <si>
    <t>933x7.5um</t>
  </si>
  <si>
    <t>CRYO-41858-848</t>
  </si>
  <si>
    <t>939x7.6um</t>
  </si>
  <si>
    <t>CRYO-41858-838</t>
  </si>
  <si>
    <t>CRYO-41858-835</t>
  </si>
  <si>
    <t>932x7.6um</t>
  </si>
  <si>
    <t>CRYO-41859-837</t>
  </si>
  <si>
    <t>940x7.6um; delivered 8/30/23</t>
  </si>
  <si>
    <t>938x7.6um; delivered 8/30/23</t>
  </si>
  <si>
    <t>942x7.6um; delivered 8/30/23</t>
  </si>
  <si>
    <t>937x7.6um; delivered 8/30/23</t>
  </si>
  <si>
    <t>936X7.6um; delivered 8/30/23</t>
  </si>
  <si>
    <t>934x7.6um; delivered 8/30/23</t>
  </si>
  <si>
    <t>940x7.5um; delivered 8/30/23</t>
  </si>
  <si>
    <t>CRYO-2080-4782</t>
  </si>
  <si>
    <t>CRYO-2080-4783</t>
  </si>
  <si>
    <t>CRYO-2080-4787</t>
  </si>
  <si>
    <t>CRYO-2080-4788</t>
  </si>
  <si>
    <t>CRYO-2081-4786</t>
  </si>
  <si>
    <t>CRYO-2079-4790</t>
  </si>
  <si>
    <t>CRYO-2082-4777</t>
  </si>
  <si>
    <t>CRYO-2082-4779</t>
  </si>
  <si>
    <t>871x8.0um; delivered 9/20/23</t>
  </si>
  <si>
    <t>870x8.0um; delivered 9/20/23</t>
  </si>
  <si>
    <t>874x8.0um; delivered 9/20/23</t>
  </si>
  <si>
    <t>877x8.0um; delivered 9/20/23</t>
  </si>
  <si>
    <t>874x8.1um; delivered 9/20/23</t>
  </si>
  <si>
    <t>878x8.2um; delivered 9/20/23</t>
  </si>
  <si>
    <t>876x8.1um; delivered 9/20/23</t>
  </si>
  <si>
    <t>CRYO-41358-852</t>
  </si>
  <si>
    <t>CRYO-41358-859</t>
  </si>
  <si>
    <t>CRYO-41260-858</t>
  </si>
  <si>
    <t>CRYO-41458-849</t>
  </si>
  <si>
    <t>CRYO-41860-864</t>
  </si>
  <si>
    <t>CRYO-41862-866</t>
  </si>
  <si>
    <t>36, 38</t>
  </si>
  <si>
    <t>739x7.9um</t>
  </si>
  <si>
    <t>CRYO-41861-867</t>
  </si>
  <si>
    <t xml:space="preserve">740x7.8um </t>
  </si>
  <si>
    <t>CRYO-41761-876</t>
  </si>
  <si>
    <t>CRYO-42060-887</t>
  </si>
  <si>
    <t>33, 33</t>
  </si>
  <si>
    <t>CRYO-42061-889</t>
  </si>
  <si>
    <t>739x8.0um</t>
  </si>
  <si>
    <t>CRYO-42062-892</t>
  </si>
  <si>
    <t>CRYO-42261-884</t>
  </si>
  <si>
    <t>CRYO-42062-890</t>
  </si>
  <si>
    <t>31, 30</t>
  </si>
  <si>
    <t>CRYO-41761-872</t>
  </si>
  <si>
    <t>743x7.8um</t>
  </si>
  <si>
    <t>CRYO-42260-895</t>
  </si>
  <si>
    <t>750x7.2um; delivered 10/18/23</t>
  </si>
  <si>
    <t>740x8.1um; delivered 10/18/23</t>
  </si>
  <si>
    <t>739x8.2um; delivered 10/18/23</t>
  </si>
  <si>
    <t>748x7.1um; delivered 10/18/23</t>
  </si>
  <si>
    <t>740x8.2um; delivered 10/18/23</t>
  </si>
  <si>
    <t>CRYO-41562-868</t>
  </si>
  <si>
    <t>739x7.8um</t>
  </si>
  <si>
    <t>CRYO-41562-871</t>
  </si>
  <si>
    <t>743x7.7um</t>
  </si>
  <si>
    <t>CRYO-41760-875</t>
  </si>
  <si>
    <t>CRYO-41457-921</t>
  </si>
  <si>
    <t>798x7.1um</t>
  </si>
  <si>
    <t>CRYO-41457-930</t>
  </si>
  <si>
    <t>796x7.1um</t>
  </si>
  <si>
    <t>CRYO-41456-922</t>
  </si>
  <si>
    <t>799x7.0um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</si>
</sst>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_(&quot;$&quot;* \(#,##0.00\);_(&quot;$&quot;* &quot;-&quot;??_);_(@_)"/>
    <numFmt numFmtId="164" formatCode="&quot;CRYO-ME-4Q11-01-&quot;00"/>
    <numFmt numFmtId="165" formatCode="&quot;ISE-1Q11-04-&quot;00"/>
    <numFmt numFmtId="166" formatCode="&quot;NLUF-1Q08-01-&quot;00"/>
    <numFmt numFmtId="167" formatCode="0.0"/>
    <numFmt numFmtId="168" formatCode="0.000"/>
    <numFmt numFmtId="169" formatCode="[$-409]m/d/yy\ h:mm\ AM/PM;@"/>
    <numFmt numFmtId="170" formatCode="&quot;CRYO-ME-1Q13-01-&quot;00"/>
    <numFmt numFmtId="171" formatCode="&quot;CRYO-ME-3Q09-01-&quot;00"/>
    <numFmt numFmtId="172" formatCode="0.0000"/>
    <numFmt numFmtId="173" formatCode="0.0%"/>
    <numFmt numFmtId="174" formatCode="##,##0.0_);\(#,##0.0\)"/>
    <numFmt numFmtId="175" formatCode="#,##0.0_);\(#,##0.0\)"/>
    <numFmt numFmtId="176" formatCode="_(* #,##0.0000_);_(* \(#,##0.0000\);_(* &quot;-&quot;??_);_(@_)"/>
    <numFmt numFmtId="177" formatCode="#,##0.00&quot;£&quot;_);[Red]\(#,##0.00&quot;£&quot;\)"/>
    <numFmt numFmtId="178" formatCode="_ * #,##0_)&quot;£&quot;_ ;_ * \(#,##0\)&quot;£&quot;_ ;_ * &quot;-&quot;_)&quot;£&quot;_ ;_ @_ "/>
    <numFmt numFmtId="179" formatCode="0.0%;\(0.0%\)"/>
    <numFmt numFmtId="180" formatCode="0.00_)"/>
    <numFmt numFmtId="181" formatCode="0%_);[Red]\(0%\)"/>
    <numFmt numFmtId="182" formatCode="_ * #,##0_)_£_ ;_ * \(#,##0\)_£_ ;_ * &quot;-&quot;_)_£_ ;_ @_ "/>
    <numFmt numFmtId="183" formatCode="_ * #,##0.00_)&quot;£&quot;_ ;_ * \(#,##0.00\)&quot;£&quot;_ ;_ * &quot;-&quot;??_)&quot;£&quot;_ ;_ @_ "/>
    <numFmt numFmtId="184" formatCode="&quot;0&quot;0"/>
    <numFmt numFmtId="185" formatCode="m/d/yy;@"/>
  </numFmts>
  <fonts count="85">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8"/>
      <color indexed="81"/>
      <name val="Tahoma"/>
      <family val="2"/>
    </font>
    <font>
      <b/>
      <sz val="8"/>
      <color indexed="81"/>
      <name val="Tahoma"/>
      <family val="2"/>
    </font>
    <font>
      <sz val="11"/>
      <color theme="1"/>
      <name val="Calibri"/>
      <family val="2"/>
      <scheme val="minor"/>
    </font>
    <font>
      <sz val="11"/>
      <name val="Calibri"/>
      <family val="2"/>
      <scheme val="minor"/>
    </font>
    <font>
      <sz val="10"/>
      <name val="Arial"/>
      <family val="2"/>
    </font>
    <font>
      <sz val="11"/>
      <color rgb="FFFF0000"/>
      <name val="Calibri"/>
      <family val="2"/>
      <scheme val="minor"/>
    </font>
    <font>
      <b/>
      <i/>
      <sz val="11"/>
      <color rgb="FFFF0000"/>
      <name val="Calibri"/>
      <family val="2"/>
      <scheme val="minor"/>
    </font>
    <font>
      <sz val="10"/>
      <name val="Arial"/>
      <family val="2"/>
    </font>
    <font>
      <sz val="10"/>
      <color rgb="FFFF0000"/>
      <name val="Arial"/>
      <family val="2"/>
    </font>
    <font>
      <sz val="12"/>
      <color theme="1"/>
      <name val="Calibri"/>
      <family val="2"/>
      <scheme val="minor"/>
    </font>
    <font>
      <u/>
      <sz val="12"/>
      <color theme="10"/>
      <name val="Calibri"/>
      <family val="2"/>
      <scheme val="minor"/>
    </font>
    <font>
      <sz val="12"/>
      <name val="Arial"/>
      <family val="2"/>
    </font>
    <font>
      <sz val="10"/>
      <name val="Arial"/>
      <family val="2"/>
    </font>
    <font>
      <sz val="10"/>
      <name val="Arial"/>
      <family val="2"/>
    </font>
    <font>
      <b/>
      <sz val="11"/>
      <color rgb="FFFF0000"/>
      <name val="Calibri"/>
      <family val="2"/>
      <scheme val="minor"/>
    </font>
    <font>
      <sz val="10"/>
      <name val="Arial"/>
      <family val="2"/>
    </font>
    <font>
      <sz val="9"/>
      <color indexed="81"/>
      <name val="Tahoma"/>
      <family val="2"/>
    </font>
    <font>
      <b/>
      <sz val="9"/>
      <color indexed="81"/>
      <name val="Tahoma"/>
      <family val="2"/>
    </font>
    <font>
      <vertAlign val="superscript"/>
      <sz val="11"/>
      <color theme="1"/>
      <name val="Calibri"/>
      <family val="2"/>
      <scheme val="minor"/>
    </font>
    <font>
      <sz val="10"/>
      <color indexed="8"/>
      <name val="Arial"/>
      <family val="2"/>
    </font>
    <font>
      <sz val="11"/>
      <color indexed="8"/>
      <name val="Calibri"/>
      <family val="2"/>
    </font>
    <font>
      <sz val="10"/>
      <color theme="1"/>
      <name val="Arial"/>
      <family val="2"/>
    </font>
    <font>
      <strike/>
      <sz val="11"/>
      <color theme="1"/>
      <name val="Calibri"/>
      <family val="2"/>
      <scheme val="minor"/>
    </font>
    <font>
      <b/>
      <sz val="10"/>
      <color rgb="FF00B0F0"/>
      <name val="Arial"/>
      <family val="2"/>
    </font>
    <font>
      <b/>
      <sz val="11"/>
      <color rgb="FF00B0F0"/>
      <name val="Calibri"/>
      <family val="2"/>
      <scheme val="minor"/>
    </font>
    <font>
      <b/>
      <sz val="11"/>
      <color rgb="FFC00000"/>
      <name val="Calibri"/>
      <family val="2"/>
      <scheme val="minor"/>
    </font>
    <font>
      <sz val="10"/>
      <name val="Arial"/>
      <family val="2"/>
    </font>
    <font>
      <sz val="10"/>
      <color indexed="8"/>
      <name val="Arial"/>
      <family val="2"/>
    </font>
    <font>
      <sz val="11"/>
      <color indexed="8"/>
      <name val="Calibri"/>
      <family val="2"/>
    </font>
    <font>
      <b/>
      <i/>
      <sz val="11"/>
      <color rgb="FF00B0F0"/>
      <name val="Calibri"/>
      <family val="2"/>
      <scheme val="minor"/>
    </font>
    <font>
      <b/>
      <strike/>
      <sz val="11"/>
      <color rgb="FF00B0F0"/>
      <name val="Calibri"/>
      <family val="2"/>
      <scheme val="minor"/>
    </font>
    <font>
      <b/>
      <sz val="12"/>
      <color theme="1"/>
      <name val="Calibri"/>
      <family val="2"/>
      <scheme val="minor"/>
    </font>
    <font>
      <sz val="11"/>
      <color rgb="FFC00000"/>
      <name val="Calibri"/>
      <family val="2"/>
      <scheme val="minor"/>
    </font>
    <font>
      <sz val="9"/>
      <name val="Arial"/>
      <family val="2"/>
    </font>
    <font>
      <sz val="11"/>
      <color indexed="8"/>
      <name val="Calibri"/>
      <family val="2"/>
    </font>
    <font>
      <sz val="14"/>
      <color theme="1"/>
      <name val="Calibri"/>
      <family val="2"/>
      <scheme val="minor"/>
    </font>
    <font>
      <sz val="12"/>
      <name val="Times"/>
      <family val="1"/>
    </font>
    <font>
      <sz val="12"/>
      <name val="Times"/>
      <family val="1"/>
    </font>
    <font>
      <sz val="12"/>
      <color indexed="10"/>
      <name val="Times"/>
      <family val="1"/>
    </font>
    <font>
      <b/>
      <strike/>
      <sz val="11"/>
      <color rgb="FFFF0000"/>
      <name val="Calibri"/>
      <family val="2"/>
      <scheme val="minor"/>
    </font>
    <font>
      <b/>
      <i/>
      <sz val="10"/>
      <color rgb="FF00B0F0"/>
      <name val="Arial"/>
      <family val="2"/>
    </font>
    <font>
      <b/>
      <sz val="11"/>
      <color rgb="FF7030A0"/>
      <name val="Calibri"/>
      <family val="2"/>
      <scheme val="minor"/>
    </font>
    <font>
      <strike/>
      <sz val="10"/>
      <name val="Arial"/>
      <family val="2"/>
    </font>
    <font>
      <strike/>
      <sz val="11"/>
      <color rgb="FFFF0000"/>
      <name val="Calibri"/>
      <family val="2"/>
      <scheme val="minor"/>
    </font>
    <font>
      <i/>
      <sz val="10"/>
      <color rgb="FF00B0F0"/>
      <name val="Arial"/>
      <family val="2"/>
    </font>
    <font>
      <i/>
      <sz val="11"/>
      <color rgb="FF00B0F0"/>
      <name val="Calibri"/>
      <family val="2"/>
      <scheme val="minor"/>
    </font>
    <font>
      <b/>
      <sz val="10"/>
      <color rgb="FFFF0000"/>
      <name val="Arial"/>
      <family val="2"/>
    </font>
    <font>
      <b/>
      <sz val="10"/>
      <color theme="1"/>
      <name val="Arial"/>
      <family val="2"/>
    </font>
    <font>
      <b/>
      <u/>
      <sz val="11"/>
      <color theme="10"/>
      <name val="Calibri"/>
      <family val="2"/>
      <scheme val="minor"/>
    </font>
    <font>
      <sz val="8"/>
      <color rgb="FF000000"/>
      <name val="Arial"/>
      <family val="2"/>
    </font>
    <font>
      <sz val="9"/>
      <color rgb="FF000000"/>
      <name val="Arial"/>
      <family val="2"/>
    </font>
    <font>
      <sz val="9"/>
      <color rgb="FFFF0000"/>
      <name val="Arial"/>
      <family val="2"/>
    </font>
    <font>
      <i/>
      <sz val="11"/>
      <color rgb="FFFF0000"/>
      <name val="Calibri"/>
      <family val="2"/>
      <scheme val="minor"/>
    </font>
    <font>
      <i/>
      <sz val="11"/>
      <color theme="1"/>
      <name val="Calibri"/>
      <family val="2"/>
      <scheme val="minor"/>
    </font>
    <font>
      <sz val="9"/>
      <color theme="1"/>
      <name val="Arial"/>
      <family val="2"/>
    </font>
    <font>
      <b/>
      <sz val="12"/>
      <name val="Arial"/>
      <family val="2"/>
    </font>
    <font>
      <sz val="10"/>
      <name val="Verdana"/>
      <family val="2"/>
    </font>
    <font>
      <sz val="10"/>
      <name val="Helv"/>
    </font>
    <font>
      <sz val="8"/>
      <name val="Arial"/>
      <family val="2"/>
    </font>
    <font>
      <b/>
      <i/>
      <sz val="16"/>
      <name val="Helv"/>
    </font>
    <font>
      <sz val="10"/>
      <color rgb="FF000000"/>
      <name val="Calibri"/>
      <family val="2"/>
      <scheme val="minor"/>
    </font>
    <font>
      <sz val="10"/>
      <color rgb="FF000000"/>
      <name val="Arial"/>
      <family val="2"/>
    </font>
    <font>
      <sz val="11"/>
      <color rgb="FF000000"/>
      <name val="Calibri"/>
      <family val="2"/>
      <scheme val="minor"/>
    </font>
    <font>
      <sz val="11"/>
      <name val="Calibri"/>
      <family val="2"/>
    </font>
    <font>
      <b/>
      <sz val="11"/>
      <name val="Calibri"/>
      <family val="2"/>
      <scheme val="minor"/>
    </font>
    <font>
      <strike/>
      <sz val="9"/>
      <color indexed="81"/>
      <name val="Tahoma"/>
      <family val="2"/>
    </font>
    <font>
      <sz val="11"/>
      <color rgb="FFFF0000"/>
      <name val="Calibri"/>
      <family val="2"/>
    </font>
    <font>
      <sz val="12"/>
      <name val="Calibri"/>
      <family val="2"/>
      <scheme val="minor"/>
    </font>
    <font>
      <sz val="11"/>
      <color indexed="8"/>
      <name val="Calibri"/>
      <family val="2"/>
      <scheme val="minor"/>
    </font>
    <font>
      <sz val="12"/>
      <color rgb="FFFF0000"/>
      <name val="Calibri"/>
      <family val="2"/>
      <scheme val="minor"/>
    </font>
    <font>
      <sz val="12"/>
      <name val="Calibri"/>
      <family val="2"/>
      <scheme val="minor"/>
    </font>
    <font>
      <sz val="18"/>
      <color theme="3"/>
      <name val="Cambria"/>
      <family val="2"/>
      <scheme val="major"/>
    </font>
    <font>
      <sz val="11"/>
      <color rgb="FF9C5700"/>
      <name val="Calibri"/>
      <family val="2"/>
      <scheme val="minor"/>
    </font>
    <font>
      <sz val="10"/>
      <name val="Geneva"/>
    </font>
    <font>
      <u/>
      <sz val="11"/>
      <color theme="1"/>
      <name val="Calibri"/>
      <family val="2"/>
      <scheme val="minor"/>
    </font>
    <font>
      <u/>
      <sz val="11"/>
      <color rgb="FFFF0000"/>
      <name val="Calibri"/>
      <family val="2"/>
      <scheme val="minor"/>
    </font>
    <font>
      <u/>
      <sz val="11"/>
      <name val="Calibri"/>
      <family val="2"/>
      <scheme val="minor"/>
    </font>
    <font>
      <sz val="11"/>
      <color rgb="FF006100"/>
      <name val="Calibri"/>
      <family val="2"/>
      <scheme val="minor"/>
    </font>
    <font>
      <sz val="11"/>
      <name val="Calibri"/>
      <scheme val="minor"/>
    </font>
    <font>
      <sz val="9"/>
      <color indexed="81"/>
      <name val="Tahoma"/>
      <charset val="1"/>
    </font>
    <font>
      <b/>
      <sz val="9"/>
      <color indexed="81"/>
      <name val="Tahoma"/>
      <charset val="1"/>
    </font>
  </fonts>
  <fills count="2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99FF66"/>
        <bgColor indexed="64"/>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
      <patternFill patternType="solid">
        <fgColor indexed="22"/>
        <bgColor indexed="0"/>
      </patternFill>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solid">
        <fgColor rgb="FFFFEB9C"/>
      </patternFill>
    </fill>
    <fill>
      <patternFill patternType="solid">
        <fgColor rgb="FFFFFFC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s>
  <borders count="13">
    <border>
      <left/>
      <right/>
      <top/>
      <bottom/>
      <diagonal/>
    </border>
    <border>
      <left/>
      <right/>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138">
    <xf numFmtId="0" fontId="0" fillId="0" borderId="0"/>
    <xf numFmtId="0" fontId="2" fillId="0" borderId="0" applyNumberFormat="0" applyFill="0" applyBorder="0" applyAlignment="0" applyProtection="0"/>
    <xf numFmtId="0" fontId="23" fillId="0" borderId="0"/>
    <xf numFmtId="0" fontId="31" fillId="0" borderId="0"/>
    <xf numFmtId="0" fontId="40" fillId="0" borderId="0"/>
    <xf numFmtId="1" fontId="42" fillId="0" borderId="5" applyNumberFormat="0" applyBorder="0">
      <alignment horizontal="center"/>
    </xf>
    <xf numFmtId="0" fontId="41" fillId="0" borderId="0"/>
    <xf numFmtId="0" fontId="24" fillId="0" borderId="0"/>
    <xf numFmtId="0" fontId="13" fillId="0" borderId="0"/>
    <xf numFmtId="0" fontId="60" fillId="0" borderId="0"/>
    <xf numFmtId="9" fontId="3" fillId="10" borderId="0"/>
    <xf numFmtId="0" fontId="3" fillId="0" borderId="0"/>
    <xf numFmtId="0" fontId="3" fillId="0" borderId="0"/>
    <xf numFmtId="174" fontId="3" fillId="0" borderId="0" applyFill="0" applyBorder="0" applyAlignment="0"/>
    <xf numFmtId="175" fontId="61" fillId="0" borderId="0" applyFill="0" applyBorder="0" applyAlignment="0"/>
    <xf numFmtId="176" fontId="61" fillId="0" borderId="0" applyFill="0" applyBorder="0" applyAlignment="0"/>
    <xf numFmtId="177" fontId="3" fillId="0" borderId="0" applyFill="0" applyBorder="0" applyAlignment="0"/>
    <xf numFmtId="178" fontId="3" fillId="0" borderId="0" applyFill="0" applyBorder="0" applyAlignment="0"/>
    <xf numFmtId="44" fontId="61" fillId="0" borderId="0" applyFill="0" applyBorder="0" applyAlignment="0"/>
    <xf numFmtId="179" fontId="61" fillId="0" borderId="0" applyFill="0" applyBorder="0" applyAlignment="0"/>
    <xf numFmtId="175" fontId="61" fillId="0" borderId="0" applyFill="0" applyBorder="0" applyAlignment="0"/>
    <xf numFmtId="0" fontId="3" fillId="0" borderId="0" applyFont="0"/>
    <xf numFmtId="0" fontId="3" fillId="0" borderId="0" applyFont="0"/>
    <xf numFmtId="0" fontId="3" fillId="0" borderId="0" applyFont="0"/>
    <xf numFmtId="0" fontId="15" fillId="0" borderId="6">
      <alignment horizontal="center"/>
    </xf>
    <xf numFmtId="44" fontId="61" fillId="0" borderId="0" applyFont="0" applyFill="0" applyBorder="0" applyAlignment="0" applyProtection="0"/>
    <xf numFmtId="175" fontId="61" fillId="0" borderId="0" applyFont="0" applyFill="0" applyBorder="0" applyAlignment="0" applyProtection="0"/>
    <xf numFmtId="14" fontId="23" fillId="0" borderId="0" applyFill="0" applyBorder="0" applyAlignment="0"/>
    <xf numFmtId="44" fontId="61" fillId="0" borderId="0" applyFill="0" applyBorder="0" applyAlignment="0"/>
    <xf numFmtId="175" fontId="61" fillId="0" borderId="0" applyFill="0" applyBorder="0" applyAlignment="0"/>
    <xf numFmtId="44" fontId="61" fillId="0" borderId="0" applyFill="0" applyBorder="0" applyAlignment="0"/>
    <xf numFmtId="179" fontId="61" fillId="0" borderId="0" applyFill="0" applyBorder="0" applyAlignment="0"/>
    <xf numFmtId="175" fontId="61" fillId="0" borderId="0" applyFill="0" applyBorder="0" applyAlignment="0"/>
    <xf numFmtId="38" fontId="62" fillId="11" borderId="0" applyNumberFormat="0" applyBorder="0" applyAlignment="0" applyProtection="0"/>
    <xf numFmtId="0" fontId="59" fillId="0" borderId="7" applyNumberFormat="0" applyAlignment="0" applyProtection="0">
      <alignment horizontal="left" vertical="center"/>
    </xf>
    <xf numFmtId="0" fontId="59" fillId="0" borderId="8">
      <alignment horizontal="left" vertical="center"/>
    </xf>
    <xf numFmtId="10" fontId="62" fillId="12" borderId="6" applyNumberFormat="0" applyBorder="0" applyAlignment="0" applyProtection="0"/>
    <xf numFmtId="44" fontId="61" fillId="0" borderId="0" applyFill="0" applyBorder="0" applyAlignment="0"/>
    <xf numFmtId="175" fontId="61" fillId="0" borderId="0" applyFill="0" applyBorder="0" applyAlignment="0"/>
    <xf numFmtId="44" fontId="61" fillId="0" borderId="0" applyFill="0" applyBorder="0" applyAlignment="0"/>
    <xf numFmtId="179" fontId="61" fillId="0" borderId="0" applyFill="0" applyBorder="0" applyAlignment="0"/>
    <xf numFmtId="175" fontId="61" fillId="0" borderId="0" applyFill="0" applyBorder="0" applyAlignment="0"/>
    <xf numFmtId="180" fontId="63" fillId="0" borderId="0"/>
    <xf numFmtId="0" fontId="40" fillId="0" borderId="0"/>
    <xf numFmtId="0" fontId="40" fillId="0" borderId="0">
      <alignment vertical="center"/>
    </xf>
    <xf numFmtId="0" fontId="40" fillId="0" borderId="0">
      <alignment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8" fontId="3" fillId="0" borderId="0" applyFont="0" applyFill="0" applyBorder="0" applyAlignment="0" applyProtection="0"/>
    <xf numFmtId="181" fontId="3" fillId="0" borderId="0" applyFont="0" applyFill="0" applyBorder="0" applyAlignment="0" applyProtection="0"/>
    <xf numFmtId="10" fontId="3" fillId="0" borderId="0" applyFont="0" applyFill="0" applyBorder="0" applyAlignment="0" applyProtection="0"/>
    <xf numFmtId="44" fontId="61" fillId="0" borderId="0" applyFill="0" applyBorder="0" applyAlignment="0"/>
    <xf numFmtId="175" fontId="61" fillId="0" borderId="0" applyFill="0" applyBorder="0" applyAlignment="0"/>
    <xf numFmtId="44" fontId="61" fillId="0" borderId="0" applyFill="0" applyBorder="0" applyAlignment="0"/>
    <xf numFmtId="179" fontId="61" fillId="0" borderId="0" applyFill="0" applyBorder="0" applyAlignment="0"/>
    <xf numFmtId="175" fontId="61" fillId="0" borderId="0" applyFill="0" applyBorder="0" applyAlignment="0"/>
    <xf numFmtId="49" fontId="23" fillId="0" borderId="0" applyFill="0" applyBorder="0" applyAlignment="0"/>
    <xf numFmtId="182" fontId="3" fillId="0" borderId="0" applyFill="0" applyBorder="0" applyAlignment="0"/>
    <xf numFmtId="183" fontId="3" fillId="0" borderId="0" applyFill="0" applyBorder="0" applyAlignment="0"/>
    <xf numFmtId="0" fontId="3" fillId="0" borderId="0"/>
    <xf numFmtId="0" fontId="24" fillId="0" borderId="0"/>
    <xf numFmtId="0" fontId="24" fillId="0" borderId="0"/>
    <xf numFmtId="0" fontId="24" fillId="0" borderId="0"/>
    <xf numFmtId="0" fontId="24" fillId="0" borderId="0"/>
    <xf numFmtId="0" fontId="24" fillId="0" borderId="0"/>
    <xf numFmtId="0" fontId="40" fillId="0" borderId="0"/>
    <xf numFmtId="0" fontId="40" fillId="0" borderId="0"/>
    <xf numFmtId="0" fontId="40" fillId="0" borderId="0"/>
    <xf numFmtId="0" fontId="40" fillId="0" borderId="0"/>
    <xf numFmtId="0" fontId="4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76" fillId="13" borderId="0" applyNumberFormat="0" applyBorder="0" applyAlignment="0" applyProtection="0"/>
    <xf numFmtId="0" fontId="24" fillId="0" borderId="0"/>
    <xf numFmtId="0" fontId="24" fillId="0" borderId="0"/>
    <xf numFmtId="0" fontId="24" fillId="0" borderId="0"/>
    <xf numFmtId="0" fontId="24" fillId="0" borderId="0"/>
    <xf numFmtId="0" fontId="6" fillId="0" borderId="0"/>
    <xf numFmtId="0" fontId="77" fillId="0" borderId="0"/>
    <xf numFmtId="0" fontId="77" fillId="0" borderId="0"/>
    <xf numFmtId="0" fontId="6" fillId="0" borderId="0"/>
    <xf numFmtId="0" fontId="6" fillId="0" borderId="0"/>
    <xf numFmtId="0" fontId="6" fillId="0" borderId="0"/>
    <xf numFmtId="0" fontId="6" fillId="0" borderId="0"/>
    <xf numFmtId="0" fontId="6" fillId="14" borderId="10" applyNumberFormat="0" applyFont="0" applyAlignment="0" applyProtection="0"/>
    <xf numFmtId="9" fontId="24" fillId="0" borderId="0" applyFont="0" applyFill="0" applyBorder="0" applyAlignment="0" applyProtection="0"/>
    <xf numFmtId="9" fontId="1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24" fillId="0" borderId="0"/>
    <xf numFmtId="0" fontId="75"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15" fillId="0" borderId="12">
      <alignment horizontal="center"/>
    </xf>
    <xf numFmtId="10" fontId="62" fillId="12" borderId="12" applyNumberFormat="0" applyBorder="0" applyAlignment="0" applyProtection="0"/>
    <xf numFmtId="0" fontId="6"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1" fillId="21" borderId="0" applyNumberFormat="0" applyBorder="0" applyAlignment="0" applyProtection="0"/>
  </cellStyleXfs>
  <cellXfs count="606">
    <xf numFmtId="0" fontId="0" fillId="0" borderId="0" xfId="0"/>
    <xf numFmtId="0" fontId="0" fillId="0" borderId="0" xfId="0" applyAlignment="1">
      <alignment horizontal="center"/>
    </xf>
    <xf numFmtId="0" fontId="0" fillId="0" borderId="1" xfId="0" applyBorder="1" applyAlignment="1">
      <alignment horizontal="center"/>
    </xf>
    <xf numFmtId="0" fontId="0" fillId="2" borderId="0" xfId="0" applyFill="1"/>
    <xf numFmtId="0" fontId="2" fillId="0" borderId="0" xfId="1"/>
    <xf numFmtId="0" fontId="2" fillId="0" borderId="0" xfId="1" applyAlignment="1">
      <alignment horizontal="center"/>
    </xf>
    <xf numFmtId="0" fontId="1" fillId="0" borderId="0" xfId="0" applyFont="1"/>
    <xf numFmtId="0" fontId="0" fillId="0" borderId="1" xfId="0" applyBorder="1"/>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center" vertical="top"/>
    </xf>
    <xf numFmtId="0" fontId="0" fillId="0" borderId="0" xfId="0" applyFill="1"/>
    <xf numFmtId="0" fontId="0" fillId="3" borderId="0" xfId="0" applyFill="1"/>
    <xf numFmtId="0" fontId="0" fillId="0" borderId="0" xfId="0" applyAlignment="1">
      <alignment horizontal="center"/>
    </xf>
    <xf numFmtId="1" fontId="3" fillId="0" borderId="0" xfId="0" applyNumberFormat="1" applyFont="1" applyBorder="1" applyAlignment="1">
      <alignment horizontal="center" vertical="center"/>
    </xf>
    <xf numFmtId="15" fontId="0" fillId="0" borderId="0" xfId="0" applyNumberFormat="1"/>
    <xf numFmtId="0" fontId="0" fillId="0" borderId="1" xfId="0" applyFill="1" applyBorder="1" applyAlignment="1">
      <alignment horizontal="center"/>
    </xf>
    <xf numFmtId="0" fontId="0" fillId="0" borderId="0" xfId="0" applyFill="1" applyAlignment="1">
      <alignment horizontal="center"/>
    </xf>
    <xf numFmtId="0" fontId="0" fillId="0" borderId="0" xfId="0" applyAlignment="1">
      <alignment horizontal="center"/>
    </xf>
    <xf numFmtId="1" fontId="3" fillId="0" borderId="0" xfId="0" applyNumberFormat="1" applyFon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wrapText="1"/>
    </xf>
    <xf numFmtId="0" fontId="0" fillId="0" borderId="1" xfId="0" applyBorder="1" applyAlignment="1"/>
    <xf numFmtId="0" fontId="0" fillId="0" borderId="0" xfId="0" applyAlignment="1">
      <alignment horizontal="center"/>
    </xf>
    <xf numFmtId="0" fontId="0" fillId="4" borderId="0" xfId="0" applyFill="1"/>
    <xf numFmtId="0" fontId="2" fillId="4" borderId="0" xfId="1" applyFill="1"/>
    <xf numFmtId="0" fontId="2" fillId="3" borderId="0" xfId="1" applyFill="1"/>
    <xf numFmtId="0" fontId="0" fillId="0" borderId="0" xfId="0" applyAlignment="1">
      <alignment horizontal="left"/>
    </xf>
    <xf numFmtId="0" fontId="0" fillId="0" borderId="0" xfId="0" applyAlignment="1">
      <alignment horizontal="center"/>
    </xf>
    <xf numFmtId="17" fontId="0" fillId="0" borderId="0" xfId="0" applyNumberFormat="1"/>
    <xf numFmtId="164" fontId="3" fillId="0" borderId="0" xfId="0" applyNumberFormat="1" applyFont="1" applyFill="1" applyAlignment="1">
      <alignment horizontal="center"/>
    </xf>
    <xf numFmtId="0" fontId="0" fillId="0" borderId="0" xfId="0" applyAlignment="1">
      <alignment horizontal="center"/>
    </xf>
    <xf numFmtId="0" fontId="2" fillId="0" borderId="0" xfId="1" applyFill="1"/>
    <xf numFmtId="0" fontId="0" fillId="5" borderId="0" xfId="0" applyFill="1"/>
    <xf numFmtId="0" fontId="2" fillId="5" borderId="0" xfId="1" applyFill="1"/>
    <xf numFmtId="0" fontId="0" fillId="0" borderId="0" xfId="0" applyAlignment="1">
      <alignment horizontal="center"/>
    </xf>
    <xf numFmtId="0" fontId="0" fillId="4" borderId="0" xfId="0"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7" fillId="3" borderId="0" xfId="1" applyFont="1" applyFill="1"/>
    <xf numFmtId="0" fontId="7" fillId="4" borderId="0" xfId="1" applyFont="1" applyFill="1"/>
    <xf numFmtId="0" fontId="0" fillId="2" borderId="0" xfId="0" applyFill="1" applyAlignment="1">
      <alignment horizontal="center"/>
    </xf>
    <xf numFmtId="0" fontId="0" fillId="5" borderId="0" xfId="0" applyFill="1" applyAlignment="1">
      <alignment horizontal="center"/>
    </xf>
    <xf numFmtId="0" fontId="0" fillId="0" borderId="0" xfId="0" applyAlignment="1">
      <alignment horizontal="center"/>
    </xf>
    <xf numFmtId="165" fontId="3" fillId="0" borderId="0" xfId="0" applyNumberFormat="1" applyFont="1" applyAlignment="1">
      <alignment horizontal="center" vertical="center"/>
    </xf>
    <xf numFmtId="0" fontId="0" fillId="0" borderId="0" xfId="0" applyAlignment="1">
      <alignment horizontal="center"/>
    </xf>
    <xf numFmtId="0" fontId="0" fillId="0" borderId="0" xfId="0" applyAlignment="1">
      <alignment horizontal="center"/>
    </xf>
    <xf numFmtId="0" fontId="8" fillId="5" borderId="0" xfId="0" applyFont="1" applyFill="1" applyAlignment="1">
      <alignment horizontal="center"/>
    </xf>
    <xf numFmtId="0" fontId="0" fillId="6" borderId="0" xfId="0" applyFill="1"/>
    <xf numFmtId="165" fontId="3" fillId="0" borderId="0" xfId="0" applyNumberFormat="1" applyFont="1" applyFill="1" applyAlignment="1">
      <alignment horizontal="center" vertical="center"/>
    </xf>
    <xf numFmtId="0" fontId="8" fillId="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1" xfId="0" applyBorder="1" applyAlignment="1">
      <alignment wrapText="1"/>
    </xf>
    <xf numFmtId="0" fontId="0" fillId="0" borderId="0" xfId="0" applyAlignment="1">
      <alignment wrapText="1"/>
    </xf>
    <xf numFmtId="165" fontId="8" fillId="0" borderId="0" xfId="0" applyNumberFormat="1" applyFont="1" applyFill="1" applyAlignment="1">
      <alignment horizontal="center"/>
    </xf>
    <xf numFmtId="0" fontId="2" fillId="5" borderId="0" xfId="1" applyNumberFormat="1" applyFill="1" applyProtection="1">
      <protection locked="0"/>
    </xf>
    <xf numFmtId="0" fontId="0" fillId="0" borderId="0" xfId="0" applyAlignment="1">
      <alignment horizontal="center"/>
    </xf>
    <xf numFmtId="164" fontId="3" fillId="0" borderId="0" xfId="0" applyNumberFormat="1" applyFont="1" applyAlignment="1">
      <alignment horizontal="center"/>
    </xf>
    <xf numFmtId="0" fontId="0" fillId="0" borderId="0" xfId="0" applyBorder="1"/>
    <xf numFmtId="0" fontId="0" fillId="0" borderId="0" xfId="0" applyFill="1" applyBorder="1"/>
    <xf numFmtId="0" fontId="0" fillId="7" borderId="0" xfId="0" applyFill="1"/>
    <xf numFmtId="0" fontId="0" fillId="0" borderId="0" xfId="0" applyAlignment="1">
      <alignment horizontal="center"/>
    </xf>
    <xf numFmtId="1" fontId="3" fillId="5" borderId="0" xfId="0" applyNumberFormat="1" applyFont="1" applyFill="1" applyBorder="1" applyAlignment="1">
      <alignment horizontal="center" vertical="center"/>
    </xf>
    <xf numFmtId="0" fontId="0" fillId="0" borderId="0" xfId="0" applyAlignment="1">
      <alignment horizontal="center"/>
    </xf>
    <xf numFmtId="0" fontId="3" fillId="0" borderId="0" xfId="0" applyNumberFormat="1" applyFont="1" applyFill="1" applyAlignment="1">
      <alignment horizontal="center"/>
    </xf>
    <xf numFmtId="0" fontId="3" fillId="0" borderId="0" xfId="0" applyNumberFormat="1" applyFont="1" applyFill="1" applyBorder="1" applyAlignment="1">
      <alignment horizontal="center"/>
    </xf>
    <xf numFmtId="0" fontId="8" fillId="0" borderId="0" xfId="0" applyFont="1" applyFill="1" applyBorder="1" applyAlignment="1">
      <alignment horizontal="center"/>
    </xf>
    <xf numFmtId="0" fontId="0" fillId="0" borderId="0" xfId="0" applyBorder="1" applyAlignment="1">
      <alignment horizontal="left"/>
    </xf>
    <xf numFmtId="15" fontId="0" fillId="0" borderId="0" xfId="0" applyNumberFormat="1" applyFill="1"/>
    <xf numFmtId="0" fontId="0" fillId="0" borderId="0" xfId="0" applyAlignment="1">
      <alignment horizontal="center"/>
    </xf>
    <xf numFmtId="0" fontId="0" fillId="0" borderId="0" xfId="0" applyAlignment="1">
      <alignment horizontal="center"/>
    </xf>
    <xf numFmtId="0" fontId="10" fillId="0" borderId="0" xfId="0" applyFont="1" applyFill="1" applyBorder="1" applyAlignment="1">
      <alignment horizontal="center"/>
    </xf>
    <xf numFmtId="0" fontId="0" fillId="5" borderId="0" xfId="0" applyFill="1" applyBorder="1" applyAlignment="1">
      <alignment horizontal="center"/>
    </xf>
    <xf numFmtId="0" fontId="0" fillId="0" borderId="0" xfId="0" applyNumberFormat="1" applyFill="1" applyBorder="1" applyAlignment="1" applyProtection="1">
      <alignment horizontal="center"/>
    </xf>
    <xf numFmtId="0" fontId="10"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5" fontId="11" fillId="4" borderId="0" xfId="0" applyNumberFormat="1" applyFont="1" applyFill="1" applyAlignment="1">
      <alignment horizontal="center" vertical="center"/>
    </xf>
    <xf numFmtId="0" fontId="0" fillId="4" borderId="0" xfId="0" applyFill="1" applyBorder="1" applyAlignment="1">
      <alignment horizontal="center"/>
    </xf>
    <xf numFmtId="0" fontId="0" fillId="0" borderId="0" xfId="0" applyAlignment="1">
      <alignment horizontal="center"/>
    </xf>
    <xf numFmtId="165" fontId="11" fillId="0"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xf>
    <xf numFmtId="1" fontId="3" fillId="7" borderId="0"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4" fontId="3" fillId="0" borderId="0" xfId="0" applyNumberFormat="1" applyFont="1" applyFill="1" applyBorder="1" applyAlignment="1">
      <alignment horizontal="center"/>
    </xf>
    <xf numFmtId="0" fontId="9" fillId="0" borderId="0" xfId="0" applyFont="1" applyFill="1" applyBorder="1" applyAlignment="1">
      <alignment horizontal="center"/>
    </xf>
    <xf numFmtId="0" fontId="0" fillId="0" borderId="0" xfId="0" applyAlignment="1">
      <alignment horizontal="center"/>
    </xf>
    <xf numFmtId="0" fontId="0" fillId="7" borderId="0" xfId="0" applyFill="1" applyAlignment="1">
      <alignment horizontal="center"/>
    </xf>
    <xf numFmtId="0" fontId="0" fillId="8" borderId="0" xfId="0" applyFill="1"/>
    <xf numFmtId="0" fontId="9" fillId="0" borderId="0" xfId="0" applyFont="1" applyFill="1"/>
    <xf numFmtId="0" fontId="3" fillId="0" borderId="0" xfId="0" applyFont="1" applyFill="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 fontId="12" fillId="0" borderId="0" xfId="0" applyNumberFormat="1" applyFont="1" applyFill="1" applyBorder="1" applyAlignment="1">
      <alignment horizontal="center" vertical="center"/>
    </xf>
    <xf numFmtId="0" fontId="0" fillId="0" borderId="1" xfId="0" applyFont="1" applyBorder="1"/>
    <xf numFmtId="0" fontId="13" fillId="0" borderId="0" xfId="0" applyFont="1"/>
    <xf numFmtId="0" fontId="14" fillId="0" borderId="0" xfId="1" applyFont="1"/>
    <xf numFmtId="0" fontId="13" fillId="0" borderId="0" xfId="0" applyFont="1" applyAlignment="1">
      <alignment horizontal="center"/>
    </xf>
    <xf numFmtId="0" fontId="13" fillId="0" borderId="1" xfId="0" applyFont="1" applyBorder="1" applyAlignment="1">
      <alignment horizontal="center"/>
    </xf>
    <xf numFmtId="0" fontId="13" fillId="0" borderId="1" xfId="0" applyFont="1" applyBorder="1" applyAlignment="1">
      <alignment horizontal="center" wrapText="1"/>
    </xf>
    <xf numFmtId="0" fontId="13" fillId="0" borderId="1" xfId="0" applyFont="1" applyFill="1" applyBorder="1" applyAlignment="1">
      <alignment horizontal="center"/>
    </xf>
    <xf numFmtId="0" fontId="13" fillId="0" borderId="1" xfId="0" applyFont="1" applyFill="1" applyBorder="1" applyAlignment="1">
      <alignment horizontal="center" wrapText="1"/>
    </xf>
    <xf numFmtId="1" fontId="15" fillId="0" borderId="2" xfId="0" applyNumberFormat="1" applyFont="1" applyBorder="1" applyAlignment="1">
      <alignment horizontal="center" vertical="center"/>
    </xf>
    <xf numFmtId="17" fontId="13" fillId="0" borderId="0" xfId="0" applyNumberFormat="1" applyFont="1"/>
    <xf numFmtId="0" fontId="13" fillId="0" borderId="0" xfId="0" applyFont="1" applyAlignment="1">
      <alignment wrapText="1"/>
    </xf>
    <xf numFmtId="0" fontId="13" fillId="0" borderId="1" xfId="0" applyFont="1" applyBorder="1" applyAlignment="1">
      <alignment wrapText="1"/>
    </xf>
    <xf numFmtId="16" fontId="13" fillId="0" borderId="0" xfId="0" applyNumberFormat="1" applyFont="1"/>
    <xf numFmtId="0" fontId="13" fillId="2" borderId="0" xfId="0" applyFont="1" applyFill="1"/>
    <xf numFmtId="0" fontId="13" fillId="7" borderId="0" xfId="0" applyFont="1" applyFill="1"/>
    <xf numFmtId="16" fontId="13" fillId="7" borderId="0" xfId="0" applyNumberFormat="1" applyFont="1" applyFill="1"/>
    <xf numFmtId="0" fontId="13" fillId="7" borderId="0" xfId="0" applyFont="1" applyFill="1" applyAlignment="1">
      <alignment wrapText="1"/>
    </xf>
    <xf numFmtId="0" fontId="13" fillId="0" borderId="0" xfId="0" applyFont="1" applyFill="1"/>
    <xf numFmtId="0" fontId="13" fillId="2" borderId="0" xfId="0" applyFont="1" applyFill="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 fontId="12" fillId="0" borderId="0" xfId="0" applyNumberFormat="1" applyFont="1" applyBorder="1" applyAlignment="1">
      <alignment horizontal="center" vertical="center"/>
    </xf>
    <xf numFmtId="1" fontId="11" fillId="0" borderId="0" xfId="0" applyNumberFormat="1" applyFont="1" applyFill="1" applyBorder="1" applyAlignment="1">
      <alignment horizontal="center" vertical="center"/>
    </xf>
    <xf numFmtId="0" fontId="0" fillId="0" borderId="1" xfId="0" applyFont="1" applyBorder="1" applyAlignment="1">
      <alignment wrapText="1"/>
    </xf>
    <xf numFmtId="0" fontId="0" fillId="0" borderId="0" xfId="0" applyAlignment="1">
      <alignment horizontal="right"/>
    </xf>
    <xf numFmtId="1" fontId="3" fillId="0" borderId="0" xfId="0" applyNumberFormat="1" applyFont="1" applyFill="1" applyBorder="1" applyAlignment="1">
      <alignment horizontal="right" vertical="center"/>
    </xf>
    <xf numFmtId="0" fontId="0" fillId="0" borderId="0" xfId="0" applyFill="1" applyAlignment="1">
      <alignment horizontal="right"/>
    </xf>
    <xf numFmtId="0" fontId="0" fillId="0" borderId="0" xfId="0" applyFill="1" applyBorder="1" applyAlignment="1">
      <alignment horizontal="right"/>
    </xf>
    <xf numFmtId="15" fontId="0" fillId="0" borderId="0" xfId="0" applyNumberFormat="1" applyFill="1" applyAlignment="1">
      <alignment horizontal="right"/>
    </xf>
    <xf numFmtId="0" fontId="0" fillId="0" borderId="0" xfId="0" applyAlignment="1"/>
    <xf numFmtId="0" fontId="0" fillId="0" borderId="1" xfId="0" applyFill="1" applyBorder="1" applyAlignment="1">
      <alignment wrapText="1"/>
    </xf>
    <xf numFmtId="0" fontId="2" fillId="0" borderId="0" xfId="1" applyAlignment="1"/>
    <xf numFmtId="0" fontId="7" fillId="4" borderId="0" xfId="0" applyFont="1" applyFill="1"/>
    <xf numFmtId="0" fontId="0" fillId="0" borderId="0" xfId="0" applyAlignment="1">
      <alignment horizontal="center"/>
    </xf>
    <xf numFmtId="1" fontId="3" fillId="5" borderId="0" xfId="0" applyNumberFormat="1" applyFont="1" applyFill="1" applyBorder="1" applyAlignment="1">
      <alignment horizontal="right" vertical="center"/>
    </xf>
    <xf numFmtId="0" fontId="0" fillId="0" borderId="0" xfId="0" applyAlignment="1">
      <alignment horizontal="center"/>
    </xf>
    <xf numFmtId="0" fontId="9" fillId="0" borderId="0" xfId="0" applyFont="1"/>
    <xf numFmtId="1" fontId="12" fillId="0" borderId="0" xfId="0" applyNumberFormat="1" applyFont="1" applyFill="1" applyBorder="1" applyAlignment="1">
      <alignment horizontal="right" vertical="center"/>
    </xf>
    <xf numFmtId="0" fontId="0" fillId="0" borderId="0" xfId="0" applyAlignment="1">
      <alignment horizontal="center"/>
    </xf>
    <xf numFmtId="166" fontId="16" fillId="0"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1" fontId="17" fillId="2" borderId="0" xfId="0" applyNumberFormat="1" applyFont="1" applyFill="1" applyBorder="1" applyAlignment="1">
      <alignment horizontal="center" vertical="center"/>
    </xf>
    <xf numFmtId="1" fontId="17" fillId="0" borderId="0" xfId="0" applyNumberFormat="1" applyFont="1" applyFill="1" applyBorder="1" applyAlignment="1">
      <alignment horizontal="center" vertical="center"/>
    </xf>
    <xf numFmtId="1" fontId="17" fillId="4" borderId="0" xfId="0" applyNumberFormat="1" applyFont="1" applyFill="1" applyBorder="1" applyAlignment="1">
      <alignment horizontal="center" vertical="center"/>
    </xf>
    <xf numFmtId="0" fontId="0" fillId="0" borderId="0" xfId="0" applyAlignment="1">
      <alignment horizontal="center"/>
    </xf>
    <xf numFmtId="0" fontId="1" fillId="0" borderId="0" xfId="0" applyFont="1" applyAlignment="1">
      <alignment horizontal="center" vertical="top"/>
    </xf>
    <xf numFmtId="0" fontId="0" fillId="5" borderId="0" xfId="0" applyFill="1" applyBorder="1" applyAlignment="1">
      <alignment horizontal="right"/>
    </xf>
    <xf numFmtId="0" fontId="0" fillId="0" borderId="0" xfId="0" applyAlignment="1">
      <alignment horizontal="center"/>
    </xf>
    <xf numFmtId="15" fontId="0" fillId="0" borderId="0" xfId="0" applyNumberFormat="1" applyAlignment="1">
      <alignment horizontal="right"/>
    </xf>
    <xf numFmtId="0" fontId="3" fillId="0" borderId="0" xfId="0" applyNumberFormat="1" applyFont="1" applyFill="1" applyBorder="1" applyAlignment="1">
      <alignment horizontal="right"/>
    </xf>
    <xf numFmtId="17" fontId="0" fillId="0" borderId="0" xfId="0" applyNumberFormat="1" applyAlignment="1">
      <alignment horizontal="right"/>
    </xf>
    <xf numFmtId="14" fontId="0" fillId="0" borderId="0" xfId="0" applyNumberFormat="1"/>
    <xf numFmtId="0" fontId="0" fillId="0" borderId="0" xfId="0" applyAlignment="1">
      <alignment horizontal="center"/>
    </xf>
    <xf numFmtId="0" fontId="9" fillId="0" borderId="0" xfId="0" applyFont="1" applyFill="1" applyBorder="1"/>
    <xf numFmtId="0" fontId="18" fillId="0" borderId="0" xfId="0" applyFont="1" applyFill="1" applyBorder="1"/>
    <xf numFmtId="0" fontId="3" fillId="0" borderId="0" xfId="0" applyNumberFormat="1" applyFont="1" applyAlignment="1">
      <alignment horizontal="center"/>
    </xf>
    <xf numFmtId="0" fontId="0" fillId="0" borderId="0" xfId="0" applyAlignment="1">
      <alignment horizontal="center"/>
    </xf>
    <xf numFmtId="0" fontId="7" fillId="0" borderId="0" xfId="0" applyFont="1" applyFill="1" applyBorder="1"/>
    <xf numFmtId="0" fontId="18" fillId="0" borderId="0" xfId="0" applyFont="1" applyAlignment="1">
      <alignment horizontal="center"/>
    </xf>
    <xf numFmtId="0" fontId="7" fillId="0" borderId="0" xfId="0" applyFont="1" applyFill="1"/>
    <xf numFmtId="0" fontId="0" fillId="0" borderId="0" xfId="0" applyAlignment="1">
      <alignment horizontal="center"/>
    </xf>
    <xf numFmtId="167" fontId="0" fillId="0" borderId="0" xfId="0" applyNumberFormat="1"/>
    <xf numFmtId="168" fontId="0" fillId="0" borderId="0" xfId="0" applyNumberFormat="1"/>
    <xf numFmtId="0" fontId="0" fillId="0" borderId="0" xfId="0" applyAlignment="1">
      <alignment horizontal="center"/>
    </xf>
    <xf numFmtId="0" fontId="0" fillId="0" borderId="0" xfId="0" applyAlignment="1">
      <alignment horizontal="center"/>
    </xf>
    <xf numFmtId="0" fontId="9" fillId="0" borderId="0" xfId="0" applyFont="1" applyAlignment="1">
      <alignment horizontal="center"/>
    </xf>
    <xf numFmtId="1" fontId="0" fillId="0" borderId="0" xfId="0" applyNumberFormat="1" applyFill="1" applyAlignment="1">
      <alignment horizontal="center"/>
    </xf>
    <xf numFmtId="0" fontId="7"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Font="1" applyFill="1" applyAlignment="1">
      <alignment horizontal="center"/>
    </xf>
    <xf numFmtId="0" fontId="0" fillId="0" borderId="0" xfId="0" applyAlignment="1">
      <alignment horizontal="center"/>
    </xf>
    <xf numFmtId="0" fontId="19" fillId="0" borderId="0" xfId="0" applyNumberFormat="1" applyFont="1" applyFill="1" applyAlignment="1">
      <alignment horizontal="center"/>
    </xf>
    <xf numFmtId="0" fontId="7" fillId="0" borderId="0" xfId="0" applyFont="1" applyAlignment="1">
      <alignment horizontal="center"/>
    </xf>
    <xf numFmtId="0" fontId="12" fillId="0" borderId="0" xfId="0" applyNumberFormat="1" applyFont="1" applyAlignment="1">
      <alignment horizontal="center"/>
    </xf>
    <xf numFmtId="0" fontId="0" fillId="0" borderId="0" xfId="0" applyAlignment="1">
      <alignment horizontal="center"/>
    </xf>
    <xf numFmtId="0" fontId="0" fillId="0" borderId="0" xfId="0" applyBorder="1" applyAlignment="1">
      <alignment horizontal="right"/>
    </xf>
    <xf numFmtId="9" fontId="0" fillId="0" borderId="0" xfId="0" applyNumberFormat="1"/>
    <xf numFmtId="0" fontId="0" fillId="0" borderId="0" xfId="0" applyBorder="1" applyAlignment="1">
      <alignment horizontal="center" wrapText="1"/>
    </xf>
    <xf numFmtId="0" fontId="0" fillId="0" borderId="0" xfId="0" applyFill="1" applyBorder="1" applyAlignment="1">
      <alignment horizontal="left"/>
    </xf>
    <xf numFmtId="0" fontId="24" fillId="9" borderId="3" xfId="2" applyFont="1" applyFill="1" applyBorder="1" applyAlignment="1">
      <alignment horizontal="center"/>
    </xf>
    <xf numFmtId="169" fontId="24" fillId="9" borderId="3" xfId="2" applyNumberFormat="1" applyFont="1" applyFill="1" applyBorder="1" applyAlignment="1">
      <alignment horizontal="center"/>
    </xf>
    <xf numFmtId="0" fontId="24" fillId="0" borderId="4" xfId="2" applyFont="1" applyFill="1" applyBorder="1" applyAlignment="1">
      <alignment horizontal="right" wrapText="1"/>
    </xf>
    <xf numFmtId="169" fontId="24" fillId="0" borderId="4" xfId="2" applyNumberFormat="1" applyFont="1" applyFill="1" applyBorder="1" applyAlignment="1">
      <alignment horizontal="right" wrapText="1"/>
    </xf>
    <xf numFmtId="0" fontId="24" fillId="0" borderId="4" xfId="2" applyFont="1" applyFill="1" applyBorder="1" applyAlignment="1">
      <alignment wrapText="1"/>
    </xf>
    <xf numFmtId="11" fontId="24" fillId="0" borderId="4" xfId="2" applyNumberFormat="1" applyFont="1" applyFill="1" applyBorder="1" applyAlignment="1">
      <alignment horizontal="right" wrapText="1"/>
    </xf>
    <xf numFmtId="0" fontId="23" fillId="0" borderId="0" xfId="2"/>
    <xf numFmtId="0" fontId="0" fillId="0" borderId="0" xfId="0" applyAlignment="1">
      <alignment horizontal="center"/>
    </xf>
    <xf numFmtId="169" fontId="24" fillId="2" borderId="4" xfId="2" applyNumberFormat="1" applyFont="1" applyFill="1" applyBorder="1" applyAlignment="1">
      <alignment horizontal="right" wrapText="1"/>
    </xf>
    <xf numFmtId="0" fontId="0" fillId="2" borderId="0" xfId="0" applyFill="1" applyBorder="1" applyAlignment="1">
      <alignment horizontal="center"/>
    </xf>
    <xf numFmtId="0" fontId="0" fillId="0" borderId="0" xfId="0" applyAlignment="1">
      <alignment horizontal="center"/>
    </xf>
    <xf numFmtId="0" fontId="25" fillId="0" borderId="0" xfId="0" applyNumberFormat="1" applyFont="1" applyFill="1" applyAlignment="1">
      <alignment horizontal="center"/>
    </xf>
    <xf numFmtId="15" fontId="0" fillId="0" borderId="0" xfId="0" applyNumberFormat="1" applyFont="1" applyFill="1"/>
    <xf numFmtId="0" fontId="0" fillId="0" borderId="0" xfId="0" applyFont="1" applyFill="1"/>
    <xf numFmtId="14" fontId="0" fillId="0" borderId="0" xfId="0" applyNumberFormat="1" applyFont="1" applyFill="1"/>
    <xf numFmtId="1" fontId="0" fillId="0" borderId="0" xfId="0" applyNumberFormat="1" applyFont="1" applyFill="1" applyAlignment="1">
      <alignment horizontal="center"/>
    </xf>
    <xf numFmtId="164" fontId="3" fillId="5" borderId="0" xfId="0" applyNumberFormat="1" applyFont="1" applyFill="1" applyAlignment="1">
      <alignment horizontal="center"/>
    </xf>
    <xf numFmtId="0" fontId="0" fillId="7" borderId="0" xfId="0" applyFill="1" applyBorder="1" applyAlignment="1">
      <alignment horizontal="center"/>
    </xf>
    <xf numFmtId="0" fontId="0" fillId="5" borderId="0" xfId="0" applyFill="1" applyAlignment="1">
      <alignment horizontal="right"/>
    </xf>
    <xf numFmtId="0" fontId="18" fillId="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Fill="1" applyAlignment="1">
      <alignment horizontal="center" vertical="center"/>
    </xf>
    <xf numFmtId="0" fontId="1" fillId="2" borderId="1" xfId="0" applyFont="1" applyFill="1" applyBorder="1" applyAlignment="1">
      <alignment horizontal="center" wrapText="1"/>
    </xf>
    <xf numFmtId="0" fontId="0" fillId="0" borderId="0" xfId="0" applyAlignment="1">
      <alignment horizontal="center"/>
    </xf>
    <xf numFmtId="0" fontId="0" fillId="0" borderId="0" xfId="0" applyAlignment="1">
      <alignment horizontal="center"/>
    </xf>
    <xf numFmtId="0" fontId="26" fillId="0" borderId="0" xfId="0" applyFont="1" applyFill="1" applyAlignment="1">
      <alignment horizontal="center"/>
    </xf>
    <xf numFmtId="0" fontId="27" fillId="0" borderId="0" xfId="0" applyNumberFormat="1" applyFont="1" applyFill="1" applyAlignment="1">
      <alignment horizontal="center"/>
    </xf>
    <xf numFmtId="0" fontId="29" fillId="0" borderId="0" xfId="0" applyFont="1" applyFill="1" applyAlignment="1">
      <alignment horizontal="center"/>
    </xf>
    <xf numFmtId="0" fontId="18" fillId="0" borderId="0" xfId="0" applyFont="1" applyFill="1"/>
    <xf numFmtId="0" fontId="18"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7" fillId="0" borderId="0" xfId="0" applyFont="1" applyFill="1"/>
    <xf numFmtId="0" fontId="29" fillId="0" borderId="0" xfId="0" applyFont="1" applyAlignment="1">
      <alignment horizontal="center"/>
    </xf>
    <xf numFmtId="0" fontId="28" fillId="5" borderId="0" xfId="0" applyFont="1" applyFill="1" applyAlignment="1">
      <alignment horizontal="center"/>
    </xf>
    <xf numFmtId="0" fontId="28" fillId="0" borderId="0" xfId="0" applyFont="1" applyFill="1" applyAlignment="1">
      <alignment horizontal="center"/>
    </xf>
    <xf numFmtId="0" fontId="32" fillId="0" borderId="4" xfId="3" applyFont="1" applyFill="1" applyBorder="1" applyAlignment="1">
      <alignment wrapText="1"/>
    </xf>
    <xf numFmtId="0" fontId="0" fillId="0" borderId="0" xfId="0" applyAlignment="1">
      <alignment horizontal="center"/>
    </xf>
    <xf numFmtId="0" fontId="0" fillId="0" borderId="0" xfId="0" applyAlignment="1">
      <alignment horizontal="center"/>
    </xf>
    <xf numFmtId="0" fontId="0" fillId="2" borderId="1" xfId="0" applyFill="1" applyBorder="1" applyAlignment="1">
      <alignment horizontal="center" wrapText="1"/>
    </xf>
    <xf numFmtId="0" fontId="35" fillId="0" borderId="0" xfId="0" applyFont="1" applyAlignment="1">
      <alignment horizontal="center"/>
    </xf>
    <xf numFmtId="0" fontId="33" fillId="0" borderId="0" xfId="0" applyFont="1" applyFill="1"/>
    <xf numFmtId="0" fontId="0" fillId="0" borderId="0" xfId="0" applyAlignment="1">
      <alignment horizontal="center"/>
    </xf>
    <xf numFmtId="170" fontId="37" fillId="0" borderId="0" xfId="0" applyNumberFormat="1" applyFont="1" applyFill="1" applyBorder="1" applyAlignment="1" applyProtection="1">
      <alignment horizontal="center"/>
    </xf>
    <xf numFmtId="0" fontId="1" fillId="0" borderId="1" xfId="0" applyFont="1" applyFill="1" applyBorder="1" applyAlignment="1">
      <alignment horizontal="center" wrapText="1"/>
    </xf>
    <xf numFmtId="0" fontId="24" fillId="0" borderId="4" xfId="3" applyFont="1" applyFill="1" applyBorder="1" applyAlignment="1">
      <alignment wrapText="1"/>
    </xf>
    <xf numFmtId="0" fontId="3" fillId="5" borderId="0" xfId="0" applyNumberFormat="1" applyFont="1" applyFill="1" applyAlignment="1">
      <alignment horizontal="center"/>
    </xf>
    <xf numFmtId="0" fontId="30" fillId="0" borderId="0" xfId="0" applyNumberFormat="1" applyFont="1" applyFill="1" applyAlignment="1">
      <alignment horizontal="center"/>
    </xf>
    <xf numFmtId="0" fontId="26" fillId="0" borderId="0" xfId="0" applyFont="1"/>
    <xf numFmtId="0" fontId="0" fillId="0" borderId="0" xfId="0" applyFont="1" applyAlignment="1">
      <alignment horizontal="center"/>
    </xf>
    <xf numFmtId="0" fontId="7" fillId="5" borderId="0" xfId="0" applyFont="1" applyFill="1" applyAlignment="1">
      <alignment horizontal="center"/>
    </xf>
    <xf numFmtId="0" fontId="7" fillId="0" borderId="0" xfId="0" applyFont="1" applyFill="1" applyAlignment="1">
      <alignment horizontal="center"/>
    </xf>
    <xf numFmtId="0" fontId="28" fillId="4" borderId="0" xfId="0" applyFont="1" applyFill="1" applyAlignment="1">
      <alignment horizontal="center"/>
    </xf>
    <xf numFmtId="0" fontId="3" fillId="4" borderId="0" xfId="0"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7"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9" fillId="0" borderId="0" xfId="0" applyFont="1"/>
    <xf numFmtId="0" fontId="26" fillId="0" borderId="0" xfId="0" applyFont="1" applyAlignment="1">
      <alignment horizontal="center"/>
    </xf>
    <xf numFmtId="0" fontId="0" fillId="0" borderId="0" xfId="0" applyAlignment="1">
      <alignment horizontal="center"/>
    </xf>
    <xf numFmtId="0" fontId="38" fillId="0" borderId="4" xfId="3" applyFont="1" applyFill="1" applyBorder="1" applyAlignment="1">
      <alignment horizontal="center" wrapText="1"/>
    </xf>
    <xf numFmtId="0" fontId="7" fillId="7" borderId="0" xfId="0" applyFont="1" applyFill="1" applyAlignment="1">
      <alignment horizontal="center"/>
    </xf>
    <xf numFmtId="0" fontId="24" fillId="0" borderId="4" xfId="3" applyFont="1" applyFill="1" applyBorder="1" applyAlignment="1">
      <alignment horizontal="center" wrapText="1"/>
    </xf>
    <xf numFmtId="0" fontId="0" fillId="0" borderId="0" xfId="0" applyAlignment="1">
      <alignment horizontal="center"/>
    </xf>
    <xf numFmtId="0" fontId="0" fillId="0" borderId="0" xfId="0" applyFill="1" applyAlignment="1">
      <alignment horizontal="left"/>
    </xf>
    <xf numFmtId="0" fontId="9" fillId="0" borderId="0" xfId="0" applyFont="1" applyFill="1" applyAlignment="1">
      <alignment horizontal="center"/>
    </xf>
    <xf numFmtId="0" fontId="0" fillId="5" borderId="0" xfId="0" applyFill="1" applyBorder="1"/>
    <xf numFmtId="0" fontId="28" fillId="0" borderId="0" xfId="0" applyFont="1" applyAlignment="1">
      <alignment horizontal="center"/>
    </xf>
    <xf numFmtId="0" fontId="7" fillId="5" borderId="0" xfId="0" applyFont="1" applyFill="1"/>
    <xf numFmtId="0" fontId="43" fillId="0" borderId="0" xfId="0" applyFont="1" applyAlignment="1">
      <alignment horizontal="center"/>
    </xf>
    <xf numFmtId="0" fontId="2" fillId="0" borderId="0" xfId="1" applyAlignment="1">
      <alignment horizontal="right"/>
    </xf>
    <xf numFmtId="0" fontId="18" fillId="0" borderId="0" xfId="0" applyFont="1" applyAlignment="1">
      <alignment horizontal="right"/>
    </xf>
    <xf numFmtId="0" fontId="7" fillId="0" borderId="0" xfId="0" applyFont="1" applyFill="1" applyAlignment="1">
      <alignment horizontal="right"/>
    </xf>
    <xf numFmtId="0" fontId="28" fillId="5" borderId="0" xfId="0" applyFont="1" applyFill="1" applyAlignment="1">
      <alignment horizontal="center" vertical="center"/>
    </xf>
    <xf numFmtId="0" fontId="33" fillId="0" borderId="0" xfId="0" applyNumberFormat="1" applyFont="1" applyFill="1" applyAlignment="1">
      <alignment horizontal="center"/>
    </xf>
    <xf numFmtId="171" fontId="3" fillId="0" borderId="0" xfId="6" applyNumberFormat="1" applyFont="1" applyFill="1" applyAlignment="1">
      <alignment horizontal="center"/>
    </xf>
    <xf numFmtId="171" fontId="3" fillId="0" borderId="0" xfId="0" applyNumberFormat="1" applyFont="1" applyAlignment="1">
      <alignment horizontal="center"/>
    </xf>
    <xf numFmtId="171" fontId="46" fillId="0" borderId="0" xfId="0" applyNumberFormat="1" applyFont="1" applyAlignment="1">
      <alignment horizontal="center"/>
    </xf>
    <xf numFmtId="0" fontId="43" fillId="0" borderId="0" xfId="0" applyFont="1" applyAlignment="1">
      <alignment horizontal="center" vertical="center"/>
    </xf>
    <xf numFmtId="0" fontId="47" fillId="0" borderId="0" xfId="0" applyFont="1" applyAlignment="1">
      <alignment horizontal="center" vertical="center"/>
    </xf>
    <xf numFmtId="0" fontId="18" fillId="0" borderId="0" xfId="0" applyFont="1" applyAlignment="1">
      <alignment horizontal="center" vertical="center"/>
    </xf>
    <xf numFmtId="171" fontId="27" fillId="0" borderId="0" xfId="0" applyNumberFormat="1" applyFont="1" applyFill="1" applyAlignment="1">
      <alignment horizontal="center"/>
    </xf>
    <xf numFmtId="0" fontId="28" fillId="0" borderId="0" xfId="0" applyFont="1" applyFill="1" applyAlignment="1">
      <alignment horizontal="center" vertical="center"/>
    </xf>
    <xf numFmtId="0" fontId="0" fillId="0" borderId="0" xfId="0" applyAlignment="1">
      <alignment horizontal="center"/>
    </xf>
    <xf numFmtId="171" fontId="48" fillId="5" borderId="0" xfId="0" applyNumberFormat="1" applyFont="1" applyFill="1" applyAlignment="1">
      <alignment horizontal="center"/>
    </xf>
    <xf numFmtId="0" fontId="49" fillId="0" borderId="0" xfId="0" applyFont="1" applyFill="1" applyAlignment="1">
      <alignment horizontal="center"/>
    </xf>
    <xf numFmtId="171" fontId="48" fillId="0" borderId="0" xfId="0" applyNumberFormat="1" applyFont="1" applyFill="1" applyAlignment="1">
      <alignment horizontal="center"/>
    </xf>
    <xf numFmtId="165" fontId="50" fillId="0" borderId="0" xfId="0" applyNumberFormat="1" applyFont="1" applyAlignment="1">
      <alignment horizontal="center" vertical="center"/>
    </xf>
    <xf numFmtId="165" fontId="51" fillId="0" borderId="0" xfId="0" applyNumberFormat="1" applyFont="1" applyAlignment="1">
      <alignment horizontal="center" vertical="center"/>
    </xf>
    <xf numFmtId="171" fontId="12" fillId="0" borderId="0" xfId="0" applyNumberFormat="1" applyFont="1" applyAlignment="1">
      <alignment horizontal="center"/>
    </xf>
    <xf numFmtId="171" fontId="44" fillId="0" borderId="0" xfId="4" applyNumberFormat="1" applyFont="1" applyFill="1" applyAlignment="1">
      <alignment horizontal="center"/>
    </xf>
    <xf numFmtId="165" fontId="44" fillId="0" borderId="0" xfId="0" applyNumberFormat="1" applyFont="1" applyFill="1" applyAlignment="1">
      <alignment horizontal="center" vertical="center"/>
    </xf>
    <xf numFmtId="0" fontId="0" fillId="0" borderId="0" xfId="0" applyAlignment="1">
      <alignment horizontal="center"/>
    </xf>
    <xf numFmtId="171" fontId="12" fillId="0" borderId="0" xfId="4" applyNumberFormat="1" applyFont="1" applyAlignment="1">
      <alignment horizontal="center"/>
    </xf>
    <xf numFmtId="0" fontId="49" fillId="0" borderId="0" xfId="0" applyFont="1" applyAlignment="1">
      <alignment horizontal="center"/>
    </xf>
    <xf numFmtId="0" fontId="0" fillId="0" borderId="0" xfId="0" applyFont="1"/>
    <xf numFmtId="0" fontId="7" fillId="0" borderId="0" xfId="0" applyFont="1"/>
    <xf numFmtId="171" fontId="3" fillId="0" borderId="0" xfId="0" applyNumberFormat="1" applyFont="1" applyFill="1" applyAlignment="1">
      <alignment horizontal="center"/>
    </xf>
    <xf numFmtId="0" fontId="1" fillId="0" borderId="0" xfId="0" applyFont="1" applyAlignment="1">
      <alignment horizontal="right"/>
    </xf>
    <xf numFmtId="0" fontId="52" fillId="0" borderId="0" xfId="1" applyFont="1"/>
    <xf numFmtId="0" fontId="0" fillId="0" borderId="0" xfId="0" applyFont="1" applyAlignment="1">
      <alignment horizontal="right"/>
    </xf>
    <xf numFmtId="0" fontId="2" fillId="0" borderId="0" xfId="1" applyFont="1"/>
    <xf numFmtId="171" fontId="12" fillId="0" borderId="0" xfId="4" applyNumberFormat="1" applyFont="1" applyFill="1" applyAlignment="1">
      <alignment horizontal="center"/>
    </xf>
    <xf numFmtId="171" fontId="12" fillId="8" borderId="0" xfId="4" applyNumberFormat="1" applyFont="1" applyFill="1" applyAlignment="1">
      <alignment horizontal="center"/>
    </xf>
    <xf numFmtId="171" fontId="3" fillId="0" borderId="0" xfId="4" applyNumberFormat="1" applyFont="1" applyFill="1" applyAlignment="1">
      <alignment horizontal="center"/>
    </xf>
    <xf numFmtId="0" fontId="53" fillId="0" borderId="0" xfId="0" applyFont="1" applyAlignment="1">
      <alignment horizontal="center"/>
    </xf>
    <xf numFmtId="0" fontId="0" fillId="0" borderId="0" xfId="0" applyAlignment="1">
      <alignment horizontal="center"/>
    </xf>
    <xf numFmtId="166" fontId="3" fillId="0" borderId="0" xfId="0" applyNumberFormat="1" applyFont="1" applyFill="1" applyBorder="1" applyAlignment="1">
      <alignment horizontal="center"/>
    </xf>
    <xf numFmtId="0" fontId="18" fillId="2" borderId="0" xfId="0" applyFont="1" applyFill="1"/>
    <xf numFmtId="0" fontId="57" fillId="0" borderId="0" xfId="0" applyFont="1"/>
    <xf numFmtId="0" fontId="0" fillId="5" borderId="0" xfId="0" applyFont="1" applyFill="1"/>
    <xf numFmtId="0" fontId="0" fillId="0" borderId="0" xfId="0" applyFont="1" applyFill="1" applyBorder="1"/>
    <xf numFmtId="0" fontId="9" fillId="2" borderId="0" xfId="0" applyFont="1" applyFill="1"/>
    <xf numFmtId="0" fontId="0" fillId="0" borderId="0" xfId="0" applyAlignment="1">
      <alignment horizontal="center"/>
    </xf>
    <xf numFmtId="172" fontId="0" fillId="0" borderId="0" xfId="0" applyNumberFormat="1"/>
    <xf numFmtId="0" fontId="0" fillId="0" borderId="0" xfId="0" applyAlignment="1">
      <alignment horizontal="center"/>
    </xf>
    <xf numFmtId="3"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2" fillId="0" borderId="0" xfId="0" applyNumberFormat="1" applyFont="1" applyFill="1" applyBorder="1" applyAlignment="1">
      <alignment horizontal="center"/>
    </xf>
    <xf numFmtId="0" fontId="48" fillId="5" borderId="0" xfId="0" applyNumberFormat="1" applyFont="1" applyFill="1" applyBorder="1" applyAlignment="1">
      <alignment horizontal="center"/>
    </xf>
    <xf numFmtId="0" fontId="48" fillId="0" borderId="0" xfId="0" applyNumberFormat="1" applyFont="1" applyFill="1" applyBorder="1" applyAlignment="1">
      <alignment horizontal="center"/>
    </xf>
    <xf numFmtId="0" fontId="25" fillId="0" borderId="0" xfId="0" applyNumberFormat="1" applyFont="1" applyFill="1" applyBorder="1" applyAlignment="1">
      <alignment horizontal="center"/>
    </xf>
    <xf numFmtId="0" fontId="25" fillId="0" borderId="0" xfId="0" applyFont="1" applyFill="1" applyBorder="1" applyAlignment="1">
      <alignment horizontal="center"/>
    </xf>
    <xf numFmtId="0" fontId="25" fillId="0" borderId="0" xfId="0" applyFont="1" applyFill="1" applyBorder="1" applyAlignment="1">
      <alignment horizontal="center" vertical="center"/>
    </xf>
    <xf numFmtId="0" fontId="12"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48" fillId="0" borderId="0" xfId="0" applyFont="1" applyFill="1" applyAlignment="1">
      <alignment horizontal="center"/>
    </xf>
    <xf numFmtId="0" fontId="3" fillId="0" borderId="0" xfId="0" applyFont="1" applyFill="1" applyBorder="1" applyAlignment="1">
      <alignment horizontal="center" vertical="center"/>
    </xf>
    <xf numFmtId="0" fontId="1" fillId="0" borderId="1" xfId="0" applyFont="1" applyBorder="1" applyAlignment="1">
      <alignment horizontal="center"/>
    </xf>
    <xf numFmtId="0" fontId="0" fillId="0" borderId="6" xfId="0" applyBorder="1"/>
    <xf numFmtId="173" fontId="0" fillId="0" borderId="6" xfId="0" applyNumberFormat="1" applyBorder="1"/>
    <xf numFmtId="1" fontId="0" fillId="0" borderId="6" xfId="0" applyNumberFormat="1" applyBorder="1"/>
    <xf numFmtId="0" fontId="1" fillId="0" borderId="0" xfId="0" applyFont="1" applyFill="1" applyBorder="1"/>
    <xf numFmtId="173" fontId="0" fillId="0" borderId="0" xfId="0" applyNumberFormat="1" applyBorder="1"/>
    <xf numFmtId="14" fontId="0" fillId="0" borderId="0" xfId="0" applyNumberFormat="1" applyAlignment="1">
      <alignment horizontal="left"/>
    </xf>
    <xf numFmtId="0" fontId="54" fillId="0" borderId="0" xfId="0" applyFont="1" applyAlignment="1">
      <alignment horizontal="center"/>
    </xf>
    <xf numFmtId="0" fontId="3" fillId="0" borderId="0" xfId="0" applyNumberFormat="1" applyFont="1" applyFill="1" applyBorder="1" applyAlignment="1"/>
    <xf numFmtId="0" fontId="3" fillId="5" borderId="0" xfId="0" applyNumberFormat="1" applyFont="1" applyFill="1" applyBorder="1" applyAlignment="1">
      <alignment horizontal="center"/>
    </xf>
    <xf numFmtId="0" fontId="3" fillId="0" borderId="0" xfId="7" applyNumberFormat="1" applyFont="1" applyFill="1" applyBorder="1" applyAlignment="1">
      <alignment horizontal="center"/>
    </xf>
    <xf numFmtId="0" fontId="25" fillId="0" borderId="0" xfId="0" applyFont="1" applyAlignment="1">
      <alignment horizontal="center"/>
    </xf>
    <xf numFmtId="0" fontId="55" fillId="0" borderId="0" xfId="0" applyFont="1" applyAlignment="1">
      <alignment horizontal="center"/>
    </xf>
    <xf numFmtId="0" fontId="55" fillId="0" borderId="0" xfId="0" applyFont="1" applyFill="1" applyAlignment="1">
      <alignment horizontal="center"/>
    </xf>
    <xf numFmtId="0" fontId="54" fillId="0" borderId="0" xfId="0" applyFont="1" applyFill="1" applyAlignment="1">
      <alignment horizontal="center"/>
    </xf>
    <xf numFmtId="0" fontId="58" fillId="4" borderId="0" xfId="0" applyFont="1" applyFill="1" applyAlignment="1">
      <alignment horizontal="center"/>
    </xf>
    <xf numFmtId="0" fontId="58" fillId="5" borderId="0" xfId="0" applyFont="1" applyFill="1" applyAlignment="1">
      <alignment horizontal="center"/>
    </xf>
    <xf numFmtId="0" fontId="37" fillId="0" borderId="0" xfId="0" applyFont="1" applyFill="1" applyAlignment="1">
      <alignment horizontal="center"/>
    </xf>
    <xf numFmtId="0" fontId="58" fillId="0" borderId="0" xfId="0" applyFont="1" applyFill="1" applyAlignment="1">
      <alignment horizontal="center"/>
    </xf>
    <xf numFmtId="0" fontId="0" fillId="5" borderId="0" xfId="0" applyFont="1" applyFill="1" applyAlignment="1">
      <alignment horizontal="center"/>
    </xf>
    <xf numFmtId="0" fontId="0" fillId="0" borderId="0" xfId="0" applyAlignment="1">
      <alignment horizontal="center"/>
    </xf>
    <xf numFmtId="0" fontId="64" fillId="0" borderId="0" xfId="0" applyFont="1" applyAlignment="1">
      <alignment horizontal="center"/>
    </xf>
    <xf numFmtId="0" fontId="64" fillId="0" borderId="0" xfId="0" applyFont="1" applyFill="1" applyAlignment="1">
      <alignment horizontal="center"/>
    </xf>
    <xf numFmtId="0" fontId="65" fillId="0" borderId="0" xfId="0" applyFont="1" applyFill="1" applyAlignment="1">
      <alignment horizontal="center"/>
    </xf>
    <xf numFmtId="0" fontId="25" fillId="0" borderId="0" xfId="0" applyFont="1" applyFill="1" applyAlignment="1">
      <alignment horizontal="center"/>
    </xf>
    <xf numFmtId="0" fontId="0" fillId="0" borderId="1" xfId="0" applyBorder="1" applyAlignment="1">
      <alignment horizontal="right" wrapText="1"/>
    </xf>
    <xf numFmtId="0" fontId="29" fillId="0" borderId="0" xfId="0" applyFont="1" applyAlignment="1">
      <alignment horizontal="right"/>
    </xf>
    <xf numFmtId="0" fontId="29" fillId="0" borderId="0" xfId="0" applyFont="1" applyFill="1" applyAlignment="1">
      <alignment horizontal="right"/>
    </xf>
    <xf numFmtId="0" fontId="18" fillId="0" borderId="0" xfId="0" applyFont="1" applyFill="1" applyAlignment="1">
      <alignment horizontal="right"/>
    </xf>
    <xf numFmtId="0" fontId="29" fillId="7" borderId="0" xfId="0" applyFont="1" applyFill="1" applyAlignment="1">
      <alignment horizontal="right"/>
    </xf>
    <xf numFmtId="0" fontId="36" fillId="7" borderId="0" xfId="0" applyFont="1" applyFill="1" applyAlignment="1">
      <alignment horizontal="right"/>
    </xf>
    <xf numFmtId="0" fontId="0" fillId="7" borderId="0" xfId="0" applyFill="1" applyAlignment="1">
      <alignment horizontal="right"/>
    </xf>
    <xf numFmtId="0" fontId="26" fillId="0" borderId="0" xfId="0" applyFont="1" applyAlignment="1">
      <alignment horizontal="right"/>
    </xf>
    <xf numFmtId="0" fontId="0" fillId="8" borderId="0" xfId="0" applyFill="1" applyAlignment="1">
      <alignment horizontal="right"/>
    </xf>
    <xf numFmtId="0" fontId="0" fillId="0" borderId="0" xfId="0" applyFont="1" applyFill="1" applyAlignment="1">
      <alignment horizontal="right"/>
    </xf>
    <xf numFmtId="0" fontId="0" fillId="8" borderId="0" xfId="0" applyFont="1" applyFill="1" applyAlignment="1">
      <alignment horizontal="right"/>
    </xf>
    <xf numFmtId="0" fontId="7" fillId="5" borderId="0" xfId="0" applyFont="1" applyFill="1" applyAlignment="1">
      <alignment horizontal="right"/>
    </xf>
    <xf numFmtId="0" fontId="26" fillId="7" borderId="0" xfId="0" applyFont="1" applyFill="1" applyAlignment="1">
      <alignment horizontal="right"/>
    </xf>
    <xf numFmtId="0" fontId="0" fillId="0" borderId="0" xfId="0" applyAlignment="1">
      <alignment horizontal="center"/>
    </xf>
    <xf numFmtId="0" fontId="0" fillId="8" borderId="0" xfId="0" applyFill="1" applyAlignment="1">
      <alignment horizontal="center"/>
    </xf>
    <xf numFmtId="0" fontId="34" fillId="5" borderId="0" xfId="0" applyFont="1" applyFill="1" applyAlignment="1">
      <alignment horizontal="center"/>
    </xf>
    <xf numFmtId="0" fontId="33" fillId="0" borderId="0" xfId="0" applyFont="1" applyFill="1" applyAlignment="1">
      <alignment horizontal="center"/>
    </xf>
    <xf numFmtId="0" fontId="28" fillId="0" borderId="0" xfId="0" applyFont="1" applyFill="1" applyBorder="1" applyAlignment="1">
      <alignment horizontal="center"/>
    </xf>
    <xf numFmtId="0" fontId="56" fillId="0" borderId="0" xfId="0" applyFont="1" applyAlignment="1">
      <alignment horizontal="center"/>
    </xf>
    <xf numFmtId="0" fontId="9" fillId="0" borderId="0" xfId="0" applyFont="1" applyAlignment="1">
      <alignment horizontal="center" vertical="center"/>
    </xf>
    <xf numFmtId="0" fontId="49" fillId="0" borderId="0" xfId="0" applyFont="1" applyFill="1" applyAlignment="1">
      <alignment horizontal="center" vertical="center"/>
    </xf>
    <xf numFmtId="0" fontId="7" fillId="0" borderId="0" xfId="0" applyFont="1" applyFill="1" applyAlignment="1">
      <alignment horizontal="center" vertical="center"/>
    </xf>
    <xf numFmtId="0" fontId="65" fillId="0" borderId="0" xfId="0" applyFont="1" applyAlignment="1">
      <alignment horizontal="center"/>
    </xf>
    <xf numFmtId="0" fontId="2" fillId="7" borderId="0" xfId="1" applyFill="1"/>
    <xf numFmtId="0" fontId="0" fillId="0" borderId="0" xfId="0" applyAlignment="1">
      <alignment horizontal="center"/>
    </xf>
    <xf numFmtId="0" fontId="66" fillId="0" borderId="0" xfId="0" applyFont="1" applyAlignment="1">
      <alignment horizontal="center"/>
    </xf>
    <xf numFmtId="0" fontId="66" fillId="0" borderId="0" xfId="0" applyFont="1" applyFill="1" applyAlignment="1">
      <alignment horizontal="center"/>
    </xf>
    <xf numFmtId="0" fontId="67" fillId="0" borderId="0" xfId="0" applyFont="1" applyBorder="1" applyAlignment="1">
      <alignment horizontal="center"/>
    </xf>
    <xf numFmtId="0" fontId="3" fillId="0" borderId="0" xfId="60" applyFont="1" applyAlignment="1">
      <alignment horizontal="center"/>
    </xf>
    <xf numFmtId="0" fontId="67" fillId="0" borderId="0" xfId="0"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2" borderId="0" xfId="0" applyFill="1" applyAlignment="1">
      <alignment horizontal="right"/>
    </xf>
    <xf numFmtId="0" fontId="54" fillId="5"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57" fillId="5" borderId="0" xfId="0" applyFont="1" applyFill="1"/>
    <xf numFmtId="0" fontId="12" fillId="0" borderId="0" xfId="0" applyFont="1" applyFill="1" applyAlignment="1">
      <alignment horizontal="center"/>
    </xf>
    <xf numFmtId="0" fontId="57" fillId="0" borderId="0" xfId="0" applyFont="1" applyFill="1" applyAlignment="1">
      <alignment horizontal="center"/>
    </xf>
    <xf numFmtId="0" fontId="9" fillId="8"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2" fillId="8"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7" fillId="0" borderId="0" xfId="0" applyFont="1" applyAlignment="1">
      <alignment horizontal="right"/>
    </xf>
    <xf numFmtId="0" fontId="0" fillId="0" borderId="0" xfId="0"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Border="1" applyAlignment="1">
      <alignment horizontal="center"/>
    </xf>
    <xf numFmtId="14" fontId="45" fillId="0" borderId="0" xfId="0" applyNumberFormat="1" applyFont="1" applyFill="1" applyAlignment="1">
      <alignment horizontal="center"/>
    </xf>
    <xf numFmtId="14" fontId="0" fillId="0" borderId="0" xfId="0" applyNumberFormat="1" applyFont="1" applyAlignment="1">
      <alignment horizontal="center"/>
    </xf>
    <xf numFmtId="14" fontId="1" fillId="0" borderId="0" xfId="0" applyNumberFormat="1" applyFont="1" applyAlignment="1">
      <alignment horizontal="center"/>
    </xf>
    <xf numFmtId="14" fontId="0" fillId="0" borderId="0" xfId="0" applyNumberFormat="1" applyFill="1" applyAlignment="1">
      <alignment horizontal="center"/>
    </xf>
    <xf numFmtId="14" fontId="7" fillId="0" borderId="0" xfId="0" applyNumberFormat="1"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63" applyNumberFormat="1" applyFont="1" applyFill="1" applyBorder="1" applyAlignment="1">
      <alignment horizontal="center"/>
    </xf>
    <xf numFmtId="0" fontId="0" fillId="0" borderId="0" xfId="0" applyAlignment="1">
      <alignment horizontal="center"/>
    </xf>
    <xf numFmtId="0" fontId="0" fillId="0" borderId="0" xfId="0" applyAlignment="1">
      <alignment horizontal="left" vertical="center"/>
    </xf>
    <xf numFmtId="1" fontId="3" fillId="0" borderId="0" xfId="60" applyNumberFormat="1" applyFont="1" applyFill="1" applyBorder="1" applyAlignment="1">
      <alignment horizontal="left"/>
    </xf>
    <xf numFmtId="0" fontId="0" fillId="0" borderId="0" xfId="0" applyAlignment="1">
      <alignment horizontal="center"/>
    </xf>
    <xf numFmtId="0" fontId="7" fillId="0" borderId="0" xfId="0" applyNumberFormat="1" applyFont="1" applyFill="1" applyBorder="1" applyAlignment="1">
      <alignment horizontal="center"/>
    </xf>
    <xf numFmtId="184" fontId="7" fillId="0" borderId="0" xfId="0" applyNumberFormat="1" applyFont="1" applyFill="1" applyBorder="1" applyAlignment="1" applyProtection="1">
      <alignment horizontal="center"/>
    </xf>
    <xf numFmtId="0" fontId="0" fillId="0" borderId="0" xfId="0" applyAlignment="1">
      <alignment horizontal="left"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NumberFormat="1" applyFont="1" applyFill="1" applyBorder="1" applyAlignment="1">
      <alignment horizontal="center"/>
    </xf>
    <xf numFmtId="0" fontId="7" fillId="5"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applyAlignment="1">
      <alignment horizontal="center" wrapText="1"/>
    </xf>
    <xf numFmtId="0" fontId="0" fillId="0" borderId="0" xfId="0" applyAlignment="1">
      <alignment horizontal="center"/>
    </xf>
    <xf numFmtId="0" fontId="9" fillId="0" borderId="0" xfId="0" applyFont="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 fontId="23" fillId="0" borderId="0" xfId="60" applyNumberFormat="1" applyFont="1" applyFill="1" applyBorder="1" applyAlignment="1">
      <alignment horizontal="center"/>
    </xf>
    <xf numFmtId="0" fontId="0" fillId="0" borderId="0" xfId="0"/>
    <xf numFmtId="0" fontId="0" fillId="0" borderId="0" xfId="0"/>
    <xf numFmtId="0" fontId="0" fillId="0" borderId="0" xfId="0" applyAlignment="1">
      <alignment horizontal="center"/>
    </xf>
    <xf numFmtId="0" fontId="0" fillId="0" borderId="0" xfId="0" applyAlignment="1">
      <alignment horizontal="center"/>
    </xf>
    <xf numFmtId="0" fontId="7" fillId="0" borderId="0" xfId="0" applyFont="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1" xfId="0" applyFont="1" applyFill="1" applyBorder="1" applyAlignment="1">
      <alignment horizontal="center" wrapText="1"/>
    </xf>
    <xf numFmtId="0" fontId="65" fillId="0" borderId="0" xfId="0" applyFont="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2"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0" borderId="0" xfId="6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66" fillId="0" borderId="0" xfId="0" applyFont="1" applyFill="1" applyBorder="1" applyAlignment="1">
      <alignment horizontal="center"/>
    </xf>
    <xf numFmtId="0" fontId="0" fillId="0" borderId="0" xfId="0" applyAlignment="1">
      <alignment vertical="center"/>
    </xf>
    <xf numFmtId="0" fontId="0" fillId="0" borderId="0" xfId="0" applyFill="1" applyAlignment="1">
      <alignment vertical="center"/>
    </xf>
    <xf numFmtId="0" fontId="57" fillId="0" borderId="0" xfId="0" applyFont="1" applyFill="1"/>
    <xf numFmtId="0" fontId="57" fillId="0" borderId="0" xfId="0"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center"/>
    </xf>
    <xf numFmtId="2" fontId="7" fillId="0" borderId="0" xfId="0" applyNumberFormat="1" applyFont="1" applyBorder="1" applyAlignment="1">
      <alignment horizontal="left"/>
    </xf>
    <xf numFmtId="0" fontId="0" fillId="0" borderId="0" xfId="0" applyAlignment="1">
      <alignment horizontal="center"/>
    </xf>
    <xf numFmtId="164" fontId="9" fillId="0" borderId="9" xfId="66" applyNumberFormat="1" applyFont="1" applyBorder="1" applyAlignment="1">
      <alignment horizontal="center"/>
    </xf>
    <xf numFmtId="164" fontId="7" fillId="0" borderId="9" xfId="67" applyNumberFormat="1" applyFont="1" applyBorder="1" applyAlignment="1">
      <alignment horizontal="center"/>
    </xf>
    <xf numFmtId="164" fontId="7" fillId="0" borderId="9" xfId="69"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164" fontId="9" fillId="0" borderId="9" xfId="69" applyNumberFormat="1" applyFont="1" applyBorder="1" applyAlignment="1">
      <alignment horizontal="center"/>
    </xf>
    <xf numFmtId="0" fontId="0" fillId="0" borderId="0" xfId="0" applyAlignment="1">
      <alignment horizontal="center"/>
    </xf>
    <xf numFmtId="0" fontId="9" fillId="0" borderId="0" xfId="72" applyFont="1" applyAlignment="1">
      <alignment horizontal="center"/>
    </xf>
    <xf numFmtId="0" fontId="70" fillId="0" borderId="0" xfId="75" applyFont="1" applyAlignment="1">
      <alignment horizontal="center"/>
    </xf>
    <xf numFmtId="0" fontId="24" fillId="0" borderId="0" xfId="77" applyFont="1" applyAlignment="1">
      <alignment horizontal="center"/>
    </xf>
    <xf numFmtId="0" fontId="70" fillId="0" borderId="0" xfId="77" applyFont="1" applyAlignment="1">
      <alignment horizontal="center"/>
    </xf>
    <xf numFmtId="0" fontId="70" fillId="0" borderId="0" xfId="71" applyFont="1" applyBorder="1" applyAlignment="1">
      <alignment horizontal="center"/>
    </xf>
    <xf numFmtId="0" fontId="71" fillId="0" borderId="0" xfId="0" applyFont="1" applyAlignment="1">
      <alignment horizontal="center"/>
    </xf>
    <xf numFmtId="0" fontId="73" fillId="0" borderId="0" xfId="0" applyFont="1" applyAlignment="1">
      <alignment horizontal="center"/>
    </xf>
    <xf numFmtId="0" fontId="70" fillId="0" borderId="0" xfId="76" applyFont="1" applyAlignment="1">
      <alignment horizontal="center"/>
    </xf>
    <xf numFmtId="1" fontId="72" fillId="0" borderId="0" xfId="60" applyNumberFormat="1" applyFont="1" applyBorder="1" applyAlignment="1">
      <alignment horizontal="left"/>
    </xf>
    <xf numFmtId="164" fontId="9" fillId="0" borderId="9" xfId="0" applyNumberFormat="1" applyFont="1" applyFill="1" applyBorder="1" applyAlignment="1">
      <alignment horizontal="center"/>
    </xf>
    <xf numFmtId="164" fontId="9" fillId="0" borderId="9" xfId="66" applyNumberFormat="1" applyFont="1" applyFill="1" applyBorder="1" applyAlignment="1">
      <alignment horizontal="center"/>
    </xf>
    <xf numFmtId="164" fontId="7" fillId="0" borderId="9" xfId="70" applyNumberFormat="1" applyFont="1" applyFill="1" applyBorder="1" applyAlignment="1">
      <alignment horizontal="center"/>
    </xf>
    <xf numFmtId="0" fontId="67" fillId="0" borderId="0" xfId="77" applyFont="1" applyFill="1" applyAlignment="1">
      <alignment horizontal="center"/>
    </xf>
    <xf numFmtId="0" fontId="71" fillId="0" borderId="0" xfId="0" applyFont="1" applyFill="1" applyAlignment="1">
      <alignment horizontal="center"/>
    </xf>
    <xf numFmtId="0" fontId="74" fillId="0" borderId="0" xfId="0" applyFont="1" applyFill="1" applyAlignment="1">
      <alignment horizontal="center"/>
    </xf>
    <xf numFmtId="0" fontId="0" fillId="0" borderId="0" xfId="0" applyAlignment="1">
      <alignment horizontal="center"/>
    </xf>
    <xf numFmtId="0" fontId="9" fillId="0" borderId="11" xfId="111" applyFont="1" applyBorder="1" applyAlignment="1">
      <alignment horizontal="center"/>
    </xf>
    <xf numFmtId="0" fontId="9" fillId="0" borderId="0" xfId="111" applyFont="1" applyBorder="1" applyAlignment="1">
      <alignment horizontal="center"/>
    </xf>
    <xf numFmtId="0" fontId="9" fillId="0" borderId="11" xfId="110" applyFont="1" applyBorder="1" applyAlignment="1">
      <alignment horizontal="center"/>
    </xf>
    <xf numFmtId="0" fontId="0" fillId="0" borderId="0" xfId="0" applyAlignment="1">
      <alignment horizontal="center"/>
    </xf>
    <xf numFmtId="0" fontId="0" fillId="0" borderId="0" xfId="0" applyAlignment="1">
      <alignment horizontal="center"/>
    </xf>
    <xf numFmtId="0" fontId="7" fillId="0" borderId="0" xfId="112" applyFont="1" applyFill="1" applyAlignment="1">
      <alignment horizontal="center"/>
    </xf>
    <xf numFmtId="0" fontId="7" fillId="0" borderId="11" xfId="0" applyFont="1" applyFill="1" applyBorder="1" applyAlignment="1">
      <alignment horizontal="center"/>
    </xf>
    <xf numFmtId="0" fontId="7" fillId="0" borderId="11" xfId="108" applyFont="1" applyFill="1" applyBorder="1" applyAlignment="1">
      <alignment horizontal="center"/>
    </xf>
    <xf numFmtId="0" fontId="0" fillId="0" borderId="0" xfId="0" applyAlignment="1">
      <alignment horizontal="center"/>
    </xf>
    <xf numFmtId="0" fontId="0" fillId="0" borderId="0" xfId="0" applyAlignment="1">
      <alignment horizontal="center"/>
    </xf>
    <xf numFmtId="185" fontId="0" fillId="0" borderId="0" xfId="0" applyNumberFormat="1" applyAlignment="1">
      <alignment horizontal="center"/>
    </xf>
    <xf numFmtId="0" fontId="0" fillId="0" borderId="0" xfId="0" applyAlignment="1">
      <alignment horizontal="center"/>
    </xf>
    <xf numFmtId="0" fontId="3" fillId="0" borderId="0" xfId="60" applyAlignment="1">
      <alignment horizontal="left"/>
    </xf>
    <xf numFmtId="3" fontId="0" fillId="0" borderId="0" xfId="0" applyNumberFormat="1" applyAlignment="1">
      <alignment horizontal="center"/>
    </xf>
    <xf numFmtId="0" fontId="9" fillId="0" borderId="0" xfId="0" applyFont="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65" fillId="0" borderId="11" xfId="0" applyFont="1" applyBorder="1" applyAlignment="1">
      <alignment horizontal="left"/>
    </xf>
    <xf numFmtId="0" fontId="3" fillId="5"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0" borderId="0" xfId="0"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xf>
    <xf numFmtId="0" fontId="65" fillId="0" borderId="0" xfId="0" applyFont="1" applyFill="1" applyBorder="1" applyAlignment="1">
      <alignment horizontal="center"/>
    </xf>
    <xf numFmtId="0" fontId="78" fillId="0" borderId="0" xfId="1" applyFont="1"/>
    <xf numFmtId="0" fontId="0" fillId="0" borderId="0" xfId="0" applyFill="1" applyBorder="1" applyAlignment="1">
      <alignment horizontal="left" wrapText="1"/>
    </xf>
    <xf numFmtId="0" fontId="0" fillId="0" borderId="0" xfId="0" applyFont="1" applyAlignment="1">
      <alignment horizontal="left"/>
    </xf>
    <xf numFmtId="0" fontId="1" fillId="0" borderId="0" xfId="0" applyFont="1" applyAlignment="1">
      <alignment horizontal="left"/>
    </xf>
    <xf numFmtId="0" fontId="7" fillId="0" borderId="0" xfId="0" applyFont="1" applyAlignment="1">
      <alignment horizontal="left"/>
    </xf>
    <xf numFmtId="16" fontId="0" fillId="0" borderId="0" xfId="0" quotePrefix="1" applyNumberFormat="1" applyAlignment="1">
      <alignment horizontal="left"/>
    </xf>
    <xf numFmtId="0" fontId="3" fillId="0" borderId="0" xfId="124" applyFont="1" applyFill="1" applyAlignment="1">
      <alignment horizontal="center"/>
    </xf>
    <xf numFmtId="0" fontId="9" fillId="0" borderId="0" xfId="0" applyFont="1" applyFill="1" applyAlignment="1">
      <alignment horizontal="right"/>
    </xf>
    <xf numFmtId="14" fontId="9" fillId="0" borderId="0" xfId="0" applyNumberFormat="1" applyFont="1" applyFill="1" applyAlignment="1">
      <alignment horizontal="center"/>
    </xf>
    <xf numFmtId="0" fontId="79" fillId="0" borderId="0" xfId="1" applyFont="1" applyFill="1"/>
    <xf numFmtId="0" fontId="9" fillId="0" borderId="0" xfId="0" applyFont="1" applyFill="1" applyAlignment="1">
      <alignment horizontal="left"/>
    </xf>
    <xf numFmtId="14" fontId="7" fillId="0" borderId="0" xfId="0" applyNumberFormat="1" applyFont="1" applyFill="1" applyAlignment="1">
      <alignment horizontal="center"/>
    </xf>
    <xf numFmtId="0" fontId="80" fillId="0" borderId="0" xfId="1" applyFont="1" applyFill="1"/>
    <xf numFmtId="0" fontId="7" fillId="0" borderId="0" xfId="0" applyFont="1" applyFill="1" applyAlignment="1">
      <alignment horizontal="left"/>
    </xf>
    <xf numFmtId="0" fontId="7" fillId="5" borderId="0" xfId="0" applyFont="1" applyFill="1" applyBorder="1" applyAlignment="1">
      <alignment horizontal="center"/>
    </xf>
    <xf numFmtId="0" fontId="7" fillId="0" borderId="0" xfId="0" applyFont="1" applyFill="1" applyBorder="1" applyAlignment="1">
      <alignment horizontal="right"/>
    </xf>
    <xf numFmtId="0" fontId="3" fillId="0" borderId="0" xfId="128" applyFont="1" applyAlignment="1">
      <alignment horizontal="center"/>
    </xf>
    <xf numFmtId="0" fontId="7" fillId="5" borderId="0" xfId="131" applyFont="1" applyFill="1" applyBorder="1" applyAlignment="1">
      <alignment horizontal="center"/>
    </xf>
    <xf numFmtId="0" fontId="9" fillId="0" borderId="0" xfId="134" applyFont="1" applyAlignment="1">
      <alignment horizontal="center"/>
    </xf>
    <xf numFmtId="0" fontId="9" fillId="0" borderId="0" xfId="135" applyFont="1" applyAlignment="1">
      <alignment horizontal="center"/>
    </xf>
    <xf numFmtId="0" fontId="7" fillId="0" borderId="0" xfId="125" applyFont="1" applyBorder="1" applyAlignment="1">
      <alignment horizontal="center"/>
    </xf>
    <xf numFmtId="0" fontId="7" fillId="5" borderId="0" xfId="126" applyFont="1" applyFill="1" applyBorder="1" applyAlignment="1">
      <alignment horizontal="center"/>
    </xf>
    <xf numFmtId="0" fontId="81" fillId="5" borderId="0" xfId="137" applyFill="1" applyAlignment="1">
      <alignment horizontal="center"/>
    </xf>
    <xf numFmtId="0" fontId="7" fillId="0" borderId="0" xfId="133" applyFont="1" applyFill="1" applyAlignment="1">
      <alignment horizontal="center"/>
    </xf>
    <xf numFmtId="0" fontId="81" fillId="0" borderId="0" xfId="137" applyFill="1" applyAlignment="1">
      <alignment horizontal="center"/>
    </xf>
    <xf numFmtId="0" fontId="7" fillId="0" borderId="0" xfId="136" applyFont="1" applyFill="1" applyAlignment="1">
      <alignment horizontal="center"/>
    </xf>
    <xf numFmtId="0" fontId="9" fillId="0" borderId="0" xfId="132" applyFont="1" applyAlignment="1">
      <alignment horizontal="center"/>
    </xf>
    <xf numFmtId="0" fontId="82" fillId="5" borderId="0" xfId="0" applyFont="1" applyFill="1" applyAlignment="1">
      <alignment horizontal="center"/>
    </xf>
    <xf numFmtId="0" fontId="0" fillId="0" borderId="0" xfId="0" applyAlignment="1">
      <alignment horizontal="center"/>
    </xf>
    <xf numFmtId="0" fontId="13" fillId="0" borderId="0" xfId="0" applyFont="1" applyAlignment="1">
      <alignment horizontal="center"/>
    </xf>
  </cellXfs>
  <cellStyles count="138">
    <cellStyle name="=C:\WINDOWS\SYSTEM32\COMMAND.COM" xfId="10" xr:uid="{00000000-0005-0000-0000-000000000000}"/>
    <cellStyle name="•W___laroux" xfId="11" xr:uid="{00000000-0005-0000-0000-000001000000}"/>
    <cellStyle name="•W_laroux" xfId="12" xr:uid="{00000000-0005-0000-0000-000002000000}"/>
    <cellStyle name="60% - Accent1 2" xfId="83" xr:uid="{00000000-0005-0000-0000-000003000000}"/>
    <cellStyle name="60% - Accent2 2" xfId="84" xr:uid="{00000000-0005-0000-0000-000004000000}"/>
    <cellStyle name="60% - Accent3 2" xfId="85" xr:uid="{00000000-0005-0000-0000-000005000000}"/>
    <cellStyle name="60% - Accent4 2" xfId="86" xr:uid="{00000000-0005-0000-0000-000006000000}"/>
    <cellStyle name="60% - Accent5 2" xfId="87" xr:uid="{00000000-0005-0000-0000-000007000000}"/>
    <cellStyle name="60% - Accent6 2" xfId="88" xr:uid="{00000000-0005-0000-0000-000008000000}"/>
    <cellStyle name="Calc Currency (0)" xfId="13" xr:uid="{00000000-0005-0000-0000-000003000000}"/>
    <cellStyle name="Calc Currency (2)" xfId="14" xr:uid="{00000000-0005-0000-0000-000004000000}"/>
    <cellStyle name="Calc Percent (0)" xfId="15" xr:uid="{00000000-0005-0000-0000-000005000000}"/>
    <cellStyle name="Calc Percent (1)" xfId="16" xr:uid="{00000000-0005-0000-0000-000006000000}"/>
    <cellStyle name="Calc Percent (2)" xfId="17" xr:uid="{00000000-0005-0000-0000-000007000000}"/>
    <cellStyle name="Calc Units (0)" xfId="18" xr:uid="{00000000-0005-0000-0000-000008000000}"/>
    <cellStyle name="Calc Units (1)" xfId="19" xr:uid="{00000000-0005-0000-0000-000009000000}"/>
    <cellStyle name="Calc Units (2)" xfId="20" xr:uid="{00000000-0005-0000-0000-00000A000000}"/>
    <cellStyle name="CanturySchoolbook" xfId="21" xr:uid="{00000000-0005-0000-0000-00000B000000}"/>
    <cellStyle name="CenturtSchoolbook" xfId="22" xr:uid="{00000000-0005-0000-0000-00000C000000}"/>
    <cellStyle name="CenturySchoolbook" xfId="23" xr:uid="{00000000-0005-0000-0000-00000D000000}"/>
    <cellStyle name="CenturySchoolbook12" xfId="24" xr:uid="{00000000-0005-0000-0000-00000E000000}"/>
    <cellStyle name="CenturySchoolbook12 2" xfId="115" xr:uid="{00000000-0005-0000-0000-000014000000}"/>
    <cellStyle name="Comma [00]" xfId="25" xr:uid="{00000000-0005-0000-0000-00000F000000}"/>
    <cellStyle name="Currency [00]" xfId="26" xr:uid="{00000000-0005-0000-0000-000010000000}"/>
    <cellStyle name="Date Short" xfId="27" xr:uid="{00000000-0005-0000-0000-000011000000}"/>
    <cellStyle name="Enter Currency (0)" xfId="28" xr:uid="{00000000-0005-0000-0000-000012000000}"/>
    <cellStyle name="Enter Currency (2)" xfId="29" xr:uid="{00000000-0005-0000-0000-000013000000}"/>
    <cellStyle name="Enter Units (0)" xfId="30" xr:uid="{00000000-0005-0000-0000-000014000000}"/>
    <cellStyle name="Enter Units (1)" xfId="31" xr:uid="{00000000-0005-0000-0000-000015000000}"/>
    <cellStyle name="Enter Units (2)" xfId="32" xr:uid="{00000000-0005-0000-0000-000016000000}"/>
    <cellStyle name="Good" xfId="137" builtinId="26"/>
    <cellStyle name="Grey" xfId="33" xr:uid="{00000000-0005-0000-0000-000017000000}"/>
    <cellStyle name="Header1" xfId="34" xr:uid="{00000000-0005-0000-0000-000018000000}"/>
    <cellStyle name="Header2" xfId="35" xr:uid="{00000000-0005-0000-0000-000019000000}"/>
    <cellStyle name="Hyperlink" xfId="1" builtinId="8"/>
    <cellStyle name="Input [yellow]" xfId="36" xr:uid="{00000000-0005-0000-0000-00001B000000}"/>
    <cellStyle name="Input [yellow] 2" xfId="116" xr:uid="{00000000-0005-0000-0000-000020000000}"/>
    <cellStyle name="Link Currency (0)" xfId="37" xr:uid="{00000000-0005-0000-0000-00001C000000}"/>
    <cellStyle name="Link Currency (2)" xfId="38" xr:uid="{00000000-0005-0000-0000-00001D000000}"/>
    <cellStyle name="Link Units (0)" xfId="39" xr:uid="{00000000-0005-0000-0000-00001E000000}"/>
    <cellStyle name="Link Units (1)" xfId="40" xr:uid="{00000000-0005-0000-0000-00001F000000}"/>
    <cellStyle name="Link Units (2)" xfId="41" xr:uid="{00000000-0005-0000-0000-000020000000}"/>
    <cellStyle name="Neutral 2" xfId="89" xr:uid="{00000000-0005-0000-0000-000026000000}"/>
    <cellStyle name="Normal" xfId="0" builtinId="0"/>
    <cellStyle name="Normal - Style1" xfId="42" xr:uid="{00000000-0005-0000-0000-000022000000}"/>
    <cellStyle name="Normal 10" xfId="64" xr:uid="{00000000-0005-0000-0000-000023000000}"/>
    <cellStyle name="Normal 11" xfId="65" xr:uid="{00000000-0005-0000-0000-000024000000}"/>
    <cellStyle name="Normal 12" xfId="66" xr:uid="{00000000-0005-0000-0000-000071000000}"/>
    <cellStyle name="Normal 12 2" xfId="90" xr:uid="{00000000-0005-0000-0000-00002B000000}"/>
    <cellStyle name="Normal 13" xfId="67" xr:uid="{00000000-0005-0000-0000-000072000000}"/>
    <cellStyle name="Normal 13 2" xfId="91" xr:uid="{00000000-0005-0000-0000-00002C000000}"/>
    <cellStyle name="Normal 14" xfId="68" xr:uid="{00000000-0005-0000-0000-000073000000}"/>
    <cellStyle name="Normal 14 2" xfId="92" xr:uid="{00000000-0005-0000-0000-00002D000000}"/>
    <cellStyle name="Normal 15" xfId="69" xr:uid="{00000000-0005-0000-0000-000074000000}"/>
    <cellStyle name="Normal 15 2" xfId="93" xr:uid="{00000000-0005-0000-0000-00002E000000}"/>
    <cellStyle name="Normal 16" xfId="70" xr:uid="{00000000-0005-0000-0000-000075000000}"/>
    <cellStyle name="Normal 16 2" xfId="94" xr:uid="{00000000-0005-0000-0000-00002F000000}"/>
    <cellStyle name="Normal 17" xfId="71" xr:uid="{00000000-0005-0000-0000-000076000000}"/>
    <cellStyle name="Normal 17 2" xfId="95" xr:uid="{00000000-0005-0000-0000-000030000000}"/>
    <cellStyle name="Normal 18" xfId="72" xr:uid="{00000000-0005-0000-0000-000077000000}"/>
    <cellStyle name="Normal 18 2" xfId="96" xr:uid="{00000000-0005-0000-0000-000031000000}"/>
    <cellStyle name="Normal 19" xfId="73" xr:uid="{00000000-0005-0000-0000-000078000000}"/>
    <cellStyle name="Normal 2" xfId="3" xr:uid="{00000000-0005-0000-0000-000025000000}"/>
    <cellStyle name="Normal 2 2" xfId="43" xr:uid="{00000000-0005-0000-0000-000026000000}"/>
    <cellStyle name="Normal 2 2 2" xfId="97" xr:uid="{00000000-0005-0000-0000-000033000000}"/>
    <cellStyle name="Normal 20" xfId="74" xr:uid="{00000000-0005-0000-0000-000079000000}"/>
    <cellStyle name="Normal 21" xfId="75" xr:uid="{00000000-0005-0000-0000-00007A000000}"/>
    <cellStyle name="Normal 22" xfId="76" xr:uid="{00000000-0005-0000-0000-00007B000000}"/>
    <cellStyle name="Normal 23" xfId="77" xr:uid="{00000000-0005-0000-0000-00007C000000}"/>
    <cellStyle name="Normal 24" xfId="78" xr:uid="{00000000-0005-0000-0000-00007D000000}"/>
    <cellStyle name="Normal 25" xfId="79" xr:uid="{00000000-0005-0000-0000-00007E000000}"/>
    <cellStyle name="Normal 26" xfId="80" xr:uid="{00000000-0005-0000-0000-00007F000000}"/>
    <cellStyle name="Normal 27" xfId="81" xr:uid="{00000000-0005-0000-0000-000080000000}"/>
    <cellStyle name="Normal 28" xfId="82" xr:uid="{00000000-0005-0000-0000-000088000000}"/>
    <cellStyle name="Normal 29" xfId="108" xr:uid="{00000000-0005-0000-0000-00009C000000}"/>
    <cellStyle name="Normal 3" xfId="4" xr:uid="{00000000-0005-0000-0000-000027000000}"/>
    <cellStyle name="Normal 3 2" xfId="9" xr:uid="{00000000-0005-0000-0000-000028000000}"/>
    <cellStyle name="Normal 30" xfId="110" xr:uid="{00000000-0005-0000-0000-00009D000000}"/>
    <cellStyle name="Normal 31" xfId="111" xr:uid="{00000000-0005-0000-0000-00009E000000}"/>
    <cellStyle name="Normal 32" xfId="112" xr:uid="{00000000-0005-0000-0000-00009F000000}"/>
    <cellStyle name="Normal 33" xfId="113" xr:uid="{00000000-0005-0000-0000-0000A0000000}"/>
    <cellStyle name="Normal 34" xfId="114" xr:uid="{00000000-0005-0000-0000-0000A3000000}"/>
    <cellStyle name="Normal 35" xfId="122" xr:uid="{00000000-0005-0000-0000-0000A8000000}"/>
    <cellStyle name="Normal 36" xfId="123" xr:uid="{00000000-0005-0000-0000-0000A9000000}"/>
    <cellStyle name="Normal 37" xfId="121" xr:uid="{00000000-0005-0000-0000-0000AA000000}"/>
    <cellStyle name="Normal 38" xfId="124" xr:uid="{00000000-0005-0000-0000-0000AB000000}"/>
    <cellStyle name="Normal 39" xfId="125" xr:uid="{00000000-0005-0000-0000-0000AC000000}"/>
    <cellStyle name="Normal 4" xfId="6" xr:uid="{00000000-0005-0000-0000-000029000000}"/>
    <cellStyle name="Normal 4 2" xfId="44" xr:uid="{00000000-0005-0000-0000-00002A000000}"/>
    <cellStyle name="Normal 40" xfId="126" xr:uid="{00000000-0005-0000-0000-0000AD000000}"/>
    <cellStyle name="Normal 41" xfId="127" xr:uid="{00000000-0005-0000-0000-0000AE000000}"/>
    <cellStyle name="Normal 42" xfId="128" xr:uid="{00000000-0005-0000-0000-0000AF000000}"/>
    <cellStyle name="Normal 43" xfId="129" xr:uid="{00000000-0005-0000-0000-0000B0000000}"/>
    <cellStyle name="Normal 44" xfId="130" xr:uid="{00000000-0005-0000-0000-0000B1000000}"/>
    <cellStyle name="Normal 45" xfId="131" xr:uid="{00000000-0005-0000-0000-0000B2000000}"/>
    <cellStyle name="Normal 46" xfId="132" xr:uid="{00000000-0005-0000-0000-0000B3000000}"/>
    <cellStyle name="Normal 47" xfId="133" xr:uid="{00000000-0005-0000-0000-0000B4000000}"/>
    <cellStyle name="Normal 48" xfId="134" xr:uid="{00000000-0005-0000-0000-0000B5000000}"/>
    <cellStyle name="Normal 49" xfId="135" xr:uid="{00000000-0005-0000-0000-0000B6000000}"/>
    <cellStyle name="Normal 5" xfId="8" xr:uid="{00000000-0005-0000-0000-00002B000000}"/>
    <cellStyle name="Normal 50" xfId="136" xr:uid="{00000000-0005-0000-0000-0000B7000000}"/>
    <cellStyle name="Normal 6" xfId="7" xr:uid="{00000000-0005-0000-0000-00002C000000}"/>
    <cellStyle name="Normal 6 2" xfId="45" xr:uid="{00000000-0005-0000-0000-00002D000000}"/>
    <cellStyle name="Normal 7" xfId="61" xr:uid="{00000000-0005-0000-0000-00002E000000}"/>
    <cellStyle name="Normal 7 2" xfId="118" xr:uid="{00000000-0005-0000-0000-000039000000}"/>
    <cellStyle name="Normal 7 3" xfId="117" xr:uid="{00000000-0005-0000-0000-000038000000}"/>
    <cellStyle name="Normal 8" xfId="62" xr:uid="{00000000-0005-0000-0000-00002F000000}"/>
    <cellStyle name="Normal 8 2" xfId="120" xr:uid="{00000000-0005-0000-0000-00003B000000}"/>
    <cellStyle name="Normal 8 3" xfId="119" xr:uid="{00000000-0005-0000-0000-00003A000000}"/>
    <cellStyle name="Normal 9" xfId="63" xr:uid="{00000000-0005-0000-0000-000030000000}"/>
    <cellStyle name="Normal 9 2" xfId="99" xr:uid="{00000000-0005-0000-0000-00003C000000}"/>
    <cellStyle name="Normal 9 3" xfId="100" xr:uid="{00000000-0005-0000-0000-00003D000000}"/>
    <cellStyle name="Normal 9 4" xfId="98" xr:uid="{00000000-0005-0000-0000-00003B000000}"/>
    <cellStyle name="Normal_Sheet1" xfId="2" xr:uid="{00000000-0005-0000-0000-000031000000}"/>
    <cellStyle name="Normal_Sheet1 (2)" xfId="60" xr:uid="{00000000-0005-0000-0000-000032000000}"/>
    <cellStyle name="Note 2" xfId="101" xr:uid="{00000000-0005-0000-0000-00003F000000}"/>
    <cellStyle name="Œ…‹æ_Ø‚è [0.00]_laroux" xfId="46" xr:uid="{00000000-0005-0000-0000-000033000000}"/>
    <cellStyle name="Œ…‹æØ‚è [0.00]_laroux" xfId="47" xr:uid="{00000000-0005-0000-0000-000034000000}"/>
    <cellStyle name="Œ…‹æØ‚è_laroux" xfId="48" xr:uid="{00000000-0005-0000-0000-000035000000}"/>
    <cellStyle name="Percent [0]" xfId="49" xr:uid="{00000000-0005-0000-0000-000036000000}"/>
    <cellStyle name="Percent [00]" xfId="50" xr:uid="{00000000-0005-0000-0000-000037000000}"/>
    <cellStyle name="Percent [2]" xfId="51" xr:uid="{00000000-0005-0000-0000-000038000000}"/>
    <cellStyle name="Percent 2" xfId="102" xr:uid="{00000000-0005-0000-0000-000046000000}"/>
    <cellStyle name="Percent 2 2" xfId="103" xr:uid="{00000000-0005-0000-0000-000047000000}"/>
    <cellStyle name="Percent 3" xfId="104" xr:uid="{00000000-0005-0000-0000-000048000000}"/>
    <cellStyle name="Percent 4" xfId="105" xr:uid="{00000000-0005-0000-0000-000049000000}"/>
    <cellStyle name="Percent 5" xfId="106" xr:uid="{00000000-0005-0000-0000-00004A000000}"/>
    <cellStyle name="Percent 6" xfId="107" xr:uid="{00000000-0005-0000-0000-00004B000000}"/>
    <cellStyle name="PrePop Currency (0)" xfId="52" xr:uid="{00000000-0005-0000-0000-000039000000}"/>
    <cellStyle name="PrePop Currency (2)" xfId="53" xr:uid="{00000000-0005-0000-0000-00003A000000}"/>
    <cellStyle name="PrePop Units (0)" xfId="54" xr:uid="{00000000-0005-0000-0000-00003B000000}"/>
    <cellStyle name="PrePop Units (1)" xfId="55" xr:uid="{00000000-0005-0000-0000-00003C000000}"/>
    <cellStyle name="PrePop Units (2)" xfId="56" xr:uid="{00000000-0005-0000-0000-00003D000000}"/>
    <cellStyle name="Red type" xfId="5" xr:uid="{00000000-0005-0000-0000-00003E000000}"/>
    <cellStyle name="Text Indent A" xfId="57" xr:uid="{00000000-0005-0000-0000-00003F000000}"/>
    <cellStyle name="Text Indent B" xfId="58" xr:uid="{00000000-0005-0000-0000-000040000000}"/>
    <cellStyle name="Text Indent C" xfId="59" xr:uid="{00000000-0005-0000-0000-000041000000}"/>
    <cellStyle name="Title 2" xfId="109" xr:uid="{00000000-0005-0000-0000-000055000000}"/>
  </cellStyles>
  <dxfs count="1">
    <dxf>
      <font>
        <color rgb="FF006100"/>
      </font>
      <fill>
        <patternFill>
          <bgColor rgb="FFC6EFCE"/>
        </patternFill>
      </fill>
    </dxf>
  </dxfs>
  <tableStyles count="0" defaultTableStyle="TableStyleMedium2" defaultPivotStyle="PivotStyleMedium9"/>
  <colors>
    <mruColors>
      <color rgb="FF99FF66"/>
      <color rgb="FF33CC33"/>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a:t>Delivered physics capsules to FTS1 by design from Jan2012 to Nov2012</a:t>
            </a:r>
          </a:p>
        </c:rich>
      </c:tx>
      <c:overlay val="0"/>
    </c:title>
    <c:autoTitleDeleted val="0"/>
    <c:plotArea>
      <c:layout/>
      <c:pieChart>
        <c:varyColors val="1"/>
        <c:ser>
          <c:idx val="0"/>
          <c:order val="0"/>
          <c:tx>
            <c:strRef>
              <c:f>Statistics!$B$4</c:f>
              <c:strCache>
                <c:ptCount val="1"/>
                <c:pt idx="0">
                  <c:v>Delivered physics capsules to FTS1 by design from Jan2012 to Nov2012</c:v>
                </c:pt>
              </c:strCache>
            </c:strRef>
          </c:tx>
          <c:cat>
            <c:strRef>
              <c:f>Statistics!$A$5:$A$10</c:f>
              <c:strCache>
                <c:ptCount val="6"/>
                <c:pt idx="0">
                  <c:v>Type1</c:v>
                </c:pt>
                <c:pt idx="1">
                  <c:v>Type1e</c:v>
                </c:pt>
                <c:pt idx="2">
                  <c:v>Type5a</c:v>
                </c:pt>
                <c:pt idx="3">
                  <c:v>Type6</c:v>
                </c:pt>
                <c:pt idx="4">
                  <c:v>Type8</c:v>
                </c:pt>
                <c:pt idx="5">
                  <c:v>Type9</c:v>
                </c:pt>
              </c:strCache>
            </c:strRef>
          </c:cat>
          <c:val>
            <c:numRef>
              <c:f>Statistics!$B$5:$B$10</c:f>
              <c:numCache>
                <c:formatCode>General</c:formatCode>
                <c:ptCount val="6"/>
                <c:pt idx="0">
                  <c:v>71</c:v>
                </c:pt>
                <c:pt idx="1">
                  <c:v>3</c:v>
                </c:pt>
                <c:pt idx="2">
                  <c:v>4</c:v>
                </c:pt>
                <c:pt idx="3">
                  <c:v>1</c:v>
                </c:pt>
                <c:pt idx="4" formatCode="0">
                  <c:v>2</c:v>
                </c:pt>
                <c:pt idx="5">
                  <c:v>4</c:v>
                </c:pt>
              </c:numCache>
            </c:numRef>
          </c:val>
          <c:extLst>
            <c:ext xmlns:c16="http://schemas.microsoft.com/office/drawing/2014/chart" uri="{C3380CC4-5D6E-409C-BE32-E72D297353CC}">
              <c16:uniqueId val="{00000000-4463-48E8-8975-1793757D1AB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Statistics!$B$4</c:f>
              <c:strCache>
                <c:ptCount val="1"/>
                <c:pt idx="0">
                  <c:v>Delivered physics capsules to FTS1 by design from Jan2012 to Nov2012</c:v>
                </c:pt>
              </c:strCache>
            </c:strRef>
          </c:tx>
          <c:invertIfNegative val="0"/>
          <c:cat>
            <c:strRef>
              <c:f>Statistics!$A$5:$A$10</c:f>
              <c:strCache>
                <c:ptCount val="6"/>
                <c:pt idx="0">
                  <c:v>Type1</c:v>
                </c:pt>
                <c:pt idx="1">
                  <c:v>Type1e</c:v>
                </c:pt>
                <c:pt idx="2">
                  <c:v>Type5a</c:v>
                </c:pt>
                <c:pt idx="3">
                  <c:v>Type6</c:v>
                </c:pt>
                <c:pt idx="4">
                  <c:v>Type8</c:v>
                </c:pt>
                <c:pt idx="5">
                  <c:v>Type9</c:v>
                </c:pt>
              </c:strCache>
            </c:strRef>
          </c:cat>
          <c:val>
            <c:numRef>
              <c:f>Statistics!$B$5:$B$10</c:f>
              <c:numCache>
                <c:formatCode>General</c:formatCode>
                <c:ptCount val="6"/>
                <c:pt idx="0">
                  <c:v>71</c:v>
                </c:pt>
                <c:pt idx="1">
                  <c:v>3</c:v>
                </c:pt>
                <c:pt idx="2">
                  <c:v>4</c:v>
                </c:pt>
                <c:pt idx="3">
                  <c:v>1</c:v>
                </c:pt>
                <c:pt idx="4" formatCode="0">
                  <c:v>2</c:v>
                </c:pt>
                <c:pt idx="5">
                  <c:v>4</c:v>
                </c:pt>
              </c:numCache>
            </c:numRef>
          </c:val>
          <c:extLst>
            <c:ext xmlns:c16="http://schemas.microsoft.com/office/drawing/2014/chart" uri="{C3380CC4-5D6E-409C-BE32-E72D297353CC}">
              <c16:uniqueId val="{00000000-89F5-4F74-A6AC-D7DFB9EFF9CF}"/>
            </c:ext>
          </c:extLst>
        </c:ser>
        <c:ser>
          <c:idx val="1"/>
          <c:order val="1"/>
          <c:tx>
            <c:strRef>
              <c:f>Statistics!$C$4</c:f>
              <c:strCache>
                <c:ptCount val="1"/>
                <c:pt idx="0">
                  <c:v> Capsules used</c:v>
                </c:pt>
              </c:strCache>
            </c:strRef>
          </c:tx>
          <c:invertIfNegative val="0"/>
          <c:cat>
            <c:strRef>
              <c:f>Statistics!$A$5:$A$10</c:f>
              <c:strCache>
                <c:ptCount val="6"/>
                <c:pt idx="0">
                  <c:v>Type1</c:v>
                </c:pt>
                <c:pt idx="1">
                  <c:v>Type1e</c:v>
                </c:pt>
                <c:pt idx="2">
                  <c:v>Type5a</c:v>
                </c:pt>
                <c:pt idx="3">
                  <c:v>Type6</c:v>
                </c:pt>
                <c:pt idx="4">
                  <c:v>Type8</c:v>
                </c:pt>
                <c:pt idx="5">
                  <c:v>Type9</c:v>
                </c:pt>
              </c:strCache>
            </c:strRef>
          </c:cat>
          <c:val>
            <c:numRef>
              <c:f>Statistics!$C$5:$C$10</c:f>
              <c:numCache>
                <c:formatCode>General</c:formatCode>
                <c:ptCount val="6"/>
                <c:pt idx="0">
                  <c:v>117</c:v>
                </c:pt>
                <c:pt idx="1">
                  <c:v>8</c:v>
                </c:pt>
                <c:pt idx="2">
                  <c:v>10</c:v>
                </c:pt>
                <c:pt idx="3">
                  <c:v>8</c:v>
                </c:pt>
                <c:pt idx="4">
                  <c:v>5</c:v>
                </c:pt>
                <c:pt idx="5">
                  <c:v>17</c:v>
                </c:pt>
              </c:numCache>
            </c:numRef>
          </c:val>
          <c:extLst>
            <c:ext xmlns:c16="http://schemas.microsoft.com/office/drawing/2014/chart" uri="{C3380CC4-5D6E-409C-BE32-E72D297353CC}">
              <c16:uniqueId val="{00000001-89F5-4F74-A6AC-D7DFB9EFF9CF}"/>
            </c:ext>
          </c:extLst>
        </c:ser>
        <c:dLbls>
          <c:showLegendKey val="0"/>
          <c:showVal val="0"/>
          <c:showCatName val="0"/>
          <c:showSerName val="0"/>
          <c:showPercent val="0"/>
          <c:showBubbleSize val="0"/>
        </c:dLbls>
        <c:gapWidth val="150"/>
        <c:axId val="46990080"/>
        <c:axId val="46992000"/>
      </c:barChart>
      <c:catAx>
        <c:axId val="46990080"/>
        <c:scaling>
          <c:orientation val="minMax"/>
        </c:scaling>
        <c:delete val="0"/>
        <c:axPos val="b"/>
        <c:numFmt formatCode="General" sourceLinked="0"/>
        <c:majorTickMark val="out"/>
        <c:minorTickMark val="none"/>
        <c:tickLblPos val="nextTo"/>
        <c:crossAx val="46992000"/>
        <c:crosses val="autoZero"/>
        <c:auto val="1"/>
        <c:lblAlgn val="ctr"/>
        <c:lblOffset val="100"/>
        <c:noMultiLvlLbl val="0"/>
      </c:catAx>
      <c:valAx>
        <c:axId val="46992000"/>
        <c:scaling>
          <c:orientation val="minMax"/>
        </c:scaling>
        <c:delete val="0"/>
        <c:axPos val="l"/>
        <c:majorGridlines/>
        <c:numFmt formatCode="General" sourceLinked="1"/>
        <c:majorTickMark val="out"/>
        <c:minorTickMark val="none"/>
        <c:tickLblPos val="nextTo"/>
        <c:crossAx val="46990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1026584</xdr:colOff>
      <xdr:row>268</xdr:row>
      <xdr:rowOff>74083</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307667" y="5381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xdr:row>
      <xdr:rowOff>157162</xdr:rowOff>
    </xdr:from>
    <xdr:to>
      <xdr:col>13</xdr:col>
      <xdr:colOff>76200</xdr:colOff>
      <xdr:row>13</xdr:row>
      <xdr:rowOff>42862</xdr:rowOff>
    </xdr:to>
    <xdr:graphicFrame macro="">
      <xdr:nvGraphicFramePr>
        <xdr:cNvPr id="3" name="Chart 2">
          <a:extLst>
            <a:ext uri="{FF2B5EF4-FFF2-40B4-BE49-F238E27FC236}">
              <a16:creationId xmlns:a16="http://schemas.microsoft.com/office/drawing/2014/main" id="{00000000-0008-0000-1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30</xdr:row>
      <xdr:rowOff>185737</xdr:rowOff>
    </xdr:from>
    <xdr:to>
      <xdr:col>6</xdr:col>
      <xdr:colOff>314325</xdr:colOff>
      <xdr:row>45</xdr:row>
      <xdr:rowOff>71437</xdr:rowOff>
    </xdr:to>
    <xdr:graphicFrame macro="">
      <xdr:nvGraphicFramePr>
        <xdr:cNvPr id="4" name="Chart 3">
          <a:extLst>
            <a:ext uri="{FF2B5EF4-FFF2-40B4-BE49-F238E27FC236}">
              <a16:creationId xmlns:a16="http://schemas.microsoft.com/office/drawing/2014/main" id="{00000000-0008-0000-1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304800</xdr:colOff>
      <xdr:row>33</xdr:row>
      <xdr:rowOff>114300</xdr:rowOff>
    </xdr:to>
    <xdr:sp macro="" textlink="">
      <xdr:nvSpPr>
        <xdr:cNvPr id="72705" name="AutoShape 1" descr="imap://mbon@mail.lle.rochester.edu:143/fetch%3EUID%3E/INBOX%3E71085?part=1.2.2&amp;filename=agbgficf.png">
          <a:extLst>
            <a:ext uri="{FF2B5EF4-FFF2-40B4-BE49-F238E27FC236}">
              <a16:creationId xmlns:a16="http://schemas.microsoft.com/office/drawing/2014/main" id="{00000000-0008-0000-1D00-0000011C0100}"/>
            </a:ext>
          </a:extLst>
        </xdr:cNvPr>
        <xdr:cNvSpPr>
          <a:spLocks noChangeAspect="1" noChangeArrowheads="1"/>
        </xdr:cNvSpPr>
      </xdr:nvSpPr>
      <xdr:spPr bwMode="auto">
        <a:xfrm>
          <a:off x="828675" y="623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32</xdr:row>
      <xdr:rowOff>0</xdr:rowOff>
    </xdr:from>
    <xdr:to>
      <xdr:col>1</xdr:col>
      <xdr:colOff>304800</xdr:colOff>
      <xdr:row>33</xdr:row>
      <xdr:rowOff>114300</xdr:rowOff>
    </xdr:to>
    <xdr:sp macro="" textlink="">
      <xdr:nvSpPr>
        <xdr:cNvPr id="72706" name="AutoShape 2" descr="imap://mbon@mail.lle.rochester.edu:143/fetch%3EUID%3E/INBOX%3E71085?part=1.2.2&amp;filename=agbgficf.png">
          <a:extLst>
            <a:ext uri="{FF2B5EF4-FFF2-40B4-BE49-F238E27FC236}">
              <a16:creationId xmlns:a16="http://schemas.microsoft.com/office/drawing/2014/main" id="{00000000-0008-0000-1D00-0000021C0100}"/>
            </a:ext>
          </a:extLst>
        </xdr:cNvPr>
        <xdr:cNvSpPr>
          <a:spLocks noChangeAspect="1" noChangeArrowheads="1"/>
        </xdr:cNvSpPr>
      </xdr:nvSpPr>
      <xdr:spPr bwMode="auto">
        <a:xfrm>
          <a:off x="828675" y="623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hyperlink" Target="http://www.lle.rochester.edu/04_resources/04_07_PDM/pdmdocs/release/D/D-TR/D-TR-C-184/A/D-TR-C-184_REVA.PDF" TargetMode="External"/><Relationship Id="rId1" Type="http://schemas.openxmlformats.org/officeDocument/2006/relationships/hyperlink" Target="http://www.lle.rochester.edu/pdm?form=PDM::DocDetail&amp;Project=CTHS&amp;Docid=D-TR-B-201&amp;CType=L&amp;Revision=A"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lle.rochester.edu/pdm?form=PDM::DocDetail&amp;Project=CTHS&amp;Docid=D-TR-B-208&amp;CType=L&amp;Revision=A"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2.bin"/><Relationship Id="rId1" Type="http://schemas.openxmlformats.org/officeDocument/2006/relationships/hyperlink" Target="http://www.lle.rochester.edu/pdm?form=PDM::DocDetail&amp;Project=CTHS&amp;Docid=D-TR-B-209&amp;CType=L&amp;Revision=A"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lle.rochester.edu/pdm?form=PDM::DocDetail&amp;Project=CTHS&amp;Docid=D-TR-B-182&amp;CType=L&amp;Revision=D"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hyperlink" Target="search-ms:displayname=Search%20Results%20in%20Stalk%20mount%20testing&amp;crumb=location:%5C%5CHOPI-FS%5Cshares%5Cusers%5Cdhar%5CStalk%20mount%20testing\Type%2020" TargetMode="External"/><Relationship Id="rId1" Type="http://schemas.openxmlformats.org/officeDocument/2006/relationships/hyperlink" Target="search-ms:displayname=Search%20Results%20in%20Stalk%20mount%20testing&amp;crumb=location:%5C%5CHOPI-FS%5Cshares%5Cusers%5Cdhar%5CStalk%20mount%20testing\Type%2020" TargetMode="Externa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file:///\\hopi-fs\shares\users\dhar\Stalk%20mount%20testing\Type%201e%20Quality%20Assurance\ISE-3Q20-07-A02%202410%201E" TargetMode="External"/><Relationship Id="rId1" Type="http://schemas.openxmlformats.org/officeDocument/2006/relationships/hyperlink" Target="search-ms:displayname=Search%20Results%20in%20Stalk%20mount%20testing&amp;crumb=location:%5C%5CHOPI-FS%5Cshares%5Cusers%5Cdhar%5CStalk%20mount%20testing\Type%2021" TargetMode="External"/><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comments" Target="../comments1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lle.rochester.edu/pdm?form=PDM::DocDetail&amp;Project=CTHS&amp;Docid=D-TR-B-207&amp;CType=L&amp;Revision=A"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2.bin"/><Relationship Id="rId1" Type="http://schemas.openxmlformats.org/officeDocument/2006/relationships/hyperlink" Target="http://omegawww/Target_Offset/Target_Offset.php"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lle.rochester.edu/pdm?form=PDM::DocDetail&amp;Project=CTHS&amp;Docid=D-TR-B-227&amp;CType=L&amp;Revision=A"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file:///\\hopi-fs\shares\users\dhar\Stalk%20mount%20testing\Type%201e%20Quality%20Assurance\CRYO-2077-3888%202378%201E" TargetMode="External"/><Relationship Id="rId21" Type="http://schemas.openxmlformats.org/officeDocument/2006/relationships/hyperlink" Target="file:///\\hopi-fs\shares\users\dhar\Stalk%20mount%20testing\Type%201e%20Quality%20Assurance\CRYO-9084-0171%202316%201E" TargetMode="External"/><Relationship Id="rId324" Type="http://schemas.openxmlformats.org/officeDocument/2006/relationships/hyperlink" Target="file:///\\hopi-fs\shares\users\dhar\Stalk%20mount%20testing\Type%201e%20Quality%20Assurance\CRYO-42152-0277%202493%201E" TargetMode="External"/><Relationship Id="rId531" Type="http://schemas.openxmlformats.org/officeDocument/2006/relationships/hyperlink" Target="file:///\\hopi-fs\shares\users\dhar\Stalk%20mount%20testing\Type%201e%20Quality%20Assurance\CRYO-42456-754%202662%201E" TargetMode="External"/><Relationship Id="rId170" Type="http://schemas.openxmlformats.org/officeDocument/2006/relationships/hyperlink" Target="file:///\\hopi-fs\shares\users\dhar\Stalk%20mount%20testing\Type%201e%20Quality%20Assurance\CRYO-2079-4066%202147%201E" TargetMode="External"/><Relationship Id="rId268" Type="http://schemas.openxmlformats.org/officeDocument/2006/relationships/hyperlink" Target="file:///\\hopi-fs\shares\users\dhar\Stalk%20mount%20testing\Type%201e%20Quality%20Assurance\CRYO-2075-4211%202441%201E" TargetMode="External"/><Relationship Id="rId475" Type="http://schemas.openxmlformats.org/officeDocument/2006/relationships/hyperlink" Target="file:///\\hopi-fs\shares\users\dhar\STALK%20MOUNT%20TESTING\Type%201e%20Quality%20Assurance\CRYO-41362-661%202534%201E" TargetMode="External"/><Relationship Id="rId32" Type="http://schemas.openxmlformats.org/officeDocument/2006/relationships/hyperlink" Target="file:///\\hopi-fs\shares\users\dhar\Stalk%20mount%20testing\Type%201e%20Quality%20Assurance\CRYO-9084-0152%202316%201E" TargetMode="External"/><Relationship Id="rId128" Type="http://schemas.openxmlformats.org/officeDocument/2006/relationships/hyperlink" Target="file:///\\hopi-fs\shares\users\dhar\Stalk%20mount%20testing\Type%201e%20Quality%20Assurance\CRYO-2079-3977%202387%201E" TargetMode="External"/><Relationship Id="rId335" Type="http://schemas.openxmlformats.org/officeDocument/2006/relationships/hyperlink" Target="file:///\\hopi-fs\shares\users\dhar\Stalk%20mount%20testing\Type%201e%20Quality%20Assurance\CRYO-42356-372%202508%201E" TargetMode="External"/><Relationship Id="rId542" Type="http://schemas.openxmlformats.org/officeDocument/2006/relationships/hyperlink" Target="file:///\\hopi-fs\shares\users\dhar\Stalk%20mount%20testing\Type%201e%20Quality%20Assurance\CRYO-42346-782%202554%201E" TargetMode="External"/><Relationship Id="rId181" Type="http://schemas.openxmlformats.org/officeDocument/2006/relationships/hyperlink" Target="file:///\\hopi-fs\shares\users\dhar\Stalk%20mount%20testing\Type%201e%20Quality%20Assurance\CRYO-2077-4179%202247%201E" TargetMode="External"/><Relationship Id="rId402" Type="http://schemas.openxmlformats.org/officeDocument/2006/relationships/hyperlink" Target="file:///\\hopi-fs\shares\users\dhar\Stalk%20mount%20testing\Type%201e%20Quality%20Assurance\CRYO-42355-620%201801%201E" TargetMode="External"/><Relationship Id="rId279" Type="http://schemas.openxmlformats.org/officeDocument/2006/relationships/hyperlink" Target="file:///\\hopi-fs\shares\users\dhar\Stalk%20mount%20testing\Type%201e%20Quality%20Assurance\CRYO-2077-4601%202433%201E" TargetMode="External"/><Relationship Id="rId486" Type="http://schemas.openxmlformats.org/officeDocument/2006/relationships/hyperlink" Target="file:///\\hopi-fs\shares\users\dhar\STALK%20MOUNT%20TESTING\Type%201e%20Quality%20Assurance\CRYO-41657-669%202533%201E" TargetMode="External"/><Relationship Id="rId43" Type="http://schemas.openxmlformats.org/officeDocument/2006/relationships/hyperlink" Target="file:///\\hopi-fs\shares\users\dhar\Stalk%20mount%20testing\Type%201e%20Quality%20Assurance\CRYO-2079-3500%202259%201E" TargetMode="External"/><Relationship Id="rId139" Type="http://schemas.openxmlformats.org/officeDocument/2006/relationships/hyperlink" Target="file:///\\hopi-fs\shares\users\dhar\Stalk%20mount%20testing\Type%201e%20Quality%20Assurance\CRYO-2063-4007%202391%201E" TargetMode="External"/><Relationship Id="rId346" Type="http://schemas.openxmlformats.org/officeDocument/2006/relationships/hyperlink" Target="file:///\\hopi-fs\shares\users\dhar\Stalk%20mount%20testing\Type%201e%20Quality%20Assurance\CRYO-42356-479%202520%201E" TargetMode="External"/><Relationship Id="rId553" Type="http://schemas.openxmlformats.org/officeDocument/2006/relationships/hyperlink" Target="file:///\\hopi-fs\shares\users\dhar\Stalk%20mount%20testing\Type%201e%20Quality%20Assurance\CRYO-42143-793%202552%201E" TargetMode="External"/><Relationship Id="rId192" Type="http://schemas.openxmlformats.org/officeDocument/2006/relationships/hyperlink" Target="file:///\\hopi-fs\shares\users\dhar\Stalk%20mount%20testing\Type%201e%20Quality%20Assurance\CRYO-2066-4280%202180%201E" TargetMode="External"/><Relationship Id="rId206" Type="http://schemas.openxmlformats.org/officeDocument/2006/relationships/hyperlink" Target="file:///\\hopi-fs\shares\users\dhar\Stalk%20mount%20testing\Type%201e%20Quality%20Assurance\CRYO-2061-4322%202358%201E" TargetMode="External"/><Relationship Id="rId413" Type="http://schemas.openxmlformats.org/officeDocument/2006/relationships/hyperlink" Target="file:///\\hopi-fs\shares\users\dhar\Stalk%20mount%20testing\Type%201e%20Quality%20Assurance\CRYO-2081-4780%201646%201E" TargetMode="External"/><Relationship Id="rId497" Type="http://schemas.openxmlformats.org/officeDocument/2006/relationships/hyperlink" Target="file:///\\hopi-fs\shares\users\dhar\STALK%20MOUNT%20TESTING\Type%201e%20Quality%20Assurance\CRYO-9080-0368%202609%201E" TargetMode="External"/><Relationship Id="rId357" Type="http://schemas.openxmlformats.org/officeDocument/2006/relationships/hyperlink" Target="file:///\\hopi-fs\shares\users\dhar\Stalk%20mount%20testing\Type%201e%20Quality%20Assurance\CRYO-42151-0285%201709%201E" TargetMode="External"/><Relationship Id="rId54" Type="http://schemas.openxmlformats.org/officeDocument/2006/relationships/hyperlink" Target="file:///\\hopi-fs\shares\users\dhar\Stalk%20mount%20testing\Type%201e%20Quality%20Assurance\CRYO-2063-3708%202335%201E" TargetMode="External"/><Relationship Id="rId217" Type="http://schemas.openxmlformats.org/officeDocument/2006/relationships/hyperlink" Target="file:///\\hopi-fs\shares\users\dhar\Stalk%20mount%20testing\Type%201e%20Quality%20Assurance\CRYO-2081-3943%202413%201E" TargetMode="External"/><Relationship Id="rId564" Type="http://schemas.openxmlformats.org/officeDocument/2006/relationships/hyperlink" Target="file:///\\hopi-fs\shares\users\dhar\Stalk%20mount%20testing\Type%201e%20Quality%20Assurance\CRYO-2045-4980%202556%201E" TargetMode="External"/><Relationship Id="rId424" Type="http://schemas.openxmlformats.org/officeDocument/2006/relationships/hyperlink" Target="file:///\\hopi-fs\shares\users\dhar\Stalk%20mount%20testing\Type%201e%20Quality%20Assurance\CRYO-42252-0267%202518%201E" TargetMode="External"/><Relationship Id="rId270" Type="http://schemas.openxmlformats.org/officeDocument/2006/relationships/hyperlink" Target="file:///\\hopi-fs\shares\users\dhar\Stalk%20mount%20testing\Type%201e%20Quality%20Assurance\CRYO-2075-4202%202439%201E" TargetMode="External"/><Relationship Id="rId65" Type="http://schemas.openxmlformats.org/officeDocument/2006/relationships/hyperlink" Target="file:///\\hopi-fs\shares\users\dhar\Stalk%20mount%20testing\Type%201e%20Quality%20Assurance\CRYO-2062-3797%202342%201E" TargetMode="External"/><Relationship Id="rId130" Type="http://schemas.openxmlformats.org/officeDocument/2006/relationships/hyperlink" Target="file:///\\hopi-fs\shares\users\dhar\Stalk%20mount%20testing\Type%201e%20Quality%20Assurance\CRYO-2077-3010%202328%201E" TargetMode="External"/><Relationship Id="rId368" Type="http://schemas.openxmlformats.org/officeDocument/2006/relationships/hyperlink" Target="file:///\\hopi-fs\shares\users\dhar\Stalk%20mount%20testing\Type%201e%20Quality%20Assurance\CRYO-41856-0300%201350%201E" TargetMode="External"/><Relationship Id="rId575" Type="http://schemas.openxmlformats.org/officeDocument/2006/relationships/hyperlink" Target="file:///\\hopi-fs\shares\users\dhar\Stalk%20mount%20testing\Type%201e%20Quality%20Assurance\CRYO-41957-842%202640%201E" TargetMode="External"/><Relationship Id="rId228" Type="http://schemas.openxmlformats.org/officeDocument/2006/relationships/hyperlink" Target="file:///\\hopi-fs\shares\users\dhar\Stalk%20mount%20testing\Type%201e%20Quality%20Assurance\CRYO-2063-4413%202254%201E" TargetMode="External"/><Relationship Id="rId435" Type="http://schemas.openxmlformats.org/officeDocument/2006/relationships/hyperlink" Target="file:///\\hopi-fs\shares\users\dhar\Stalk%20mount%20testing\Type%201e%20Quality%20Assurance\CRYO-2086-4895%202589%201E" TargetMode="External"/><Relationship Id="rId281" Type="http://schemas.openxmlformats.org/officeDocument/2006/relationships/hyperlink" Target="file:///\\hopi-fs\shares\users\dhar\Stalk%20mount%20testing\Type%201e%20Quality%20Assurance\CRYO-2078-4568%202462%201E" TargetMode="External"/><Relationship Id="rId502" Type="http://schemas.openxmlformats.org/officeDocument/2006/relationships/hyperlink" Target="file:///\\hopi-fs\shares\users\dhar\Stalk%20mount%20testing\Type%201e%20Quality%20Assurance\CRYO-9082-0385%202614%201E" TargetMode="External"/><Relationship Id="rId76" Type="http://schemas.openxmlformats.org/officeDocument/2006/relationships/hyperlink" Target="file:///\\hopi-fs\shares\users\dhar\Stalk%20mount%20testing\Type%201e%20Quality%20Assurance\CRYO-2063-3763%202346%201E" TargetMode="External"/><Relationship Id="rId141" Type="http://schemas.openxmlformats.org/officeDocument/2006/relationships/hyperlink" Target="file:///\\hopi-fs\shares\users\dhar\Stalk%20mount%20testing\Type%201e%20Quality%20Assurance\CRYO-2063-4009%202393%201E" TargetMode="External"/><Relationship Id="rId379" Type="http://schemas.openxmlformats.org/officeDocument/2006/relationships/hyperlink" Target="file:///\\hopi-fs\shares\users\dhar\Stalk%20mount%20testing\Type%201e%20Quality%20Assurance\CRYO-ISE-1Q19-09-004%202521%201E" TargetMode="External"/><Relationship Id="rId586" Type="http://schemas.openxmlformats.org/officeDocument/2006/relationships/hyperlink" Target="file:///\\hopi-fs\shares\users\dhar\Stalk%20mount%20testing\Type%201e%20Quality%20Assurance\CRYO-2080-4787%202644%201E" TargetMode="External"/><Relationship Id="rId7" Type="http://schemas.openxmlformats.org/officeDocument/2006/relationships/hyperlink" Target="file:///\\hopi-fs\shares\users\dhar\Stalk%20mount%20testing\Type%201e%20Quality%20Assurance\CRYO-2079-3593%202248%201E" TargetMode="External"/><Relationship Id="rId239" Type="http://schemas.openxmlformats.org/officeDocument/2006/relationships/hyperlink" Target="file:///\\hopi-fs\shares\users\dhar\Stalk%20mount%20testing\Type%201e%20Quality%20Assurance\CRYO-2074-4497%202308%201E" TargetMode="External"/><Relationship Id="rId446" Type="http://schemas.openxmlformats.org/officeDocument/2006/relationships/hyperlink" Target="file:///\\hopi-fs\shares\users\dhar\Stalk%20mount%20testing\Type%201e%20Quality%20Assurance\CRYO-2085-4933%202525%201E" TargetMode="External"/><Relationship Id="rId292" Type="http://schemas.openxmlformats.org/officeDocument/2006/relationships/hyperlink" Target="file:///\\hopi-fs\shares\users\dhar\Stalk%20mount%20testing\Type%201e%20Quality%20Assurance\CRYO-9080-0358%202464%201E" TargetMode="External"/><Relationship Id="rId306" Type="http://schemas.openxmlformats.org/officeDocument/2006/relationships/hyperlink" Target="file:///\\hopi-fs\shares\users\dhar\Stalk%20mount%20testing\Type%201e%20Quality%20Assurance\CRYO-2078-4611%202482%201E" TargetMode="External"/><Relationship Id="rId87" Type="http://schemas.openxmlformats.org/officeDocument/2006/relationships/hyperlink" Target="file:///\\hopi-fs\shares\users\dhar\Stalk%20mount%20testing\Type%201e%20Quality%20Assurance\CRYO-2081-3826%202353%201E" TargetMode="External"/><Relationship Id="rId513" Type="http://schemas.openxmlformats.org/officeDocument/2006/relationships/hyperlink" Target="file:///\\hopi-fs\shares\users\dhar\Stalk%20mount%20testing\Type%201e%20Quality%20Assurance\CRYO-42056-702%202631%201E" TargetMode="External"/><Relationship Id="rId597" Type="http://schemas.openxmlformats.org/officeDocument/2006/relationships/hyperlink" Target="file:///\\hopi-fs\shares\users\dhar\Stalk%20mount%20testing\Type%201e%20Quality%20Assurance\CRYO-41761-876%202679%201E" TargetMode="External"/><Relationship Id="rId152" Type="http://schemas.openxmlformats.org/officeDocument/2006/relationships/hyperlink" Target="file:///\\hopi-fs\shares\users\dhar\Stalk%20mount%20testing\Type%201e%20Quality%20Assurance\CRYO-9080-0290%201740%201E" TargetMode="External"/><Relationship Id="rId457" Type="http://schemas.openxmlformats.org/officeDocument/2006/relationships/hyperlink" Target="file:///\\hopi-fs\shares\users\dhar\Stalk%20mount%20testing\Type%201e%20Quality%20Assurance\CRYO-43453-623%202595%201E" TargetMode="External"/><Relationship Id="rId14" Type="http://schemas.openxmlformats.org/officeDocument/2006/relationships/hyperlink" Target="file:///\\hopi-fs\shares\users\dhar\Stalk%20mount%20testing\Type%201e%20Quality%20Assurance\CRYO-2078-3548%202253%201E" TargetMode="External"/><Relationship Id="rId317" Type="http://schemas.openxmlformats.org/officeDocument/2006/relationships/hyperlink" Target="file:///\\hopi-fs\shares\users\dhar\Stalk%20mount%20testing\Type%201e%20Quality%20Assurance\CRYO-41951-336%202486%201E" TargetMode="External"/><Relationship Id="rId524" Type="http://schemas.openxmlformats.org/officeDocument/2006/relationships/hyperlink" Target="file:///\\hopi-fs\shares\users\dhar\Stalk%20mount%20testing\Type%201e%20Quality%20Assurance\CRYO-41860-735%202660%201E" TargetMode="External"/><Relationship Id="rId98" Type="http://schemas.openxmlformats.org/officeDocument/2006/relationships/hyperlink" Target="file:///\\hopi-fs\shares\users\dhar\Stalk%20mount%20testing\Type%201e%20Quality%20Assurance\CRYO-2063-3853%202360%201E" TargetMode="External"/><Relationship Id="rId163" Type="http://schemas.openxmlformats.org/officeDocument/2006/relationships/hyperlink" Target="file:///\\hopi-fs\shares\users\dhar\Stalk%20mount%20testing\Type%201e%20Quality%20Assurance\CRYO-9080-0315%203045%201E" TargetMode="External"/><Relationship Id="rId370" Type="http://schemas.openxmlformats.org/officeDocument/2006/relationships/hyperlink" Target="file:///\\hopi-fs\shares\users\dhar\Stalk%20mount%20testing\Type%201e%20Quality%20Assurance\CRYO-41856-0304%202085%201E" TargetMode="External"/><Relationship Id="rId230" Type="http://schemas.openxmlformats.org/officeDocument/2006/relationships/hyperlink" Target="file:///\\hopi-fs\shares\users\dhar\Stalk%20mount%20testing\Type%201e%20Quality%20Assurance\CRYO-2060-4435%201413%201E" TargetMode="External"/><Relationship Id="rId468" Type="http://schemas.openxmlformats.org/officeDocument/2006/relationships/hyperlink" Target="file:///\\hopi-fs\shares\users\dhar\Stalk%20mount%20testing\Type%201e%20Quality%20Assurance\CRYO-43557-640%202596%201E" TargetMode="External"/><Relationship Id="rId25" Type="http://schemas.openxmlformats.org/officeDocument/2006/relationships/hyperlink" Target="file:///\\hopi-fs\shares\users\dhar\Stalk%20mount%20testing\Type%201e%20Quality%20Assurance\CRYO-9081-0174%202314%201E" TargetMode="External"/><Relationship Id="rId67" Type="http://schemas.openxmlformats.org/officeDocument/2006/relationships/hyperlink" Target="file:///\\hopi-fs\shares\users\dhar\Stalk%20mount%20testing\Type%201e%20Quality%20Assurance\CRYO-2061-3796%202344%201E" TargetMode="External"/><Relationship Id="rId272" Type="http://schemas.openxmlformats.org/officeDocument/2006/relationships/hyperlink" Target="file:///\\hopi-fs\shares\users\dhar\Stalk%20mount%20testing\Type%201e%20Quality%20Assurance\CRYO-2078-4607%202462%201E" TargetMode="External"/><Relationship Id="rId328" Type="http://schemas.openxmlformats.org/officeDocument/2006/relationships/hyperlink" Target="file:///\\hopi-fs\shares\users\dhar\Stalk%20mount%20testing\Type%201e%20Quality%20Assurance\CRYO-2073-4743%202478%201E" TargetMode="External"/><Relationship Id="rId535" Type="http://schemas.openxmlformats.org/officeDocument/2006/relationships/hyperlink" Target="file:///\\hopi-fs\shares\users\dhar\Stalk%20mount%20testing\Type%201e%20Quality%20Assurance\CRYO-41657-673%202664%201E" TargetMode="External"/><Relationship Id="rId577" Type="http://schemas.openxmlformats.org/officeDocument/2006/relationships/hyperlink" Target="file:///\\hopi-fs\shares\users\dhar\Stalk%20mount%20testing\Type%201e%20Quality%20Assurance\CRYO-41858-847%202664%201E" TargetMode="External"/><Relationship Id="rId132" Type="http://schemas.openxmlformats.org/officeDocument/2006/relationships/hyperlink" Target="file:///\\hopi-fs\shares\users\dhar\Stalk%20mount%20testing\Type%201e%20Quality%20Assurance\CRYO-2077-3028%202306%201E" TargetMode="External"/><Relationship Id="rId174" Type="http://schemas.openxmlformats.org/officeDocument/2006/relationships/hyperlink" Target="file:///\\hopi-fs\shares\users\dhar\Stalk%20mount%20testing\Type%201e%20Quality%20Assurance\CRYO-2078-4078%202190%201E" TargetMode="External"/><Relationship Id="rId381" Type="http://schemas.openxmlformats.org/officeDocument/2006/relationships/hyperlink" Target="file:///\\hopi-fs\shares\users\dhar\Stalk%20mount%20testing\Type%201e%20Quality%20Assurance\CRYO-42050-577%202043%201E" TargetMode="External"/><Relationship Id="rId602" Type="http://schemas.openxmlformats.org/officeDocument/2006/relationships/hyperlink" Target="file:///\\hopi-fs\shares\users\dhar\Stalk%20mount%20testing\Type%201e%20Quality%20Assurance\CRYO-42062-890%202669%201E" TargetMode="External"/><Relationship Id="rId241" Type="http://schemas.openxmlformats.org/officeDocument/2006/relationships/hyperlink" Target="file:///\\hopi-fs\shares\users\dhar\Stalk%20mount%20testing\Type%201e%20Quality%20Assurance\CRYO-2078-3966%202420%201E" TargetMode="External"/><Relationship Id="rId437" Type="http://schemas.openxmlformats.org/officeDocument/2006/relationships/hyperlink" Target="file:///\\hopi-fs\shares\users\dhar\Stalk%20mount%20testing\Type%201e%20Quality%20Assurance\CRYO-2084-4890%202588%201E" TargetMode="External"/><Relationship Id="rId479" Type="http://schemas.openxmlformats.org/officeDocument/2006/relationships/hyperlink" Target="file:///\\hopi-fs\shares\users\dhar\STALK%20MOUNT%20TESTING\Type%201e%20Quality%20Assurance\CRYO-41855-679%202619%201E" TargetMode="External"/><Relationship Id="rId36" Type="http://schemas.openxmlformats.org/officeDocument/2006/relationships/hyperlink" Target="file:///\\hopi-fs\shares\users\dhar\Stalk%20mount%20testing\Type%201e%20Quality%20Assurance\CRYO-2078-3509%202324%201E" TargetMode="External"/><Relationship Id="rId283" Type="http://schemas.openxmlformats.org/officeDocument/2006/relationships/hyperlink" Target="file:///\\hopi-fs\shares\users\dhar\Stalk%20mount%20testing\Type%201e%20Quality%20Assurance\CRYO-2079-4579%202431%201E" TargetMode="External"/><Relationship Id="rId339" Type="http://schemas.openxmlformats.org/officeDocument/2006/relationships/hyperlink" Target="file:///\\hopi-fs\shares\users\dhar\Stalk%20mount%20testing\Type%201e%20Quality%20Assurance\CRYO-42052-438%202500%201E" TargetMode="External"/><Relationship Id="rId490" Type="http://schemas.openxmlformats.org/officeDocument/2006/relationships/hyperlink" Target="file:///\\hopi-fs\shares\users\dhar\STALK%20MOUNT%20TESTING\Type%201e%20Quality%20Assurance\CRYO-41855-685%202593%201E" TargetMode="External"/><Relationship Id="rId504" Type="http://schemas.openxmlformats.org/officeDocument/2006/relationships/hyperlink" Target="file:///\\hopi-fs\shares\users\dhar\Stalk%20mount%20testing\Type%201e%20Quality%20Assurance\CRYO-9081-0390%202626%201E" TargetMode="External"/><Relationship Id="rId546" Type="http://schemas.openxmlformats.org/officeDocument/2006/relationships/hyperlink" Target="file:///\\hopi-fs\shares\users\dhar\Stalk%20mount%20testing\Type%201e%20Quality%20Assurance\CRYO-42041-786%202576%201E" TargetMode="External"/><Relationship Id="rId78" Type="http://schemas.openxmlformats.org/officeDocument/2006/relationships/hyperlink" Target="file:///\\hopi-fs\shares\users\dhar\Stalk%20mount%20testing\Type%201e%20Quality%20Assurance\CRYO-2062-3776%202328%201E" TargetMode="External"/><Relationship Id="rId101" Type="http://schemas.openxmlformats.org/officeDocument/2006/relationships/hyperlink" Target="file:///\\hopi-fs\shares\users\dhar\Stalk%20mount%20testing\Type%201e%20Quality%20Assurance\CRYO-2060-3861%202363%201E" TargetMode="External"/><Relationship Id="rId143" Type="http://schemas.openxmlformats.org/officeDocument/2006/relationships/hyperlink" Target="file:///\\hopi-fs\shares\users\dhar\Stalk%20mount%20testing\Type%201e%20Quality%20Assurance\CRYO-2062-4011%202395%201E" TargetMode="External"/><Relationship Id="rId185" Type="http://schemas.openxmlformats.org/officeDocument/2006/relationships/hyperlink" Target="file:///\\hopi-fs\shares\users\dhar\Stalk%20mount%20testing\Type%201e%20Quality%20Assurance\CRYO-2078-4167%202398%201E" TargetMode="External"/><Relationship Id="rId350" Type="http://schemas.openxmlformats.org/officeDocument/2006/relationships/hyperlink" Target="file:///\\hopi-fs\shares\users\dhar\Stalk%20mount%20testing\Type%201e%20Quality%20Assurance\ISE-2Q16-10-C317%202523%201E%20MEQ" TargetMode="External"/><Relationship Id="rId406" Type="http://schemas.openxmlformats.org/officeDocument/2006/relationships/hyperlink" Target="file:///\\hopi-fs\shares\users\dhar\Stalk%20mount%20testing\Type%201e%20Quality%20Assurance\CRYO-2070-4873%202214%201E" TargetMode="External"/><Relationship Id="rId588" Type="http://schemas.openxmlformats.org/officeDocument/2006/relationships/hyperlink" Target="file:///\\hopi-fs\shares\users\dhar\Stalk%20mount%20testing\Type%201e%20Quality%20Assurance\CRYO-2081-4786%202564%201E" TargetMode="External"/><Relationship Id="rId9" Type="http://schemas.openxmlformats.org/officeDocument/2006/relationships/hyperlink" Target="file:///\\hopi-fs\shares\users\dhar\Stalk%20mount%20testing\Type%201e%20Quality%20Assurance\CRYO-2079-3558%202215%201E" TargetMode="External"/><Relationship Id="rId210" Type="http://schemas.openxmlformats.org/officeDocument/2006/relationships/hyperlink" Target="file:///\\hopi-fs\shares\users\dhar\Stalk%20mount%20testing\Type%201e%20Quality%20Assurance\CRYO-2061-4349%202274%201E" TargetMode="External"/><Relationship Id="rId392" Type="http://schemas.openxmlformats.org/officeDocument/2006/relationships/hyperlink" Target="file:///\\hopi-fs\shares\users\dhar\Stalk%20mount%20testing\Type%201e%20Quality%20Assurance\CRYO-41264-554%201668%201E" TargetMode="External"/><Relationship Id="rId448" Type="http://schemas.openxmlformats.org/officeDocument/2006/relationships/hyperlink" Target="file:///\\hopi-fs\shares\users\dhar\Stalk%20mount%20testing\Type%201e%20Quality%20Assurance\CRYO-2084-4951%202594%201E" TargetMode="External"/><Relationship Id="rId613" Type="http://schemas.openxmlformats.org/officeDocument/2006/relationships/comments" Target="../comments2.xml"/><Relationship Id="rId252" Type="http://schemas.openxmlformats.org/officeDocument/2006/relationships/hyperlink" Target="file:///\\hopi-fs\shares\users\dhar\Stalk%20mount%20testing\Type%201e%20Quality%20Assurance\CRYO-2074-4497%202308%201E" TargetMode="External"/><Relationship Id="rId294" Type="http://schemas.openxmlformats.org/officeDocument/2006/relationships/hyperlink" Target="file:///\\hopi-fs\shares\users\dhar\Stalk%20mount%20testing\Type%201e%20Quality%20Assurance\CRYO-9082-0371%202467%201E" TargetMode="External"/><Relationship Id="rId308" Type="http://schemas.openxmlformats.org/officeDocument/2006/relationships/hyperlink" Target="file:///\\hopi-fs\shares\users\dhar\Stalk%20mount%20testing\Type%201e%20Quality%20Assurance\CRYO-2078-4616%202472%201E" TargetMode="External"/><Relationship Id="rId515" Type="http://schemas.openxmlformats.org/officeDocument/2006/relationships/hyperlink" Target="file:///\\hopi-fs\shares\users\dhar\Stalk%20mount%20testing\Type%201e%20Quality%20Assurance\CRYO-41957-709%202633%201E" TargetMode="External"/><Relationship Id="rId47" Type="http://schemas.openxmlformats.org/officeDocument/2006/relationships/hyperlink" Target="file:///\\hopi-fs\shares\users\dhar\Stalk%20mount%20testing\Type%201e%20Quality%20Assurance\CRYO-2063-3678%202332%201E" TargetMode="External"/><Relationship Id="rId89" Type="http://schemas.openxmlformats.org/officeDocument/2006/relationships/hyperlink" Target="file:///\\hopi-fs\shares\users\dhar\Stalk%20mount%20testing\Type%201e%20Quality%20Assurance\CRYO-2080-3824%202355%201E" TargetMode="External"/><Relationship Id="rId112" Type="http://schemas.openxmlformats.org/officeDocument/2006/relationships/hyperlink" Target="file:///\\hopi-fs\shares\users\dhar\Stalk%20mount%20testing\Type%201e%20Quality%20Assurance\CRYO-2078-3894%202372%201E" TargetMode="External"/><Relationship Id="rId154" Type="http://schemas.openxmlformats.org/officeDocument/2006/relationships/hyperlink" Target="file:///\\hopi-fs\shares\users\dhar\Stalk%20mount%20testing\Type%201e%20Quality%20Assurance\CRYO-9080-0304%201490%201E" TargetMode="External"/><Relationship Id="rId361" Type="http://schemas.openxmlformats.org/officeDocument/2006/relationships/hyperlink" Target="file:///\\hopi-fs\shares\users\dhar\Stalk%20mount%20testing\Type%201e%20Quality%20Assurance\CRYO-41164-552%202170%201E" TargetMode="External"/><Relationship Id="rId557" Type="http://schemas.openxmlformats.org/officeDocument/2006/relationships/hyperlink" Target="file:///\\hopi-fs\shares\users\dhar\Stalk%20mount%20testing\Type%201e%20Quality%20Assurance\CRYO-2046-4978%202579%201E" TargetMode="External"/><Relationship Id="rId599" Type="http://schemas.openxmlformats.org/officeDocument/2006/relationships/hyperlink" Target="file:///\\hopi-fs\shares\users\dhar\Stalk%20mount%20testing\Type%201e%20Quality%20Assurance\CRYO-42061-889%202668%201E" TargetMode="External"/><Relationship Id="rId196" Type="http://schemas.openxmlformats.org/officeDocument/2006/relationships/hyperlink" Target="file:///\\hopi-fs\shares\users\dhar\Stalk%20mount%20testing\Type%201e%20Quality%20Assurance\CRYO-2060-4243%202058%201E" TargetMode="External"/><Relationship Id="rId417" Type="http://schemas.openxmlformats.org/officeDocument/2006/relationships/hyperlink" Target="file:///\\hopi-fs\shares\users\dhar\Stalk%20mount%20testing\Type%201e%20Quality%20Assurance\CRYO-2091-4792%202036%201E" TargetMode="External"/><Relationship Id="rId459" Type="http://schemas.openxmlformats.org/officeDocument/2006/relationships/hyperlink" Target="file:///\\hopi-fs\shares\users\dhar\Stalk%20mount%20testing\Type%201e%20Quality%20Assurance\CRYO-43354-624%202597%201E" TargetMode="External"/><Relationship Id="rId16" Type="http://schemas.openxmlformats.org/officeDocument/2006/relationships/hyperlink" Target="file:///\\hopi-fs\shares\users\dhar\Stalk%20mount%20testing\Type%201e%20Quality%20Assurance\CRYO-2076-3617%202231%201E" TargetMode="External"/><Relationship Id="rId221" Type="http://schemas.openxmlformats.org/officeDocument/2006/relationships/hyperlink" Target="file:///\\hopi-fs\shares\users\dhar\Stalk%20mount%20testing\Type%201e%20Quality%20Assurance\CRYO-2080-4375%202404%201E" TargetMode="External"/><Relationship Id="rId263" Type="http://schemas.openxmlformats.org/officeDocument/2006/relationships/hyperlink" Target="file:///\\hopi-fs\shares\users\dhar\Stalk%20mount%20testing\Type%201e%20Quality%20Assurance\CRYO-41955-0299%202437%201E" TargetMode="External"/><Relationship Id="rId319" Type="http://schemas.openxmlformats.org/officeDocument/2006/relationships/hyperlink" Target="file:///\\hopi-fs\shares\users\dhar\Stalk%20mount%20testing\Type%201e%20Quality%20Assurance\CRYO-42050-330%202491%201E" TargetMode="External"/><Relationship Id="rId470" Type="http://schemas.openxmlformats.org/officeDocument/2006/relationships/hyperlink" Target="file:///\\hopi-fs\shares\users\dhar\STALK%20MOUNT%20TESTING\Type%201e%20Quality%20Assurance\CRYO-42055-693%202599%201E" TargetMode="External"/><Relationship Id="rId526" Type="http://schemas.openxmlformats.org/officeDocument/2006/relationships/hyperlink" Target="file:///\\hopi-fs\shares\users\dhar\Stalk%20mount%20testing\Type%201e%20Quality%20Assurance\CRYO-42054-745%202256%201E" TargetMode="External"/><Relationship Id="rId58" Type="http://schemas.openxmlformats.org/officeDocument/2006/relationships/hyperlink" Target="file:///\\hopi-fs\shares\users\dhar\Stalk%20mount%20testing\Type%201e%20Quality%20Assurance\CRYO-2062-3519%202321%201E" TargetMode="External"/><Relationship Id="rId123" Type="http://schemas.openxmlformats.org/officeDocument/2006/relationships/hyperlink" Target="file:///\\hopi-fs\shares\users\dhar\Stalk%20mount%20testing\Type%201e%20Quality%20Assurance\CRYO-2077-3990%202385%201E" TargetMode="External"/><Relationship Id="rId330" Type="http://schemas.openxmlformats.org/officeDocument/2006/relationships/hyperlink" Target="file:///\\hopi-fs\shares\users\dhar\Stalk%20mount%20testing\Type%201e%20Quality%20Assurance\CRYO-42159-381%202144%201E" TargetMode="External"/><Relationship Id="rId568" Type="http://schemas.openxmlformats.org/officeDocument/2006/relationships/hyperlink" Target="file:///\\hopi-fs\shares\users\dhar\Stalk%20mount%20testing\Type%201e%20Quality%20Assurance\CRYO-42156-806%202584%201E" TargetMode="External"/><Relationship Id="rId165" Type="http://schemas.openxmlformats.org/officeDocument/2006/relationships/hyperlink" Target="file:///\\hopi-fs\shares\users\dhar\Stalk%20mount%20testing\Type%201e%20Quality%20Assurance\CRYO-9081-0316%202271%201E" TargetMode="External"/><Relationship Id="rId372" Type="http://schemas.openxmlformats.org/officeDocument/2006/relationships/hyperlink" Target="file:///\\hopi-fs\shares\users\dhar\Stalk%20mount%20testing\Type%201e%20Quality%20Assurance\CRYO-42360-400%202429%201E" TargetMode="External"/><Relationship Id="rId428" Type="http://schemas.openxmlformats.org/officeDocument/2006/relationships/hyperlink" Target="file:///\\hopi-fs\shares\users\dhar\Stalk%20mount%20testing\Type%201e%20Quality%20Assurance\CRYO-5078-056%202253%201E" TargetMode="External"/><Relationship Id="rId232" Type="http://schemas.openxmlformats.org/officeDocument/2006/relationships/hyperlink" Target="file:///\\hopi-fs\shares\users\dhar\Stalk%20mount%20testing\Type%201e%20Quality%20Assurance\CRYO-2063-4409%201891%201E" TargetMode="External"/><Relationship Id="rId274" Type="http://schemas.openxmlformats.org/officeDocument/2006/relationships/hyperlink" Target="file:///\\hopi-fs\shares\users\dhar\Stalk%20mount%20testing\Type%201e%20Quality%20Assurance\CRYO-2076-4585%202461%201E" TargetMode="External"/><Relationship Id="rId481" Type="http://schemas.openxmlformats.org/officeDocument/2006/relationships/hyperlink" Target="file:///\\hopi-fs\shares\users\dhar\STALK%20MOUNT%20TESTING\Type%201e%20Quality%20Assurance\CRYO-41855-686%202620%201E" TargetMode="External"/><Relationship Id="rId27" Type="http://schemas.openxmlformats.org/officeDocument/2006/relationships/hyperlink" Target="file:///\\hopi-fs\shares\users\dhar\Stalk%20mount%20testing\Type%201e%20Quality%20Assurance\CRYO-9084-0185%202317%201E" TargetMode="External"/><Relationship Id="rId69" Type="http://schemas.openxmlformats.org/officeDocument/2006/relationships/hyperlink" Target="file:///\\hopi-fs\shares\users\dhar\Stalk%20mount%20testing\Type%201e%20Quality%20Assurance\CRYO-2062-3800%202346%201E" TargetMode="External"/><Relationship Id="rId134" Type="http://schemas.openxmlformats.org/officeDocument/2006/relationships/hyperlink" Target="file:///\\hopi-fs\shares\users\dhar\Stalk%20mount%20testing\Type%201e%20Quality%20Assurance\CRYO-2076-3018%202321%201E" TargetMode="External"/><Relationship Id="rId537" Type="http://schemas.openxmlformats.org/officeDocument/2006/relationships/hyperlink" Target="file:///\\hopi-fs\shares\users\dhar\Stalk%20mount%20testing\Type%201e%20Quality%20Assurance\CRYO-42659-767%202551%201E" TargetMode="External"/><Relationship Id="rId579" Type="http://schemas.openxmlformats.org/officeDocument/2006/relationships/hyperlink" Target="file:///\\hopi-fs\shares\users\dhar\Stalk%20mount%20testing\Type%201e%20Quality%20Assurance\CRYO-41858-838%202666%201E" TargetMode="External"/><Relationship Id="rId80" Type="http://schemas.openxmlformats.org/officeDocument/2006/relationships/hyperlink" Target="file:///\\hopi-fs\shares\users\dhar\Stalk%20mount%20testing\Type%201e%20Quality%20Assurance\CRYO-2063-3777%202345%201E" TargetMode="External"/><Relationship Id="rId176" Type="http://schemas.openxmlformats.org/officeDocument/2006/relationships/hyperlink" Target="file:///\\hopi-fs\shares\users\dhar\Stalk%20mount%20testing\Type%201e%20Quality%20Assurance\CRYO-2079-4117%201669%201E" TargetMode="External"/><Relationship Id="rId341" Type="http://schemas.openxmlformats.org/officeDocument/2006/relationships/hyperlink" Target="file:///\\hopi-fs\shares\users\dhar\Stalk%20mount%20testing\Type%201e%20Quality%20Assurance\CRYO-42050-0248%202509%201E" TargetMode="External"/><Relationship Id="rId383" Type="http://schemas.openxmlformats.org/officeDocument/2006/relationships/hyperlink" Target="file:///\\hopi-fs\shares\users\dhar\Stalk%20mount%20testing\Type%201e%20Quality%20Assurance\CRYO-42050-582%202036%201E" TargetMode="External"/><Relationship Id="rId439" Type="http://schemas.openxmlformats.org/officeDocument/2006/relationships/hyperlink" Target="file:///\\hopi-fs\shares\users\dhar\Stalk%20mount%20testing\Type%201e%20Quality%20Assurance\CRYO-2083-4897%202591%201E" TargetMode="External"/><Relationship Id="rId590" Type="http://schemas.openxmlformats.org/officeDocument/2006/relationships/hyperlink" Target="file:///\\hopi-fs\shares\users\dhar\Stalk%20mount%20testing\Type%201e%20Quality%20Assurance\CRYO-41358-852%202671%201E" TargetMode="External"/><Relationship Id="rId604" Type="http://schemas.openxmlformats.org/officeDocument/2006/relationships/hyperlink" Target="file:///\\hopi-fs\shares\users\dhar\Stalk%20mount%20testing\Type%201e%20Quality%20Assurance\CRYO-42260-895%202681%201E" TargetMode="External"/><Relationship Id="rId201" Type="http://schemas.openxmlformats.org/officeDocument/2006/relationships/hyperlink" Target="file:///\\hopi-fs\shares\users\dhar\Stalk%20mount%20testing\Type%201e%20Quality%20Assurance\CRYO-2060-4317%202357%201E" TargetMode="External"/><Relationship Id="rId243" Type="http://schemas.openxmlformats.org/officeDocument/2006/relationships/hyperlink" Target="file:///\\hopi-fs\shares\users\dhar\Stalk%20mount%20testing\Type%201e%20Quality%20Assurance\CRYO-2078-3152%202448%201E" TargetMode="External"/><Relationship Id="rId285" Type="http://schemas.openxmlformats.org/officeDocument/2006/relationships/hyperlink" Target="file:///\\hopi-fs\shares\users\dhar\Stalk%20mount%20testing\Type%201e%20Quality%20Assurance\CRYO-2076-4584%202465%201E" TargetMode="External"/><Relationship Id="rId450" Type="http://schemas.openxmlformats.org/officeDocument/2006/relationships/hyperlink" Target="file:///\\hopi-fs\shares\users\dhar\Stalk%20mount%20testing\Type%201e%20Quality%20Assurance\CRYO-2085-4966%202291%201E" TargetMode="External"/><Relationship Id="rId506" Type="http://schemas.openxmlformats.org/officeDocument/2006/relationships/hyperlink" Target="file:///\\hopi-fs\shares\users\dhar\Stalk%20mount%20testing\Type%201e%20Quality%20Assurance\CRYO-9082-0305%202626%201E" TargetMode="External"/><Relationship Id="rId38" Type="http://schemas.openxmlformats.org/officeDocument/2006/relationships/hyperlink" Target="file:///\\hopi-fs\shares\users\dhar\Stalk%20mount%20testing\Type%201e%20Quality%20Assurance\CRYO-2078-3489%202327%201E" TargetMode="External"/><Relationship Id="rId103" Type="http://schemas.openxmlformats.org/officeDocument/2006/relationships/hyperlink" Target="file:///\\hopi-fs\shares\users\dhar\Stalk%20mount%20testing\Type%201e%20Quality%20Assurance\CRYO-2060-3859%202367%201E" TargetMode="External"/><Relationship Id="rId310" Type="http://schemas.openxmlformats.org/officeDocument/2006/relationships/hyperlink" Target="file:///\\hopi-fs\shares\users\dhar\Stalk%20mount%20testing\Type%201e%20Quality%20Assurance\CRYO-42050-331%202484%201E" TargetMode="External"/><Relationship Id="rId492" Type="http://schemas.openxmlformats.org/officeDocument/2006/relationships/hyperlink" Target="file:///\\hopi-fs\shares\users\dhar\STALK%20MOUNT%20TESTING\Type%201e%20Quality%20Assurance\CRYO-41657-683%202622%201E" TargetMode="External"/><Relationship Id="rId548" Type="http://schemas.openxmlformats.org/officeDocument/2006/relationships/hyperlink" Target="file:///\\hopi-fs\shares\users\dhar\Stalk%20mount%20testing\Type%201e%20Quality%20Assurance\CRYO-41846-789%202553%201E" TargetMode="External"/><Relationship Id="rId91" Type="http://schemas.openxmlformats.org/officeDocument/2006/relationships/hyperlink" Target="file:///\\hopi-fs\shares\users\dhar\Stalk%20mount%20testing\Type%201e%20Quality%20Assurance\CRYO-44335-0229%202358%201E" TargetMode="External"/><Relationship Id="rId145" Type="http://schemas.openxmlformats.org/officeDocument/2006/relationships/hyperlink" Target="file:///\\hopi-fs\shares\users\dhar\Stalk%20mount%20testing\Type%201e%20Quality%20Assurance\CRYO-2061-4014%202396%201E" TargetMode="External"/><Relationship Id="rId187" Type="http://schemas.openxmlformats.org/officeDocument/2006/relationships/hyperlink" Target="file:///\\hopi-fs\shares\users\dhar\Stalk%20mount%20testing\Type%201e%20Quality%20Assurance\CRYO-2077-4092%202304%201E" TargetMode="External"/><Relationship Id="rId352" Type="http://schemas.openxmlformats.org/officeDocument/2006/relationships/hyperlink" Target="file:///\\hopi-fs\shares\users\dhar\Stalk%20mount%20testing\Type%201e%20Quality%20Assurance\ISE-2Q16-10-C319%202515%201E%20MEQ" TargetMode="External"/><Relationship Id="rId394" Type="http://schemas.openxmlformats.org/officeDocument/2006/relationships/hyperlink" Target="file:///\\hopi-fs\shares\users\dhar\Stalk%20mount%20testing\Type%201e%20Quality%20Assurance\CRYO-41264-544%201787%201E" TargetMode="External"/><Relationship Id="rId408" Type="http://schemas.openxmlformats.org/officeDocument/2006/relationships/hyperlink" Target="file:///\\hopi-fs\shares\users\dhar\Stalk%20mount%20testing\Type%201e%20Quality%20Assurance\CRYO-2070-4876%202057%201E" TargetMode="External"/><Relationship Id="rId212" Type="http://schemas.openxmlformats.org/officeDocument/2006/relationships/hyperlink" Target="file:///\\hopi-fs\shares\users\dhar\Stalk%20mount%20testing\Type%201e%20Quality%20Assurance\CRYO-2060-4356%202086%201E" TargetMode="External"/><Relationship Id="rId254" Type="http://schemas.openxmlformats.org/officeDocument/2006/relationships/hyperlink" Target="file:///\\hopi-fs\shares\users\dhar\Stalk%20mount%20testing\Type%201e%20Quality%20Assurance\CRYO-2081-4509%202414%201E" TargetMode="External"/><Relationship Id="rId49" Type="http://schemas.openxmlformats.org/officeDocument/2006/relationships/hyperlink" Target="file:///\\hopi-fs\shares\users\dhar\Stalk%20mount%20testing\Type%201e%20Quality%20Assurance\CRYO-2060-3696%202326%201E" TargetMode="External"/><Relationship Id="rId114" Type="http://schemas.openxmlformats.org/officeDocument/2006/relationships/hyperlink" Target="file:///\\hopi-fs\shares\users\dhar\Stalk%20mount%20testing\Type%201e%20Quality%20Assurance\CRYO-2077-3006%202374%201E" TargetMode="External"/><Relationship Id="rId296" Type="http://schemas.openxmlformats.org/officeDocument/2006/relationships/hyperlink" Target="file:///\\hopi-fs\shares\users\dhar\Stalk%20mount%20testing\Type%201e%20Quality%20Assurance\CRYO-9079-0392%202473%201E" TargetMode="External"/><Relationship Id="rId461" Type="http://schemas.openxmlformats.org/officeDocument/2006/relationships/hyperlink" Target="file:///\\hopi-fs\shares\users\dhar\Stalk%20mount%20testing\Type%201e%20Quality%20Assurance\CRYO-43354-629%202530%201E" TargetMode="External"/><Relationship Id="rId517" Type="http://schemas.openxmlformats.org/officeDocument/2006/relationships/hyperlink" Target="file:///\\hopi-fs\shares\users\dhar\Stalk%20mount%20testing\Type%201e%20Quality%20Assurance\CRYO-41858-710%202634%201E" TargetMode="External"/><Relationship Id="rId559" Type="http://schemas.openxmlformats.org/officeDocument/2006/relationships/hyperlink" Target="file:///\\hopi-fs\shares\users\dhar\Stalk%20mount%20testing\Type%201e%20Quality%20Assurance\CRYO-2046-4982%202582%201E" TargetMode="External"/><Relationship Id="rId60" Type="http://schemas.openxmlformats.org/officeDocument/2006/relationships/hyperlink" Target="file:///\\hopi-fs\shares\users\dhar\Stalk%20mount%20testing\Type%201e%20Quality%20Assurance\CRYO-2062-3524%202337%201E" TargetMode="External"/><Relationship Id="rId156" Type="http://schemas.openxmlformats.org/officeDocument/2006/relationships/hyperlink" Target="file:///\\hopi-fs\shares\users\dhar\Stalk%20mount%20testing\Type%201e%20Quality%20Assurance\CRYO-9080-0320%202306%201E" TargetMode="External"/><Relationship Id="rId198" Type="http://schemas.openxmlformats.org/officeDocument/2006/relationships/hyperlink" Target="file:///\\hopi-fs\shares\users\dhar\Stalk%20mount%20testing\Type%201e%20Quality%20Assurance\CRYO-2074-4310%202192%201E" TargetMode="External"/><Relationship Id="rId321" Type="http://schemas.openxmlformats.org/officeDocument/2006/relationships/hyperlink" Target="file:///\\hopi-fs\shares\users\dhar\Stalk%20mount%20testing\Type%201e%20Quality%20Assurance\CRYO-42050-0263%202496%201E" TargetMode="External"/><Relationship Id="rId363" Type="http://schemas.openxmlformats.org/officeDocument/2006/relationships/hyperlink" Target="file:///\\hopi-fs\shares\users\dhar\Stalk%20mount%20testing\Type%201e%20Quality%20Assurance\CRYO-41562-543%202149%201E" TargetMode="External"/><Relationship Id="rId419" Type="http://schemas.openxmlformats.org/officeDocument/2006/relationships/hyperlink" Target="file:///\\hopi-fs\shares\users\dhar\Stalk%20mount%20testing\Type%201e%20Quality%20Assurance\CRYO-2070-4879%201882%201E" TargetMode="External"/><Relationship Id="rId570" Type="http://schemas.openxmlformats.org/officeDocument/2006/relationships/hyperlink" Target="file:///\\hopi-fs\shares\users\dhar\Stalk%20mount%20testing\Type%201e%20Quality%20Assurance\CRYO-42057-805%202559%201E" TargetMode="External"/><Relationship Id="rId223" Type="http://schemas.openxmlformats.org/officeDocument/2006/relationships/hyperlink" Target="file:///\\hopi-fs\shares\users\dhar\Stalk%20mount%20testing\Type%201e%20Quality%20Assurance\CRYO-2079-4388%202406%201E" TargetMode="External"/><Relationship Id="rId430" Type="http://schemas.openxmlformats.org/officeDocument/2006/relationships/hyperlink" Target="file:///\\hopi-fs\shares\users\dhar\Stalk%20mount%20testing\Type%201e%20Quality%20Assurance\CRYO-5079-063%202358%201E" TargetMode="External"/><Relationship Id="rId18" Type="http://schemas.openxmlformats.org/officeDocument/2006/relationships/hyperlink" Target="file:///\\hopi-fs\shares\users\dhar\Stalk%20mount%20testing\Type%201e%20Quality%20Assurance\CRYO-9083-0146%202310%201E" TargetMode="External"/><Relationship Id="rId265" Type="http://schemas.openxmlformats.org/officeDocument/2006/relationships/hyperlink" Target="file:///\\hopi-fs\shares\users\dhar\Stalk%20mount%20testing\Type%201e%20Quality%20Assurance\CRYO-41955-0294%202436%201E" TargetMode="External"/><Relationship Id="rId472" Type="http://schemas.openxmlformats.org/officeDocument/2006/relationships/hyperlink" Target="file:///\\hopi-fs\shares\users\dhar\STALK%20MOUNT%20TESTING\Type%201e%20Quality%20Assurance\CRYO-41858-655%202606%201E" TargetMode="External"/><Relationship Id="rId528" Type="http://schemas.openxmlformats.org/officeDocument/2006/relationships/hyperlink" Target="file:///\\hopi-fs\shares\users\dhar\Stalk%20mount%20testing\Type%201e%20Quality%20Assurance\CRYO-41856-748%202661%201E" TargetMode="External"/><Relationship Id="rId125" Type="http://schemas.openxmlformats.org/officeDocument/2006/relationships/hyperlink" Target="file:///\\hopi-fs\shares\users\dhar\Stalk%20mount%20testing\Type%201e%20Quality%20Assurance\CRYO-2078-3989%202387%201E" TargetMode="External"/><Relationship Id="rId167" Type="http://schemas.openxmlformats.org/officeDocument/2006/relationships/hyperlink" Target="file:///\\hopi-fs\shares\users\dhar\Stalk%20mount%20testing\Type%201e%20Quality%20Assurance\CRYO-9079-0318%202360%201E" TargetMode="External"/><Relationship Id="rId332" Type="http://schemas.openxmlformats.org/officeDocument/2006/relationships/hyperlink" Target="file:///\\hopi-fs\shares\users\dhar\Stalk%20mount%20testing\Type%201e%20Quality%20Assurance\CRYO-42360-379%202471%201E" TargetMode="External"/><Relationship Id="rId374" Type="http://schemas.openxmlformats.org/officeDocument/2006/relationships/hyperlink" Target="file:///\\hopi-fs\shares\users\dhar\Stalk%20mount%20testing\Type%201e%20Quality%20Assurance\CRYO-42360-404%202407%201E" TargetMode="External"/><Relationship Id="rId581" Type="http://schemas.openxmlformats.org/officeDocument/2006/relationships/hyperlink" Target="file:///\\hopi-fs\shares\users\dhar\Stalk%20mount%20testing\Type%201e%20Quality%20Assurance\CRYO-41858-845%202643%201E" TargetMode="External"/><Relationship Id="rId71" Type="http://schemas.openxmlformats.org/officeDocument/2006/relationships/hyperlink" Target="file:///\\hopi-fs\shares\users\dhar\Stalk%20mount%20testing\Type%201e%20Quality%20Assurance\CRYO-2063-3721%202347%201E" TargetMode="External"/><Relationship Id="rId234" Type="http://schemas.openxmlformats.org/officeDocument/2006/relationships/hyperlink" Target="file:///\\hopi-fs\shares\users\dhar\Stalk%20mount%20testing\Type%201e%20Quality%20Assurance\CRYO-2055-4391%202398%201E" TargetMode="External"/><Relationship Id="rId2" Type="http://schemas.openxmlformats.org/officeDocument/2006/relationships/hyperlink" Target="file:///\\hopi-fs\shares\users\dhar\Stalk%20mount%20testing\Type%201e%20Quality%20Assurance\CRYO-2078-3589%202237%201E" TargetMode="External"/><Relationship Id="rId29" Type="http://schemas.openxmlformats.org/officeDocument/2006/relationships/hyperlink" Target="file:///\\hopi-fs\shares\users\dhar\Stalk%20mount%20testing\Type%201e%20Quality%20Assurance\CRYO-9077-0191%202318%201E" TargetMode="External"/><Relationship Id="rId276" Type="http://schemas.openxmlformats.org/officeDocument/2006/relationships/hyperlink" Target="file:///\\hopi-fs\shares\users\dhar\Stalk%20mount%20testing\Type%201e%20Quality%20Assurance\CRYO-2076-4599%202470%201E" TargetMode="External"/><Relationship Id="rId441" Type="http://schemas.openxmlformats.org/officeDocument/2006/relationships/hyperlink" Target="file:///\\hopi-fs\shares\users\dhar\Stalk%20mount%20testing\Type%201e%20Quality%20Assurance\CRYO-2083-4898%202526%201E" TargetMode="External"/><Relationship Id="rId483" Type="http://schemas.openxmlformats.org/officeDocument/2006/relationships/hyperlink" Target="file:///\\hopi-fs\shares\users\dhar\STALK%20MOUNT%20TESTING\Type%201e%20Quality%20Assurance\CRYO-41855-691%202621%201E" TargetMode="External"/><Relationship Id="rId539" Type="http://schemas.openxmlformats.org/officeDocument/2006/relationships/hyperlink" Target="file:///\\hopi-fs\shares\users\dhar\Stalk%20mount%20testing\Type%201e%20Quality%20Assurance\CRYO-42659-777%202548%201E" TargetMode="External"/><Relationship Id="rId40" Type="http://schemas.openxmlformats.org/officeDocument/2006/relationships/hyperlink" Target="file:///\\hopi-fs\shares\users\dhar\Stalk%20mount%20testing\Type%201e%20Quality%20Assurance\CRYO-2062-3521%202329%201E" TargetMode="External"/><Relationship Id="rId136" Type="http://schemas.openxmlformats.org/officeDocument/2006/relationships/hyperlink" Target="file:///\\hopi-fs\shares\users\dhar\Stalk%20mount%20testing\Type%201e%20Quality%20Assurance\CRYO-2077-3007%202382%201E" TargetMode="External"/><Relationship Id="rId178" Type="http://schemas.openxmlformats.org/officeDocument/2006/relationships/hyperlink" Target="file:///\\hopi-fs\shares\users\dhar\Stalk%20mount%20testing\Type%201e%20Quality%20Assurance\CRYO-2079-4091%202269%201E" TargetMode="External"/><Relationship Id="rId301" Type="http://schemas.openxmlformats.org/officeDocument/2006/relationships/hyperlink" Target="file:///\\hopi-fs\shares\users\dhar\Stalk%20mount%20testing\Type%201e%20Quality%20Assurance\CRYO-9081-0378%202383%201E" TargetMode="External"/><Relationship Id="rId343" Type="http://schemas.openxmlformats.org/officeDocument/2006/relationships/hyperlink" Target="file:///\\hopi-fs\shares\users\dhar\Stalk%20mount%20testing\Type%201e%20Quality%20Assurance\CRYO-42249-0262%202511%201E" TargetMode="External"/><Relationship Id="rId550" Type="http://schemas.openxmlformats.org/officeDocument/2006/relationships/hyperlink" Target="file:///\\hopi-fs\shares\users\dhar\Stalk%20mount%20testing\Type%201e%20Quality%20Assurance\CRYO-42044-791%202578%201E" TargetMode="External"/><Relationship Id="rId82" Type="http://schemas.openxmlformats.org/officeDocument/2006/relationships/hyperlink" Target="file:///\\hopi-fs\shares\users\dhar\Stalk%20mount%20testing\Type%201e%20Quality%20Assurance\CRYO-2081-3831%202350%201E" TargetMode="External"/><Relationship Id="rId203" Type="http://schemas.openxmlformats.org/officeDocument/2006/relationships/hyperlink" Target="file:///\\hopi-fs\shares\users\dhar\Stalk%20mount%20testing\Type%201e%20Quality%20Assurance\CRYO-2060-4319%202356%201E" TargetMode="External"/><Relationship Id="rId385" Type="http://schemas.openxmlformats.org/officeDocument/2006/relationships/hyperlink" Target="file:///\\hopi-fs\shares\users\dhar\Stalk%20mount%20testing\Type%201e%20Quality%20Assurance\CRYO-42042-587%202469%201E" TargetMode="External"/><Relationship Id="rId592" Type="http://schemas.openxmlformats.org/officeDocument/2006/relationships/hyperlink" Target="file:///\\hopi-fs\shares\users\dhar\Stalk%20mount%20testing\Type%201e%20Quality%20Assurance\CRYO-41358-859%202673%201E" TargetMode="External"/><Relationship Id="rId606" Type="http://schemas.openxmlformats.org/officeDocument/2006/relationships/hyperlink" Target="file:///\\hopi-fs\shares\users\dhar\Stalk%20mount%20testing\Type%201e%20Quality%20Assurance\CRYO-41562-871%202683%201E" TargetMode="External"/><Relationship Id="rId245" Type="http://schemas.openxmlformats.org/officeDocument/2006/relationships/hyperlink" Target="file:///\\hopi-fs\shares\users\dhar\Stalk%20mount%20testing\Type%201e%20Quality%20Assurance\CRYO-2082-4376%202450%201E" TargetMode="External"/><Relationship Id="rId287" Type="http://schemas.openxmlformats.org/officeDocument/2006/relationships/hyperlink" Target="file:///\\hopi-fs\shares\users\dhar\Stalk%20mount%20testing\Type%201e%20Quality%20Assurance\CRYO-2077-4587%202426%201E" TargetMode="External"/><Relationship Id="rId410" Type="http://schemas.openxmlformats.org/officeDocument/2006/relationships/hyperlink" Target="file:///\\hopi-fs\shares\users\dhar\Stalk%20mount%20testing\Type%201e%20Quality%20Assurance\CRYO-2081-4785%201649%201E" TargetMode="External"/><Relationship Id="rId452" Type="http://schemas.openxmlformats.org/officeDocument/2006/relationships/hyperlink" Target="file:///\\hopi-fs\shares\users\dhar\Stalk%20mount%20testing\Type%201e%20Quality%20Assurance\CRYO-2086-4956%202147%201E" TargetMode="External"/><Relationship Id="rId494" Type="http://schemas.openxmlformats.org/officeDocument/2006/relationships/hyperlink" Target="file:///\\hopi-fs\shares\users\dhar\STALK%20MOUNT%20TESTING\Type%201e%20Quality%20Assurance\CRYO-ME-ISE-2Q16-10-C326%201E%202618%20MEQ" TargetMode="External"/><Relationship Id="rId508" Type="http://schemas.openxmlformats.org/officeDocument/2006/relationships/hyperlink" Target="file:///\\hopi-fs\shares\users\dhar\Stalk%20mount%20testing\Type%201e%20Quality%20Assurance\CRYO-9082-0384%202609%201E" TargetMode="External"/><Relationship Id="rId105" Type="http://schemas.openxmlformats.org/officeDocument/2006/relationships/hyperlink" Target="file:///\\hopi-fs\shares\users\dhar\Stalk%20mount%20testing\Type%201e%20Quality%20Assurance\CRYO-2061-3845%202361%201E" TargetMode="External"/><Relationship Id="rId147" Type="http://schemas.openxmlformats.org/officeDocument/2006/relationships/hyperlink" Target="file:///\\hopi-fs\shares\users\dhar\Stalk%20mount%20testing\Type%201e%20Quality%20Assurance\CRYO-2060-4025%202398%201E" TargetMode="External"/><Relationship Id="rId312" Type="http://schemas.openxmlformats.org/officeDocument/2006/relationships/hyperlink" Target="file:///\\hopi-fs\shares\users\dhar\Stalk%20mount%20testing\Type%201e%20Quality%20Assurance\CRYO-42053-365%202485%201E" TargetMode="External"/><Relationship Id="rId354" Type="http://schemas.openxmlformats.org/officeDocument/2006/relationships/hyperlink" Target="file:///\\hopi-fs\shares\users\dhar\Stalk%20mount%20testing\Type%201e%20Quality%20Assurance\CRYO-42052-0289%202405%201E" TargetMode="External"/><Relationship Id="rId51" Type="http://schemas.openxmlformats.org/officeDocument/2006/relationships/hyperlink" Target="file:///\\hopi-fs\shares\users\dhar\Stalk%20mount%20testing\Type%201e%20Quality%20Assurance\CRYO-2062-3704%202321%201E" TargetMode="External"/><Relationship Id="rId93" Type="http://schemas.openxmlformats.org/officeDocument/2006/relationships/hyperlink" Target="file:///\\hopi-fs\shares\users\dhar\Stalk%20mount%20testing\Type%201e%20Quality%20Assurance\CRYO-44335-0231%202359%201E" TargetMode="External"/><Relationship Id="rId189" Type="http://schemas.openxmlformats.org/officeDocument/2006/relationships/hyperlink" Target="file:///\\hopi-fs\shares\users\dhar\Stalk%20mount%20testing\Type%201e%20Quality%20Assurance\CRYO-2066-4270%202382%201E" TargetMode="External"/><Relationship Id="rId396" Type="http://schemas.openxmlformats.org/officeDocument/2006/relationships/hyperlink" Target="file:///\\hopi-fs\shares\users\dhar\Stalk%20mount%20testing\Type%201e%20Quality%20Assurance\CRYO-42255-605%201513%201E" TargetMode="External"/><Relationship Id="rId561" Type="http://schemas.openxmlformats.org/officeDocument/2006/relationships/hyperlink" Target="file:///\\hopi-fs\shares\users\dhar\Stalk%20mount%20testing\Type%201e%20Quality%20Assurance\CRYO-2046-4984%202584%201E" TargetMode="External"/><Relationship Id="rId214" Type="http://schemas.openxmlformats.org/officeDocument/2006/relationships/hyperlink" Target="file:///\\hopi-fs\shares\users\dhar\Stalk%20mount%20testing\Type%201e%20Quality%20Assurance\CRYO-2076-4223%202410%201E" TargetMode="External"/><Relationship Id="rId256" Type="http://schemas.openxmlformats.org/officeDocument/2006/relationships/hyperlink" Target="file:///\\hopi-fs\shares\users\dhar\Stalk%20mount%20testing\Type%201e%20Quality%20Assurance\CRYO-2076-4481%202415%201E" TargetMode="External"/><Relationship Id="rId298" Type="http://schemas.openxmlformats.org/officeDocument/2006/relationships/hyperlink" Target="file:///\\hopi-fs\shares\users\dhar\Stalk%20mount%20testing\Type%201e%20Quality%20Assurance\CRYO-9079-0387%202446%201E" TargetMode="External"/><Relationship Id="rId421" Type="http://schemas.openxmlformats.org/officeDocument/2006/relationships/hyperlink" Target="file:///\\hopi-fs\shares\users\dhar\Stalk%20mount%20testing\Type%201e%20Quality%20Assurance\CRYO-5079-027%202522%201E" TargetMode="External"/><Relationship Id="rId463" Type="http://schemas.openxmlformats.org/officeDocument/2006/relationships/hyperlink" Target="file:///\\hopi-fs\shares\users\dhar\Stalk%20mount%20testing\Type%201e%20Quality%20Assurance\CRYO-43554-621%202600%201E" TargetMode="External"/><Relationship Id="rId519" Type="http://schemas.openxmlformats.org/officeDocument/2006/relationships/hyperlink" Target="file:///\\hopi-fs\shares\users\dhar\Stalk%20mount%20testing\Type%201e%20Quality%20Assurance\CRYO-41858-648%202613%201E" TargetMode="External"/><Relationship Id="rId116" Type="http://schemas.openxmlformats.org/officeDocument/2006/relationships/hyperlink" Target="file:///\\hopi-fs\shares\users\dhar\Stalk%20mount%20testing\Type%201e%20Quality%20Assurance\CRYO-2080-3895%202377%201E" TargetMode="External"/><Relationship Id="rId158" Type="http://schemas.openxmlformats.org/officeDocument/2006/relationships/hyperlink" Target="file:///\\hopi-fs\shares\users\dhar\Stalk%20mount%20testing\Type%201e%20Quality%20Assurance\CRYO-9081-0313%202294%201E" TargetMode="External"/><Relationship Id="rId323" Type="http://schemas.openxmlformats.org/officeDocument/2006/relationships/hyperlink" Target="file:///\\hopi-fs\shares\users\dhar\Stalk%20mount%20testing\Type%201e%20Quality%20Assurance\CRYO-42053-0274%202499%201E" TargetMode="External"/><Relationship Id="rId530" Type="http://schemas.openxmlformats.org/officeDocument/2006/relationships/hyperlink" Target="file:///\\hopi-fs\shares\users\dhar\Stalk%20mount%20testing\Type%201e%20Quality%20Assurance\CRYO-42456-750%202549%201E" TargetMode="External"/><Relationship Id="rId20" Type="http://schemas.openxmlformats.org/officeDocument/2006/relationships/hyperlink" Target="file:///\\hopi-fs\shares\users\dhar\Stalk%20mount%20testing\Type%201e%20Quality%20Assurance\CRYO-9079-0159%202311%201E" TargetMode="External"/><Relationship Id="rId62" Type="http://schemas.openxmlformats.org/officeDocument/2006/relationships/hyperlink" Target="file:///\\hopi-fs\shares\users\dhar\Stalk%20mount%20testing\Type%201e%20Quality%20Assurance\CRYO-2062-3803%202328%201E" TargetMode="External"/><Relationship Id="rId365" Type="http://schemas.openxmlformats.org/officeDocument/2006/relationships/hyperlink" Target="file:///\\hopi-fs\shares\users\dhar\Stalk%20mount%20testing\Type%201e%20Quality%20Assurance\CRYO-41264-556%201769%201E" TargetMode="External"/><Relationship Id="rId572" Type="http://schemas.openxmlformats.org/officeDocument/2006/relationships/hyperlink" Target="file:///\\hopi-fs\shares\users\dhar\Stalk%20mount%20testing\Type%201e%20Quality%20Assurance\CRYO-42156-803%202562%201E" TargetMode="External"/><Relationship Id="rId225" Type="http://schemas.openxmlformats.org/officeDocument/2006/relationships/hyperlink" Target="file:///\\hopi-fs\shares\users\dhar\Stalk%20mount%20testing\Type%201e%20Quality%20Assurance\CRYO-2080-3969%202418%201E" TargetMode="External"/><Relationship Id="rId267" Type="http://schemas.openxmlformats.org/officeDocument/2006/relationships/hyperlink" Target="file:///\\hopi-fs\shares\users\dhar\Stalk%20mount%20testing\Type%201e%20Quality%20Assurance\CRYO-2076-3024%202448%201E" TargetMode="External"/><Relationship Id="rId432" Type="http://schemas.openxmlformats.org/officeDocument/2006/relationships/hyperlink" Target="file:///\\hopi-fs\shares\users\dhar\Stalk%20mount%20testing\Type%201e%20Quality%20Assurance\CRYO-5079-055%201511%201E" TargetMode="External"/><Relationship Id="rId474" Type="http://schemas.openxmlformats.org/officeDocument/2006/relationships/hyperlink" Target="file:///\\hopi-fs\shares\users\dhar\STALK%20MOUNT%20TESTING\Type%201e%20Quality%20Assurance\CRYO-42352-647%202605%201E" TargetMode="External"/><Relationship Id="rId127" Type="http://schemas.openxmlformats.org/officeDocument/2006/relationships/hyperlink" Target="file:///\\hopi-fs\shares\users\dhar\Stalk%20mount%20testing\Type%201e%20Quality%20Assurance\CRYO-2078-3984%202389%201E" TargetMode="External"/><Relationship Id="rId31" Type="http://schemas.openxmlformats.org/officeDocument/2006/relationships/hyperlink" Target="file:///\\hopi-fs\shares\users\dhar\Stalk%20mount%20testing\Type%201e%20Quality%20Assurance\CRYO-9083-0173%202311%201E" TargetMode="External"/><Relationship Id="rId73" Type="http://schemas.openxmlformats.org/officeDocument/2006/relationships/hyperlink" Target="file:///\\hopi-fs\shares\users\dhar\Stalk%20mount%20testing\Type%201e%20Quality%20Assurance\CRYO-2062-3752%202346%201E" TargetMode="External"/><Relationship Id="rId169" Type="http://schemas.openxmlformats.org/officeDocument/2006/relationships/hyperlink" Target="file:///\\hopi-fs\shares\users\dhar\Stalk%20mount%20testing\Type%201e%20Quality%20Assurance\CRYO-2079-4074%201464%201E" TargetMode="External"/><Relationship Id="rId334" Type="http://schemas.openxmlformats.org/officeDocument/2006/relationships/hyperlink" Target="file:///\\hopi-fs\shares\users\dhar\Stalk%20mount%20testing\Type%201e%20Quality%20Assurance\CRYO-42459-376%201856%201E" TargetMode="External"/><Relationship Id="rId376" Type="http://schemas.openxmlformats.org/officeDocument/2006/relationships/hyperlink" Target="file:///\\hopi-fs\shares\users\dhar\Stalk%20mount%20testing\Type%201e%20Quality%20Assurance\CRYO-41953-344%201946%201E" TargetMode="External"/><Relationship Id="rId541" Type="http://schemas.openxmlformats.org/officeDocument/2006/relationships/hyperlink" Target="file:///\\hopi-fs\shares\users\dhar\Stalk%20mount%20testing\Type%201e%20Quality%20Assurance\CRYO-42355-761%202662%201E" TargetMode="External"/><Relationship Id="rId583" Type="http://schemas.openxmlformats.org/officeDocument/2006/relationships/hyperlink" Target="file:///\\hopi-fs\shares\users\dhar\Stalk%20mount%20testing\Type%201e%20Quality%20Assurance\CRYO-41858-837%202639%201E" TargetMode="External"/><Relationship Id="rId4" Type="http://schemas.openxmlformats.org/officeDocument/2006/relationships/hyperlink" Target="file:///\\hopi-fs\shares\users\dhar\Stalk%20mount%20testing\Type%201e%20Quality%20Assurance\CRYO-2078-3596%202253%201E" TargetMode="External"/><Relationship Id="rId180" Type="http://schemas.openxmlformats.org/officeDocument/2006/relationships/hyperlink" Target="file:///\\hopi-fs\shares\users\dhar\Stalk%20mount%20testing\Type%201e%20Quality%20Assurance\CRYO-2076-4172%202333%201E" TargetMode="External"/><Relationship Id="rId236" Type="http://schemas.openxmlformats.org/officeDocument/2006/relationships/hyperlink" Target="file:///\\hopi-fs\shares\users\dhar\Stalk%20mount%20testing\Type%201e%20Quality%20Assurance\CRYO-2074-4479%202333%201E" TargetMode="External"/><Relationship Id="rId278" Type="http://schemas.openxmlformats.org/officeDocument/2006/relationships/hyperlink" Target="file:///\\hopi-fs\shares\users\dhar\Stalk%20mount%20testing\Type%201e%20Quality%20Assurance\CRYO-2081-4515%202465%201E" TargetMode="External"/><Relationship Id="rId401" Type="http://schemas.openxmlformats.org/officeDocument/2006/relationships/hyperlink" Target="file:///\\hopi-fs\shares\users\dhar\Stalk%20mount%20testing\Type%201e%20Quality%20Assurance\CRYO-42255-618%202015%201E" TargetMode="External"/><Relationship Id="rId443" Type="http://schemas.openxmlformats.org/officeDocument/2006/relationships/hyperlink" Target="file:///\\hopi-fs\shares\users\dhar\Stalk%20mount%20testing\Type%201e%20Quality%20Assurance\CRYO-2084-4921%202528%201E" TargetMode="External"/><Relationship Id="rId303" Type="http://schemas.openxmlformats.org/officeDocument/2006/relationships/hyperlink" Target="file:///\\hopi-fs\shares\users\dhar\Stalk%20mount%20testing\Type%201e%20Quality%20Assurance\CRYO-42053-0287%202477%201E" TargetMode="External"/><Relationship Id="rId485" Type="http://schemas.openxmlformats.org/officeDocument/2006/relationships/hyperlink" Target="file:///\\hopi-fs\shares\users\dhar\STALK%20MOUNT%20TESTING\Type%201e%20Quality%20Assurance\CRYO-41854-675%202616%201E" TargetMode="External"/><Relationship Id="rId42" Type="http://schemas.openxmlformats.org/officeDocument/2006/relationships/hyperlink" Target="file:///\\hopi-fs\shares\users\dhar\Stalk%20mount%20testing\Type%201e%20Quality%20Assurance\CRYO-2079-3499%202331%201E" TargetMode="External"/><Relationship Id="rId84" Type="http://schemas.openxmlformats.org/officeDocument/2006/relationships/hyperlink" Target="file:///\\hopi-fs\shares\users\dhar\Stalk%20mount%20testing\Type%201e%20Quality%20Assurance\CRYO-2081-3829%202350%201E" TargetMode="External"/><Relationship Id="rId138" Type="http://schemas.openxmlformats.org/officeDocument/2006/relationships/hyperlink" Target="file:///\\hopi-fs\shares\users\dhar\Stalk%20mount%20testing\Type%201e%20Quality%20Assurance\CRYO-2063-4002%202390%201E" TargetMode="External"/><Relationship Id="rId345" Type="http://schemas.openxmlformats.org/officeDocument/2006/relationships/hyperlink" Target="file:///\\hopi-fs\shares\users\dhar\Stalk%20mount%20testing\Type%201e%20Quality%20Assurance\CRYO-41955-0297%202507%201E" TargetMode="External"/><Relationship Id="rId387" Type="http://schemas.openxmlformats.org/officeDocument/2006/relationships/hyperlink" Target="file:///\\hopi-fs\shares\users\dhar\Stalk%20mount%20testing\Type%201e%20Quality%20Assurance\CRYO-42042-598%202188%201E" TargetMode="External"/><Relationship Id="rId510" Type="http://schemas.openxmlformats.org/officeDocument/2006/relationships/hyperlink" Target="file:///\\hopi-fs\shares\users\dhar\Stalk%20mount%20testing\Type%201e%20Quality%20Assurance\CRYO-41858-698%202628%201E" TargetMode="External"/><Relationship Id="rId552" Type="http://schemas.openxmlformats.org/officeDocument/2006/relationships/hyperlink" Target="file:///\\hopi-fs\shares\users\dhar\Stalk%20mount%20testing\Type%201e%20Quality%20Assurance\CRYO-42041-792%202580%201E" TargetMode="External"/><Relationship Id="rId594" Type="http://schemas.openxmlformats.org/officeDocument/2006/relationships/hyperlink" Target="file:///\\hopi-fs\shares\users\dhar\Stalk%20mount%20testing\Type%201e%20Quality%20Assurance\CRYO-41860-864%202677%201E" TargetMode="External"/><Relationship Id="rId608" Type="http://schemas.openxmlformats.org/officeDocument/2006/relationships/hyperlink" Target="file:///\\hopi-fs\shares\users\dhar\Stalk%20mount%20testing\Type%201e%20Quality%20Assurance\CRYO-41457-921%202685%201E" TargetMode="External"/><Relationship Id="rId191" Type="http://schemas.openxmlformats.org/officeDocument/2006/relationships/hyperlink" Target="file:///\\hopi-fs\shares\users\dhar\Stalk%20mount%20testing\Type%201e%20Quality%20Assurance\CRYO-2066-4274%202386%201E" TargetMode="External"/><Relationship Id="rId205" Type="http://schemas.openxmlformats.org/officeDocument/2006/relationships/hyperlink" Target="file:///\\hopi-fs\shares\users\dhar\Stalk%20mount%20testing\Type%201e%20Quality%20Assurance\CRYO-2060-4321%202262%201E" TargetMode="External"/><Relationship Id="rId247" Type="http://schemas.openxmlformats.org/officeDocument/2006/relationships/hyperlink" Target="file:///\\hopi-fs\shares\users\dhar\Stalk%20mount%20testing\Type%201e%20Quality%20Assurance\CRYO-2078-3161%202426%201E" TargetMode="External"/><Relationship Id="rId412" Type="http://schemas.openxmlformats.org/officeDocument/2006/relationships/hyperlink" Target="file:///\\hopi-fs\shares\users\dhar\Stalk%20mount%20testing\Type%201e%20Quality%20Assurance\CRYO-2081-4791%201646%201E" TargetMode="External"/><Relationship Id="rId107" Type="http://schemas.openxmlformats.org/officeDocument/2006/relationships/hyperlink" Target="file:///\\hopi-fs\shares\users\dhar\Stalk%20mount%20testing\Type%201e%20Quality%20Assurance\CRYO-2061-3850%202365%201E" TargetMode="External"/><Relationship Id="rId289" Type="http://schemas.openxmlformats.org/officeDocument/2006/relationships/hyperlink" Target="file:///\\hopi-fs\shares\users\dhar\Stalk%20mount%20testing\Type%201e%20Quality%20Assurance\CRYO-9079-0367%202466%201E" TargetMode="External"/><Relationship Id="rId454" Type="http://schemas.openxmlformats.org/officeDocument/2006/relationships/hyperlink" Target="file:///\\hopi-fs\shares\users\dhar\Stalk%20mount%20testing\Type%201e%20Quality%20Assurance\CRYO-2087-4941%202527%201E" TargetMode="External"/><Relationship Id="rId496" Type="http://schemas.openxmlformats.org/officeDocument/2006/relationships/hyperlink" Target="file:///\\hopi-fs\shares\users\dhar\STALK%20MOUNT%20TESTING\Type%201e%20Quality%20Assurance\CRYO-9082-0349%202608%201E" TargetMode="External"/><Relationship Id="rId11" Type="http://schemas.openxmlformats.org/officeDocument/2006/relationships/hyperlink" Target="file:///\\hopi-fs\shares\users\dhar\Stalk%20mount%20testing\Type%201e%20Quality%20Assurance\CRYO-2077-3570%202237%201E" TargetMode="External"/><Relationship Id="rId53" Type="http://schemas.openxmlformats.org/officeDocument/2006/relationships/hyperlink" Target="file:///\\hopi-fs\shares\users\dhar\Stalk%20mount%20testing\Type%201e%20Quality%20Assurance\CRYO-2065-3707%202334%201E" TargetMode="External"/><Relationship Id="rId149" Type="http://schemas.openxmlformats.org/officeDocument/2006/relationships/hyperlink" Target="file:///\\hopi-fs\shares\users\dhar\Stalk%20mount%20testing\Type%201e%20Quality%20Assurance\CRYO-2076-3027%202376%201E" TargetMode="External"/><Relationship Id="rId314" Type="http://schemas.openxmlformats.org/officeDocument/2006/relationships/hyperlink" Target="file:///\\hopi-fs\shares\users\dhar\Stalk%20mount%20testing\Type%201e%20Quality%20Assurance\CRYO-42053-367%202487%201E" TargetMode="External"/><Relationship Id="rId356" Type="http://schemas.openxmlformats.org/officeDocument/2006/relationships/hyperlink" Target="file:///\\hopi-fs\shares\users\dhar\Stalk%20mount%20testing\Type%201e%20Quality%20Assurance\CRYO-42250-0283%202407%201E" TargetMode="External"/><Relationship Id="rId398" Type="http://schemas.openxmlformats.org/officeDocument/2006/relationships/hyperlink" Target="file:///\\hopi-fs\shares\users\dhar\Stalk%20mount%20testing\Type%201e%20Quality%20Assurance\CRYO-42255-608%201989%201E" TargetMode="External"/><Relationship Id="rId521" Type="http://schemas.openxmlformats.org/officeDocument/2006/relationships/hyperlink" Target="file:///\\hopi-fs\shares\users\dhar\Stalk%20mount%20testing\Type%201e%20Quality%20Assurance\CRYO-42260-403%202530%201E" TargetMode="External"/><Relationship Id="rId563" Type="http://schemas.openxmlformats.org/officeDocument/2006/relationships/hyperlink" Target="file:///\\hopi-fs\shares\users\dhar\Stalk%20mount%20testing\Type%201e%20Quality%20Assurance\CRYO-2046-4972%202555%201E" TargetMode="External"/><Relationship Id="rId95" Type="http://schemas.openxmlformats.org/officeDocument/2006/relationships/hyperlink" Target="file:///\\hopi-fs\shares\users\dhar\Stalk%20mount%20testing\Type%201e%20Quality%20Assurance\CRYO-44235-0233%202359%201E" TargetMode="External"/><Relationship Id="rId160" Type="http://schemas.openxmlformats.org/officeDocument/2006/relationships/hyperlink" Target="file:///\\hopi-fs\shares\users\dhar\Stalk%20mount%20testing\Type%201e%20Quality%20Assurance\CRYO-9080-0338%201891%201E" TargetMode="External"/><Relationship Id="rId216" Type="http://schemas.openxmlformats.org/officeDocument/2006/relationships/hyperlink" Target="file:///\\hopi-fs\shares\users\dhar\Stalk%20mount%20testing\Type%201e%20Quality%20Assurance\CRYO-2075-4185%202419%201E" TargetMode="External"/><Relationship Id="rId423" Type="http://schemas.openxmlformats.org/officeDocument/2006/relationships/hyperlink" Target="file:///\\hopi-fs\shares\users\dhar\Stalk%20mount%20testing\Type%201e%20Quality%20Assurance\CRYO-5078-031%202519%201E" TargetMode="External"/><Relationship Id="rId258" Type="http://schemas.openxmlformats.org/officeDocument/2006/relationships/hyperlink" Target="file:///\\hopi-fs\shares\users\dhar\Stalk%20mount%20testing\Type%201e%20Quality%20Assurance\CRYO-2077-4191%202443%201E" TargetMode="External"/><Relationship Id="rId465" Type="http://schemas.openxmlformats.org/officeDocument/2006/relationships/hyperlink" Target="file:///\\hopi-fs\shares\users\dhar\Stalk%20mount%20testing\Type%201e%20Quality%20Assurance\CRYO-43355-645%202958%201E" TargetMode="External"/><Relationship Id="rId22" Type="http://schemas.openxmlformats.org/officeDocument/2006/relationships/hyperlink" Target="file:///\\hopi-fs\shares\users\dhar\Stalk%20mount%20testing\Type%201e%20Quality%20Assurance\CRYO-9082-0154%202259%201E" TargetMode="External"/><Relationship Id="rId64" Type="http://schemas.openxmlformats.org/officeDocument/2006/relationships/hyperlink" Target="file:///\\hopi-fs\shares\users\dhar\Stalk%20mount%20testing\Type%201e%20Quality%20Assurance\CRYO-2062-3799%202341%201E" TargetMode="External"/><Relationship Id="rId118" Type="http://schemas.openxmlformats.org/officeDocument/2006/relationships/hyperlink" Target="file:///\\hopi-fs\shares\users\dhar\Stalk%20mount%20testing\Type%201e%20Quality%20Assurance\CRYO-2077-3015%202379%201E" TargetMode="External"/><Relationship Id="rId325" Type="http://schemas.openxmlformats.org/officeDocument/2006/relationships/hyperlink" Target="file:///\\hopi-fs\shares\users\dhar\Stalk%20mount%20testing\Type%201e%20Quality%20Assurance\CRYO-42152-0278%202474%201E" TargetMode="External"/><Relationship Id="rId367" Type="http://schemas.openxmlformats.org/officeDocument/2006/relationships/hyperlink" Target="file:///\\hopi-fs\shares\users\dhar\Stalk%20mount%20testing\Type%201e%20Quality%20Assurance\CRYO-41955-0296%201423%201E" TargetMode="External"/><Relationship Id="rId532" Type="http://schemas.openxmlformats.org/officeDocument/2006/relationships/hyperlink" Target="file:///\\hopi-fs\shares\users\dhar\Stalk%20mount%20testing\Type%201e%20Quality%20Assurance\CRYO-42456-764%202663%201E" TargetMode="External"/><Relationship Id="rId574" Type="http://schemas.openxmlformats.org/officeDocument/2006/relationships/hyperlink" Target="file:///\\hopi-fs\shares\users\dhar\Stalk%20mount%20testing\Type%201e%20Quality%20Assurance\CRYO-41858-839%202638%20%201E" TargetMode="External"/><Relationship Id="rId171" Type="http://schemas.openxmlformats.org/officeDocument/2006/relationships/hyperlink" Target="file:///\\hopi-fs\shares\users\dhar\Stalk%20mount%20testing\Type%201e%20Quality%20Assurance\CRYO-2078-4063%202351%201E" TargetMode="External"/><Relationship Id="rId227" Type="http://schemas.openxmlformats.org/officeDocument/2006/relationships/hyperlink" Target="file:///\\hopi-fs\shares\users\dhar\Stalk%20mount%20testing\Type%201e%20Quality%20Assurance\CRYO-2060-4428%201949%201E" TargetMode="External"/><Relationship Id="rId269" Type="http://schemas.openxmlformats.org/officeDocument/2006/relationships/hyperlink" Target="file:///\\hopi-fs\shares\users\dhar\Stalk%20mount%20testing\Type%201e%20Quality%20Assurance\CRYO-2075-4217%202440%201E" TargetMode="External"/><Relationship Id="rId434" Type="http://schemas.openxmlformats.org/officeDocument/2006/relationships/hyperlink" Target="file:///\\hopi-fs\shares\users\dhar\Stalk%20mount%20testing\Type%201e%20Quality%20Assurance\CRYO-2084-4894%202590%201E" TargetMode="External"/><Relationship Id="rId476" Type="http://schemas.openxmlformats.org/officeDocument/2006/relationships/hyperlink" Target="file:///\\hopi-fs\shares\users\dhar\STALK%20MOUNT%20TESTING\Type%201e%20Quality%20Assurance\CRYO-41362-660%202604%201E" TargetMode="External"/><Relationship Id="rId33" Type="http://schemas.openxmlformats.org/officeDocument/2006/relationships/hyperlink" Target="file:///\\hopi-fs\shares\users\dhar\Stalk%20mount%20testing\Type%201e%20Quality%20Assurance\CRYO-2078-3662%202320%201E" TargetMode="External"/><Relationship Id="rId129" Type="http://schemas.openxmlformats.org/officeDocument/2006/relationships/hyperlink" Target="file:///\\hopi-fs\shares\users\dhar\Stalk%20mount%20testing\Type%201e%20Quality%20Assurance\CRYO-2078-3975%202383%201E" TargetMode="External"/><Relationship Id="rId280" Type="http://schemas.openxmlformats.org/officeDocument/2006/relationships/hyperlink" Target="file:///\\hopi-fs\shares\users\dhar\Stalk%20mount%20testing\Type%201e%20Quality%20Assurance\CRYO-2078-4586%202421%201E" TargetMode="External"/><Relationship Id="rId336" Type="http://schemas.openxmlformats.org/officeDocument/2006/relationships/hyperlink" Target="file:///\\hopi-fs\shares\users\dhar\Stalk%20mount%20testing\Type%201e%20Quality%20Assurance\CRYO-41954-439%202506%201E" TargetMode="External"/><Relationship Id="rId501" Type="http://schemas.openxmlformats.org/officeDocument/2006/relationships/hyperlink" Target="file:///\\hopi-fs\shares\users\dhar\Stalk%20mount%20testing\Type%201e%20Quality%20Assurance\CRYO-9082-0384%202614%201E" TargetMode="External"/><Relationship Id="rId543" Type="http://schemas.openxmlformats.org/officeDocument/2006/relationships/hyperlink" Target="file:///\\hopi-fs\shares\users\dhar\Stalk%20mount%20testing\Type%201e%20Quality%20Assurance\CRYO-42447-783%202547%201E" TargetMode="External"/><Relationship Id="rId75" Type="http://schemas.openxmlformats.org/officeDocument/2006/relationships/hyperlink" Target="file:///\\hopi-fs\shares\users\dhar\Stalk%20mount%20testing\Type%201e%20Quality%20Assurance\CRYO-2061-3790%202343%201E" TargetMode="External"/><Relationship Id="rId140" Type="http://schemas.openxmlformats.org/officeDocument/2006/relationships/hyperlink" Target="file:///\\hopi-fs\shares\users\dhar\Stalk%20mount%20testing\Type%201e%20Quality%20Assurance\CRYO-2061-4008%202392%201E" TargetMode="External"/><Relationship Id="rId182" Type="http://schemas.openxmlformats.org/officeDocument/2006/relationships/hyperlink" Target="file:///\\hopi-fs\shares\users\dhar\Stalk%20mount%20testing\Type%201e%20Quality%20Assurance\CRYO-2076-4154%202247%201E" TargetMode="External"/><Relationship Id="rId378" Type="http://schemas.openxmlformats.org/officeDocument/2006/relationships/hyperlink" Target="file:///\\hopi-fs\shares\users\dhar\Stalk%20mount%20testing\Type%201e%20Quality%20Assurance\CRYO-41953-355%202410%201E" TargetMode="External"/><Relationship Id="rId403" Type="http://schemas.openxmlformats.org/officeDocument/2006/relationships/hyperlink" Target="file:///\\hopi-fs\shares\users\dhar\Stalk%20mount%20testing\Type%201e%20Quality%20Assurance\CRYO-42355-606%202011%201E" TargetMode="External"/><Relationship Id="rId585" Type="http://schemas.openxmlformats.org/officeDocument/2006/relationships/hyperlink" Target="file:///\\hopi-fs\shares\users\dhar\Stalk%20mount%20testing\Type%201e%20Quality%20Assurance\CRYO-2080-4783%202563%201E" TargetMode="External"/><Relationship Id="rId6" Type="http://schemas.openxmlformats.org/officeDocument/2006/relationships/hyperlink" Target="file:///\\hopi-fs\shares\users\dhar\Stalk%20mount%20testing\Type%201e%20Quality%20Assurance\CRYO-2078-3597%202214%201E" TargetMode="External"/><Relationship Id="rId238" Type="http://schemas.openxmlformats.org/officeDocument/2006/relationships/hyperlink" Target="file:///\\hopi-fs\shares\users\dhar\Stalk%20mount%20testing\Type%201e%20Quality%20Assurance\CRYO-2074-4495%202298%201E" TargetMode="External"/><Relationship Id="rId445" Type="http://schemas.openxmlformats.org/officeDocument/2006/relationships/hyperlink" Target="file:///\\hopi-fs\shares\users\dhar\Stalk%20mount%20testing\Type%201e%20Quality%20Assurance\CRYO-2086-4944%202527%201E" TargetMode="External"/><Relationship Id="rId487" Type="http://schemas.openxmlformats.org/officeDocument/2006/relationships/hyperlink" Target="file:///\\hopi-fs\shares\users\dhar\STALK%20MOUNT%20TESTING\Type%201e%20Quality%20Assurance\CRYO-41955-676%202618%201E" TargetMode="External"/><Relationship Id="rId610" Type="http://schemas.openxmlformats.org/officeDocument/2006/relationships/hyperlink" Target="file:///\\hopi-fs\shares\users\dhar\Stalk%20mount%20testing\Type%201e%20Quality%20Assurance\CRYO-41456-922%202536%201E" TargetMode="External"/><Relationship Id="rId291" Type="http://schemas.openxmlformats.org/officeDocument/2006/relationships/hyperlink" Target="file:///\\hopi-fs\shares\users\dhar\Stalk%20mount%20testing\Type%201e%20Quality%20Assurance\CRYO-9081-0354%202463%201E" TargetMode="External"/><Relationship Id="rId305" Type="http://schemas.openxmlformats.org/officeDocument/2006/relationships/hyperlink" Target="file:///\\hopi-fs\shares\users\dhar\Stalk%20mount%20testing\Type%201e%20Quality%20Assurance\CRYO-42152-0272%202482%201E" TargetMode="External"/><Relationship Id="rId347" Type="http://schemas.openxmlformats.org/officeDocument/2006/relationships/hyperlink" Target="file:///\\hopi-fs\shares\users\dhar\Stalk%20mount%20testing\Type%201e%20Quality%20Assurance\CRYO-42456-482%202514%201E" TargetMode="External"/><Relationship Id="rId512" Type="http://schemas.openxmlformats.org/officeDocument/2006/relationships/hyperlink" Target="file:///\\hopi-fs\shares\users\dhar\Stalk%20mount%20testing\Type%201e%20Quality%20Assurance\CRYO-41956-701%202630%201E" TargetMode="External"/><Relationship Id="rId44" Type="http://schemas.openxmlformats.org/officeDocument/2006/relationships/hyperlink" Target="file:///\\hopi-fs\shares\users\dhar\Stalk%20mount%20testing\Type%201e%20Quality%20Assurance\CRYO-2078-3118%202324%201E" TargetMode="External"/><Relationship Id="rId86" Type="http://schemas.openxmlformats.org/officeDocument/2006/relationships/hyperlink" Target="file:///\\hopi-fs\shares\users\dhar\Stalk%20mount%20testing\Type%201e%20Quality%20Assurance\CRYO-2081-3827%202352%201E" TargetMode="External"/><Relationship Id="rId151" Type="http://schemas.openxmlformats.org/officeDocument/2006/relationships/hyperlink" Target="file:///\\hopi-fs\shares\users\dhar\Stalk%20mount%20testing\Type%201e%20Quality%20Assurance\CRYO-2078-3008%202375%201E" TargetMode="External"/><Relationship Id="rId389" Type="http://schemas.openxmlformats.org/officeDocument/2006/relationships/hyperlink" Target="file:///\\hopi-fs\shares\users\dhar\Stalk%20mount%20testing\Type%201e%20Quality%20Assurance\CRYO-42042-593%201669%201E" TargetMode="External"/><Relationship Id="rId554" Type="http://schemas.openxmlformats.org/officeDocument/2006/relationships/hyperlink" Target="file:///\\hopi-fs\shares\users\dhar\Stalk%20mount%20testing\Type%201e%20Quality%20Assurance\CRYO-42341-794%202576%201E" TargetMode="External"/><Relationship Id="rId596" Type="http://schemas.openxmlformats.org/officeDocument/2006/relationships/hyperlink" Target="file:///\\hopi-fs\shares\users\dhar\Stalk%20mount%20testing\Type%201e%20Quality%20Assurance\CRYO-41861-867%202678%201E" TargetMode="External"/><Relationship Id="rId193" Type="http://schemas.openxmlformats.org/officeDocument/2006/relationships/hyperlink" Target="file:///\\hopi-fs\shares\users\dhar\Stalk%20mount%20testing\Type%201e%20Quality%20Assurance\CRYO-2065-4282%202151%201E" TargetMode="External"/><Relationship Id="rId207" Type="http://schemas.openxmlformats.org/officeDocument/2006/relationships/hyperlink" Target="file:///\\hopi-fs\shares\users\dhar\Stalk%20mount%20testing\Type%201e%20Quality%20Assurance\CRYO-2059-4325%202064%201E" TargetMode="External"/><Relationship Id="rId249" Type="http://schemas.openxmlformats.org/officeDocument/2006/relationships/hyperlink" Target="file:///\\hopi-fs\shares\users\dhar\Stalk%20mount%20testing\Type%201e%20Quality%20Assurance\CRYO-2078-4389%202429%201E" TargetMode="External"/><Relationship Id="rId414" Type="http://schemas.openxmlformats.org/officeDocument/2006/relationships/hyperlink" Target="file:///\\hopi-fs\shares\users\dhar\Stalk%20mount%20testing\Type%201e%20Quality%20Assurance\CRYO-2091-4795%201599%201E" TargetMode="External"/><Relationship Id="rId456" Type="http://schemas.openxmlformats.org/officeDocument/2006/relationships/hyperlink" Target="file:///\\hopi-fs\shares\users\dhar\Stalk%20mount%20testing\Type%201e%20Quality%20Assurance\CRYO-2083-4900%202528%201E" TargetMode="External"/><Relationship Id="rId498" Type="http://schemas.openxmlformats.org/officeDocument/2006/relationships/hyperlink" Target="file:///\\hopi-fs\shares\users\dhar\STALK%20MOUNT%20TESTING\Type%201e%20Quality%20Assurance\CRYO-9082-0372%202610%201E" TargetMode="External"/><Relationship Id="rId13" Type="http://schemas.openxmlformats.org/officeDocument/2006/relationships/hyperlink" Target="file:///\\hopi-fs\shares\users\dhar\Stalk%20mount%20testing\Type%201e%20Quality%20Assurance\CRYO-2077-3605%202253%201E" TargetMode="External"/><Relationship Id="rId109" Type="http://schemas.openxmlformats.org/officeDocument/2006/relationships/hyperlink" Target="file:///\\hopi-fs\shares\users\dhar\Stalk%20mount%20testing\Type%201e%20Quality%20Assurance\CRYO-2077-3901%202370%201E" TargetMode="External"/><Relationship Id="rId260" Type="http://schemas.openxmlformats.org/officeDocument/2006/relationships/hyperlink" Target="file:///\\hopi-fs\shares\users\dhar\Stalk%20mount%20testing\Type%201e%20Quality%20Assurance\CRYO-2074-4474%202308%201E" TargetMode="External"/><Relationship Id="rId316" Type="http://schemas.openxmlformats.org/officeDocument/2006/relationships/hyperlink" Target="file:///\\hopi-fs\shares\users\dhar\Stalk%20mount%20testing\Type%201e%20Quality%20Assurance\CRYO-41951-340%202488%201E" TargetMode="External"/><Relationship Id="rId523" Type="http://schemas.openxmlformats.org/officeDocument/2006/relationships/hyperlink" Target="file:///\\hopi-fs\shares\users\dhar\Stalk%20mount%20testing\Type%201e%20Quality%20Assurance\CRYO-42257-730%202656%201E" TargetMode="External"/><Relationship Id="rId55" Type="http://schemas.openxmlformats.org/officeDocument/2006/relationships/hyperlink" Target="file:///\\hopi-fs\shares\users\dhar\Stalk%20mount%20testing\Type%201e%20Quality%20Assurance\CRYO-2064-3709%202336%201E" TargetMode="External"/><Relationship Id="rId97" Type="http://schemas.openxmlformats.org/officeDocument/2006/relationships/hyperlink" Target="file:///\\hopi-fs\shares\users\dhar\Stalk%20mount%20testing\Type%201e%20Quality%20Assurance\CRYO-44235-0235%202321%201E" TargetMode="External"/><Relationship Id="rId120" Type="http://schemas.openxmlformats.org/officeDocument/2006/relationships/hyperlink" Target="file:///\\hopi-fs\shares\users\dhar\Stalk%20mount%20testing\Type%201e%20Quality%20Assurance\CRYO-2077-3021%202381%201E" TargetMode="External"/><Relationship Id="rId358" Type="http://schemas.openxmlformats.org/officeDocument/2006/relationships/hyperlink" Target="file:///\\hopi-fs\shares\users\dhar\Stalk%20mount%20testing\Type%201e%20Quality%20Assurance\CRYO-42250-0288%201437%201E" TargetMode="External"/><Relationship Id="rId565" Type="http://schemas.openxmlformats.org/officeDocument/2006/relationships/hyperlink" Target="file:///\\hopi-fs\shares\users\dhar\Stalk%20mount%20testing\Type%201e%20Quality%20Assurance\CRYO-2045-4977%202557%201E" TargetMode="External"/><Relationship Id="rId162" Type="http://schemas.openxmlformats.org/officeDocument/2006/relationships/hyperlink" Target="file:///\\hopi-fs\shares\users\dhar\Stalk%20mount%20testing\Type%201e%20Quality%20Assurance\CRYO-9081-0317%202364%201E" TargetMode="External"/><Relationship Id="rId218" Type="http://schemas.openxmlformats.org/officeDocument/2006/relationships/hyperlink" Target="file:///\\hopi-fs\shares\users\dhar\Stalk%20mount%20testing\Type%201e%20Quality%20Assurance\CRYO-2081-3942%202416%201E" TargetMode="External"/><Relationship Id="rId425" Type="http://schemas.openxmlformats.org/officeDocument/2006/relationships/hyperlink" Target="file:///\\hopi-fs\shares\users\dhar\Stalk%20mount%20testing\Type%201e%20Quality%20Assurance\CRYO-42351-0273%202576%201E" TargetMode="External"/><Relationship Id="rId467" Type="http://schemas.openxmlformats.org/officeDocument/2006/relationships/hyperlink" Target="file:///\\hopi-fs\shares\users\dhar\STALK%20MOUNT%20TESTING\Type%201e%20Quality%20Assurance\CRYO-43454-635%202603%201E" TargetMode="External"/><Relationship Id="rId271" Type="http://schemas.openxmlformats.org/officeDocument/2006/relationships/hyperlink" Target="file:///\\hopi-fs\shares\users\dhar\Stalk%20mount%20testing\Type%201e%20Quality%20Assurance\CRYO-2075-4189%202430%201E" TargetMode="External"/><Relationship Id="rId24" Type="http://schemas.openxmlformats.org/officeDocument/2006/relationships/hyperlink" Target="file:///\\hopi-fs\shares\users\dhar\Stalk%20mount%20testing\Type%201e%20Quality%20Assurance\CRYO-9082-0157%202314%201E" TargetMode="External"/><Relationship Id="rId66" Type="http://schemas.openxmlformats.org/officeDocument/2006/relationships/hyperlink" Target="file:///\\hopi-fs\shares\users\dhar\Stalk%20mount%20testing\Type%201e%20Quality%20Assurance\CRYO-2063-3794%202343%201E" TargetMode="External"/><Relationship Id="rId131" Type="http://schemas.openxmlformats.org/officeDocument/2006/relationships/hyperlink" Target="file:///\\hopi-fs\shares\users\dhar\Stalk%20mount%20testing\Type%201e%20Quality%20Assurance\CRYO-2077-3022%202326%201E" TargetMode="External"/><Relationship Id="rId327" Type="http://schemas.openxmlformats.org/officeDocument/2006/relationships/hyperlink" Target="file:///\\hopi-fs\shares\users\dhar\Stalk%20mount%20testing\Type%201e%20Quality%20Assurance\CRYO-2072-4741%202498%201E" TargetMode="External"/><Relationship Id="rId369" Type="http://schemas.openxmlformats.org/officeDocument/2006/relationships/hyperlink" Target="file:///\\hopi-fs\shares\users\dhar\Stalk%20mount%20testing\Type%201e%20Quality%20Assurance\CRYO-41856-0295%201350%201E" TargetMode="External"/><Relationship Id="rId534" Type="http://schemas.openxmlformats.org/officeDocument/2006/relationships/hyperlink" Target="file:///\\hopi-fs\shares\users\dhar\Stalk%20mount%20testing\Type%201e%20Quality%20Assurance\CRYO-41657-672%202550%201E" TargetMode="External"/><Relationship Id="rId576" Type="http://schemas.openxmlformats.org/officeDocument/2006/relationships/hyperlink" Target="file:///\\hopi-fs\shares\users\dhar\Stalk%20mount%20testing\Type%201e%20Quality%20Assurance\CRYO-41858-846%202665%201E" TargetMode="External"/><Relationship Id="rId173" Type="http://schemas.openxmlformats.org/officeDocument/2006/relationships/hyperlink" Target="file:///\\hopi-fs\shares\users\dhar\Stalk%20mount%20testing\Type%201e%20Quality%20Assurance\CRYO-2078-4069%202149%201E" TargetMode="External"/><Relationship Id="rId229" Type="http://schemas.openxmlformats.org/officeDocument/2006/relationships/hyperlink" Target="file:///\\hopi-fs\shares\users\dhar\Stalk%20mount%20testing\Type%201e%20Quality%20Assurance\CRYO-2064-4408%202372%201E" TargetMode="External"/><Relationship Id="rId380" Type="http://schemas.openxmlformats.org/officeDocument/2006/relationships/hyperlink" Target="file:///\\hopi-fs\shares\users\dhar\Stalk%20mount%20testing\Type%201e%20Quality%20Assurance\CRYO-ISE-1Q19-09-008%202151%201E" TargetMode="External"/><Relationship Id="rId436" Type="http://schemas.openxmlformats.org/officeDocument/2006/relationships/hyperlink" Target="file:///\\hopi-fs\shares\users\dhar\Stalk%20mount%20testing\Type%201e%20Quality%20Assurance\CRYO-2085-4885%202585%201E" TargetMode="External"/><Relationship Id="rId601" Type="http://schemas.openxmlformats.org/officeDocument/2006/relationships/hyperlink" Target="file:///\\hopi-fs\shares\users\dhar\Stalk%20mount%20testing\Type%201e%20Quality%20Assurance\CRYO-42261-884%202669%201E" TargetMode="External"/><Relationship Id="rId240" Type="http://schemas.openxmlformats.org/officeDocument/2006/relationships/hyperlink" Target="file:///\\hopi-fs\shares\users\dhar\Stalk%20mount%20testing\Type%201e%20Quality%20Assurance\CRYO-2079-3973%202444%201E" TargetMode="External"/><Relationship Id="rId478" Type="http://schemas.openxmlformats.org/officeDocument/2006/relationships/hyperlink" Target="file:///\\hopi-fs\shares\users\dhar\STALK%20MOUNT%20TESTING\Type%201e%20Quality%20Assurance\CRYO-41855-664%202617%201E" TargetMode="External"/><Relationship Id="rId35" Type="http://schemas.openxmlformats.org/officeDocument/2006/relationships/hyperlink" Target="file:///\\hopi-fs\shares\users\dhar\Stalk%20mount%20testing\Type%201e%20Quality%20Assurance\CRYO-2078-3510%202323%201E" TargetMode="External"/><Relationship Id="rId77" Type="http://schemas.openxmlformats.org/officeDocument/2006/relationships/hyperlink" Target="file:///\\hopi-fs\shares\users\dhar\Stalk%20mount%20testing\Type%201e%20Quality%20Assurance\CRYO-2062-3764%202348%201E" TargetMode="External"/><Relationship Id="rId100" Type="http://schemas.openxmlformats.org/officeDocument/2006/relationships/hyperlink" Target="file:///\\hopi-fs\shares\users\dhar\Stalk%20mount%20testing\Type%201e%20Quality%20Assurance\CRYO-2061-3851%202364%201E" TargetMode="External"/><Relationship Id="rId282" Type="http://schemas.openxmlformats.org/officeDocument/2006/relationships/hyperlink" Target="file:///\\hopi-fs\shares\users\dhar\Stalk%20mount%20testing\Type%201e%20Quality%20Assurance\CRYO-2079-4575%202438%201E" TargetMode="External"/><Relationship Id="rId338" Type="http://schemas.openxmlformats.org/officeDocument/2006/relationships/hyperlink" Target="file:///\\hopi-fs\shares\users\dhar\Stalk%20mount%20testing\Type%201e%20Quality%20Assurance\CRYO-42154-447%202502%201E" TargetMode="External"/><Relationship Id="rId503" Type="http://schemas.openxmlformats.org/officeDocument/2006/relationships/hyperlink" Target="file:///\\hopi-fs\shares\users\dhar\Stalk%20mount%20testing\Type%201e%20Quality%20Assurance\CRYO-9082-0386%202625%201E" TargetMode="External"/><Relationship Id="rId545" Type="http://schemas.openxmlformats.org/officeDocument/2006/relationships/hyperlink" Target="file:///\\hopi-fs\shares\users\dhar\Stalk%20mount%20testing\Type%201e%20Quality%20Assurance\CRYO-42241-785%202577%201E" TargetMode="External"/><Relationship Id="rId587" Type="http://schemas.openxmlformats.org/officeDocument/2006/relationships/hyperlink" Target="file:///\\hopi-fs\shares\users\dhar\Stalk%20mount%20testing\Type%201e%20Quality%20Assurance\CRYO-2080-4788%202676%201E" TargetMode="External"/><Relationship Id="rId8" Type="http://schemas.openxmlformats.org/officeDocument/2006/relationships/hyperlink" Target="file:///\\hopi-fs\shares\users\dhar\Stalk%20mount%20testing\Type%201e%20Quality%20Assurance\CRYO-2078-3592%202215%201E" TargetMode="External"/><Relationship Id="rId142" Type="http://schemas.openxmlformats.org/officeDocument/2006/relationships/hyperlink" Target="file:///\\hopi-fs\shares\users\dhar\Stalk%20mount%20testing\Type%201e%20Quality%20Assurance\CRYO-2061-4010%202394%201E" TargetMode="External"/><Relationship Id="rId184" Type="http://schemas.openxmlformats.org/officeDocument/2006/relationships/hyperlink" Target="file:///\\hopi-fs\shares\users\dhar\Stalk%20mount%20testing\Type%201e%20Quality%20Assurance\CRYO-2077-4158%202154%201E" TargetMode="External"/><Relationship Id="rId391" Type="http://schemas.openxmlformats.org/officeDocument/2006/relationships/hyperlink" Target="file:///\\hopi-fs\shares\users\dhar\Stalk%20mount%20testing\Type%201e%20Quality%20Assurance\CRYO-42042-597%201794%201E" TargetMode="External"/><Relationship Id="rId405" Type="http://schemas.openxmlformats.org/officeDocument/2006/relationships/hyperlink" Target="file:///\\hopi-fs\shares\users\dhar\Stalk%20mount%20testing\Type%201e%20Quality%20Assurance\CRYO-2070-4850%202380%201E" TargetMode="External"/><Relationship Id="rId447" Type="http://schemas.openxmlformats.org/officeDocument/2006/relationships/hyperlink" Target="file:///\\hopi-fs\shares\users\dhar\Stalk%20mount%20testing\Type%201e%20Quality%20Assurance\CRYO-2085-4948%202525%201E" TargetMode="External"/><Relationship Id="rId612" Type="http://schemas.openxmlformats.org/officeDocument/2006/relationships/vmlDrawing" Target="../drawings/vmlDrawing2.vml"/><Relationship Id="rId251" Type="http://schemas.openxmlformats.org/officeDocument/2006/relationships/hyperlink" Target="file:///\\hopi-fs\shares\users\dhar\Stalk%20mount%20testing\Type%201e%20Quality%20Assurance\CRYO-2079-4381%202417%201E" TargetMode="External"/><Relationship Id="rId489" Type="http://schemas.openxmlformats.org/officeDocument/2006/relationships/hyperlink" Target="file:///\\hopi-fs\shares\users\dhar\STALK%20MOUNT%20TESTING\Type%201e%20Quality%20Assurance\CRYO-42055-684%202620%201E" TargetMode="External"/><Relationship Id="rId46" Type="http://schemas.openxmlformats.org/officeDocument/2006/relationships/hyperlink" Target="file:///\\hopi-fs\shares\users\dhar\Stalk%20mount%20testing\Type%201e%20Quality%20Assurance\CRYO-2077-3426%202325%201E" TargetMode="External"/><Relationship Id="rId293" Type="http://schemas.openxmlformats.org/officeDocument/2006/relationships/hyperlink" Target="file:///\\hopi-fs\shares\users\dhar\Stalk%20mount%20testing\Type%201e%20Quality%20Assurance\CRYO-9081-0359%202469%201E" TargetMode="External"/><Relationship Id="rId307" Type="http://schemas.openxmlformats.org/officeDocument/2006/relationships/hyperlink" Target="file:///\\hopi-fs\shares\users\dhar\Stalk%20mount%20testing\Type%201e%20Quality%20Assurance\CRYO-2079-4613%202489%201E" TargetMode="External"/><Relationship Id="rId349" Type="http://schemas.openxmlformats.org/officeDocument/2006/relationships/hyperlink" Target="file:///\\hopi-fs\shares\users\dhar\Stalk%20mount%20testing\Type%201e%20Quality%20Assurance\CRYO-42248-0260%202486%201E" TargetMode="External"/><Relationship Id="rId514" Type="http://schemas.openxmlformats.org/officeDocument/2006/relationships/hyperlink" Target="file:///\\hopi-fs\shares\users\dhar\Stalk%20mount%20testing\Type%201e%20Quality%20Assurance\CRYO-42056-707%202632%201E" TargetMode="External"/><Relationship Id="rId556" Type="http://schemas.openxmlformats.org/officeDocument/2006/relationships/hyperlink" Target="file:///\\hopi-fs\shares\users\dhar\Stalk%20mount%20testing\Type%201e%20Quality%20Assurance\CRYO-2046-4974%202547%201E" TargetMode="External"/><Relationship Id="rId88" Type="http://schemas.openxmlformats.org/officeDocument/2006/relationships/hyperlink" Target="file:///\\hopi-fs\shares\users\dhar\Stalk%20mount%20testing\Type%201e%20Quality%20Assurance\CRYO-2081-3825%202354%201E" TargetMode="External"/><Relationship Id="rId111" Type="http://schemas.openxmlformats.org/officeDocument/2006/relationships/hyperlink" Target="file:///\\hopi-fs\shares\users\dhar\Stalk%20mount%20testing\Type%201e%20Quality%20Assurance\CRYO-2080-3900%202371%201E" TargetMode="External"/><Relationship Id="rId153" Type="http://schemas.openxmlformats.org/officeDocument/2006/relationships/hyperlink" Target="file:///\\hopi-fs\shares\users\dhar\Stalk%20mount%20testing\Type%201e%20Quality%20Assurance\CRYO-9080-0295%201949%201E" TargetMode="External"/><Relationship Id="rId195" Type="http://schemas.openxmlformats.org/officeDocument/2006/relationships/hyperlink" Target="file:///\\hopi-fs\shares\users\dhar\Stalk%20mount%20testing\Type%201e%20Quality%20Assurance\CRYO-2059-4241%202234%201E" TargetMode="External"/><Relationship Id="rId209" Type="http://schemas.openxmlformats.org/officeDocument/2006/relationships/hyperlink" Target="file:///\\hopi-fs\shares\users\dhar\Stalk%20mount%20testing\Type%201e%20Quality%20Assurance\CRYO-2064-4338%202274%201E" TargetMode="External"/><Relationship Id="rId360" Type="http://schemas.openxmlformats.org/officeDocument/2006/relationships/hyperlink" Target="file:///\\hopi-fs\shares\users\dhar\Stalk%20mount%20testing\Type%201e%20Quality%20Assurance\CRYO-42149-0245%202348%201E" TargetMode="External"/><Relationship Id="rId416" Type="http://schemas.openxmlformats.org/officeDocument/2006/relationships/hyperlink" Target="file:///\\hopi-fs\shares\users\dhar\Stalk%20mount%20testing\Type%201e%20Quality%20Assurance\CRYO-2090-4825%202036%201E" TargetMode="External"/><Relationship Id="rId598" Type="http://schemas.openxmlformats.org/officeDocument/2006/relationships/hyperlink" Target="file:///\\hopi-fs\shares\users\dhar\Stalk%20mount%20testing\Type%201e%20Quality%20Assurance\CRYO-42060-887%202680%201E" TargetMode="External"/><Relationship Id="rId220" Type="http://schemas.openxmlformats.org/officeDocument/2006/relationships/hyperlink" Target="file:///\\hopi-fs\shares\users\dhar\Stalk%20mount%20testing\Type%201e%20Quality%20Assurance\CRYO-2080-4383%202405%201E" TargetMode="External"/><Relationship Id="rId458" Type="http://schemas.openxmlformats.org/officeDocument/2006/relationships/hyperlink" Target="file:///\\hopi-fs\shares\users\dhar\Stalk%20mount%20testing\Type%201e%20Quality%20Assurance\CRYO-43354-630%202595%201E" TargetMode="External"/><Relationship Id="rId15" Type="http://schemas.openxmlformats.org/officeDocument/2006/relationships/hyperlink" Target="file:///\\hopi-fs\shares\users\dhar\Stalk%20mount%20testing\Type%201e%20Quality%20Assurance\CRYO-2706-3615%202231%201E" TargetMode="External"/><Relationship Id="rId57" Type="http://schemas.openxmlformats.org/officeDocument/2006/relationships/hyperlink" Target="file:///\\hopi-fs\shares\users\dhar\Stalk%20mount%20testing\Type%201e%20Quality%20Assurance\CRYO-2064-3716%202339%201E" TargetMode="External"/><Relationship Id="rId262" Type="http://schemas.openxmlformats.org/officeDocument/2006/relationships/hyperlink" Target="file:///\\hopi-fs\shares\users\dhar\Stalk%20mount%20testing\Type%201e%20Quality%20Assurance\CRYO-42054-0298%202435%201E" TargetMode="External"/><Relationship Id="rId318" Type="http://schemas.openxmlformats.org/officeDocument/2006/relationships/hyperlink" Target="file:///\\hopi-fs\shares\users\dhar\Stalk%20mount%20testing\Type%201e%20Quality%20Assurance\CRYO-42051-323%202500%201E" TargetMode="External"/><Relationship Id="rId525" Type="http://schemas.openxmlformats.org/officeDocument/2006/relationships/hyperlink" Target="file:///\\hopi-fs\shares\users\dhar\Stalk%20mount%20testing\Type%201e%20Quality%20Assurance\CRYO-42058-736%202657%201E" TargetMode="External"/><Relationship Id="rId567" Type="http://schemas.openxmlformats.org/officeDocument/2006/relationships/hyperlink" Target="file:///\\hopi-fs\shares\users\dhar\Stalk%20mount%20testing\Type%201e%20Quality%20Assurance\CRYO-42157-796%202583%201E" TargetMode="External"/><Relationship Id="rId99" Type="http://schemas.openxmlformats.org/officeDocument/2006/relationships/hyperlink" Target="file:///\\hopi-fs\shares\users\dhar\Stalk%20mount%20testing\Type%201e%20Quality%20Assurance\CRYO-2060-3858%202361%201E" TargetMode="External"/><Relationship Id="rId122" Type="http://schemas.openxmlformats.org/officeDocument/2006/relationships/hyperlink" Target="file:///\\hopi-fs\shares\users\dhar\Stalk%20mount%20testing\Type%201e%20Quality%20Assurance\CRYO-2078-3992%202384%201E" TargetMode="External"/><Relationship Id="rId164" Type="http://schemas.openxmlformats.org/officeDocument/2006/relationships/hyperlink" Target="file:///\\hopi-fs\shares\users\dhar\Stalk%20mount%20testing\Type%201e%20Quality%20Assurance\CRYO-9080-0327%201372%201E" TargetMode="External"/><Relationship Id="rId371" Type="http://schemas.openxmlformats.org/officeDocument/2006/relationships/hyperlink" Target="file:///\\hopi-fs\shares\users\dhar\Stalk%20mount%20testing\Type%201e%20Quality%20Assurance\CRYO-42053-0302%202161%201E" TargetMode="External"/><Relationship Id="rId427" Type="http://schemas.openxmlformats.org/officeDocument/2006/relationships/hyperlink" Target="file:///\\hopi-fs\shares\users\dhar\Stalk%20mount%20testing\Type%201e%20Quality%20Assurance\CRYO-5081-020%202461%201E" TargetMode="External"/><Relationship Id="rId469" Type="http://schemas.openxmlformats.org/officeDocument/2006/relationships/hyperlink" Target="file:///\\hopi-fs\shares\users\dhar\Stalk%20mount%20testing\Type%201e%20Quality%20Assurance\CRYO-43455-622%202601%201E" TargetMode="External"/><Relationship Id="rId26" Type="http://schemas.openxmlformats.org/officeDocument/2006/relationships/hyperlink" Target="file:///\\hopi-fs\shares\users\dhar\Stalk%20mount%20testing\Type%201e%20Quality%20Assurance\CRYO-9081-0184%202313%201E" TargetMode="External"/><Relationship Id="rId231" Type="http://schemas.openxmlformats.org/officeDocument/2006/relationships/hyperlink" Target="file:///\\hopi-fs\shares\users\dhar\Stalk%20mount%20testing\Type%201e%20Quality%20Assurance\CRYO-2064-4407%201413%201E" TargetMode="External"/><Relationship Id="rId273" Type="http://schemas.openxmlformats.org/officeDocument/2006/relationships/hyperlink" Target="file:///\\hopi-fs\shares\users\dhar\Stalk%20mount%20testing\Type%201e%20Quality%20Assurance\CRYO-2078-4602%202449%201E" TargetMode="External"/><Relationship Id="rId329" Type="http://schemas.openxmlformats.org/officeDocument/2006/relationships/hyperlink" Target="file:///\\hopi-fs\shares\users\dhar\Stalk%20mount%20testing\Type%201e%20Quality%20Assurance\CRYO-2073-4744%202495%201E" TargetMode="External"/><Relationship Id="rId480" Type="http://schemas.openxmlformats.org/officeDocument/2006/relationships/hyperlink" Target="file:///\\hopi-fs\shares\users\dhar\STALK%20MOUNT%20TESTING\Type%201e%20Quality%20Assurance\CRYO-41657-682%202619%201E" TargetMode="External"/><Relationship Id="rId536" Type="http://schemas.openxmlformats.org/officeDocument/2006/relationships/hyperlink" Target="file:///\\hopi-fs\shares\users\dhar\Stalk%20mount%20testing\Type%201e%20Quality%20Assurance\CRYO-42659-765%202546%201E" TargetMode="External"/><Relationship Id="rId68" Type="http://schemas.openxmlformats.org/officeDocument/2006/relationships/hyperlink" Target="file:///\\hopi-fs\shares\users\dhar\Stalk%20mount%20testing\Type%201e%20Quality%20Assurance\CRYO-2060-3801%202345%201E" TargetMode="External"/><Relationship Id="rId133" Type="http://schemas.openxmlformats.org/officeDocument/2006/relationships/hyperlink" Target="file:///\\hopi-fs\shares\users\dhar\Stalk%20mount%20testing\Type%201e%20Quality%20Assurance\CRYO-2077-3011%202341%201E" TargetMode="External"/><Relationship Id="rId175" Type="http://schemas.openxmlformats.org/officeDocument/2006/relationships/hyperlink" Target="file:///\\hopi-fs\shares\users\dhar\Stalk%20mount%20testing\Type%201e%20Quality%20Assurance\CRYO-2078-4082%202199%201E" TargetMode="External"/><Relationship Id="rId340" Type="http://schemas.openxmlformats.org/officeDocument/2006/relationships/hyperlink" Target="file:///\\hopi-fs\shares\users\dhar\Stalk%20mount%20testing\Type%201e%20Quality%20Assurance\CRYO-41953-350%202510%201E" TargetMode="External"/><Relationship Id="rId578" Type="http://schemas.openxmlformats.org/officeDocument/2006/relationships/hyperlink" Target="file:///\\hopi-fs\shares\users\dhar\Stalk%20mount%20testing\Type%201e%20Quality%20Assurance\CRYO-41858-848%202664%201E" TargetMode="External"/><Relationship Id="rId200" Type="http://schemas.openxmlformats.org/officeDocument/2006/relationships/hyperlink" Target="file:///\\hopi-fs\shares\users\dhar\Stalk%20mount%20testing\Type%201e%20Quality%20Assurance\ISE-3Q20-07-A19%202239%201E%20MEQ" TargetMode="External"/><Relationship Id="rId382" Type="http://schemas.openxmlformats.org/officeDocument/2006/relationships/hyperlink" Target="file:///\\hopi-fs\shares\users\dhar\Stalk%20mount%20testing\Type%201e%20Quality%20Assurance\CRYO-42050-580%202233%201E" TargetMode="External"/><Relationship Id="rId438" Type="http://schemas.openxmlformats.org/officeDocument/2006/relationships/hyperlink" Target="file:///\\hopi-fs\shares\users\dhar\Stalk%20mount%20testing\Type%201e%20Quality%20Assurance\CRYO-2083-4896%202588%201E" TargetMode="External"/><Relationship Id="rId603" Type="http://schemas.openxmlformats.org/officeDocument/2006/relationships/hyperlink" Target="file:///\\hopi-fs\shares\users\dhar\Stalk%20mount%20testing\Type%201e%20Quality%20Assurance\CRYO-41761-872%202670%201E" TargetMode="External"/><Relationship Id="rId242" Type="http://schemas.openxmlformats.org/officeDocument/2006/relationships/hyperlink" Target="file:///\\hopi-fs\shares\users\dhar\Stalk%20mount%20testing\Type%201e%20Quality%20Assurance\CRYO-2078-3968%201804%201E" TargetMode="External"/><Relationship Id="rId284" Type="http://schemas.openxmlformats.org/officeDocument/2006/relationships/hyperlink" Target="file:///\\hopi-fs\shares\users\dhar\Stalk%20mount%20testing\Type%201e%20Quality%20Assurance\CRYO-2075-4574%202470%201E" TargetMode="External"/><Relationship Id="rId491" Type="http://schemas.openxmlformats.org/officeDocument/2006/relationships/hyperlink" Target="file:///\\hopi-fs\shares\users\dhar\STALK%20MOUNT%20TESTING\Type%201e%20Quality%20Assurance\CRYO-41855-689%202618%201E" TargetMode="External"/><Relationship Id="rId505" Type="http://schemas.openxmlformats.org/officeDocument/2006/relationships/hyperlink" Target="file:///\\hopi-fs\shares\users\dhar\Stalk%20mount%20testing\Type%201e%20Quality%20Assurance\CRYO-9082-0293%202626%201E" TargetMode="External"/><Relationship Id="rId37" Type="http://schemas.openxmlformats.org/officeDocument/2006/relationships/hyperlink" Target="file:///\\hopi-fs\shares\users\dhar\Stalk%20mount%20testing\Type%201e%20Quality%20Assurance\CRYO-2078-3488%202325%201E" TargetMode="External"/><Relationship Id="rId79" Type="http://schemas.openxmlformats.org/officeDocument/2006/relationships/hyperlink" Target="file:///\\hopi-fs\shares\users\dhar\Stalk%20mount%20testing\Type%201e%20Quality%20Assurance\CRYO-2063-3775%202345%201E" TargetMode="External"/><Relationship Id="rId102" Type="http://schemas.openxmlformats.org/officeDocument/2006/relationships/hyperlink" Target="file:///\\hopi-fs\shares\users\dhar\Stalk%20mount%20testing\Type%201e%20Quality%20Assurance\CRYO-2061-3860%202366%201E" TargetMode="External"/><Relationship Id="rId144" Type="http://schemas.openxmlformats.org/officeDocument/2006/relationships/hyperlink" Target="file:///\\hopi-fs\shares\users\dhar\Stalk%20mount%20testing\Type%201e%20Quality%20Assurance\CRYO-2061-4013%202395%201E" TargetMode="External"/><Relationship Id="rId547" Type="http://schemas.openxmlformats.org/officeDocument/2006/relationships/hyperlink" Target="file:///\\hopi-fs\shares\users\dhar\Stalk%20mount%20testing\Type%201e%20Quality%20Assurance\CRYO-42143-787%202576%201E" TargetMode="External"/><Relationship Id="rId589" Type="http://schemas.openxmlformats.org/officeDocument/2006/relationships/hyperlink" Target="file:///\\hopi-fs\shares\users\dhar\Stalk%20mount%20testing\Type%201e%20Quality%20Assurance\CRYO-2082-4779%202675%201E" TargetMode="External"/><Relationship Id="rId90" Type="http://schemas.openxmlformats.org/officeDocument/2006/relationships/hyperlink" Target="file:///\\hopi-fs\shares\users\dhar\Stalk%20mount%20testing\Type%201e%20Quality%20Assurance\CRYO-44235-0228%202357%201E" TargetMode="External"/><Relationship Id="rId186" Type="http://schemas.openxmlformats.org/officeDocument/2006/relationships/hyperlink" Target="file:///\\hopi-fs\shares\users\dhar\Stalk%20mount%20testing\Type%201e%20Quality%20Assurance\CRYO-2075-4176%202219%201E" TargetMode="External"/><Relationship Id="rId351" Type="http://schemas.openxmlformats.org/officeDocument/2006/relationships/hyperlink" Target="file:///\\hopi-fs\shares\users\dhar\Stalk%20mount%20testing\Type%201e%20Quality%20Assurance\ISE-2Q16-10-C318%202504%201E%20MEQ" TargetMode="External"/><Relationship Id="rId393" Type="http://schemas.openxmlformats.org/officeDocument/2006/relationships/hyperlink" Target="file:///\\hopi-fs\shares\users\dhar\Stalk%20mount%20testing\Type%201e%20Quality%20Assurance\CRYO-41264-545%201511%201E" TargetMode="External"/><Relationship Id="rId407" Type="http://schemas.openxmlformats.org/officeDocument/2006/relationships/hyperlink" Target="file:///\\hopi-fs\shares\users\dhar\Stalk%20mount%20testing\Type%201e%20Quality%20Assurance\CRYO-2070-4874%202373%201E" TargetMode="External"/><Relationship Id="rId449" Type="http://schemas.openxmlformats.org/officeDocument/2006/relationships/hyperlink" Target="file:///\\hopi-fs\shares\users\dhar\Stalk%20mount%20testing\Type%201e%20Quality%20Assurance\CRYO-2085-4953%202593%201E" TargetMode="External"/><Relationship Id="rId211" Type="http://schemas.openxmlformats.org/officeDocument/2006/relationships/hyperlink" Target="file:///\\hopi-fs\shares\users\dhar\Stalk%20mount%20testing\Type%201e%20Quality%20Assurance\CRYO-2061-4352%202274%201E" TargetMode="External"/><Relationship Id="rId253" Type="http://schemas.openxmlformats.org/officeDocument/2006/relationships/hyperlink" Target="file:///\\hopi-fs\shares\users\dhar\Stalk%20mount%20testing\Type%201e%20Quality%20Assurance\CRYO-2079-4506%202309%201E" TargetMode="External"/><Relationship Id="rId295" Type="http://schemas.openxmlformats.org/officeDocument/2006/relationships/hyperlink" Target="file:///\\hopi-fs\shares\users\dhar\Stalk%20mount%20testing\Type%201e%20Quality%20Assurance\CRYO-9080-0375%202434%201E" TargetMode="External"/><Relationship Id="rId309" Type="http://schemas.openxmlformats.org/officeDocument/2006/relationships/hyperlink" Target="file:///\\hopi-fs\shares\users\dhar\Stalk%20mount%20testing\Type%201e%20Quality%20Assurance\CRYO-42050-329%202475%201E" TargetMode="External"/><Relationship Id="rId460" Type="http://schemas.openxmlformats.org/officeDocument/2006/relationships/hyperlink" Target="file:///\\hopi-fs\shares\users\dhar\Stalk%20mount%20testing\Type%201e%20Quality%20Assurance\CRYO-43354-625%202602%201E" TargetMode="External"/><Relationship Id="rId516" Type="http://schemas.openxmlformats.org/officeDocument/2006/relationships/hyperlink" Target="file:///\\hopi-fs\shares\users\dhar\Stalk%20mount%20testing\Type%201e%20Quality%20Assurance\CRYO-41859-693%202634%201E" TargetMode="External"/><Relationship Id="rId48" Type="http://schemas.openxmlformats.org/officeDocument/2006/relationships/hyperlink" Target="file:///\\hopi-fs\shares\users\dhar\Stalk%20mount%20testing\Type%201e%20Quality%20Assurance\CRYO-2063-3683%202332%201E" TargetMode="External"/><Relationship Id="rId113" Type="http://schemas.openxmlformats.org/officeDocument/2006/relationships/hyperlink" Target="file:///\\hopi-fs\shares\users\dhar\Stalk%20mount%20testing\Type%201e%20Quality%20Assurance\CRYO-2080-3897%202373%201E" TargetMode="External"/><Relationship Id="rId320" Type="http://schemas.openxmlformats.org/officeDocument/2006/relationships/hyperlink" Target="file:///\\hopi-fs\shares\users\dhar\Stalk%20mount%20testing\Type%201e%20Quality%20Assurance\CRYO-42249-0256%202492%201E" TargetMode="External"/><Relationship Id="rId558" Type="http://schemas.openxmlformats.org/officeDocument/2006/relationships/hyperlink" Target="file:///\\hopi-fs\shares\users\dhar\Stalk%20mount%20testing\Type%201e%20Quality%20Assurance\CRYO-2046-4980%202581%201E" TargetMode="External"/><Relationship Id="rId155" Type="http://schemas.openxmlformats.org/officeDocument/2006/relationships/hyperlink" Target="file:///\\hopi-fs\shares\users\dhar\Stalk%20mount%20testing\Type%201e%20Quality%20Assurance\CRYO-9081-0307%201413%201E" TargetMode="External"/><Relationship Id="rId197" Type="http://schemas.openxmlformats.org/officeDocument/2006/relationships/hyperlink" Target="file:///\\hopi-fs\shares\users\dhar\Stalk%20mount%20testing\Type%201e%20Quality%20Assurance\CRYO-2076-4315%202182%201E" TargetMode="External"/><Relationship Id="rId362" Type="http://schemas.openxmlformats.org/officeDocument/2006/relationships/hyperlink" Target="file:///\\hopi-fs\shares\users\dhar\Stalk%20mount%20testing\Type%201e%20Quality%20Assurance\CRYO-41264-548%202477%201E" TargetMode="External"/><Relationship Id="rId418" Type="http://schemas.openxmlformats.org/officeDocument/2006/relationships/hyperlink" Target="file:///\\hopi-fs\shares\users\dhar\Stalk%20mount%20testing\Type%201e%20Quality%20Assurance\CRYO-2070-4853%202379%201E" TargetMode="External"/><Relationship Id="rId222" Type="http://schemas.openxmlformats.org/officeDocument/2006/relationships/hyperlink" Target="file:///\\hopi-fs\shares\users\dhar\Stalk%20mount%20testing\Type%201e%20Quality%20Assurance\CRYO-2081-4384%202407%201E" TargetMode="External"/><Relationship Id="rId264" Type="http://schemas.openxmlformats.org/officeDocument/2006/relationships/hyperlink" Target="file:///\\hopi-fs\shares\users\dhar\Stalk%20mount%20testing\Type%201e%20Quality%20Assurance\CRYO-41856-0303%202447%201E" TargetMode="External"/><Relationship Id="rId471" Type="http://schemas.openxmlformats.org/officeDocument/2006/relationships/hyperlink" Target="file:///\\hopi-fs\shares\users\dhar\STALK%20MOUNT%20TESTING\Type%201e%20Quality%20Assurance\CRYO-41858-654%202606%201E" TargetMode="External"/><Relationship Id="rId17" Type="http://schemas.openxmlformats.org/officeDocument/2006/relationships/hyperlink" Target="file:///\\hopi-fs\shares\users\dhar\Stalk%20mount%20testing\Type%201e%20Quality%20Assurance\CRYO-2077-3403%202231%201E" TargetMode="External"/><Relationship Id="rId59" Type="http://schemas.openxmlformats.org/officeDocument/2006/relationships/hyperlink" Target="file:///\\hopi-fs\shares\users\dhar\Stalk%20mount%20testing\Type%201e%20Quality%20Assurance\CRYO-2063-3520%202336%201E" TargetMode="External"/><Relationship Id="rId124" Type="http://schemas.openxmlformats.org/officeDocument/2006/relationships/hyperlink" Target="file:///\\hopi-fs\shares\users\dhar\Stalk%20mount%20testing\Type%201e%20Quality%20Assurance\CRYO-2079-3988%202386%201E" TargetMode="External"/><Relationship Id="rId527" Type="http://schemas.openxmlformats.org/officeDocument/2006/relationships/hyperlink" Target="file:///\\hopi-fs\shares\users\dhar\Stalk%20mount%20testing\Type%201e%20Quality%20Assurance\CRYO-41857-746%202655%201E" TargetMode="External"/><Relationship Id="rId569" Type="http://schemas.openxmlformats.org/officeDocument/2006/relationships/hyperlink" Target="file:///\\hopi-fs\shares\users\dhar\Stalk%20mount%20testing\Type%201e%20Quality%20Assurance\CRYO-42057-812%202561%201E" TargetMode="External"/><Relationship Id="rId70" Type="http://schemas.openxmlformats.org/officeDocument/2006/relationships/hyperlink" Target="file:///\\hopi-fs\shares\users\dhar\Stalk%20mount%20testing\Type%201e%20Quality%20Assurance\CRYO-2063-3793%202346%201E" TargetMode="External"/><Relationship Id="rId166" Type="http://schemas.openxmlformats.org/officeDocument/2006/relationships/hyperlink" Target="file:///\\hopi-fs\shares\users\dhar\Stalk%20mount%20testing\Type%201e%20Quality%20Assurance\CRYO-9081-0319%202367%201E" TargetMode="External"/><Relationship Id="rId331" Type="http://schemas.openxmlformats.org/officeDocument/2006/relationships/hyperlink" Target="file:///\\hopi-fs\shares\users\dhar\Stalk%20mount%20testing\Type%201e%20Quality%20Assurance\CRYO-42259-380%202138%201E" TargetMode="External"/><Relationship Id="rId373" Type="http://schemas.openxmlformats.org/officeDocument/2006/relationships/hyperlink" Target="file:///\\hopi-fs\shares\users\dhar\Stalk%20mount%20testing\Type%201e%20Quality%20Assurance\CRYO-42360-405%202256%201E" TargetMode="External"/><Relationship Id="rId429" Type="http://schemas.openxmlformats.org/officeDocument/2006/relationships/hyperlink" Target="file:///\\hopi-fs\shares\users\dhar\Stalk%20mount%20testing\Type%201e%20Quality%20Assurance\CRYO-5078-061%202358%201E" TargetMode="External"/><Relationship Id="rId580" Type="http://schemas.openxmlformats.org/officeDocument/2006/relationships/hyperlink" Target="file:///\\hopi-fs\shares\users\dhar\Stalk%20mount%20testing\Type%201e%20Quality%20Assurance\CRYO-41858-844%202641%201E" TargetMode="External"/><Relationship Id="rId1" Type="http://schemas.openxmlformats.org/officeDocument/2006/relationships/hyperlink" Target="file:///\\hopi-fs\shares\users\dhar\Stalk%20mount%20testing\Type%201e%20Quality%20Assurance\CRYO-2078-3588%202231%201E" TargetMode="External"/><Relationship Id="rId233" Type="http://schemas.openxmlformats.org/officeDocument/2006/relationships/hyperlink" Target="file:///\\hopi-fs\shares\users\dhar\Stalk%20mount%20testing\Type%201e%20Quality%20Assurance\CRYO-2061-4420%202147%201E" TargetMode="External"/><Relationship Id="rId440" Type="http://schemas.openxmlformats.org/officeDocument/2006/relationships/hyperlink" Target="file:///\\hopi-fs\shares\users\dhar\Stalk%20mount%20testing\Type%201e%20Quality%20Assurance\CRYO-2084-4901%202592%201E" TargetMode="External"/><Relationship Id="rId28" Type="http://schemas.openxmlformats.org/officeDocument/2006/relationships/hyperlink" Target="file:///\\hopi-fs\shares\users\dhar\Stalk%20mount%20testing\Type%201e%20Quality%20Assurance\CRYO-9083-0190%202317%201E" TargetMode="External"/><Relationship Id="rId275" Type="http://schemas.openxmlformats.org/officeDocument/2006/relationships/hyperlink" Target="file:///\\hopi-fs\shares\users\dhar\Stalk%20mount%20testing\Type%201e%20Quality%20Assurance\CRYO-2078-4595%202470%201E" TargetMode="External"/><Relationship Id="rId300" Type="http://schemas.openxmlformats.org/officeDocument/2006/relationships/hyperlink" Target="file:///\\hopi-fs\shares\users\dhar\Stalk%20mount%20testing\Type%201e%20Quality%20Assurance\CRYO-9081-0370%202409%201E" TargetMode="External"/><Relationship Id="rId482" Type="http://schemas.openxmlformats.org/officeDocument/2006/relationships/hyperlink" Target="file:///\\hopi-fs\shares\users\dhar\STALK%20MOUNT%20TESTING\Type%201e%20Quality%20Assurance\CRYO-41954-688%202618%201E" TargetMode="External"/><Relationship Id="rId538" Type="http://schemas.openxmlformats.org/officeDocument/2006/relationships/hyperlink" Target="file:///\\hopi-fs\shares\users\dhar\Stalk%20mount%20testing\Type%201e%20Quality%20Assurance\CRYO-42659-773%202545%201E" TargetMode="External"/><Relationship Id="rId81" Type="http://schemas.openxmlformats.org/officeDocument/2006/relationships/hyperlink" Target="file:///\\hopi-fs\shares\users\dhar\Stalk%20mount%20testing\Type%201e%20Quality%20Assurance\CRYO-2079-3833%202349%201E" TargetMode="External"/><Relationship Id="rId135" Type="http://schemas.openxmlformats.org/officeDocument/2006/relationships/hyperlink" Target="file:///\\hopi-fs\shares\users\dhar\Stalk%20mount%20testing\Type%201e%20Quality%20Assurance\CRYO-2076-3026%202376%201E" TargetMode="External"/><Relationship Id="rId177" Type="http://schemas.openxmlformats.org/officeDocument/2006/relationships/hyperlink" Target="file:///\\hopi-fs\shares\users\dhar\Stalk%20mount%20testing\Type%201e%20Quality%20Assurance\CRYO-2079-4088%202202%201E" TargetMode="External"/><Relationship Id="rId342" Type="http://schemas.openxmlformats.org/officeDocument/2006/relationships/hyperlink" Target="file:///\\hopi-fs\shares\users\dhar\Stalk%20mount%20testing\Type%201e%20Quality%20Assurance\CRYO-41953-0280%202503%201E" TargetMode="External"/><Relationship Id="rId384" Type="http://schemas.openxmlformats.org/officeDocument/2006/relationships/hyperlink" Target="file:///\\hopi-fs\shares\users\dhar\Stalk%20mount%20testing\Type%201e%20Quality%20Assurance\CRYO-42042-584%202339%201E" TargetMode="External"/><Relationship Id="rId591" Type="http://schemas.openxmlformats.org/officeDocument/2006/relationships/hyperlink" Target="file:///\\hopi-fs\shares\users\dhar\Stalk%20mount%20testing\Type%201e%20Quality%20Assurance\CRYO-41260-858%202672%201E" TargetMode="External"/><Relationship Id="rId605" Type="http://schemas.openxmlformats.org/officeDocument/2006/relationships/hyperlink" Target="file:///\\hopi-fs\shares\users\dhar\Stalk%20mount%20testing\Type%201e%20Quality%20Assurance\CRYO-41562-868%202682%201E" TargetMode="External"/><Relationship Id="rId202" Type="http://schemas.openxmlformats.org/officeDocument/2006/relationships/hyperlink" Target="file:///\\hopi-fs\shares\users\dhar\Stalk%20mount%20testing\Type%201e%20Quality%20Assurance\CRYO-2057-4318%201372%201E" TargetMode="External"/><Relationship Id="rId244" Type="http://schemas.openxmlformats.org/officeDocument/2006/relationships/hyperlink" Target="file:///\\hopi-fs\shares\users\dhar\Stalk%20mount%20testing\Type%201e%20Quality%20Assurance\CRYO-2078-3154%202425%201E" TargetMode="External"/><Relationship Id="rId39" Type="http://schemas.openxmlformats.org/officeDocument/2006/relationships/hyperlink" Target="file:///\\hopi-fs\shares\users\dhar\Stalk%20mount%20testing\Type%201e%20Quality%20Assurance\CRYO-2061-3513%202328%201E" TargetMode="External"/><Relationship Id="rId286" Type="http://schemas.openxmlformats.org/officeDocument/2006/relationships/hyperlink" Target="file:///\\hopi-fs\shares\users\dhar\Stalk%20mount%20testing\Type%201e%20Quality%20Assurance\CRYO-2077-4591%202465%201E" TargetMode="External"/><Relationship Id="rId451" Type="http://schemas.openxmlformats.org/officeDocument/2006/relationships/hyperlink" Target="file:///\\hopi-fs\shares\users\dhar\Stalk%20mount%20testing\Type%201e%20Quality%20Assurance\CRYO-2085-4950%202176%201E" TargetMode="External"/><Relationship Id="rId493" Type="http://schemas.openxmlformats.org/officeDocument/2006/relationships/hyperlink" Target="file:///\\hopi-fs\shares\users\dhar\STALK%20MOUNT%20TESTING\Type%201e%20Quality%20Assurance\CRYO-ME-ISE-2Q16-10-C324%201E%202607%20MEQ" TargetMode="External"/><Relationship Id="rId507" Type="http://schemas.openxmlformats.org/officeDocument/2006/relationships/hyperlink" Target="file:///\\hopi-fs\shares\users\dhar\Stalk%20mount%20testing\Type%201e%20Quality%20Assurance\CRYO-9082-0308%202627%201E" TargetMode="External"/><Relationship Id="rId549" Type="http://schemas.openxmlformats.org/officeDocument/2006/relationships/hyperlink" Target="file:///\\hopi-fs\shares\users\dhar\Stalk%20mount%20testing\Type%201e%20Quality%20Assurance\CRYO-42045-790%202575%201E" TargetMode="External"/><Relationship Id="rId50" Type="http://schemas.openxmlformats.org/officeDocument/2006/relationships/hyperlink" Target="file:///\\hopi-fs\shares\users\dhar\Stalk%20mount%20testing\Type%201e%20Quality%20Assurance\CRYO-2063-3703%202232%201E" TargetMode="External"/><Relationship Id="rId104" Type="http://schemas.openxmlformats.org/officeDocument/2006/relationships/hyperlink" Target="file:///\\hopi-fs\shares\users\dhar\Stalk%20mount%20testing\Type%201e%20Quality%20Assurance\CRYO-2063-3844%202368%201E" TargetMode="External"/><Relationship Id="rId146" Type="http://schemas.openxmlformats.org/officeDocument/2006/relationships/hyperlink" Target="file:///\\hopi-fs\shares\users\dhar\Stalk%20mount%20testing\Type%201e%20Quality%20Assurance\CRYO-2062-4017%202397%201E" TargetMode="External"/><Relationship Id="rId188" Type="http://schemas.openxmlformats.org/officeDocument/2006/relationships/hyperlink" Target="file:///\\hopi-fs\shares\users\dhar\Stalk%20mount%20testing\Type%201e%20Quality%20Assurance\CRYO-2065-4296%202170%201E" TargetMode="External"/><Relationship Id="rId311" Type="http://schemas.openxmlformats.org/officeDocument/2006/relationships/hyperlink" Target="file:///\\hopi-fs\shares\users\dhar\Stalk%20mount%20testing\Type%201e%20Quality%20Assurance\CRYO-41950-338%202490%201E" TargetMode="External"/><Relationship Id="rId353" Type="http://schemas.openxmlformats.org/officeDocument/2006/relationships/hyperlink" Target="file:///\\hopi-fs\shares\users\dhar\Stalk%20mount%20testing\Type%201e%20Quality%20Assurance\ISE-2Q16-10-C320%202505%201E%20MEQ" TargetMode="External"/><Relationship Id="rId395" Type="http://schemas.openxmlformats.org/officeDocument/2006/relationships/hyperlink" Target="file:///\\hopi-fs\shares\users\dhar\Stalk%20mount%20testing\Type%201e%20Quality%20Assurance\CRYO-42255-604%201784%201E" TargetMode="External"/><Relationship Id="rId409" Type="http://schemas.openxmlformats.org/officeDocument/2006/relationships/hyperlink" Target="file:///\\hopi-fs\shares\users\dhar\Stalk%20mount%20testing\Type%201e%20Quality%20Assurance\CRYO-2070-4844%201627%201E" TargetMode="External"/><Relationship Id="rId560" Type="http://schemas.openxmlformats.org/officeDocument/2006/relationships/hyperlink" Target="file:///\\hopi-fs\shares\users\dhar\Stalk%20mount%20testing\Type%201e%20Quality%20Assurance\CRYO-2046-4983%202583%201E" TargetMode="External"/><Relationship Id="rId92" Type="http://schemas.openxmlformats.org/officeDocument/2006/relationships/hyperlink" Target="file:///\\hopi-fs\shares\users\dhar\Stalk%20mount%20testing\Type%201e%20Quality%20Assurance\CRYO-44235-0230%202356%201E" TargetMode="External"/><Relationship Id="rId213" Type="http://schemas.openxmlformats.org/officeDocument/2006/relationships/hyperlink" Target="file:///\\hopi-fs\shares\users\dhar\Stalk%20mount%20testing\Type%201e%20Quality%20Assurance\CRYO-2062-4370%202249%201E" TargetMode="External"/><Relationship Id="rId420" Type="http://schemas.openxmlformats.org/officeDocument/2006/relationships/hyperlink" Target="file:///\\hopi-fs\shares\users\dhar\Stalk%20mount%20testing\Type%201e%20Quality%20Assurance\CRYO-5080-017%202517%201E" TargetMode="External"/><Relationship Id="rId255" Type="http://schemas.openxmlformats.org/officeDocument/2006/relationships/hyperlink" Target="file:///\\hopi-fs\shares\users\dhar\Stalk%20mount%20testing\Type%201e%20Quality%20Assurance\CRYO-2076-4478%202422%201E" TargetMode="External"/><Relationship Id="rId297" Type="http://schemas.openxmlformats.org/officeDocument/2006/relationships/hyperlink" Target="file:///\\hopi-fs\shares\users\dhar\Stalk%20mount%20testing\Type%201e%20Quality%20Assurance\CRYO-9081-0388%202476%201E" TargetMode="External"/><Relationship Id="rId462" Type="http://schemas.openxmlformats.org/officeDocument/2006/relationships/hyperlink" Target="file:///\\hopi-fs\shares\users\dhar\Stalk%20mount%20testing\Type%201e%20Quality%20Assurance\CRYO-43354-631%202529%201E" TargetMode="External"/><Relationship Id="rId518" Type="http://schemas.openxmlformats.org/officeDocument/2006/relationships/hyperlink" Target="file:///\\hopi-fs\shares\users\dhar\Stalk%20mount%20testing\Type%201e%20Quality%20Assurance\CRYO-41958-694%202635%201E" TargetMode="External"/><Relationship Id="rId115" Type="http://schemas.openxmlformats.org/officeDocument/2006/relationships/hyperlink" Target="file:///\\hopi-fs\shares\users\dhar\Stalk%20mount%20testing\Type%201e%20Quality%20Assurance\CRYO-2077-3012%202376%201E" TargetMode="External"/><Relationship Id="rId157" Type="http://schemas.openxmlformats.org/officeDocument/2006/relationships/hyperlink" Target="file:///\\hopi-fs\shares\users\dhar\Stalk%20mount%20testing\Type%201e%20Quality%20Assurance\CRYO-9081-0312%201954%201E" TargetMode="External"/><Relationship Id="rId322" Type="http://schemas.openxmlformats.org/officeDocument/2006/relationships/hyperlink" Target="file:///\\hopi-fs\shares\users\dhar\Stalk%20mount%20testing\Type%201e%20Quality%20Assurance\CRYO-42053-0266%202497%201E" TargetMode="External"/><Relationship Id="rId364" Type="http://schemas.openxmlformats.org/officeDocument/2006/relationships/hyperlink" Target="file:///\\hopi-fs\shares\users\dhar\Stalk%20mount%20testing\Type%201e%20Quality%20Assurance\CRYO-41562-531%202441%201E" TargetMode="External"/><Relationship Id="rId61" Type="http://schemas.openxmlformats.org/officeDocument/2006/relationships/hyperlink" Target="file:///\\hopi-fs\shares\users\dhar\Stalk%20mount%20testing\Type%201e%20Quality%20Assurance\CRYO-2062-3529%202291%201E" TargetMode="External"/><Relationship Id="rId199" Type="http://schemas.openxmlformats.org/officeDocument/2006/relationships/hyperlink" Target="file:///\\hopi-fs\shares\users\dhar\Stalk%20mount%20testing\Type%201e%20Quality%20Assurance\ISE-3Q20-07-A17%202183%201E%20MEQ" TargetMode="External"/><Relationship Id="rId571" Type="http://schemas.openxmlformats.org/officeDocument/2006/relationships/hyperlink" Target="file:///\\hopi-fs\shares\users\dhar\Stalk%20mount%20testing\Type%201e%20Quality%20Assurance\CRYO-42157-804%202560%201E" TargetMode="External"/><Relationship Id="rId19" Type="http://schemas.openxmlformats.org/officeDocument/2006/relationships/hyperlink" Target="file:///\\hopi-fs\shares\users\dhar\Stalk%20mount%20testing\Type%201e%20Quality%20Assurance\CRYO-9084-0145%202311%201E" TargetMode="External"/><Relationship Id="rId224" Type="http://schemas.openxmlformats.org/officeDocument/2006/relationships/hyperlink" Target="file:///\\hopi-fs\shares\users\dhar\Stalk%20mount%20testing\Type%201e%20Quality%20Assurance\CRYO-2081-4390%202408%201E" TargetMode="External"/><Relationship Id="rId266" Type="http://schemas.openxmlformats.org/officeDocument/2006/relationships/hyperlink" Target="file:///\\hopi-fs\shares\users\dhar\Stalk%20mount%20testing\Type%201e%20Quality%20Assurance\CRYO-42251-0293%202448%201E" TargetMode="External"/><Relationship Id="rId431" Type="http://schemas.openxmlformats.org/officeDocument/2006/relationships/hyperlink" Target="file:///\\hopi-fs\shares\users\dhar\Stalk%20mount%20testing\Type%201e%20Quality%20Assurance\CRYO-5078-069%202268%201E" TargetMode="External"/><Relationship Id="rId473" Type="http://schemas.openxmlformats.org/officeDocument/2006/relationships/hyperlink" Target="file:///\\hopi-fs\shares\users\dhar\STALK%20MOUNT%20TESTING\Type%201e%20Quality%20Assurance\CRYO-42057-651%202531%201E" TargetMode="External"/><Relationship Id="rId529" Type="http://schemas.openxmlformats.org/officeDocument/2006/relationships/hyperlink" Target="file:///\\hopi-fs\shares\users\dhar\Stalk%20mount%20testing\Type%201e%20Quality%20Assurance\CRYO-41957-747%202628%201E" TargetMode="External"/><Relationship Id="rId30" Type="http://schemas.openxmlformats.org/officeDocument/2006/relationships/hyperlink" Target="file:///\\hopi-fs\shares\users\dhar\Stalk%20mount%20testing\Type%201e%20Quality%20Assurance\CRYO-9085-0194%202319%201EA" TargetMode="External"/><Relationship Id="rId126" Type="http://schemas.openxmlformats.org/officeDocument/2006/relationships/hyperlink" Target="file:///\\hopi-fs\shares\users\dhar\Stalk%20mount%20testing\Type%201e%20Quality%20Assurance\CRYO-2079-3993%202388%201E" TargetMode="External"/><Relationship Id="rId168" Type="http://schemas.openxmlformats.org/officeDocument/2006/relationships/hyperlink" Target="file:///\\hopi-fs\shares\users\dhar\Stalk%20mount%20testing\Type%201e%20Quality%20Assurance\CRYO-9079-0311%202277%201E" TargetMode="External"/><Relationship Id="rId333" Type="http://schemas.openxmlformats.org/officeDocument/2006/relationships/hyperlink" Target="file:///\\hopi-fs\shares\users\dhar\Stalk%20mount%20testing\Type%201e%20Quality%20Assurance\CRYO-42260-375%202483%201E" TargetMode="External"/><Relationship Id="rId540" Type="http://schemas.openxmlformats.org/officeDocument/2006/relationships/hyperlink" Target="file:///\\hopi-fs\shares\users\dhar\Stalk%20mount%20testing\Type%201e%20Quality%20Assurance\CRYO-42456-751%202662%201E" TargetMode="External"/><Relationship Id="rId72" Type="http://schemas.openxmlformats.org/officeDocument/2006/relationships/hyperlink" Target="file:///\\hopi-fs\shares\users\dhar\Stalk%20mount%20testing\Type%201e%20Quality%20Assurance\CRYO-2062-3731%202348%201E" TargetMode="External"/><Relationship Id="rId375" Type="http://schemas.openxmlformats.org/officeDocument/2006/relationships/hyperlink" Target="file:///\\hopi-fs\shares\users\dhar\Stalk%20mount%20testing\Type%201e%20Quality%20Assurance\CRYO-42360-401%202133%201E" TargetMode="External"/><Relationship Id="rId582" Type="http://schemas.openxmlformats.org/officeDocument/2006/relationships/hyperlink" Target="file:///\\hopi-fs\shares\users\dhar\Stalk%20mount%20testing\Type%201e%20Quality%20Assurance\CRYO-41858-835%202667%201E" TargetMode="External"/><Relationship Id="rId3" Type="http://schemas.openxmlformats.org/officeDocument/2006/relationships/hyperlink" Target="file:///\\hopi-fs\shares\users\dhar\Stalk%20mount%20testing\Type%201e%20Quality%20Assurance\CRYO-2078-3595%202249%201E" TargetMode="External"/><Relationship Id="rId235" Type="http://schemas.openxmlformats.org/officeDocument/2006/relationships/hyperlink" Target="file:///\\hopi-fs\shares\users\dhar\Stalk%20mount%20testing\Type%201e%20Quality%20Assurance\CRYO-2076-4476%202190%201E" TargetMode="External"/><Relationship Id="rId277" Type="http://schemas.openxmlformats.org/officeDocument/2006/relationships/hyperlink" Target="file:///\\hopi-fs\shares\users\dhar\Stalk%20mount%20testing\Type%201e%20Quality%20Assurance\CRYO-2077-4600%202470%201E" TargetMode="External"/><Relationship Id="rId400" Type="http://schemas.openxmlformats.org/officeDocument/2006/relationships/hyperlink" Target="file:///\\hopi-fs\shares\users\dhar\Stalk%20mount%20testing\Type%201e%20Quality%20Assurance\CRYO-42255-615%202015%201E" TargetMode="External"/><Relationship Id="rId442" Type="http://schemas.openxmlformats.org/officeDocument/2006/relationships/hyperlink" Target="file:///\\hopi-fs\shares\users\dhar\Stalk%20mount%20testing\Type%201e%20Quality%20Assurance\CRYO-2087-4905%202586%201E" TargetMode="External"/><Relationship Id="rId484" Type="http://schemas.openxmlformats.org/officeDocument/2006/relationships/hyperlink" Target="file:///\\hopi-fs\shares\users\dhar\STALK%20MOUNT%20TESTING\Type%201e%20Quality%20Assurance\CRYO-41855-674%202593%201E" TargetMode="External"/><Relationship Id="rId137" Type="http://schemas.openxmlformats.org/officeDocument/2006/relationships/hyperlink" Target="file:///\\hopi-fs\shares\users\dhar\Stalk%20mount%20testing\Type%201e%20Quality%20Assurance\CRYO-2076-3014%202377%201E" TargetMode="External"/><Relationship Id="rId302" Type="http://schemas.openxmlformats.org/officeDocument/2006/relationships/hyperlink" Target="file:///\\hopi-fs\shares\users\dhar\Stalk%20mount%20testing\Type%201e%20Quality%20Assurance\CRYO-42053-0286%202405%201E" TargetMode="External"/><Relationship Id="rId344" Type="http://schemas.openxmlformats.org/officeDocument/2006/relationships/hyperlink" Target="file:///\\hopi-fs\shares\users\dhar\Stalk%20mount%20testing\Type%201e%20Quality%20Assurance\CRYO-42152-407%202501%201E" TargetMode="External"/><Relationship Id="rId41" Type="http://schemas.openxmlformats.org/officeDocument/2006/relationships/hyperlink" Target="file:///\\hopi-fs\shares\users\dhar\Stalk%20mount%20testing\Type%201e%20Quality%20Assurance\CRYO-2079-3493%202330%201E" TargetMode="External"/><Relationship Id="rId83" Type="http://schemas.openxmlformats.org/officeDocument/2006/relationships/hyperlink" Target="file:///\\hopi-fs\shares\users\dhar\Stalk%20mount%20testing\Type%201e%20Quality%20Assurance\CRYO-2079-3832%202350%201E" TargetMode="External"/><Relationship Id="rId179" Type="http://schemas.openxmlformats.org/officeDocument/2006/relationships/hyperlink" Target="file:///\\hopi-fs\shares\users\dhar\Stalk%20mount%20testing\Type%201e%20Quality%20Assurance\CRYO-2076-4174%202339%201E" TargetMode="External"/><Relationship Id="rId386" Type="http://schemas.openxmlformats.org/officeDocument/2006/relationships/hyperlink" Target="file:///\\hopi-fs\shares\users\dhar\Stalk%20mount%20testing\Type%201e%20Quality%20Assurance\CRYO-42042-588%202468%201E" TargetMode="External"/><Relationship Id="rId551" Type="http://schemas.openxmlformats.org/officeDocument/2006/relationships/hyperlink" Target="file:///\\hopi-fs\shares\users\dhar\Stalk%20mount%20testing\Type%201e%20Quality%20Assurance\CRYO-41846-795%202578%201E" TargetMode="External"/><Relationship Id="rId593" Type="http://schemas.openxmlformats.org/officeDocument/2006/relationships/hyperlink" Target="file:///\\hopi-fs\shares\users\dhar\Stalk%20mount%20testing\Type%201e%20Quality%20Assurance\CRYO-41458-849%202674%201E" TargetMode="External"/><Relationship Id="rId607" Type="http://schemas.openxmlformats.org/officeDocument/2006/relationships/hyperlink" Target="file:///\\hopi-fs\shares\users\dhar\Stalk%20mount%20testing\Type%201e%20Quality%20Assurance\CRYO-41760-875%202684%201E" TargetMode="External"/><Relationship Id="rId190" Type="http://schemas.openxmlformats.org/officeDocument/2006/relationships/hyperlink" Target="file:///\\hopi-fs\shares\users\dhar\Stalk%20mount%20testing\Type%201e%20Quality%20Assurance\CRYO-2067-4273%202348%201E" TargetMode="External"/><Relationship Id="rId204" Type="http://schemas.openxmlformats.org/officeDocument/2006/relationships/hyperlink" Target="file:///\\hopi-fs\shares\users\dhar\Stalk%20mount%20testing\Type%201e%20Quality%20Assurance\CRYO-2060-4320%202184%201E" TargetMode="External"/><Relationship Id="rId246" Type="http://schemas.openxmlformats.org/officeDocument/2006/relationships/hyperlink" Target="file:///\\hopi-fs\shares\users\dhar\Stalk%20mount%20testing\Type%201e%20Quality%20Assurance\CRYO-2079-4377%202447%201E" TargetMode="External"/><Relationship Id="rId288" Type="http://schemas.openxmlformats.org/officeDocument/2006/relationships/hyperlink" Target="file:///\\hopi-fs\shares\users\dhar\Stalk%20mount%20testing\Type%201e%20Quality%20Assurance\CRYO-9081-0365%202468%201E" TargetMode="External"/><Relationship Id="rId411" Type="http://schemas.openxmlformats.org/officeDocument/2006/relationships/hyperlink" Target="file:///\\hopi-fs\shares\users\dhar\Stalk%20mount%20testing\Type%201e%20Quality%20Assurance\CRYO-2081-4776%202057%201E" TargetMode="External"/><Relationship Id="rId453" Type="http://schemas.openxmlformats.org/officeDocument/2006/relationships/hyperlink" Target="file:///\\hopi-fs\shares\users\dhar\Stalk%20mount%20testing\Type%201e%20Quality%20Assurance\CRYO-2086-4949%202528%201E" TargetMode="External"/><Relationship Id="rId509" Type="http://schemas.openxmlformats.org/officeDocument/2006/relationships/hyperlink" Target="file:///\\hopi-fs\shares\users\dhar\Stalk%20mount%20testing\Type%201e%20Quality%20Assurance\CRYO-41956-696%202623%201E" TargetMode="External"/><Relationship Id="rId106" Type="http://schemas.openxmlformats.org/officeDocument/2006/relationships/hyperlink" Target="file:///\\hopi-fs\shares\users\dhar\Stalk%20mount%20testing\Type%201e%20Quality%20Assurance\CRYO-2060-3847%202362%201E" TargetMode="External"/><Relationship Id="rId313" Type="http://schemas.openxmlformats.org/officeDocument/2006/relationships/hyperlink" Target="file:///\\hopi-fs\shares\users\dhar\Stalk%20mount%20testing\Type%201e%20Quality%20Assurance\CRYO-42053-366%202479%201E" TargetMode="External"/><Relationship Id="rId495" Type="http://schemas.openxmlformats.org/officeDocument/2006/relationships/hyperlink" Target="file:///\\hopi-fs\shares\users\dhar\STALK%20MOUNT%20TESTING\Type%201e%20Quality%20Assurance\CRYO-ME-ISE-2Q16-10-C325%201E%202616%20MEQ" TargetMode="External"/><Relationship Id="rId10" Type="http://schemas.openxmlformats.org/officeDocument/2006/relationships/hyperlink" Target="file:///\\hopi-fs\shares\users\dhar\Stalk%20mount%20testing\Type%201e%20Quality%20Assurance\CRYO-2079-3562%202252%201E" TargetMode="External"/><Relationship Id="rId52" Type="http://schemas.openxmlformats.org/officeDocument/2006/relationships/hyperlink" Target="file:///\\hopi-fs\shares\users\dhar\Stalk%20mount%20testing\Type%201e%20Quality%20Assurance\CRYO-2062-3705%202333%201E" TargetMode="External"/><Relationship Id="rId94" Type="http://schemas.openxmlformats.org/officeDocument/2006/relationships/hyperlink" Target="file:///\\hopi-fs\shares\users\dhar\Stalk%20mount%20testing\Type%201e%20Quality%20Assurance\CRYO-44335-0232%202359%201E" TargetMode="External"/><Relationship Id="rId148" Type="http://schemas.openxmlformats.org/officeDocument/2006/relationships/hyperlink" Target="file:///\\hopi-fs\shares\users\dhar\Stalk%20mount%20testing\Type%201e%20Quality%20Assurance\CRYO-2061-4027%202399%201E" TargetMode="External"/><Relationship Id="rId355" Type="http://schemas.openxmlformats.org/officeDocument/2006/relationships/hyperlink" Target="file:///\\hopi-fs\shares\users\dhar\Stalk%20mount%20testing\Type%201e%20Quality%20Assurance\CRYO-41854-0284%202421%201E" TargetMode="External"/><Relationship Id="rId397" Type="http://schemas.openxmlformats.org/officeDocument/2006/relationships/hyperlink" Target="file:///\\hopi-fs\shares\users\dhar\Stalk%20mount%20testing\Type%201e%20Quality%20Assurance\CRYO-42255-607%202052%201E" TargetMode="External"/><Relationship Id="rId520" Type="http://schemas.openxmlformats.org/officeDocument/2006/relationships/hyperlink" Target="file:///\\hopi-fs\shares\users\dhar\Stalk%20mount%20testing\Type%201e%20Quality%20Assurance\CRYO-42260-396%202611%201e" TargetMode="External"/><Relationship Id="rId562" Type="http://schemas.openxmlformats.org/officeDocument/2006/relationships/hyperlink" Target="file:///\\hopi-fs\shares\users\dhar\Stalk%20mount%20testing\Type%201e%20Quality%20Assurance\CRYO-2045-4981%202581%201E" TargetMode="External"/><Relationship Id="rId215" Type="http://schemas.openxmlformats.org/officeDocument/2006/relationships/hyperlink" Target="file:///\\hopi-fs\shares\users\dhar\Stalk%20mount%20testing\Type%201e%20Quality%20Assurance\CRYO-2076-4214%202412%201E" TargetMode="External"/><Relationship Id="rId257" Type="http://schemas.openxmlformats.org/officeDocument/2006/relationships/hyperlink" Target="file:///\\hopi-fs\shares\users\dhar\Stalk%20mount%20testing\Type%201e%20Quality%20Assurance\CRYO-2075-4475%202421%201E" TargetMode="External"/><Relationship Id="rId422" Type="http://schemas.openxmlformats.org/officeDocument/2006/relationships/hyperlink" Target="file:///\\hopi-fs\shares\users\dhar\Stalk%20mount%20testing\Type%201e%20Quality%20Assurance\CRYO-5079-022%202524%201E" TargetMode="External"/><Relationship Id="rId464" Type="http://schemas.openxmlformats.org/officeDocument/2006/relationships/hyperlink" Target="file:///\\hopi-fs\shares\users\dhar\Stalk%20mount%20testing\Type%201e%20Quality%20Assurance\CRYO-43555-639%201746%201E" TargetMode="External"/><Relationship Id="rId299" Type="http://schemas.openxmlformats.org/officeDocument/2006/relationships/hyperlink" Target="file:///\\hopi-fs\shares\users\dhar\Stalk%20mount%20testing\Type%201e%20Quality%20Assurance\CRYO-9081-0369%202409%201E" TargetMode="External"/><Relationship Id="rId63" Type="http://schemas.openxmlformats.org/officeDocument/2006/relationships/hyperlink" Target="file:///\\hopi-fs\shares\users\dhar\Stalk%20mount%20testing\Type%201e%20Quality%20Assurance\CRYO-2063-3802%202340%201E" TargetMode="External"/><Relationship Id="rId159" Type="http://schemas.openxmlformats.org/officeDocument/2006/relationships/hyperlink" Target="file:///\\hopi-fs\shares\users\dhar\Stalk%20mount%20testing\Type%201e%20Quality%20Assurance\CRYO-9080-0340%201809%201E" TargetMode="External"/><Relationship Id="rId366" Type="http://schemas.openxmlformats.org/officeDocument/2006/relationships/hyperlink" Target="file:///\\hopi-fs\shares\users\dhar\Stalk%20mount%20testing\Type%201e%20Quality%20Assurance\CRYO-42149-0250%201539%201E" TargetMode="External"/><Relationship Id="rId573" Type="http://schemas.openxmlformats.org/officeDocument/2006/relationships/hyperlink" Target="file:///\\hopi-fs\shares\users\dhar\Stalk%20mount%20testing\Type%201e%20Quality%20Assurance\CRYO-41758-834%202637%201E" TargetMode="External"/><Relationship Id="rId226" Type="http://schemas.openxmlformats.org/officeDocument/2006/relationships/hyperlink" Target="file:///\\hopi-fs\shares\users\dhar\Stalk%20mount%20testing\Type%201e%20Quality%20Assurance\CRYO-2060-4424%202351%201E" TargetMode="External"/><Relationship Id="rId433" Type="http://schemas.openxmlformats.org/officeDocument/2006/relationships/hyperlink" Target="file:///\\hopi-fs\shares\users\dhar\Stalk%20mount%20testing\Type%201e%20Quality%20Assurance\CRYO-2085-4917%202587%201E" TargetMode="External"/><Relationship Id="rId74" Type="http://schemas.openxmlformats.org/officeDocument/2006/relationships/hyperlink" Target="file:///\\hopi-fs\shares\users\dhar\Stalk%20mount%20testing\Type%201e%20Quality%20Assurance\CRYO-2063-3754%202343%201E" TargetMode="External"/><Relationship Id="rId377" Type="http://schemas.openxmlformats.org/officeDocument/2006/relationships/hyperlink" Target="file:///\\hopi-fs\shares\users\dhar\Stalk%20mount%20testing\Type%201e%20Quality%20Assurance\CRYO-41953-345%202066%201E" TargetMode="External"/><Relationship Id="rId500" Type="http://schemas.openxmlformats.org/officeDocument/2006/relationships/hyperlink" Target="file:///\\hopi-fs\shares\users\dhar\STALK%20MOUNT%20TESTING\Type%201e%20Quality%20Assurance\CRYO-9081-0382%202613%201E" TargetMode="External"/><Relationship Id="rId584" Type="http://schemas.openxmlformats.org/officeDocument/2006/relationships/hyperlink" Target="file:///\\hopi-fs\shares\users\dhar\Stalk%20mount%20testing\Type%201e%20Quality%20Assurance\CRYO-2080-4782%202636%201E" TargetMode="External"/><Relationship Id="rId5" Type="http://schemas.openxmlformats.org/officeDocument/2006/relationships/hyperlink" Target="file:///\\hopi-fs\shares\users\dhar\Stalk%20mount%20testing\Type%201e%20Quality%20Assurance\CRYO-2077-3594%202234%201E" TargetMode="External"/><Relationship Id="rId237" Type="http://schemas.openxmlformats.org/officeDocument/2006/relationships/hyperlink" Target="file:///\\hopi-fs\shares\users\dhar\Stalk%20mount%20testing\Type%201e%20Quality%20Assurance\CRYO-2074-4491%202411%201E" TargetMode="External"/><Relationship Id="rId444" Type="http://schemas.openxmlformats.org/officeDocument/2006/relationships/hyperlink" Target="file:///\\hopi-fs\shares\users\dhar\Stalk%20mount%20testing\Type%201e%20Quality%20Assurance\CRYO-2085-4936%202528%201E" TargetMode="External"/><Relationship Id="rId290" Type="http://schemas.openxmlformats.org/officeDocument/2006/relationships/hyperlink" Target="file:///\\hopi-fs\shares\users\dhar\Stalk%20mount%20testing\Type%201e%20Quality%20Assurance\CRYO-9081-0351%202466%201E" TargetMode="External"/><Relationship Id="rId304" Type="http://schemas.openxmlformats.org/officeDocument/2006/relationships/hyperlink" Target="file:///\\hopi-fs\shares\users\dhar\Stalk%20mount%20testing\Type%201e%20Quality%20Assurance\CRYO-42152-0282%202481%201E" TargetMode="External"/><Relationship Id="rId388" Type="http://schemas.openxmlformats.org/officeDocument/2006/relationships/hyperlink" Target="file:///\\hopi-fs\shares\users\dhar\Stalk%20mount%20testing\Type%201e%20Quality%20Assurance\CRYO-42042-603%202199%201E" TargetMode="External"/><Relationship Id="rId511" Type="http://schemas.openxmlformats.org/officeDocument/2006/relationships/hyperlink" Target="file:///\\hopi-fs\shares\users\dhar\Stalk%20mount%20testing\Type%201e%20Quality%20Assurance\CRYO-41956-700%202629%201E" TargetMode="External"/><Relationship Id="rId609" Type="http://schemas.openxmlformats.org/officeDocument/2006/relationships/hyperlink" Target="file:///\\hopi-fs\shares\users\dhar\Stalk%20mount%20testing\Type%201e%20Quality%20Assurance\CRYO-41457-930%202686%201E" TargetMode="External"/><Relationship Id="rId85" Type="http://schemas.openxmlformats.org/officeDocument/2006/relationships/hyperlink" Target="file:///\\hopi-fs\shares\users\dhar\Stalk%20mount%20testing\Type%201e%20Quality%20Assurance\CRYO-2079-3828%202351%201E" TargetMode="External"/><Relationship Id="rId150" Type="http://schemas.openxmlformats.org/officeDocument/2006/relationships/hyperlink" Target="file:///\\hopi-fs\shares\users\dhar\Stalk%20mount%20testing\Type%201e%20Quality%20Assurance\CRYO-2076-3029%202411%201E" TargetMode="External"/><Relationship Id="rId595" Type="http://schemas.openxmlformats.org/officeDocument/2006/relationships/hyperlink" Target="file:///\\hopi-fs\shares\users\dhar\Stalk%20mount%20testing\Type%201e%20Quality%20Assurance\CRYO-41862-866%202677%201E" TargetMode="External"/><Relationship Id="rId248" Type="http://schemas.openxmlformats.org/officeDocument/2006/relationships/hyperlink" Target="file:///\\hopi-fs\shares\users\dhar\Stalk%20mount%20testing\Type%201e%20Quality%20Assurance\CRYO-2078-3162%202426%201E" TargetMode="External"/><Relationship Id="rId455" Type="http://schemas.openxmlformats.org/officeDocument/2006/relationships/hyperlink" Target="file:///\\hopi-fs\shares\users\dhar\Stalk%20mount%20testing\Type%201e%20Quality%20Assurance\CRYO-2088-4935%202527%201E" TargetMode="External"/><Relationship Id="rId12" Type="http://schemas.openxmlformats.org/officeDocument/2006/relationships/hyperlink" Target="file:///\\hopi-fs\shares\users\dhar\Stalk%20mount%20testing\Type%201e%20Quality%20Assurance\CRYO-2078-3574%202231%201E" TargetMode="External"/><Relationship Id="rId108" Type="http://schemas.openxmlformats.org/officeDocument/2006/relationships/hyperlink" Target="file:///\\hopi-fs\shares\users\dhar\Stalk%20mount%20testing\Type%201e%20Quality%20Assurance\CRYO-2060-3843%202369%201E" TargetMode="External"/><Relationship Id="rId315" Type="http://schemas.openxmlformats.org/officeDocument/2006/relationships/hyperlink" Target="file:///\\hopi-fs\shares\users\dhar\Stalk%20mount%20testing\Type%201e%20Quality%20Assurance\CRYO-2079-4617%202494%201E" TargetMode="External"/><Relationship Id="rId522" Type="http://schemas.openxmlformats.org/officeDocument/2006/relationships/hyperlink" Target="file:///\\hopi-fs\shares\users\dhar\Stalk%20mount%20testing\Type%201e%20Quality%20Assurance\CRYO-42257-734%202659%201E" TargetMode="External"/><Relationship Id="rId96" Type="http://schemas.openxmlformats.org/officeDocument/2006/relationships/hyperlink" Target="file:///\\hopi-fs\shares\users\dhar\Stalk%20mount%20testing\Type%201e%20Quality%20Assurance\CRYO-44335-0234%202359%201E" TargetMode="External"/><Relationship Id="rId161" Type="http://schemas.openxmlformats.org/officeDocument/2006/relationships/hyperlink" Target="file:///\\hopi-fs\shares\users\dhar\Stalk%20mount%20testing\Type%201e%20Quality%20Assurance\CRYO-9081-0335%201584%201E" TargetMode="External"/><Relationship Id="rId399" Type="http://schemas.openxmlformats.org/officeDocument/2006/relationships/hyperlink" Target="file:///\\hopi-fs\shares\users\dhar\Stalk%20mount%20testing\Type%201e%20Quality%20Assurance\CRYO-42354-610%202011%201E" TargetMode="External"/><Relationship Id="rId259" Type="http://schemas.openxmlformats.org/officeDocument/2006/relationships/hyperlink" Target="file:///\\hopi-fs\shares\users\dhar\Stalk%20mount%20testing\Type%201e%20Quality%20Assurance\CRYO-2081-3191%202442%201E" TargetMode="External"/><Relationship Id="rId466" Type="http://schemas.openxmlformats.org/officeDocument/2006/relationships/hyperlink" Target="file:///\\hopi-fs\shares\users\dhar\Stalk%20mount%20testing\Type%201e%20Quality%20Assurance\CRYO-43258-638%202596%201E" TargetMode="External"/><Relationship Id="rId23" Type="http://schemas.openxmlformats.org/officeDocument/2006/relationships/hyperlink" Target="file:///\\hopi-fs\shares\users\dhar\Stalk%20mount%20testing\Type%201e%20Quality%20Assurance\CRYO-9081-0176%202315%201E" TargetMode="External"/><Relationship Id="rId119" Type="http://schemas.openxmlformats.org/officeDocument/2006/relationships/hyperlink" Target="file:///\\hopi-fs\shares\users\dhar\Stalk%20mount%20testing\Type%201e%20Quality%20Assurance\CRYO-2077-3017%202380%201E" TargetMode="External"/><Relationship Id="rId326" Type="http://schemas.openxmlformats.org/officeDocument/2006/relationships/hyperlink" Target="file:///\\hopi-fs\shares\users\dhar\Stalk%20mount%20testing\Type%201e%20Quality%20Assurance\CRYO-2073-4740%202480%201E" TargetMode="External"/><Relationship Id="rId533" Type="http://schemas.openxmlformats.org/officeDocument/2006/relationships/hyperlink" Target="file:///\\hopi-fs\shares\users\dhar\Stalk%20mount%20testing\Type%201e%20Quality%20Assurance\CRYO-42258-752%202658%201E" TargetMode="External"/><Relationship Id="rId172" Type="http://schemas.openxmlformats.org/officeDocument/2006/relationships/hyperlink" Target="file:///\\hopi-fs\shares\users\dhar\Stalk%20mount%20testing\Type%201e%20Quality%20Assurance\CRYO-2078-4067%202298%201E" TargetMode="External"/><Relationship Id="rId477" Type="http://schemas.openxmlformats.org/officeDocument/2006/relationships/hyperlink" Target="file:///\\hopi-fs\shares\users\dhar\STALK%20MOUNT%20TESTING\Type%201e%20Quality%20Assurance\CRYO-41362-663%202532%201E" TargetMode="External"/><Relationship Id="rId600" Type="http://schemas.openxmlformats.org/officeDocument/2006/relationships/hyperlink" Target="file:///\\hopi-fs\shares\users\dhar\Stalk%20mount%20testing\Type%201e%20Quality%20Assurance\CRYO-42062-892%202669%201E" TargetMode="External"/><Relationship Id="rId337" Type="http://schemas.openxmlformats.org/officeDocument/2006/relationships/hyperlink" Target="file:///\\hopi-fs\shares\users\dhar\Stalk%20mount%20testing\Type%201e%20Quality%20Assurance\CRYO-42056-449%202512%201E" TargetMode="External"/><Relationship Id="rId34" Type="http://schemas.openxmlformats.org/officeDocument/2006/relationships/hyperlink" Target="file:///\\hopi-fs\shares\users\dhar\Stalk%20mount%20testing\Type%201e%20Quality%20Assurance\CRYO-2078-3643%202322%201E" TargetMode="External"/><Relationship Id="rId544" Type="http://schemas.openxmlformats.org/officeDocument/2006/relationships/hyperlink" Target="file:///\\hopi-fs\shares\users\dhar\Stalk%20mount%20testing\Type%201e%20Quality%20Assurance\CRYO-42342-784%202547%201E" TargetMode="External"/><Relationship Id="rId183" Type="http://schemas.openxmlformats.org/officeDocument/2006/relationships/hyperlink" Target="file:///\\hopi-fs\shares\users\dhar\Stalk%20mount%20testing\Type%201e%20Quality%20Assurance\CRYO-2078-4157%201827%201E" TargetMode="External"/><Relationship Id="rId390" Type="http://schemas.openxmlformats.org/officeDocument/2006/relationships/hyperlink" Target="file:///\\hopi-fs\shares\users\dhar\Stalk%20mount%20testing\Type%201e%20Quality%20Assurance\CRYO-42042-586%202022%201E" TargetMode="External"/><Relationship Id="rId404" Type="http://schemas.openxmlformats.org/officeDocument/2006/relationships/hyperlink" Target="file:///\\hopi-fs\shares\users\dhar\Stalk%20mount%20testing\Type%201e%20Quality%20Assurance\CRYO-41264-553%201596%201E" TargetMode="External"/><Relationship Id="rId611" Type="http://schemas.openxmlformats.org/officeDocument/2006/relationships/printerSettings" Target="../printerSettings/printerSettings4.bin"/><Relationship Id="rId250" Type="http://schemas.openxmlformats.org/officeDocument/2006/relationships/hyperlink" Target="file:///\\hopi-fs\shares\users\dhar\Stalk%20mount%20testing\Type%201e%20Quality%20Assurance\CRYO-2079-4380%202445%201E" TargetMode="External"/><Relationship Id="rId488" Type="http://schemas.openxmlformats.org/officeDocument/2006/relationships/hyperlink" Target="file:///\\hopi-fs\shares\users\dhar\STALK%20MOUNT%20TESTING\Type%201e%20Quality%20Assurance\CRYO-41656-670%202617%201E" TargetMode="External"/><Relationship Id="rId45" Type="http://schemas.openxmlformats.org/officeDocument/2006/relationships/hyperlink" Target="file:///\\hopi-fs\shares\users\dhar\Stalk%20mount%20testing\Type%201e%20Quality%20Assurance\CRYO-2078-3442%202324%201E" TargetMode="External"/><Relationship Id="rId110" Type="http://schemas.openxmlformats.org/officeDocument/2006/relationships/hyperlink" Target="file:///\\hopi-fs\shares\users\dhar\Stalk%20mount%20testing\Type%201e%20Quality%20Assurance\CRYO-2077-3899%202370%201E" TargetMode="External"/><Relationship Id="rId348" Type="http://schemas.openxmlformats.org/officeDocument/2006/relationships/hyperlink" Target="file:///\\hopi-fs\shares\users\dhar\Stalk%20mount%20testing\Type%201e%20Quality%20Assurance\CRYO-42150-0258%202513%201E" TargetMode="External"/><Relationship Id="rId555" Type="http://schemas.openxmlformats.org/officeDocument/2006/relationships/hyperlink" Target="file:///\\hopi-fs\shares\users\dhar\Stalk%20mount%20testing\Type%201e%20Quality%20Assurance\CRYO-2045-4971%202547%201E" TargetMode="External"/><Relationship Id="rId194" Type="http://schemas.openxmlformats.org/officeDocument/2006/relationships/hyperlink" Target="file:///\\hopi-fs\shares\users\dhar\Stalk%20mount%20testing\Type%201e%20Quality%20Assurance\CRYO-2065-4283%201769%201E" TargetMode="External"/><Relationship Id="rId208" Type="http://schemas.openxmlformats.org/officeDocument/2006/relationships/hyperlink" Target="file:///\\hopi-fs\shares\users\dhar\Stalk%20mount%20testing\Type%201e%20Quality%20Assurance\CRYO-2064-4334%202274%201E" TargetMode="External"/><Relationship Id="rId415" Type="http://schemas.openxmlformats.org/officeDocument/2006/relationships/hyperlink" Target="file:///\\hopi-fs\shares\users\dhar\Stalk%20mount%20testing\Type%201e%20Quality%20Assurance\CRYO-2091-4799%202043%201E" TargetMode="External"/><Relationship Id="rId261" Type="http://schemas.openxmlformats.org/officeDocument/2006/relationships/hyperlink" Target="file:///\\hopi-fs\shares\users\dhar\Stalk%20mount%20testing\Type%201e%20Quality%20Assurance\CRYO-2075-4500%202441%201E" TargetMode="External"/><Relationship Id="rId499" Type="http://schemas.openxmlformats.org/officeDocument/2006/relationships/hyperlink" Target="file:///\\hopi-fs\shares\users\dhar\STALK%20MOUNT%20TESTING\Type%201e%20Quality%20Assurance\CRYO-9081-0376%202611%201E" TargetMode="External"/><Relationship Id="rId56" Type="http://schemas.openxmlformats.org/officeDocument/2006/relationships/hyperlink" Target="file:///\\hopi-fs\shares\users\dhar\Stalk%20mount%20testing\Type%201e%20Quality%20Assurance\CRYO-2063-3714%202338%201E" TargetMode="External"/><Relationship Id="rId359" Type="http://schemas.openxmlformats.org/officeDocument/2006/relationships/hyperlink" Target="file:///\\hopi-fs\shares\users\dhar\Stalk%20mount%20testing\Type%201e%20Quality%20Assurance\CRYO-42051-0247%202348%201E" TargetMode="External"/><Relationship Id="rId566" Type="http://schemas.openxmlformats.org/officeDocument/2006/relationships/hyperlink" Target="file:///\\hopi-fs\shares\users\dhar\Stalk%20mount%20testing\Type%201e%20Quality%20Assurance\CRYO-2046-4976%202558%201E" TargetMode="External"/><Relationship Id="rId121" Type="http://schemas.openxmlformats.org/officeDocument/2006/relationships/hyperlink" Target="file:///\\hopi-fs\shares\users\dhar\Stalk%20mount%20testing\Type%201e%20Quality%20Assurance\CRYO-2077-3025%202382%201E" TargetMode="External"/><Relationship Id="rId219" Type="http://schemas.openxmlformats.org/officeDocument/2006/relationships/hyperlink" Target="file:///\\hopi-fs\shares\users\dhar\Stalk%20mount%20testing\Type%201e%20Quality%20Assurance\CRYO-2080-4382%202409%201E" TargetMode="External"/><Relationship Id="rId426" Type="http://schemas.openxmlformats.org/officeDocument/2006/relationships/hyperlink" Target="file:///\\hopi-fs\shares\users\dhar\Stalk%20mount%20testing\Type%201e%20Quality%20Assurance\CRYO-5079-023%201511%201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file:///\\hopi-fs\shares\users\dhar\Stalk%20mount%20testing\Type%2018\CRYO-ME-1230-0254%2018-029%2018%20MEQ" TargetMode="External"/><Relationship Id="rId18" Type="http://schemas.openxmlformats.org/officeDocument/2006/relationships/hyperlink" Target="file:///\\hopi-fs\shares\users\dhar\Stalk%20mount%20testing\Type%2018\CRYO-ME-1237-0262%2018-033%2018%20MEQ" TargetMode="External"/><Relationship Id="rId26" Type="http://schemas.openxmlformats.org/officeDocument/2006/relationships/hyperlink" Target="file:///\\hopi-fs\shares\users\dhar\STALK%20MOUNT%20TESTING\Type%2018\CRYO-ME-ISE-2Q16-10-C322%2018-037%2018" TargetMode="External"/><Relationship Id="rId39" Type="http://schemas.openxmlformats.org/officeDocument/2006/relationships/printerSettings" Target="../printerSettings/printerSettings5.bin"/><Relationship Id="rId21" Type="http://schemas.openxmlformats.org/officeDocument/2006/relationships/hyperlink" Target="file:///\\hopi-fs\shares\users\dhar\Stalk%20mount%20testing\Type%2018\CRYO-ME-1234-0265%2018-031%2018%20MEQ" TargetMode="External"/><Relationship Id="rId34" Type="http://schemas.openxmlformats.org/officeDocument/2006/relationships/hyperlink" Target="file:///\\hopi-fs\shares\users\dhar\Stalk%20mount%20testing\Type%2018\CRYO-41956-716%2018-048%2018" TargetMode="External"/><Relationship Id="rId7" Type="http://schemas.openxmlformats.org/officeDocument/2006/relationships/hyperlink" Target="file:///\\hopi-fs\shares\users\dhar\Stalk%20mount%20testing\Type%2018\CRYO-2078-3887%2018-023%2018" TargetMode="External"/><Relationship Id="rId2" Type="http://schemas.openxmlformats.org/officeDocument/2006/relationships/hyperlink" Target="file:///\\hopi-fs\shares\users\dhar\Stalk%20mount%20testing\Type%2018\CRYO-2063-3761%2018-019%2018" TargetMode="External"/><Relationship Id="rId16" Type="http://schemas.openxmlformats.org/officeDocument/2006/relationships/hyperlink" Target="file:///\\hopi-fs\shares\users\dhar\Stalk%20mount%20testing\Type%2018\CRYO-ME-1241-0261%2018-034%2018%20MEQ" TargetMode="External"/><Relationship Id="rId20" Type="http://schemas.openxmlformats.org/officeDocument/2006/relationships/hyperlink" Target="file:///\\hopi-fs\shares\users\dhar\Stalk%20mount%20testing\Type%2018\CRYO-ME-1235-0263%2018-034%2018%20MEQ" TargetMode="External"/><Relationship Id="rId29" Type="http://schemas.openxmlformats.org/officeDocument/2006/relationships/hyperlink" Target="file:///\\hopi-fs\shares\users\dhar\Stalk%20mount%20testing\Type%2018\CRYO-41955-727%2018-41%2018" TargetMode="External"/><Relationship Id="rId41" Type="http://schemas.openxmlformats.org/officeDocument/2006/relationships/comments" Target="../comments3.xml"/><Relationship Id="rId1" Type="http://schemas.openxmlformats.org/officeDocument/2006/relationships/hyperlink" Target="file:///\\hopi-fs\shares\users\dhar\Stalk%20mount%20testing\Type%201e%20Quality%20Assurance\CRYO-2062-3795%2018-018" TargetMode="External"/><Relationship Id="rId6" Type="http://schemas.openxmlformats.org/officeDocument/2006/relationships/hyperlink" Target="file:///\\hopi-fs\shares\users\dhar\Stalk%20mount%20testing\Type%2018\CRYO-2079-3891%2018-022%2018" TargetMode="External"/><Relationship Id="rId11" Type="http://schemas.openxmlformats.org/officeDocument/2006/relationships/hyperlink" Target="file:///\\hopi-fs\shares\users\dhar\Stalk%20mount%20testing\Type%2018\CRYO-2081-4141%2018-025%2018" TargetMode="External"/><Relationship Id="rId24" Type="http://schemas.openxmlformats.org/officeDocument/2006/relationships/hyperlink" Target="file:///\\hopi-fs\shares\users\dhar\STALK%20MOUNT%20TESTING\Type%2018\CRYO-ME-ISE-2Q16-10-C316%2018-035%2018%20MEQ" TargetMode="External"/><Relationship Id="rId32" Type="http://schemas.openxmlformats.org/officeDocument/2006/relationships/hyperlink" Target="file:///\\hopi-fs\shares\users\dhar\Stalk%20mount%20testing\Type%2018\CRYO-41955-714%2018-046%2018" TargetMode="External"/><Relationship Id="rId37" Type="http://schemas.openxmlformats.org/officeDocument/2006/relationships/hyperlink" Target="file:///\\hopi-fs\shares\users\dhar\Stalk%20mount%20testing\Type%2018\CRYO-41855-726%2018-038%2018" TargetMode="External"/><Relationship Id="rId40" Type="http://schemas.openxmlformats.org/officeDocument/2006/relationships/vmlDrawing" Target="../drawings/vmlDrawing3.vml"/><Relationship Id="rId5" Type="http://schemas.openxmlformats.org/officeDocument/2006/relationships/hyperlink" Target="file:///\\hopi-fs\shares\users\dhar\Stalk%20mount%20testing\Type%2018\CRYO-2079-3892%208-021%2018" TargetMode="External"/><Relationship Id="rId15" Type="http://schemas.openxmlformats.org/officeDocument/2006/relationships/hyperlink" Target="file:///\\hopi-fs\shares\users\dhar\Stalk%20mount%20testing\Type%2018\CRYO-ME-1230-0255%2018-030%2018%20MEQ" TargetMode="External"/><Relationship Id="rId23" Type="http://schemas.openxmlformats.org/officeDocument/2006/relationships/hyperlink" Target="file:///\\hopi-fs\shares\users\dhar\Stalk%20mount%20testing\Type%2018\CRYO-ME-1242-0267%2018-029%2018%20MEQ" TargetMode="External"/><Relationship Id="rId28" Type="http://schemas.openxmlformats.org/officeDocument/2006/relationships/hyperlink" Target="file:///\\hopi-fs\shares\users\dhar\Stalk%20mount%20testing\Type%2018\CRYO-41955-723%2018-040%2018" TargetMode="External"/><Relationship Id="rId36" Type="http://schemas.openxmlformats.org/officeDocument/2006/relationships/hyperlink" Target="file:///\\hopi-fs\shares\users\dhar\Stalk%20mount%20testing\Type%2018\CRYO-41955-718%2018-050%2018" TargetMode="External"/><Relationship Id="rId10" Type="http://schemas.openxmlformats.org/officeDocument/2006/relationships/hyperlink" Target="file:///\\hopi-fs\shares\users\dhar\Stalk%20mount%20testing\Type%2018\CRYO-2082-4134%2018-027%2018" TargetMode="External"/><Relationship Id="rId19" Type="http://schemas.openxmlformats.org/officeDocument/2006/relationships/hyperlink" Target="file:///\\hopi-fs\shares\users\dhar\Stalk%20mount%20testing\Type%2018\CRYO-ME-1241-0261%2018-034%2018%20MEQ" TargetMode="External"/><Relationship Id="rId31" Type="http://schemas.openxmlformats.org/officeDocument/2006/relationships/hyperlink" Target="file:///\\hopi-fs\shares\users\dhar\Stalk%20mount%20testing\Type%2018\CRYO-41955-713%2018-044%2018" TargetMode="External"/><Relationship Id="rId4" Type="http://schemas.openxmlformats.org/officeDocument/2006/relationships/hyperlink" Target="file:///\\hopi-fs\shares\users\dhar\Stalk%20mount%20testing\Type%2018\CRYO-2062-3768%2018-020%2018" TargetMode="External"/><Relationship Id="rId9" Type="http://schemas.openxmlformats.org/officeDocument/2006/relationships/hyperlink" Target="file:///\\hopi-fs\shares\users\dhar\Stalk%20mount%20testing\Type%2018\CRYO-2081-4132%2018-025%2018" TargetMode="External"/><Relationship Id="rId14" Type="http://schemas.openxmlformats.org/officeDocument/2006/relationships/hyperlink" Target="file:///\\hopi-fs\shares\users\dhar\Stalk%20mount%20testing\Type%2018\CRYO-ME-1230-0255%2018-030%2018%20MEQ" TargetMode="External"/><Relationship Id="rId22" Type="http://schemas.openxmlformats.org/officeDocument/2006/relationships/hyperlink" Target="file:///\\hopi-fs\shares\users\dhar\Stalk%20mount%20testing\Type%2018\CRYO-ME-1242-0267%2018-029%2018%20MEQ" TargetMode="External"/><Relationship Id="rId27" Type="http://schemas.openxmlformats.org/officeDocument/2006/relationships/hyperlink" Target="file:///\\hopi-fs\shares\users\dhar\Stalk%20mount%20testing\Type%2018\CRYO-41955-723%2018-040%2018" TargetMode="External"/><Relationship Id="rId30" Type="http://schemas.openxmlformats.org/officeDocument/2006/relationships/hyperlink" Target="file:///\\hopi-fs\shares\users\dhar\Stalk%20mount%20testing\Type%2018\CRYO-41955-729%2018-42%2018" TargetMode="External"/><Relationship Id="rId35" Type="http://schemas.openxmlformats.org/officeDocument/2006/relationships/hyperlink" Target="file:///\\hopi-fs\shares\users\dhar\Stalk%20mount%20testing\Type%2018\CRYO-41955-719%2018-039%2018" TargetMode="External"/><Relationship Id="rId8" Type="http://schemas.openxmlformats.org/officeDocument/2006/relationships/hyperlink" Target="file:///\\hopi-fs\shares\users\dhar\Stalk%20mount%20testing\Type%2018\ISE-3Q20-07-A01%2018-024%2021" TargetMode="External"/><Relationship Id="rId3" Type="http://schemas.openxmlformats.org/officeDocument/2006/relationships/hyperlink" Target="file:///\\hopi-fs\shares\users\dhar\Stalk%20mount%20testing\Type%2018\CRYO-2063-3778%2018-018%20%2018" TargetMode="External"/><Relationship Id="rId12" Type="http://schemas.openxmlformats.org/officeDocument/2006/relationships/hyperlink" Target="file:///\\hopi-fs\shares\users\dhar\Stalk%20mount%20testing\Type%2018\CRYO-ME-1239-0253%2018-028%2018%20MEQ" TargetMode="External"/><Relationship Id="rId17" Type="http://schemas.openxmlformats.org/officeDocument/2006/relationships/hyperlink" Target="file:///\\hopi-fs\shares\users\dhar\Stalk%20mount%20testing\Type%2018\CRYO-ME-1237-0258%2018-031%2018%20MEQ" TargetMode="External"/><Relationship Id="rId25" Type="http://schemas.openxmlformats.org/officeDocument/2006/relationships/hyperlink" Target="file:///\\hopi-fs\shares\users\dhar\STALK%20MOUNT%20TESTING\Type%2018\CRYO-ME-ISE-2Q16-10-C321%2018-036%2018" TargetMode="External"/><Relationship Id="rId33" Type="http://schemas.openxmlformats.org/officeDocument/2006/relationships/hyperlink" Target="file:///\\hopi-fs\shares\users\dhar\Stalk%20mount%20testing\Type%2018\CRYO-41955-715%2018-047%2018" TargetMode="External"/><Relationship Id="rId38" Type="http://schemas.openxmlformats.org/officeDocument/2006/relationships/hyperlink" Target="file:///\\hopi-fs\shares\users\dhar\Stalk%20mount%20testing\Type%2018\CRYO-41955-728%2018-043%201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ile:///\\hopi-fs\shares\users\dhar\Stalk%20mount%20testing\Type%2022\Cryo-UT-4187%202424%20type%2022" TargetMode="External"/><Relationship Id="rId2" Type="http://schemas.openxmlformats.org/officeDocument/2006/relationships/hyperlink" Target="file:///\\hopi-fs\shares\users\dhar\Stalk%20mount%20testing\Type%2022\Cryo-UT-4186%202428%20type%2022" TargetMode="External"/><Relationship Id="rId1" Type="http://schemas.openxmlformats.org/officeDocument/2006/relationships/hyperlink" Target="file:///\\hopi-fs\shares\users\dhar\Stalk%20mount%20testing\Type%2022\Cryo-UT-4185%202423%20type%2022" TargetMode="External"/><Relationship Id="rId5" Type="http://schemas.openxmlformats.org/officeDocument/2006/relationships/printerSettings" Target="../printerSettings/printerSettings6.bin"/><Relationship Id="rId4" Type="http://schemas.openxmlformats.org/officeDocument/2006/relationships/hyperlink" Target="file:///\\hopi-fs\shares\users\dhar\Stalk%20mount%20testing\Type%2022\Cryo-UT-4188%202427%20type%202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workbookViewId="0">
      <pane xSplit="8370" ySplit="2100" topLeftCell="D1" activePane="topRight"/>
      <selection activeCell="B3" sqref="B3"/>
      <selection pane="topRight" activeCell="H3" sqref="H3"/>
      <selection pane="bottomLeft" activeCell="A18" sqref="A18"/>
      <selection pane="bottomRight" activeCell="G29" sqref="G29"/>
    </sheetView>
  </sheetViews>
  <sheetFormatPr defaultRowHeight="15"/>
  <cols>
    <col min="2" max="2" width="18" customWidth="1"/>
    <col min="3" max="3" width="9.85546875" customWidth="1"/>
    <col min="4" max="4" width="15" bestFit="1" customWidth="1"/>
    <col min="5" max="5" width="9" bestFit="1" customWidth="1"/>
    <col min="8" max="8" width="10" bestFit="1" customWidth="1"/>
    <col min="9" max="9" width="10.42578125" bestFit="1" customWidth="1"/>
    <col min="10" max="10" width="13.42578125" customWidth="1"/>
    <col min="11" max="11" width="17.7109375" bestFit="1" customWidth="1"/>
  </cols>
  <sheetData>
    <row r="1" spans="1:13">
      <c r="B1" t="s">
        <v>154</v>
      </c>
    </row>
    <row r="2" spans="1:13">
      <c r="A2" s="13"/>
      <c r="B2" s="14" t="s">
        <v>166</v>
      </c>
      <c r="D2" s="20"/>
      <c r="E2" s="20"/>
    </row>
    <row r="3" spans="1:13">
      <c r="B3" s="20"/>
      <c r="D3" s="20"/>
      <c r="E3" s="20"/>
    </row>
    <row r="4" spans="1:13">
      <c r="A4" s="20"/>
      <c r="B4" s="20" t="s">
        <v>8</v>
      </c>
    </row>
    <row r="5" spans="1:13" ht="30">
      <c r="A5" s="2" t="s">
        <v>4</v>
      </c>
      <c r="B5" s="23" t="s">
        <v>156</v>
      </c>
      <c r="C5" s="2" t="s">
        <v>157</v>
      </c>
      <c r="D5" s="24" t="s">
        <v>155</v>
      </c>
      <c r="E5" s="2" t="s">
        <v>105</v>
      </c>
      <c r="F5" s="18" t="s">
        <v>131</v>
      </c>
      <c r="G5" s="18" t="s">
        <v>132</v>
      </c>
      <c r="H5" s="18" t="s">
        <v>133</v>
      </c>
      <c r="I5" s="18" t="s">
        <v>134</v>
      </c>
      <c r="J5" s="22" t="s">
        <v>159</v>
      </c>
      <c r="K5" s="18" t="s">
        <v>145</v>
      </c>
      <c r="L5" s="18" t="s">
        <v>161</v>
      </c>
    </row>
    <row r="6" spans="1:13">
      <c r="A6" s="13">
        <v>2682</v>
      </c>
      <c r="B6" s="13">
        <v>28.6</v>
      </c>
      <c r="C6">
        <v>1.17</v>
      </c>
      <c r="D6">
        <v>0.88200000000000001</v>
      </c>
      <c r="E6">
        <v>33.700000000000003</v>
      </c>
      <c r="F6" t="s">
        <v>158</v>
      </c>
      <c r="G6" t="s">
        <v>158</v>
      </c>
      <c r="H6" s="17">
        <v>40772</v>
      </c>
      <c r="I6" t="s">
        <v>153</v>
      </c>
      <c r="J6" t="s">
        <v>160</v>
      </c>
      <c r="L6" t="s">
        <v>160</v>
      </c>
      <c r="M6" t="s">
        <v>206</v>
      </c>
    </row>
    <row r="7" spans="1:13">
      <c r="A7" s="13">
        <v>2683</v>
      </c>
      <c r="B7">
        <v>28.55</v>
      </c>
      <c r="C7">
        <v>0.248</v>
      </c>
      <c r="D7">
        <v>0.89800000000000002</v>
      </c>
      <c r="E7">
        <v>33.700000000000003</v>
      </c>
      <c r="F7" t="s">
        <v>158</v>
      </c>
      <c r="G7" t="s">
        <v>158</v>
      </c>
      <c r="H7" s="17">
        <v>40772</v>
      </c>
      <c r="I7" t="s">
        <v>153</v>
      </c>
      <c r="J7" t="s">
        <v>160</v>
      </c>
      <c r="L7" t="s">
        <v>160</v>
      </c>
      <c r="M7" t="s">
        <v>192</v>
      </c>
    </row>
    <row r="8" spans="1:13">
      <c r="A8" s="13">
        <v>2684</v>
      </c>
      <c r="B8">
        <v>28.6</v>
      </c>
      <c r="C8">
        <v>0.51</v>
      </c>
      <c r="D8">
        <v>0.91100000000000003</v>
      </c>
      <c r="E8">
        <v>33.4</v>
      </c>
      <c r="F8" t="s">
        <v>158</v>
      </c>
      <c r="G8" t="s">
        <v>158</v>
      </c>
      <c r="H8" s="17">
        <v>40772</v>
      </c>
      <c r="I8" t="s">
        <v>153</v>
      </c>
      <c r="J8" t="s">
        <v>160</v>
      </c>
      <c r="L8" t="s">
        <v>160</v>
      </c>
      <c r="M8" t="s">
        <v>206</v>
      </c>
    </row>
    <row r="9" spans="1:13">
      <c r="A9" s="13">
        <v>2685</v>
      </c>
      <c r="B9">
        <v>28.6</v>
      </c>
      <c r="C9">
        <v>0.40100000000000002</v>
      </c>
      <c r="D9">
        <v>0.92300000000000004</v>
      </c>
      <c r="E9">
        <v>33.5</v>
      </c>
      <c r="F9" t="s">
        <v>158</v>
      </c>
      <c r="G9" t="s">
        <v>158</v>
      </c>
      <c r="H9" s="17">
        <v>40772</v>
      </c>
      <c r="I9" t="s">
        <v>153</v>
      </c>
      <c r="J9" t="s">
        <v>160</v>
      </c>
      <c r="L9" t="s">
        <v>160</v>
      </c>
      <c r="M9" t="s">
        <v>192</v>
      </c>
    </row>
    <row r="10" spans="1:13">
      <c r="A10" s="13">
        <v>2611</v>
      </c>
      <c r="F10" t="s">
        <v>158</v>
      </c>
      <c r="G10" t="s">
        <v>158</v>
      </c>
      <c r="I10" t="s">
        <v>153</v>
      </c>
      <c r="M10" t="s">
        <v>206</v>
      </c>
    </row>
    <row r="11" spans="1:13">
      <c r="A11" s="13">
        <v>2630</v>
      </c>
      <c r="F11" t="s">
        <v>158</v>
      </c>
      <c r="G11" t="s">
        <v>158</v>
      </c>
      <c r="I11" t="s">
        <v>153</v>
      </c>
      <c r="M11" t="s">
        <v>206</v>
      </c>
    </row>
    <row r="12" spans="1:13">
      <c r="A12" s="13">
        <v>2710</v>
      </c>
      <c r="B12">
        <v>28.6</v>
      </c>
      <c r="C12">
        <v>0.63</v>
      </c>
      <c r="D12">
        <v>0.9</v>
      </c>
      <c r="E12">
        <v>33.5</v>
      </c>
      <c r="F12" t="s">
        <v>158</v>
      </c>
      <c r="G12" t="s">
        <v>158</v>
      </c>
      <c r="H12" s="17">
        <v>40892</v>
      </c>
      <c r="I12" t="s">
        <v>153</v>
      </c>
      <c r="M12" t="s">
        <v>275</v>
      </c>
    </row>
    <row r="13" spans="1:13">
      <c r="A13" s="13">
        <v>2709</v>
      </c>
      <c r="B13">
        <v>28.6</v>
      </c>
      <c r="C13">
        <v>0.43</v>
      </c>
      <c r="D13">
        <v>0.89700000000000002</v>
      </c>
      <c r="E13">
        <v>33.5</v>
      </c>
      <c r="F13" t="s">
        <v>158</v>
      </c>
      <c r="G13" t="s">
        <v>158</v>
      </c>
      <c r="H13" s="17">
        <v>40892</v>
      </c>
      <c r="I13" t="s">
        <v>153</v>
      </c>
      <c r="L13" t="s">
        <v>160</v>
      </c>
      <c r="M13" t="s">
        <v>275</v>
      </c>
    </row>
    <row r="14" spans="1:13">
      <c r="A14" s="13">
        <v>2711</v>
      </c>
      <c r="B14">
        <v>28.6</v>
      </c>
      <c r="C14">
        <v>0.44</v>
      </c>
      <c r="D14">
        <v>0.90500000000000003</v>
      </c>
      <c r="E14">
        <v>33.5</v>
      </c>
      <c r="F14" t="s">
        <v>158</v>
      </c>
      <c r="G14" t="s">
        <v>158</v>
      </c>
      <c r="H14" s="17">
        <v>40892</v>
      </c>
      <c r="I14" t="s">
        <v>153</v>
      </c>
      <c r="L14" t="s">
        <v>160</v>
      </c>
      <c r="M14" t="s">
        <v>275</v>
      </c>
    </row>
    <row r="15" spans="1:13">
      <c r="A15" s="13">
        <v>2708</v>
      </c>
      <c r="B15">
        <v>28.6</v>
      </c>
      <c r="C15">
        <v>0.53</v>
      </c>
      <c r="D15">
        <v>0.91500000000000004</v>
      </c>
      <c r="E15">
        <v>33.5</v>
      </c>
      <c r="F15" t="s">
        <v>158</v>
      </c>
      <c r="G15" t="s">
        <v>158</v>
      </c>
      <c r="H15" s="17">
        <v>40892</v>
      </c>
      <c r="I15" t="s">
        <v>153</v>
      </c>
      <c r="L15" t="s">
        <v>160</v>
      </c>
      <c r="M15" t="s">
        <v>275</v>
      </c>
    </row>
    <row r="16" spans="1:13">
      <c r="A16" s="13">
        <v>2093</v>
      </c>
      <c r="B16">
        <v>28.6</v>
      </c>
      <c r="C16">
        <v>0.46400000000000002</v>
      </c>
      <c r="D16">
        <v>0.89600000000000002</v>
      </c>
      <c r="E16">
        <v>33.4</v>
      </c>
      <c r="H16" s="17">
        <v>40920</v>
      </c>
      <c r="I16" t="s">
        <v>153</v>
      </c>
      <c r="L16" t="s">
        <v>160</v>
      </c>
      <c r="M16" t="s">
        <v>628</v>
      </c>
    </row>
    <row r="17" spans="1:13">
      <c r="A17" s="13">
        <v>2095</v>
      </c>
      <c r="B17">
        <v>28.6</v>
      </c>
      <c r="C17">
        <v>0.52500000000000002</v>
      </c>
      <c r="D17">
        <v>0.88100000000000001</v>
      </c>
      <c r="E17">
        <v>33.6</v>
      </c>
      <c r="H17" s="17">
        <v>40920</v>
      </c>
      <c r="I17" t="s">
        <v>153</v>
      </c>
      <c r="L17" t="s">
        <v>287</v>
      </c>
      <c r="M17" t="s">
        <v>599</v>
      </c>
    </row>
    <row r="18" spans="1:13">
      <c r="A18" s="99">
        <v>2092</v>
      </c>
      <c r="B18">
        <v>28.5</v>
      </c>
      <c r="C18">
        <v>0.33</v>
      </c>
      <c r="D18">
        <v>0.878</v>
      </c>
      <c r="E18" s="64">
        <v>34.200000000000003</v>
      </c>
      <c r="H18" s="17">
        <v>40920</v>
      </c>
      <c r="I18" t="s">
        <v>153</v>
      </c>
      <c r="L18" t="s">
        <v>287</v>
      </c>
      <c r="M18" t="s">
        <v>404</v>
      </c>
    </row>
    <row r="19" spans="1:13">
      <c r="A19" s="13">
        <v>2094</v>
      </c>
      <c r="B19">
        <v>28.6</v>
      </c>
      <c r="C19">
        <v>0.20300000000000001</v>
      </c>
      <c r="D19">
        <v>0.88100000000000001</v>
      </c>
      <c r="E19">
        <v>33.700000000000003</v>
      </c>
      <c r="H19" s="17">
        <v>40920</v>
      </c>
      <c r="I19" t="s">
        <v>153</v>
      </c>
      <c r="L19" t="s">
        <v>287</v>
      </c>
      <c r="M19" t="s">
        <v>404</v>
      </c>
    </row>
    <row r="20" spans="1:13">
      <c r="A20" s="13">
        <v>3045</v>
      </c>
      <c r="B20">
        <v>28.7</v>
      </c>
      <c r="C20">
        <v>0.55000000000000004</v>
      </c>
      <c r="D20">
        <v>0.94399999999999995</v>
      </c>
      <c r="E20">
        <v>33.14</v>
      </c>
      <c r="H20" s="17">
        <v>41174</v>
      </c>
      <c r="I20" t="s">
        <v>644</v>
      </c>
      <c r="L20" t="s">
        <v>645</v>
      </c>
      <c r="M20" t="s">
        <v>1599</v>
      </c>
    </row>
    <row r="21" spans="1:13">
      <c r="A21" s="13">
        <v>3043</v>
      </c>
      <c r="B21">
        <v>28.6</v>
      </c>
      <c r="C21">
        <v>0.78</v>
      </c>
      <c r="D21">
        <v>0.97099999999999997</v>
      </c>
      <c r="E21">
        <v>33.049999999999997</v>
      </c>
      <c r="H21" s="17">
        <v>41174</v>
      </c>
      <c r="I21" t="s">
        <v>644</v>
      </c>
      <c r="L21" t="s">
        <v>645</v>
      </c>
      <c r="M21" t="s">
        <v>1599</v>
      </c>
    </row>
    <row r="22" spans="1:13">
      <c r="A22" s="13">
        <v>3044</v>
      </c>
      <c r="B22">
        <v>28.6</v>
      </c>
      <c r="C22">
        <v>0.58699999999999997</v>
      </c>
      <c r="D22">
        <v>0.92</v>
      </c>
      <c r="E22">
        <v>32.9</v>
      </c>
      <c r="H22" s="17">
        <v>41174</v>
      </c>
      <c r="I22" t="s">
        <v>644</v>
      </c>
      <c r="L22" t="s">
        <v>645</v>
      </c>
      <c r="M22" t="s">
        <v>649</v>
      </c>
    </row>
    <row r="23" spans="1:13">
      <c r="A23" t="s">
        <v>169</v>
      </c>
      <c r="B23">
        <v>28.6</v>
      </c>
      <c r="C23">
        <v>0.183</v>
      </c>
      <c r="D23">
        <v>0.9</v>
      </c>
      <c r="E23">
        <v>33.56</v>
      </c>
      <c r="H23" s="17">
        <v>41443</v>
      </c>
      <c r="I23" t="s">
        <v>153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8"/>
  <sheetViews>
    <sheetView workbookViewId="0">
      <selection activeCell="D19" sqref="D19"/>
    </sheetView>
  </sheetViews>
  <sheetFormatPr defaultRowHeight="15"/>
  <cols>
    <col min="2" max="2" width="10.42578125" customWidth="1"/>
    <col min="4" max="4" width="10" bestFit="1" customWidth="1"/>
    <col min="5" max="5" width="15.140625" customWidth="1"/>
    <col min="6" max="6" width="24.5703125" customWidth="1"/>
    <col min="9" max="9" width="9.7109375" bestFit="1" customWidth="1"/>
    <col min="10" max="10" width="10.7109375" customWidth="1"/>
    <col min="15" max="15" width="12.42578125" bestFit="1" customWidth="1"/>
    <col min="16" max="16" width="11" bestFit="1" customWidth="1"/>
    <col min="17" max="17" width="6" bestFit="1" customWidth="1"/>
    <col min="18" max="18" width="13.140625" bestFit="1" customWidth="1"/>
    <col min="19" max="19" width="23.7109375" bestFit="1" customWidth="1"/>
  </cols>
  <sheetData>
    <row r="1" spans="1:20">
      <c r="A1" t="s">
        <v>631</v>
      </c>
      <c r="B1" t="s">
        <v>630</v>
      </c>
      <c r="C1" s="4" t="str">
        <f>HYPERLINK("http://www.lle.rochester.edu/04_resources/04_07_PDM/pdmdocs/release/D/D-TR/D-TR-B-290/A/D-TR-B-290_REVA.PDF","drawing")</f>
        <v>drawing</v>
      </c>
    </row>
    <row r="3" spans="1:20">
      <c r="C3" s="35" t="s">
        <v>632</v>
      </c>
    </row>
    <row r="4" spans="1:20" ht="60">
      <c r="A4" s="171"/>
      <c r="B4" s="604" t="s">
        <v>5</v>
      </c>
      <c r="C4" s="604"/>
      <c r="D4" s="101" t="s">
        <v>14</v>
      </c>
      <c r="E4" s="171" t="s">
        <v>8</v>
      </c>
    </row>
    <row r="5" spans="1:20" ht="45">
      <c r="A5" s="23" t="s">
        <v>4</v>
      </c>
      <c r="B5" s="23" t="s">
        <v>11</v>
      </c>
      <c r="C5" s="23" t="s">
        <v>62</v>
      </c>
      <c r="D5" s="23" t="s">
        <v>623</v>
      </c>
      <c r="E5" s="23" t="s">
        <v>624</v>
      </c>
      <c r="F5" s="22" t="s">
        <v>135</v>
      </c>
      <c r="G5" s="22" t="s">
        <v>131</v>
      </c>
      <c r="H5" s="22" t="s">
        <v>132</v>
      </c>
      <c r="I5" s="22" t="s">
        <v>133</v>
      </c>
      <c r="J5" s="22" t="s">
        <v>134</v>
      </c>
      <c r="K5" s="22" t="s">
        <v>105</v>
      </c>
      <c r="L5" s="22" t="s">
        <v>157</v>
      </c>
      <c r="M5" s="22" t="s">
        <v>163</v>
      </c>
      <c r="N5" s="22" t="s">
        <v>226</v>
      </c>
      <c r="O5" s="18" t="s">
        <v>141</v>
      </c>
      <c r="P5" s="18" t="s">
        <v>239</v>
      </c>
      <c r="Q5" s="18" t="s">
        <v>210</v>
      </c>
      <c r="R5" s="18" t="s">
        <v>146</v>
      </c>
      <c r="S5" s="18" t="s">
        <v>145</v>
      </c>
      <c r="T5" s="18" t="s">
        <v>183</v>
      </c>
    </row>
    <row r="6" spans="1:20">
      <c r="A6">
        <v>3046</v>
      </c>
      <c r="B6" s="172">
        <f>AVERAGE(16.8,15.6,16.2)</f>
        <v>16.2</v>
      </c>
      <c r="C6">
        <v>1.59</v>
      </c>
      <c r="D6">
        <v>5.24</v>
      </c>
      <c r="E6">
        <v>26.37</v>
      </c>
      <c r="F6" s="13" t="s">
        <v>625</v>
      </c>
      <c r="G6">
        <v>60.6</v>
      </c>
      <c r="H6">
        <v>68.7</v>
      </c>
      <c r="I6" s="17">
        <v>41158</v>
      </c>
      <c r="J6" t="s">
        <v>626</v>
      </c>
      <c r="K6">
        <v>33.6</v>
      </c>
      <c r="L6">
        <v>0.76500000000000001</v>
      </c>
      <c r="M6">
        <v>290</v>
      </c>
      <c r="P6" s="4" t="str">
        <f>HYPERLINK("\\hopi-fs\shares\users\dhar\Stalk mount testing\Type1f","folder")</f>
        <v>folder</v>
      </c>
      <c r="R6" t="s">
        <v>175</v>
      </c>
      <c r="S6" t="s">
        <v>140</v>
      </c>
      <c r="T6" t="s">
        <v>633</v>
      </c>
    </row>
    <row r="7" spans="1:20">
      <c r="A7">
        <v>3047</v>
      </c>
      <c r="B7" s="172">
        <f>AVERAGE(12.8, 14,14.4)</f>
        <v>13.733333333333334</v>
      </c>
      <c r="C7">
        <v>1.51</v>
      </c>
      <c r="D7">
        <v>5.14</v>
      </c>
      <c r="E7">
        <v>26.38</v>
      </c>
      <c r="F7" s="13" t="s">
        <v>627</v>
      </c>
      <c r="G7">
        <v>60.6</v>
      </c>
      <c r="H7">
        <v>68.7</v>
      </c>
      <c r="I7" s="17">
        <v>41158</v>
      </c>
      <c r="J7" t="s">
        <v>626</v>
      </c>
      <c r="K7">
        <v>33.5</v>
      </c>
      <c r="L7">
        <v>0.45500000000000002</v>
      </c>
      <c r="M7">
        <v>219</v>
      </c>
      <c r="P7" s="4" t="str">
        <f>HYPERLINK("\\hopi-fs\shares\users\dhar\Stalk mount testing\Type1f\CRYO-ME-1232-0227 3047","folder")</f>
        <v>folder</v>
      </c>
      <c r="R7" t="s">
        <v>175</v>
      </c>
      <c r="S7" t="s">
        <v>140</v>
      </c>
      <c r="T7" t="s">
        <v>633</v>
      </c>
    </row>
    <row r="8" spans="1:20">
      <c r="A8">
        <v>3048</v>
      </c>
      <c r="B8" s="172">
        <f>AVERAGE(17.6,19.2,18)</f>
        <v>18.266666666666666</v>
      </c>
      <c r="C8">
        <v>1.5</v>
      </c>
      <c r="D8">
        <v>5.22</v>
      </c>
      <c r="E8">
        <v>26.26</v>
      </c>
      <c r="F8" s="13" t="s">
        <v>629</v>
      </c>
      <c r="G8">
        <v>72.400000000000006</v>
      </c>
      <c r="H8">
        <v>37</v>
      </c>
      <c r="I8" s="162">
        <v>41162</v>
      </c>
      <c r="J8" t="s">
        <v>626</v>
      </c>
      <c r="K8">
        <v>33.5</v>
      </c>
      <c r="L8" s="173">
        <v>0.72</v>
      </c>
      <c r="M8">
        <v>349</v>
      </c>
      <c r="P8" s="4" t="str">
        <f>HYPERLINK("\\hopi-fs\shares\users\dhar\Stalk mount testing\Type1f\CRYO-ME-1239-0228 3048","folder")</f>
        <v>folder</v>
      </c>
      <c r="R8" t="s">
        <v>175</v>
      </c>
      <c r="S8" t="s">
        <v>140</v>
      </c>
      <c r="T8" t="s">
        <v>633</v>
      </c>
    </row>
  </sheetData>
  <mergeCells count="1">
    <mergeCell ref="B4:C4"/>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workbookViewId="0">
      <pane ySplit="1800" topLeftCell="A22" activePane="bottomLeft"/>
      <selection pane="bottomLeft" activeCell="E4" sqref="E4"/>
    </sheetView>
  </sheetViews>
  <sheetFormatPr defaultRowHeight="15"/>
  <cols>
    <col min="2" max="2" width="17" bestFit="1" customWidth="1"/>
    <col min="3" max="3" width="19.28515625" bestFit="1" customWidth="1"/>
    <col min="4" max="4" width="17.85546875" bestFit="1" customWidth="1"/>
    <col min="5" max="5" width="18.42578125" bestFit="1" customWidth="1"/>
    <col min="6" max="6" width="13.85546875" bestFit="1" customWidth="1"/>
    <col min="7" max="7" width="15.140625" customWidth="1"/>
    <col min="8" max="8" width="20" bestFit="1" customWidth="1"/>
    <col min="9" max="9" width="6" bestFit="1" customWidth="1"/>
    <col min="10" max="10" width="8" bestFit="1" customWidth="1"/>
    <col min="11" max="11" width="10" bestFit="1" customWidth="1"/>
    <col min="12" max="12" width="10.42578125" bestFit="1" customWidth="1"/>
    <col min="15" max="15" width="12" bestFit="1" customWidth="1"/>
    <col min="16" max="16" width="13.5703125" bestFit="1" customWidth="1"/>
    <col min="17" max="17" width="7.5703125" bestFit="1" customWidth="1"/>
    <col min="18" max="18" width="17.7109375" bestFit="1" customWidth="1"/>
  </cols>
  <sheetData>
    <row r="1" spans="1:19">
      <c r="A1" s="6" t="s">
        <v>1</v>
      </c>
      <c r="B1" s="4" t="s">
        <v>30</v>
      </c>
      <c r="H1" s="30"/>
      <c r="J1" s="30"/>
      <c r="M1" s="30"/>
    </row>
    <row r="2" spans="1:19">
      <c r="A2">
        <v>0</v>
      </c>
      <c r="B2" t="s">
        <v>10</v>
      </c>
      <c r="D2" s="35" t="s">
        <v>250</v>
      </c>
      <c r="H2" s="30"/>
      <c r="J2" s="30"/>
      <c r="M2" s="30"/>
    </row>
    <row r="3" spans="1:19">
      <c r="F3" s="4" t="s">
        <v>28</v>
      </c>
      <c r="H3" s="30"/>
      <c r="J3" s="30"/>
      <c r="M3" s="30"/>
    </row>
    <row r="4" spans="1:19">
      <c r="B4" s="604" t="s">
        <v>19</v>
      </c>
      <c r="C4" s="604"/>
      <c r="D4" t="s">
        <v>22</v>
      </c>
      <c r="E4" t="s">
        <v>24</v>
      </c>
      <c r="F4" t="s">
        <v>8</v>
      </c>
      <c r="H4" s="30"/>
      <c r="J4" s="30"/>
      <c r="M4" s="30"/>
    </row>
    <row r="5" spans="1:19">
      <c r="A5" s="7" t="s">
        <v>18</v>
      </c>
      <c r="B5" s="7" t="s">
        <v>20</v>
      </c>
      <c r="C5" s="7" t="s">
        <v>21</v>
      </c>
      <c r="D5" s="7" t="s">
        <v>23</v>
      </c>
      <c r="E5" s="7" t="s">
        <v>25</v>
      </c>
      <c r="F5" s="7" t="s">
        <v>26</v>
      </c>
      <c r="G5" s="7" t="s">
        <v>36</v>
      </c>
      <c r="H5" s="18" t="s">
        <v>135</v>
      </c>
      <c r="I5" s="18" t="s">
        <v>131</v>
      </c>
      <c r="J5" s="18" t="s">
        <v>132</v>
      </c>
      <c r="K5" s="18" t="s">
        <v>133</v>
      </c>
      <c r="L5" s="18" t="s">
        <v>134</v>
      </c>
      <c r="M5" s="18" t="s">
        <v>105</v>
      </c>
      <c r="N5" s="18" t="s">
        <v>157</v>
      </c>
      <c r="O5" s="18" t="s">
        <v>163</v>
      </c>
      <c r="P5" s="18" t="s">
        <v>141</v>
      </c>
      <c r="Q5" s="18" t="s">
        <v>179</v>
      </c>
      <c r="R5" s="18" t="s">
        <v>145</v>
      </c>
      <c r="S5" s="18" t="s">
        <v>183</v>
      </c>
    </row>
    <row r="6" spans="1:19">
      <c r="A6">
        <v>2603</v>
      </c>
      <c r="B6">
        <v>8.4000000000000005E-2</v>
      </c>
      <c r="C6">
        <v>0.53</v>
      </c>
      <c r="D6">
        <v>2.08</v>
      </c>
      <c r="E6">
        <v>9</v>
      </c>
      <c r="F6">
        <v>21.2</v>
      </c>
      <c r="G6" t="s">
        <v>37</v>
      </c>
    </row>
    <row r="7" spans="1:19">
      <c r="A7">
        <v>2604</v>
      </c>
      <c r="B7">
        <v>0.14299999999999999</v>
      </c>
      <c r="C7">
        <v>0.53</v>
      </c>
      <c r="D7">
        <v>2.0099999999999998</v>
      </c>
      <c r="E7">
        <v>9</v>
      </c>
      <c r="F7">
        <v>21.2</v>
      </c>
      <c r="G7" t="s">
        <v>37</v>
      </c>
    </row>
    <row r="8" spans="1:19">
      <c r="A8">
        <v>2605</v>
      </c>
      <c r="B8">
        <v>0.11</v>
      </c>
      <c r="C8">
        <v>0.51</v>
      </c>
      <c r="D8">
        <v>2.08</v>
      </c>
      <c r="E8">
        <v>9.1</v>
      </c>
      <c r="F8">
        <v>21.2</v>
      </c>
      <c r="G8" t="s">
        <v>37</v>
      </c>
    </row>
    <row r="9" spans="1:19">
      <c r="A9">
        <v>2606</v>
      </c>
      <c r="B9">
        <v>0.14599999999999999</v>
      </c>
      <c r="C9">
        <v>0.52500000000000002</v>
      </c>
      <c r="D9">
        <v>2.0099999999999998</v>
      </c>
      <c r="E9">
        <v>8.9499999999999993</v>
      </c>
      <c r="F9">
        <v>21.2</v>
      </c>
      <c r="G9" t="s">
        <v>37</v>
      </c>
    </row>
    <row r="10" spans="1:19">
      <c r="A10">
        <v>2607</v>
      </c>
      <c r="B10">
        <v>9.5000000000000001E-2</v>
      </c>
      <c r="C10">
        <v>0.54300000000000004</v>
      </c>
      <c r="D10">
        <v>2.04</v>
      </c>
      <c r="E10">
        <v>9</v>
      </c>
      <c r="F10">
        <v>21.2</v>
      </c>
      <c r="G10" t="s">
        <v>37</v>
      </c>
    </row>
    <row r="11" spans="1:19">
      <c r="A11">
        <v>1929</v>
      </c>
      <c r="B11">
        <v>0.15</v>
      </c>
      <c r="C11">
        <v>0.51800000000000002</v>
      </c>
      <c r="D11">
        <v>2.0299999999999998</v>
      </c>
      <c r="E11">
        <v>8.6999999999999993</v>
      </c>
      <c r="F11">
        <v>21.2</v>
      </c>
    </row>
    <row r="12" spans="1:19">
      <c r="A12">
        <v>1930</v>
      </c>
      <c r="B12">
        <v>0.1</v>
      </c>
      <c r="C12">
        <v>0.49399999999999999</v>
      </c>
      <c r="D12">
        <v>1.92</v>
      </c>
      <c r="E12">
        <v>9.02</v>
      </c>
      <c r="F12">
        <v>21.16</v>
      </c>
    </row>
    <row r="13" spans="1:19">
      <c r="A13">
        <v>1931</v>
      </c>
      <c r="B13">
        <v>0.13800000000000001</v>
      </c>
      <c r="C13">
        <v>0.52</v>
      </c>
      <c r="D13">
        <v>2.04</v>
      </c>
      <c r="E13">
        <v>8.9499999999999993</v>
      </c>
      <c r="F13">
        <v>21.2</v>
      </c>
    </row>
    <row r="14" spans="1:19">
      <c r="A14">
        <v>1936</v>
      </c>
      <c r="B14">
        <v>0.111</v>
      </c>
      <c r="C14">
        <v>0.52600000000000002</v>
      </c>
      <c r="D14">
        <v>1.98</v>
      </c>
      <c r="E14">
        <v>8.8000000000000007</v>
      </c>
      <c r="F14">
        <v>21.3</v>
      </c>
    </row>
    <row r="15" spans="1:19">
      <c r="A15">
        <v>1937</v>
      </c>
      <c r="B15">
        <v>0.11600000000000001</v>
      </c>
      <c r="C15">
        <v>0.54</v>
      </c>
      <c r="D15">
        <v>2.02</v>
      </c>
      <c r="E15">
        <v>9</v>
      </c>
      <c r="F15">
        <v>21.2</v>
      </c>
    </row>
    <row r="16" spans="1:19">
      <c r="A16">
        <v>2097</v>
      </c>
      <c r="F16">
        <v>21.2</v>
      </c>
      <c r="G16" t="s">
        <v>38</v>
      </c>
    </row>
    <row r="17" spans="1:17">
      <c r="A17">
        <v>2476</v>
      </c>
      <c r="B17">
        <v>0.14899999999999999</v>
      </c>
      <c r="C17">
        <v>0.57999999999999996</v>
      </c>
      <c r="D17">
        <v>1.91</v>
      </c>
      <c r="E17">
        <v>9.1</v>
      </c>
      <c r="F17">
        <v>21.3</v>
      </c>
      <c r="G17" t="s">
        <v>39</v>
      </c>
    </row>
    <row r="18" spans="1:17">
      <c r="A18">
        <v>2561</v>
      </c>
      <c r="B18">
        <v>0.123</v>
      </c>
      <c r="C18">
        <v>0.51400000000000001</v>
      </c>
      <c r="D18">
        <v>1.93</v>
      </c>
      <c r="E18">
        <v>8.93</v>
      </c>
      <c r="F18">
        <v>21.24</v>
      </c>
    </row>
    <row r="19" spans="1:17">
      <c r="A19">
        <v>2563</v>
      </c>
      <c r="B19">
        <v>0.127</v>
      </c>
      <c r="C19">
        <v>0.51100000000000001</v>
      </c>
      <c r="D19">
        <v>1.87</v>
      </c>
      <c r="E19">
        <v>9.0500000000000007</v>
      </c>
      <c r="F19">
        <v>21.28</v>
      </c>
    </row>
    <row r="20" spans="1:17">
      <c r="A20">
        <v>2478</v>
      </c>
      <c r="B20">
        <v>0.13500000000000001</v>
      </c>
      <c r="C20">
        <v>0.496</v>
      </c>
      <c r="D20">
        <v>2.02</v>
      </c>
      <c r="E20">
        <v>8.98</v>
      </c>
      <c r="F20">
        <v>21.26</v>
      </c>
    </row>
    <row r="21" spans="1:17">
      <c r="A21">
        <v>2480</v>
      </c>
      <c r="B21">
        <v>0.114</v>
      </c>
      <c r="C21">
        <v>0.51400000000000001</v>
      </c>
      <c r="D21">
        <v>2</v>
      </c>
      <c r="E21">
        <v>9</v>
      </c>
      <c r="F21">
        <v>21.23</v>
      </c>
    </row>
    <row r="22" spans="1:17">
      <c r="A22">
        <v>2604</v>
      </c>
      <c r="B22">
        <v>0.1</v>
      </c>
      <c r="C22">
        <v>0.501</v>
      </c>
      <c r="D22">
        <v>1.97</v>
      </c>
      <c r="E22">
        <v>9.11</v>
      </c>
      <c r="F22">
        <v>21.24</v>
      </c>
    </row>
    <row r="23" spans="1:17">
      <c r="A23">
        <v>2603</v>
      </c>
      <c r="B23">
        <v>0.127</v>
      </c>
      <c r="C23">
        <v>0.52100000000000002</v>
      </c>
      <c r="D23">
        <v>1.97</v>
      </c>
      <c r="E23">
        <v>9.18</v>
      </c>
      <c r="F23">
        <v>21.25</v>
      </c>
    </row>
    <row r="24" spans="1:17">
      <c r="A24">
        <v>2607</v>
      </c>
      <c r="B24">
        <v>0.10199999999999999</v>
      </c>
      <c r="C24">
        <v>0.51</v>
      </c>
      <c r="D24">
        <v>1.85</v>
      </c>
      <c r="E24">
        <v>8.99</v>
      </c>
      <c r="F24">
        <v>21.25</v>
      </c>
    </row>
    <row r="25" spans="1:17">
      <c r="A25">
        <v>2599</v>
      </c>
      <c r="B25">
        <v>0.12</v>
      </c>
      <c r="C25">
        <v>0.495</v>
      </c>
      <c r="D25">
        <v>1.92</v>
      </c>
      <c r="E25">
        <v>9.16</v>
      </c>
      <c r="F25">
        <v>21.22</v>
      </c>
    </row>
    <row r="26" spans="1:17">
      <c r="A26">
        <v>2601</v>
      </c>
      <c r="B26">
        <v>0.11600000000000001</v>
      </c>
      <c r="C26">
        <v>0.49399999999999999</v>
      </c>
      <c r="D26">
        <v>1.95</v>
      </c>
      <c r="E26">
        <v>9.0299999999999994</v>
      </c>
      <c r="F26">
        <v>21.22</v>
      </c>
      <c r="G26" t="s">
        <v>2601</v>
      </c>
      <c r="H26" t="s">
        <v>2603</v>
      </c>
    </row>
    <row r="27" spans="1:17">
      <c r="A27">
        <v>2097</v>
      </c>
      <c r="B27">
        <v>0.13600000000000001</v>
      </c>
      <c r="C27">
        <v>0.52200000000000002</v>
      </c>
      <c r="D27">
        <v>1.93</v>
      </c>
      <c r="E27">
        <v>9.08</v>
      </c>
      <c r="F27">
        <v>21.17</v>
      </c>
    </row>
    <row r="28" spans="1:17">
      <c r="A28">
        <v>2598</v>
      </c>
      <c r="B28">
        <v>9.2999999999999999E-2</v>
      </c>
      <c r="C28">
        <v>0.501</v>
      </c>
      <c r="D28">
        <v>1.89</v>
      </c>
      <c r="E28">
        <v>9.11</v>
      </c>
      <c r="F28">
        <v>21.2</v>
      </c>
    </row>
    <row r="29" spans="1:17">
      <c r="A29">
        <v>2618</v>
      </c>
      <c r="B29">
        <v>0.13800000000000001</v>
      </c>
      <c r="C29">
        <v>0.52600000000000002</v>
      </c>
      <c r="D29">
        <v>1.93</v>
      </c>
      <c r="E29">
        <v>9.18</v>
      </c>
      <c r="F29">
        <v>21.22</v>
      </c>
      <c r="G29" t="s">
        <v>2601</v>
      </c>
      <c r="H29" t="s">
        <v>2603</v>
      </c>
    </row>
    <row r="30" spans="1:17">
      <c r="A30">
        <v>2619</v>
      </c>
      <c r="B30">
        <v>0.114</v>
      </c>
      <c r="C30">
        <v>0.5</v>
      </c>
      <c r="D30">
        <v>1.93</v>
      </c>
      <c r="E30">
        <v>9.15</v>
      </c>
      <c r="F30">
        <v>21.23</v>
      </c>
    </row>
    <row r="31" spans="1:17">
      <c r="A31">
        <v>2620</v>
      </c>
      <c r="B31">
        <v>0.11600000000000001</v>
      </c>
      <c r="C31">
        <v>0.505</v>
      </c>
      <c r="D31">
        <v>1.81</v>
      </c>
      <c r="E31">
        <v>9.34</v>
      </c>
      <c r="F31">
        <v>21.2</v>
      </c>
      <c r="H31" t="s">
        <v>185</v>
      </c>
      <c r="I31" t="s">
        <v>169</v>
      </c>
      <c r="J31" t="s">
        <v>169</v>
      </c>
      <c r="K31" s="31">
        <v>40695</v>
      </c>
      <c r="L31" t="s">
        <v>130</v>
      </c>
      <c r="M31">
        <v>33.270000000000003</v>
      </c>
      <c r="N31">
        <v>0.66</v>
      </c>
      <c r="O31" t="s">
        <v>186</v>
      </c>
      <c r="P31" s="26" t="s">
        <v>187</v>
      </c>
      <c r="Q31" s="4" t="str">
        <f>HYPERLINK("\\hopi-fs\shares\users\dhar\Stalk mount testing\Type 4 Target Quality Assurance\CRYO-ME-2Q11-01-98","folder")</f>
        <v>folder</v>
      </c>
    </row>
    <row r="32" spans="1:17">
      <c r="A32">
        <v>2621</v>
      </c>
      <c r="B32">
        <v>0.111</v>
      </c>
      <c r="C32">
        <v>0.51500000000000001</v>
      </c>
      <c r="D32">
        <v>2.04</v>
      </c>
      <c r="E32">
        <v>9.23</v>
      </c>
      <c r="F32">
        <v>21.22</v>
      </c>
    </row>
    <row r="33" spans="1:17">
      <c r="A33">
        <v>2622</v>
      </c>
      <c r="B33">
        <v>0.13100000000000001</v>
      </c>
      <c r="C33">
        <v>0.51100000000000001</v>
      </c>
      <c r="D33">
        <v>1.97</v>
      </c>
      <c r="E33">
        <v>9.25</v>
      </c>
      <c r="F33">
        <v>21.22</v>
      </c>
    </row>
    <row r="34" spans="1:17">
      <c r="A34">
        <v>2623</v>
      </c>
      <c r="B34">
        <v>0.13100000000000001</v>
      </c>
      <c r="C34">
        <v>0.497</v>
      </c>
      <c r="D34">
        <v>2.0699999999999998</v>
      </c>
      <c r="E34">
        <v>9.1199999999999992</v>
      </c>
      <c r="F34">
        <v>21.3</v>
      </c>
    </row>
    <row r="35" spans="1:17">
      <c r="A35">
        <v>2624</v>
      </c>
      <c r="B35">
        <v>0.13500000000000001</v>
      </c>
      <c r="C35">
        <v>0.495</v>
      </c>
      <c r="D35">
        <v>1.99</v>
      </c>
      <c r="E35">
        <v>9</v>
      </c>
      <c r="F35">
        <v>21.2</v>
      </c>
      <c r="G35" t="s">
        <v>2601</v>
      </c>
      <c r="H35" t="s">
        <v>2602</v>
      </c>
    </row>
    <row r="36" spans="1:17">
      <c r="A36">
        <v>2625</v>
      </c>
      <c r="B36">
        <v>0.108</v>
      </c>
      <c r="C36">
        <v>0.49399999999999999</v>
      </c>
      <c r="D36">
        <v>1.89</v>
      </c>
      <c r="E36">
        <v>8.98</v>
      </c>
      <c r="F36">
        <v>21.27</v>
      </c>
    </row>
    <row r="37" spans="1:17">
      <c r="A37">
        <v>2626</v>
      </c>
      <c r="B37">
        <v>0.126</v>
      </c>
      <c r="C37">
        <v>0.502</v>
      </c>
      <c r="D37">
        <v>2.0099999999999998</v>
      </c>
      <c r="E37">
        <v>9.06</v>
      </c>
      <c r="F37">
        <v>21.17</v>
      </c>
    </row>
    <row r="38" spans="1:17">
      <c r="A38">
        <v>2627</v>
      </c>
      <c r="B38">
        <v>0.14399999999999999</v>
      </c>
      <c r="C38">
        <v>0.51</v>
      </c>
      <c r="D38">
        <v>1.95</v>
      </c>
      <c r="E38">
        <v>9.01</v>
      </c>
      <c r="F38">
        <v>21.25</v>
      </c>
    </row>
    <row r="39" spans="1:17">
      <c r="A39">
        <v>2628</v>
      </c>
      <c r="B39">
        <v>9.2999999999999999E-2</v>
      </c>
      <c r="C39">
        <v>0.52700000000000002</v>
      </c>
      <c r="D39">
        <v>2</v>
      </c>
      <c r="E39">
        <v>9</v>
      </c>
      <c r="F39">
        <v>21.25</v>
      </c>
      <c r="G39" t="s">
        <v>2601</v>
      </c>
      <c r="H39" t="s">
        <v>2604</v>
      </c>
    </row>
    <row r="40" spans="1:17">
      <c r="A40">
        <v>2629</v>
      </c>
      <c r="B40">
        <v>0.111</v>
      </c>
      <c r="C40">
        <v>0.503</v>
      </c>
      <c r="D40">
        <v>2</v>
      </c>
      <c r="E40">
        <v>9.08</v>
      </c>
      <c r="F40">
        <v>21.27</v>
      </c>
    </row>
    <row r="41" spans="1:17">
      <c r="A41">
        <v>2638</v>
      </c>
      <c r="B41">
        <v>0.85</v>
      </c>
      <c r="C41">
        <v>0.53</v>
      </c>
      <c r="D41">
        <v>1.94</v>
      </c>
      <c r="E41">
        <v>9.06</v>
      </c>
      <c r="F41">
        <v>21.26</v>
      </c>
    </row>
    <row r="42" spans="1:17">
      <c r="A42">
        <v>2639</v>
      </c>
      <c r="B42">
        <v>0.104</v>
      </c>
      <c r="C42">
        <v>0.51</v>
      </c>
      <c r="D42">
        <v>1.95</v>
      </c>
      <c r="E42">
        <v>9.14</v>
      </c>
      <c r="F42">
        <v>21.19</v>
      </c>
    </row>
    <row r="43" spans="1:17">
      <c r="A43">
        <v>2640</v>
      </c>
      <c r="B43">
        <v>0.104</v>
      </c>
      <c r="C43">
        <v>0.53</v>
      </c>
      <c r="D43">
        <v>1.96</v>
      </c>
      <c r="E43">
        <v>9.0399999999999991</v>
      </c>
      <c r="F43">
        <v>21.29</v>
      </c>
    </row>
    <row r="44" spans="1:17">
      <c r="A44">
        <v>2641</v>
      </c>
      <c r="B44">
        <v>0.1</v>
      </c>
      <c r="C44">
        <v>0.48</v>
      </c>
      <c r="D44">
        <v>1.98</v>
      </c>
      <c r="E44">
        <v>9.14</v>
      </c>
      <c r="F44">
        <v>21.19</v>
      </c>
    </row>
    <row r="45" spans="1:17">
      <c r="A45">
        <v>2642</v>
      </c>
      <c r="B45">
        <v>0.115</v>
      </c>
      <c r="C45">
        <v>0.51500000000000001</v>
      </c>
      <c r="D45">
        <v>1.86</v>
      </c>
      <c r="E45">
        <v>9.1</v>
      </c>
      <c r="F45">
        <v>21.3</v>
      </c>
    </row>
    <row r="46" spans="1:17">
      <c r="A46">
        <v>2643</v>
      </c>
      <c r="B46">
        <v>0.1</v>
      </c>
      <c r="C46">
        <v>0.49</v>
      </c>
      <c r="D46">
        <v>2.02</v>
      </c>
      <c r="E46">
        <v>9.1</v>
      </c>
      <c r="F46">
        <v>21.25</v>
      </c>
    </row>
    <row r="47" spans="1:17">
      <c r="A47">
        <v>2495</v>
      </c>
      <c r="B47">
        <v>0.112</v>
      </c>
      <c r="C47">
        <v>0.51300000000000001</v>
      </c>
      <c r="D47">
        <v>2.02</v>
      </c>
      <c r="E47">
        <v>9.01</v>
      </c>
      <c r="F47">
        <v>21.21</v>
      </c>
      <c r="H47" s="35" t="s">
        <v>249</v>
      </c>
      <c r="I47" t="s">
        <v>158</v>
      </c>
      <c r="J47" t="s">
        <v>158</v>
      </c>
      <c r="K47" s="31">
        <v>40725</v>
      </c>
      <c r="L47" t="s">
        <v>130</v>
      </c>
      <c r="M47">
        <v>33.200000000000003</v>
      </c>
      <c r="N47">
        <v>0.40300000000000002</v>
      </c>
      <c r="O47">
        <v>814</v>
      </c>
      <c r="P47" s="51" t="s">
        <v>251</v>
      </c>
      <c r="Q47" s="4" t="str">
        <f>HYPERLINK("\\hopi-fs\shares\users\dhar\Stalk mount testing\Type 4 Target Quality Assurance\CRYO-ME-2Q11-01-36","folder")</f>
        <v>folder</v>
      </c>
    </row>
    <row r="48" spans="1:17">
      <c r="A48">
        <v>2627</v>
      </c>
      <c r="B48">
        <v>0.114</v>
      </c>
      <c r="C48">
        <v>0.53</v>
      </c>
      <c r="D48">
        <v>2</v>
      </c>
      <c r="E48">
        <v>9.01</v>
      </c>
      <c r="F48">
        <v>21.26</v>
      </c>
      <c r="G48" t="s">
        <v>2601</v>
      </c>
      <c r="H48" t="s">
        <v>2605</v>
      </c>
    </row>
    <row r="49" spans="1:17">
      <c r="A49">
        <v>2097</v>
      </c>
      <c r="B49">
        <v>0.13500000000000001</v>
      </c>
      <c r="C49">
        <v>0.51900000000000002</v>
      </c>
      <c r="D49">
        <v>1.98</v>
      </c>
      <c r="E49">
        <v>9.0500000000000007</v>
      </c>
      <c r="F49">
        <v>21.18</v>
      </c>
    </row>
    <row r="50" spans="1:17">
      <c r="A50">
        <v>2627</v>
      </c>
      <c r="G50" t="s">
        <v>368</v>
      </c>
      <c r="H50">
        <v>1</v>
      </c>
      <c r="K50" s="17">
        <v>40975</v>
      </c>
      <c r="L50" t="s">
        <v>130</v>
      </c>
      <c r="Q50" s="4" t="str">
        <f>HYPERLINK("\\hopi-fs\shares\users\dhar\Stalk mount testing\Type 4 Target Quality Assurance\0.01% C NOA68 1 2627","folder")</f>
        <v>folder</v>
      </c>
    </row>
    <row r="51" spans="1:17">
      <c r="A51">
        <v>2097</v>
      </c>
      <c r="G51" t="s">
        <v>368</v>
      </c>
      <c r="H51">
        <v>2</v>
      </c>
      <c r="K51" s="17">
        <v>40975</v>
      </c>
      <c r="L51" t="s">
        <v>130</v>
      </c>
      <c r="Q51" s="4" t="str">
        <f>HYPERLINK("\\hopi-fs\shares\users\dhar\Stalk mount testing\Type 4 Target Quality Assurance\0.01% C NOA68 2 2097","folder")</f>
        <v>folder</v>
      </c>
    </row>
    <row r="52" spans="1:17">
      <c r="A52">
        <v>2643</v>
      </c>
      <c r="G52" t="s">
        <v>368</v>
      </c>
      <c r="H52">
        <v>3</v>
      </c>
      <c r="K52" s="17">
        <v>40975</v>
      </c>
      <c r="L52" t="s">
        <v>130</v>
      </c>
      <c r="Q52" s="4" t="str">
        <f>HYPERLINK("\\hopi-fs\shares\users\dhar\Stalk mount testing\Type 4 Target Quality Assurance\0.01% C NOA68 2 2643","folder")</f>
        <v>folder</v>
      </c>
    </row>
  </sheetData>
  <mergeCells count="1">
    <mergeCell ref="B4:C4"/>
  </mergeCells>
  <hyperlinks>
    <hyperlink ref="B1" r:id="rId1" display="http://www.lle.rochester.edu/pdm?form=PDM::DocDetail&amp;Project=CTHS&amp;Docid=D-TR-B-201&amp;CType=L&amp;Revision=A" xr:uid="{00000000-0004-0000-0A00-000000000000}"/>
    <hyperlink ref="F3" r:id="rId2" display="http://www.lle.rochester.edu/04_resources/04_07_PDM/pdmdocs/release/D/D-TR/D-TR-C-184/A/D-TR-C-184_REVA.PDF"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24"/>
  <sheetViews>
    <sheetView workbookViewId="0">
      <selection activeCell="A17" sqref="A17"/>
    </sheetView>
  </sheetViews>
  <sheetFormatPr defaultRowHeight="15"/>
  <cols>
    <col min="2" max="2" width="9.140625" customWidth="1"/>
    <col min="3" max="3" width="10" customWidth="1"/>
    <col min="4" max="4" width="8.85546875" customWidth="1"/>
    <col min="5" max="5" width="11.42578125" customWidth="1"/>
    <col min="6" max="6" width="13.28515625" bestFit="1" customWidth="1"/>
    <col min="7" max="7" width="25.42578125" customWidth="1"/>
    <col min="8" max="8" width="6" bestFit="1" customWidth="1"/>
    <col min="9" max="9" width="8" bestFit="1" customWidth="1"/>
    <col min="10" max="10" width="10.140625" bestFit="1" customWidth="1"/>
    <col min="11" max="11" width="10.42578125" customWidth="1"/>
    <col min="12" max="12" width="6.7109375" customWidth="1"/>
    <col min="13" max="13" width="6.85546875" customWidth="1"/>
    <col min="14" max="14" width="8" bestFit="1" customWidth="1"/>
    <col min="15" max="15" width="9.140625" customWidth="1"/>
    <col min="16" max="16" width="9.42578125" customWidth="1"/>
    <col min="17" max="17" width="11" bestFit="1" customWidth="1"/>
    <col min="18" max="18" width="4" customWidth="1"/>
    <col min="19" max="19" width="10" customWidth="1"/>
    <col min="20" max="20" width="46.28515625" bestFit="1" customWidth="1"/>
    <col min="21" max="21" width="12.5703125" customWidth="1"/>
    <col min="24" max="24" width="11.85546875" customWidth="1"/>
    <col min="25" max="25" width="12.28515625" customWidth="1"/>
  </cols>
  <sheetData>
    <row r="1" spans="1:25">
      <c r="A1" s="6" t="s">
        <v>417</v>
      </c>
      <c r="B1" s="4" t="str">
        <f>HYPERLINK("http://www.lle.rochester.edu/pdm?form=PDM::DocDetail&amp;Project=CTHS&amp;Docid=D-TR-B-249&amp;CType=L&amp;Revision=A","D-TR-B-249")</f>
        <v>D-TR-B-249</v>
      </c>
      <c r="X1">
        <f>SUM(X14:X23)</f>
        <v>10</v>
      </c>
      <c r="Y1" t="s">
        <v>665</v>
      </c>
    </row>
    <row r="2" spans="1:25">
      <c r="B2" s="35" t="s">
        <v>283</v>
      </c>
      <c r="X2">
        <f>SUM(Y14:Y23)</f>
        <v>3</v>
      </c>
      <c r="Y2" t="s">
        <v>664</v>
      </c>
    </row>
    <row r="3" spans="1:25">
      <c r="F3" s="4" t="s">
        <v>27</v>
      </c>
      <c r="H3" s="4"/>
      <c r="X3">
        <f>X2/X1</f>
        <v>0.3</v>
      </c>
    </row>
    <row r="4" spans="1:25" ht="45">
      <c r="B4" s="604" t="s">
        <v>19</v>
      </c>
      <c r="C4" s="604"/>
      <c r="D4" s="57" t="s">
        <v>22</v>
      </c>
      <c r="E4" s="57" t="s">
        <v>33</v>
      </c>
      <c r="F4" s="57" t="s">
        <v>8</v>
      </c>
    </row>
    <row r="5" spans="1:25" s="7" customFormat="1" ht="60">
      <c r="A5" s="56" t="s">
        <v>18</v>
      </c>
      <c r="B5" s="56" t="s">
        <v>373</v>
      </c>
      <c r="C5" s="56" t="s">
        <v>374</v>
      </c>
      <c r="D5" s="56" t="s">
        <v>23</v>
      </c>
      <c r="E5" s="56" t="s">
        <v>375</v>
      </c>
      <c r="F5" s="7" t="s">
        <v>26</v>
      </c>
      <c r="G5" s="56" t="s">
        <v>259</v>
      </c>
      <c r="H5" s="22" t="s">
        <v>131</v>
      </c>
      <c r="I5" s="22" t="s">
        <v>132</v>
      </c>
      <c r="J5" s="22" t="s">
        <v>133</v>
      </c>
      <c r="K5" s="22" t="s">
        <v>134</v>
      </c>
      <c r="L5" s="22" t="s">
        <v>105</v>
      </c>
      <c r="M5" s="22" t="s">
        <v>157</v>
      </c>
      <c r="N5" s="22" t="s">
        <v>163</v>
      </c>
      <c r="O5" s="22" t="s">
        <v>226</v>
      </c>
      <c r="P5" s="22" t="s">
        <v>141</v>
      </c>
      <c r="Q5" s="22" t="s">
        <v>239</v>
      </c>
      <c r="R5" s="22" t="s">
        <v>210</v>
      </c>
      <c r="S5" s="22" t="s">
        <v>260</v>
      </c>
      <c r="T5" s="22" t="s">
        <v>145</v>
      </c>
      <c r="U5" s="18" t="s">
        <v>183</v>
      </c>
      <c r="X5" s="22" t="s">
        <v>666</v>
      </c>
      <c r="Y5" s="57" t="s">
        <v>667</v>
      </c>
    </row>
    <row r="6" spans="1:25">
      <c r="A6">
        <v>2047</v>
      </c>
      <c r="G6" s="13"/>
      <c r="J6" s="17"/>
      <c r="Q6" s="4"/>
    </row>
    <row r="7" spans="1:25">
      <c r="A7">
        <v>2048</v>
      </c>
      <c r="G7" s="13"/>
      <c r="J7" s="17"/>
      <c r="Q7" s="4"/>
    </row>
    <row r="8" spans="1:25">
      <c r="A8">
        <v>2049</v>
      </c>
      <c r="G8" s="32"/>
      <c r="J8" s="17"/>
      <c r="Q8" s="4"/>
    </row>
    <row r="9" spans="1:25">
      <c r="A9">
        <v>2050</v>
      </c>
      <c r="F9" s="62"/>
      <c r="G9" s="94"/>
      <c r="H9" s="62"/>
      <c r="J9" s="17"/>
      <c r="Q9" s="4"/>
    </row>
    <row r="10" spans="1:25">
      <c r="A10">
        <v>2021</v>
      </c>
      <c r="B10">
        <v>0.48399999999999999</v>
      </c>
      <c r="C10">
        <v>1.466</v>
      </c>
      <c r="D10">
        <v>2.0299999999999998</v>
      </c>
      <c r="E10">
        <v>8.0299999999999994</v>
      </c>
      <c r="F10" s="62">
        <v>21.16</v>
      </c>
      <c r="G10" s="21" t="s">
        <v>379</v>
      </c>
      <c r="H10" s="62">
        <v>40</v>
      </c>
      <c r="I10">
        <v>72</v>
      </c>
      <c r="J10" s="17">
        <v>40983</v>
      </c>
      <c r="K10" t="s">
        <v>130</v>
      </c>
      <c r="L10">
        <v>33.130000000000003</v>
      </c>
      <c r="M10">
        <v>0.72199999999999998</v>
      </c>
      <c r="N10">
        <v>334</v>
      </c>
      <c r="Q10" s="4" t="str">
        <f>HYPERLINK("\\hopi-fs\shares\users\dhar\Stalk mount testing\Type 5a\CRYO-ME-1238-0211 2021","folder")</f>
        <v>folder</v>
      </c>
      <c r="T10" t="s">
        <v>384</v>
      </c>
      <c r="U10" t="s">
        <v>383</v>
      </c>
    </row>
    <row r="11" spans="1:25">
      <c r="A11">
        <v>2022</v>
      </c>
      <c r="B11">
        <v>0.49399999999999999</v>
      </c>
      <c r="C11">
        <v>1.49</v>
      </c>
      <c r="D11">
        <v>2</v>
      </c>
      <c r="E11">
        <v>7.89</v>
      </c>
      <c r="F11" s="62">
        <v>21.25</v>
      </c>
      <c r="G11" s="21" t="s">
        <v>380</v>
      </c>
      <c r="H11" s="63">
        <v>52.5</v>
      </c>
      <c r="I11" s="13">
        <v>71.7</v>
      </c>
      <c r="J11" s="72">
        <v>40984</v>
      </c>
      <c r="K11" t="s">
        <v>130</v>
      </c>
      <c r="L11">
        <v>33.1</v>
      </c>
      <c r="M11">
        <v>0.84</v>
      </c>
      <c r="N11">
        <v>290</v>
      </c>
      <c r="Q11" s="4" t="str">
        <f>HYPERLINK("\\hopi-fs\shares\users\dhar\Stalk mount testing\Type 5a\CRYO-ME-1237-0212 2022","folder")</f>
        <v>folder</v>
      </c>
      <c r="T11" t="s">
        <v>384</v>
      </c>
      <c r="U11" t="s">
        <v>400</v>
      </c>
    </row>
    <row r="12" spans="1:25">
      <c r="A12">
        <v>2675</v>
      </c>
      <c r="B12">
        <v>0.45</v>
      </c>
      <c r="C12">
        <v>1.5</v>
      </c>
      <c r="D12">
        <v>2</v>
      </c>
      <c r="E12">
        <v>8.0399999999999991</v>
      </c>
      <c r="F12">
        <v>21.25</v>
      </c>
      <c r="G12" s="105" t="s">
        <v>381</v>
      </c>
      <c r="H12" s="63">
        <v>52.5</v>
      </c>
      <c r="I12" s="13">
        <v>71.7</v>
      </c>
      <c r="J12" s="72">
        <v>40984</v>
      </c>
      <c r="K12" t="s">
        <v>130</v>
      </c>
      <c r="L12">
        <v>33.200000000000003</v>
      </c>
      <c r="M12">
        <v>0.35799999999999998</v>
      </c>
      <c r="N12" t="s">
        <v>415</v>
      </c>
      <c r="Q12" s="4" t="str">
        <f>HYPERLINK("\\hopi-fs\shares\users\dhar\Stalk mount testing\Type 5a\CRYO-ME-1235-0213 2675","folder")</f>
        <v>folder</v>
      </c>
      <c r="U12" t="s">
        <v>439</v>
      </c>
    </row>
    <row r="13" spans="1:25">
      <c r="A13">
        <v>2686</v>
      </c>
      <c r="B13">
        <v>0.47199999999999998</v>
      </c>
      <c r="C13">
        <v>1.5</v>
      </c>
      <c r="D13">
        <v>2</v>
      </c>
      <c r="E13">
        <v>7.93</v>
      </c>
      <c r="F13">
        <v>21.21</v>
      </c>
      <c r="G13" s="21" t="s">
        <v>382</v>
      </c>
      <c r="H13" s="63">
        <v>52.5</v>
      </c>
      <c r="I13" s="13">
        <v>71.7</v>
      </c>
      <c r="J13" s="72">
        <v>40984</v>
      </c>
      <c r="K13" t="s">
        <v>130</v>
      </c>
      <c r="L13">
        <v>33.1</v>
      </c>
      <c r="M13">
        <v>0.33800000000000002</v>
      </c>
      <c r="N13">
        <v>313</v>
      </c>
      <c r="Q13" s="4" t="str">
        <f>HYPERLINK("\\hopi-fs\shares\users\dhar\Stalk mount testing\Type 5a\CRYO-ME-1237-0214 2686","folder")</f>
        <v>folder</v>
      </c>
      <c r="U13" t="s">
        <v>383</v>
      </c>
    </row>
    <row r="14" spans="1:25">
      <c r="A14">
        <v>2560</v>
      </c>
      <c r="B14">
        <v>0.47</v>
      </c>
      <c r="C14">
        <v>1.5</v>
      </c>
      <c r="D14">
        <v>2</v>
      </c>
      <c r="E14">
        <v>7.89</v>
      </c>
      <c r="F14" s="62">
        <v>21.2</v>
      </c>
      <c r="G14" s="62" t="s">
        <v>429</v>
      </c>
      <c r="H14" s="103">
        <v>55</v>
      </c>
      <c r="I14" s="103">
        <v>70</v>
      </c>
      <c r="J14" s="17">
        <v>41015</v>
      </c>
      <c r="K14" t="s">
        <v>130</v>
      </c>
      <c r="L14">
        <v>33.1</v>
      </c>
      <c r="M14">
        <v>0.68300000000000005</v>
      </c>
      <c r="Q14" s="4" t="str">
        <f>HYPERLINK("\\hopi-fs\shares\users\dhar\Stalk mount testing\Type 5a\CRYO-2102-1807 2560","folder")</f>
        <v>folder</v>
      </c>
      <c r="T14" t="s">
        <v>431</v>
      </c>
      <c r="X14">
        <v>1</v>
      </c>
    </row>
    <row r="15" spans="1:25">
      <c r="A15">
        <v>2560</v>
      </c>
      <c r="B15">
        <v>0.441</v>
      </c>
      <c r="C15">
        <v>1.51</v>
      </c>
      <c r="D15">
        <v>2</v>
      </c>
      <c r="E15">
        <v>7.87</v>
      </c>
      <c r="F15" s="63">
        <v>21.2</v>
      </c>
      <c r="G15" s="63" t="s">
        <v>441</v>
      </c>
      <c r="H15" s="104">
        <v>27.9</v>
      </c>
      <c r="I15" s="104">
        <v>71</v>
      </c>
      <c r="J15" s="17">
        <v>41022</v>
      </c>
      <c r="K15" t="s">
        <v>130</v>
      </c>
      <c r="L15">
        <v>33</v>
      </c>
      <c r="M15">
        <v>0.53500000000000003</v>
      </c>
      <c r="N15">
        <v>488</v>
      </c>
      <c r="Q15" s="4" t="str">
        <f>HYPERLINK("\\hopi-fs\shares\users\dhar\Stalk mount testing\Type 5a\CRYO-2103-1798 2560","folder")</f>
        <v>folder</v>
      </c>
      <c r="T15" t="s">
        <v>431</v>
      </c>
      <c r="U15" t="s">
        <v>447</v>
      </c>
      <c r="X15">
        <v>1</v>
      </c>
      <c r="Y15">
        <v>1</v>
      </c>
    </row>
    <row r="16" spans="1:25">
      <c r="A16">
        <v>2658</v>
      </c>
      <c r="B16">
        <v>0.42</v>
      </c>
      <c r="C16">
        <v>1.5</v>
      </c>
      <c r="D16">
        <v>2.04</v>
      </c>
      <c r="E16">
        <v>7.88</v>
      </c>
      <c r="F16" s="63">
        <v>21.2</v>
      </c>
      <c r="G16" s="13" t="s">
        <v>430</v>
      </c>
      <c r="H16" s="103">
        <v>55</v>
      </c>
      <c r="I16" s="103">
        <v>70</v>
      </c>
      <c r="J16" s="17">
        <v>41015</v>
      </c>
      <c r="K16" t="s">
        <v>130</v>
      </c>
      <c r="L16">
        <v>33.1</v>
      </c>
      <c r="M16">
        <v>0.26</v>
      </c>
      <c r="N16">
        <v>436</v>
      </c>
      <c r="P16" t="s">
        <v>440</v>
      </c>
      <c r="Q16" s="4" t="str">
        <f>HYPERLINK("\\hopi-fs\shares\users\dhar\Stalk mount testing\Type 5a\CRYO-2102-1813 2658","folder")</f>
        <v>folder</v>
      </c>
      <c r="T16" t="s">
        <v>431</v>
      </c>
      <c r="X16">
        <v>1</v>
      </c>
    </row>
    <row r="17" spans="1:25">
      <c r="A17" s="13">
        <v>2563</v>
      </c>
      <c r="B17">
        <v>0.51</v>
      </c>
      <c r="C17">
        <v>1.55</v>
      </c>
      <c r="D17">
        <v>2</v>
      </c>
      <c r="E17">
        <v>7.87</v>
      </c>
      <c r="F17" s="63">
        <v>21.3</v>
      </c>
      <c r="G17" s="207" t="s">
        <v>443</v>
      </c>
      <c r="H17" s="104">
        <v>27.9</v>
      </c>
      <c r="I17" s="104">
        <v>71</v>
      </c>
      <c r="J17" s="17">
        <v>41022</v>
      </c>
      <c r="K17" t="s">
        <v>130</v>
      </c>
      <c r="L17">
        <v>33.1</v>
      </c>
      <c r="M17">
        <v>8.5000000000000006E-2</v>
      </c>
      <c r="N17">
        <v>459</v>
      </c>
      <c r="Q17" s="4" t="str">
        <f>HYPERLINK("\\hopi-fs\shares\users\dhar\Stalk mount testing\Type 5a\CRYO-2104-1804 2563","folder")</f>
        <v>folder</v>
      </c>
      <c r="T17" t="s">
        <v>431</v>
      </c>
      <c r="U17" t="s">
        <v>1842</v>
      </c>
      <c r="X17">
        <v>1</v>
      </c>
    </row>
    <row r="18" spans="1:25">
      <c r="A18">
        <v>2064</v>
      </c>
      <c r="B18">
        <v>0.51800000000000002</v>
      </c>
      <c r="C18">
        <v>1.48</v>
      </c>
      <c r="D18">
        <v>2</v>
      </c>
      <c r="E18">
        <v>7.84</v>
      </c>
      <c r="F18" s="63">
        <v>21.25</v>
      </c>
      <c r="G18" s="207" t="s">
        <v>467</v>
      </c>
      <c r="H18" s="10">
        <v>52.5</v>
      </c>
      <c r="I18" s="125">
        <v>72.5</v>
      </c>
      <c r="J18" s="17">
        <v>41037</v>
      </c>
      <c r="K18" t="s">
        <v>130</v>
      </c>
      <c r="L18">
        <v>33</v>
      </c>
      <c r="M18">
        <v>0.27600000000000002</v>
      </c>
      <c r="N18" t="s">
        <v>486</v>
      </c>
      <c r="Q18" s="4" t="str">
        <f>HYPERLINK("\\hopi-fs\shares\users\dhar\Stalk mount testing\Type 5a\CRYO-2123-1917","folder")</f>
        <v>folder</v>
      </c>
      <c r="T18" t="s">
        <v>480</v>
      </c>
      <c r="U18" t="s">
        <v>498</v>
      </c>
      <c r="X18">
        <v>1</v>
      </c>
      <c r="Y18">
        <v>1</v>
      </c>
    </row>
    <row r="19" spans="1:25">
      <c r="A19">
        <v>2067</v>
      </c>
      <c r="B19">
        <v>0.5</v>
      </c>
      <c r="C19">
        <v>1.54</v>
      </c>
      <c r="D19">
        <v>2</v>
      </c>
      <c r="E19">
        <v>7.85</v>
      </c>
      <c r="F19" s="63">
        <v>21.19</v>
      </c>
      <c r="G19" s="316" t="s">
        <v>468</v>
      </c>
      <c r="H19" s="11">
        <v>52.5</v>
      </c>
      <c r="I19" s="125">
        <v>72.5</v>
      </c>
      <c r="J19" s="17">
        <v>41037</v>
      </c>
      <c r="K19" t="s">
        <v>130</v>
      </c>
      <c r="L19">
        <v>33</v>
      </c>
      <c r="M19">
        <v>0.45600000000000002</v>
      </c>
      <c r="Q19" s="4" t="str">
        <f>HYPERLINK("\\hopi-fs\shares\users\dhar\Stalk mount testing\Type 5a\CRYO-2120-1923","folder")</f>
        <v>folder</v>
      </c>
      <c r="T19" t="s">
        <v>483</v>
      </c>
      <c r="X19">
        <v>1</v>
      </c>
    </row>
    <row r="20" spans="1:25">
      <c r="A20" s="35">
        <v>2065</v>
      </c>
      <c r="B20">
        <v>0.47</v>
      </c>
      <c r="C20">
        <v>1.51</v>
      </c>
      <c r="D20">
        <v>2.0499999999999998</v>
      </c>
      <c r="E20">
        <v>7.77</v>
      </c>
      <c r="F20" s="63">
        <v>21.2</v>
      </c>
      <c r="G20" s="315" t="s">
        <v>481</v>
      </c>
      <c r="H20" s="11">
        <v>52.5</v>
      </c>
      <c r="I20" s="128">
        <v>73</v>
      </c>
      <c r="J20" s="17">
        <v>41044</v>
      </c>
      <c r="K20" t="s">
        <v>130</v>
      </c>
      <c r="L20">
        <v>33</v>
      </c>
      <c r="M20">
        <v>0.39</v>
      </c>
      <c r="N20" t="s">
        <v>485</v>
      </c>
      <c r="Q20" s="4" t="str">
        <f>HYPERLINK("\\hopi-fs\shares\users\dhar\Stalk mount testing\Type 5a\CRYO-2121-1907 2065","folder")</f>
        <v>folder</v>
      </c>
      <c r="T20" t="s">
        <v>482</v>
      </c>
      <c r="X20">
        <v>1</v>
      </c>
    </row>
    <row r="21" spans="1:25">
      <c r="A21">
        <v>2066</v>
      </c>
      <c r="B21">
        <v>0.53</v>
      </c>
      <c r="C21">
        <v>1.54</v>
      </c>
      <c r="D21">
        <v>2.0299999999999998</v>
      </c>
      <c r="E21">
        <v>7.79</v>
      </c>
      <c r="F21" s="63">
        <v>21.3</v>
      </c>
      <c r="G21" s="207" t="s">
        <v>487</v>
      </c>
      <c r="H21" s="11">
        <v>44</v>
      </c>
      <c r="I21" s="129">
        <v>73</v>
      </c>
      <c r="J21" s="17">
        <v>41045</v>
      </c>
      <c r="K21" t="s">
        <v>130</v>
      </c>
      <c r="L21">
        <v>33</v>
      </c>
      <c r="M21">
        <v>0.28299999999999997</v>
      </c>
      <c r="N21">
        <v>471</v>
      </c>
      <c r="Q21" s="4" t="str">
        <f>HYPERLINK("\\hopi-fs\shares\users\dhar\Stalk mount testing\Type 5a\CRYO-2108-2003 2066","folder")</f>
        <v>folder</v>
      </c>
      <c r="T21" t="s">
        <v>480</v>
      </c>
      <c r="U21" t="s">
        <v>513</v>
      </c>
      <c r="X21">
        <v>1</v>
      </c>
      <c r="Y21">
        <v>1</v>
      </c>
    </row>
    <row r="22" spans="1:25">
      <c r="A22">
        <v>2067</v>
      </c>
      <c r="B22" s="3">
        <v>0.38</v>
      </c>
      <c r="C22" s="3">
        <v>1.33</v>
      </c>
      <c r="D22">
        <v>1.96</v>
      </c>
      <c r="E22">
        <v>7.87</v>
      </c>
      <c r="F22" s="63">
        <v>21.2</v>
      </c>
      <c r="G22" s="300" t="s">
        <v>488</v>
      </c>
      <c r="H22" s="11">
        <v>44</v>
      </c>
      <c r="I22" s="129">
        <v>73</v>
      </c>
      <c r="J22" s="17">
        <v>41045</v>
      </c>
      <c r="K22" t="s">
        <v>130</v>
      </c>
      <c r="L22">
        <v>32.799999999999997</v>
      </c>
      <c r="M22">
        <v>0.28199999999999997</v>
      </c>
      <c r="Q22" s="4" t="str">
        <f>HYPERLINK("\\hopi-fs\shares\users\dhar\Stalk mount testing\Type 5a\CRYO-2108-2015 2067","folder")</f>
        <v>folder</v>
      </c>
      <c r="T22" t="s">
        <v>480</v>
      </c>
      <c r="X22">
        <v>1</v>
      </c>
    </row>
    <row r="23" spans="1:25">
      <c r="A23" s="13">
        <v>2067</v>
      </c>
      <c r="B23">
        <v>0.48</v>
      </c>
      <c r="C23">
        <v>1.48</v>
      </c>
      <c r="D23">
        <v>1.97</v>
      </c>
      <c r="E23">
        <v>7.8</v>
      </c>
      <c r="F23" s="63">
        <v>21.2</v>
      </c>
      <c r="G23" s="207" t="s">
        <v>496</v>
      </c>
      <c r="H23" s="11">
        <v>26</v>
      </c>
      <c r="I23" s="130">
        <v>72.5</v>
      </c>
      <c r="J23" s="17">
        <v>41047</v>
      </c>
      <c r="K23" t="s">
        <v>130</v>
      </c>
      <c r="L23">
        <v>32.9</v>
      </c>
      <c r="M23">
        <v>0.28899999999999998</v>
      </c>
      <c r="N23">
        <v>485</v>
      </c>
      <c r="Q23" s="4" t="str">
        <f>HYPERLINK("\\hopi-fs\shares\users\dhar\Stalk mount testing\Type 5a\CRYO-2108-2021 2067","folder")</f>
        <v>folder</v>
      </c>
      <c r="T23" t="s">
        <v>482</v>
      </c>
      <c r="U23" t="s">
        <v>1842</v>
      </c>
      <c r="X23">
        <v>1</v>
      </c>
    </row>
    <row r="24" spans="1:25">
      <c r="G24" s="300"/>
    </row>
  </sheetData>
  <mergeCells count="1">
    <mergeCell ref="B4:C4"/>
  </mergeCells>
  <pageMargins left="0.7" right="0.7" top="0.75" bottom="0.75" header="0.3" footer="0.3"/>
  <pageSetup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9"/>
  <sheetViews>
    <sheetView workbookViewId="0">
      <pane ySplit="3000" activePane="bottomLeft"/>
      <selection activeCell="G1" sqref="G1:G1048576"/>
      <selection pane="bottomLeft" activeCell="E19" sqref="E18:E19"/>
    </sheetView>
  </sheetViews>
  <sheetFormatPr defaultRowHeight="15"/>
  <cols>
    <col min="2" max="2" width="9.140625" customWidth="1"/>
    <col min="3" max="3" width="10" customWidth="1"/>
    <col min="4" max="4" width="8.85546875" customWidth="1"/>
    <col min="5" max="5" width="11.42578125" customWidth="1"/>
    <col min="6" max="6" width="10.5703125" customWidth="1"/>
    <col min="7" max="7" width="19.140625" bestFit="1" customWidth="1"/>
    <col min="8" max="8" width="6" bestFit="1" customWidth="1"/>
    <col min="9" max="9" width="8" bestFit="1" customWidth="1"/>
    <col min="10" max="10" width="9.28515625" bestFit="1" customWidth="1"/>
    <col min="11" max="11" width="10.42578125" customWidth="1"/>
    <col min="12" max="12" width="6.7109375" customWidth="1"/>
    <col min="13" max="13" width="6.85546875" customWidth="1"/>
    <col min="14" max="14" width="6.140625" customWidth="1"/>
    <col min="15" max="15" width="10" customWidth="1"/>
    <col min="16" max="16" width="9.42578125" customWidth="1"/>
    <col min="17" max="17" width="11" bestFit="1" customWidth="1"/>
    <col min="19" max="19" width="15.28515625" bestFit="1" customWidth="1"/>
    <col min="20" max="20" width="17.7109375" bestFit="1" customWidth="1"/>
  </cols>
  <sheetData>
    <row r="1" spans="1:21">
      <c r="A1" s="6" t="s">
        <v>2</v>
      </c>
      <c r="B1" s="4" t="s">
        <v>31</v>
      </c>
    </row>
    <row r="2" spans="1:21">
      <c r="B2" s="35" t="s">
        <v>283</v>
      </c>
    </row>
    <row r="3" spans="1:21">
      <c r="F3" s="4" t="s">
        <v>27</v>
      </c>
      <c r="H3" s="4"/>
    </row>
    <row r="4" spans="1:21" ht="45">
      <c r="B4" s="604" t="s">
        <v>19</v>
      </c>
      <c r="C4" s="604"/>
      <c r="D4" s="57" t="s">
        <v>22</v>
      </c>
      <c r="E4" s="57" t="s">
        <v>33</v>
      </c>
      <c r="F4" s="57" t="s">
        <v>8</v>
      </c>
    </row>
    <row r="5" spans="1:21" s="7" customFormat="1" ht="45">
      <c r="A5" s="56" t="s">
        <v>18</v>
      </c>
      <c r="B5" s="56" t="s">
        <v>20</v>
      </c>
      <c r="C5" s="56" t="s">
        <v>21</v>
      </c>
      <c r="D5" s="56" t="s">
        <v>23</v>
      </c>
      <c r="E5" s="56" t="s">
        <v>34</v>
      </c>
      <c r="F5" s="56" t="s">
        <v>35</v>
      </c>
      <c r="G5" s="56" t="s">
        <v>259</v>
      </c>
      <c r="H5" s="22" t="s">
        <v>131</v>
      </c>
      <c r="I5" s="22" t="s">
        <v>132</v>
      </c>
      <c r="J5" s="22" t="s">
        <v>133</v>
      </c>
      <c r="K5" s="22" t="s">
        <v>134</v>
      </c>
      <c r="L5" s="22" t="s">
        <v>105</v>
      </c>
      <c r="M5" s="22" t="s">
        <v>157</v>
      </c>
      <c r="N5" s="22" t="s">
        <v>163</v>
      </c>
      <c r="O5" s="22" t="s">
        <v>226</v>
      </c>
      <c r="P5" s="22" t="s">
        <v>141</v>
      </c>
      <c r="Q5" s="22" t="s">
        <v>239</v>
      </c>
      <c r="R5" s="22" t="s">
        <v>210</v>
      </c>
      <c r="S5" s="22" t="s">
        <v>260</v>
      </c>
      <c r="T5" s="22" t="s">
        <v>145</v>
      </c>
      <c r="U5" s="18" t="s">
        <v>183</v>
      </c>
    </row>
    <row r="6" spans="1:21">
      <c r="A6">
        <v>2084</v>
      </c>
      <c r="B6">
        <v>0.11</v>
      </c>
      <c r="C6">
        <v>0.55000000000000004</v>
      </c>
      <c r="D6">
        <v>1.97</v>
      </c>
      <c r="E6">
        <v>6.1</v>
      </c>
      <c r="F6">
        <v>24.5</v>
      </c>
      <c r="G6" s="13" t="s">
        <v>266</v>
      </c>
      <c r="H6">
        <v>18.600000000000001</v>
      </c>
      <c r="I6">
        <v>70.2</v>
      </c>
      <c r="J6" s="17">
        <v>40917</v>
      </c>
      <c r="K6" t="s">
        <v>130</v>
      </c>
      <c r="L6">
        <v>33.5</v>
      </c>
      <c r="M6">
        <v>0.63</v>
      </c>
      <c r="N6">
        <v>774</v>
      </c>
      <c r="Q6" s="4" t="str">
        <f>HYPERLINK("\\hopi-fs\shares\users\dhar\Stalk mount testing\Type 5 Rice\CRYO-2092-1697 2084","folder")</f>
        <v>folder</v>
      </c>
      <c r="S6" t="s">
        <v>175</v>
      </c>
      <c r="U6" t="s">
        <v>299</v>
      </c>
    </row>
    <row r="7" spans="1:21">
      <c r="A7">
        <v>2085</v>
      </c>
      <c r="B7">
        <v>7.0000000000000007E-2</v>
      </c>
      <c r="C7">
        <v>0.51</v>
      </c>
      <c r="D7">
        <v>2</v>
      </c>
      <c r="E7">
        <v>6.1</v>
      </c>
      <c r="F7">
        <v>24.4</v>
      </c>
      <c r="G7" s="13" t="s">
        <v>267</v>
      </c>
      <c r="H7">
        <v>18.600000000000001</v>
      </c>
      <c r="I7">
        <v>70.2</v>
      </c>
      <c r="J7" s="17">
        <v>40917</v>
      </c>
      <c r="K7" t="s">
        <v>130</v>
      </c>
      <c r="L7">
        <v>33.5</v>
      </c>
      <c r="M7">
        <v>0.65</v>
      </c>
      <c r="N7">
        <v>843</v>
      </c>
      <c r="Q7" s="4" t="str">
        <f>HYPERLINK("\\hopi-fs\shares\users\dhar\Stalk mount testing\Type 5 Target QA\CRYO-2093-1705 2085","folder")</f>
        <v>folder</v>
      </c>
      <c r="U7" t="s">
        <v>299</v>
      </c>
    </row>
    <row r="8" spans="1:21">
      <c r="A8">
        <v>2548</v>
      </c>
      <c r="B8">
        <v>9.7000000000000003E-2</v>
      </c>
      <c r="C8">
        <v>0.54</v>
      </c>
      <c r="D8">
        <v>2</v>
      </c>
      <c r="E8">
        <v>6.1</v>
      </c>
      <c r="F8">
        <v>24.5</v>
      </c>
      <c r="G8" s="32" t="s">
        <v>281</v>
      </c>
      <c r="H8">
        <v>24</v>
      </c>
      <c r="I8">
        <v>71.400000000000006</v>
      </c>
      <c r="J8" s="17">
        <v>40919</v>
      </c>
      <c r="K8" t="s">
        <v>130</v>
      </c>
      <c r="L8">
        <v>33.6</v>
      </c>
      <c r="M8">
        <v>0.78</v>
      </c>
      <c r="N8" t="s">
        <v>294</v>
      </c>
      <c r="Q8" s="4" t="str">
        <f>HYPERLINK("\\Hopi-fs\shares\users\dhar\Stalk mount testing\Type 5 Target QA\CRYO-ME-1240-0191 2548","folder")</f>
        <v>folder</v>
      </c>
      <c r="U8" t="s">
        <v>601</v>
      </c>
    </row>
    <row r="9" spans="1:21">
      <c r="A9">
        <v>2555</v>
      </c>
      <c r="B9">
        <v>0.09</v>
      </c>
      <c r="C9">
        <v>0.54</v>
      </c>
      <c r="D9">
        <v>2</v>
      </c>
      <c r="E9">
        <v>6.05</v>
      </c>
      <c r="F9">
        <v>24.4</v>
      </c>
      <c r="G9" s="61" t="s">
        <v>282</v>
      </c>
      <c r="H9">
        <v>24</v>
      </c>
      <c r="I9">
        <v>71.400000000000006</v>
      </c>
      <c r="J9" s="17">
        <v>40919</v>
      </c>
      <c r="K9" t="s">
        <v>130</v>
      </c>
      <c r="L9">
        <v>33.5</v>
      </c>
      <c r="M9">
        <v>0.61399999999999999</v>
      </c>
      <c r="Q9" s="4" t="str">
        <f>HYPERLINK("\\Hopi-fs\shares\users\dhar\Stalk mount testing\Type 5 Target QA\CRYO-ME-1241-0192 2555","folder")</f>
        <v>folder</v>
      </c>
    </row>
  </sheetData>
  <mergeCells count="1">
    <mergeCell ref="B4:C4"/>
  </mergeCells>
  <hyperlinks>
    <hyperlink ref="B1" r:id="rId1" display="http://www.lle.rochester.edu/pdm?form=PDM::DocDetail&amp;Project=CTHS&amp;Docid=D-TR-B-208&amp;CType=L&amp;Revision=A" xr:uid="{00000000-0004-0000-0C00-000000000000}"/>
  </hyperlinks>
  <pageMargins left="0.7" right="0.7" top="0.75" bottom="0.75" header="0.3" footer="0.3"/>
  <pageSetup orientation="portrait" horizontalDpi="1200" verticalDpi="1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
  <sheetViews>
    <sheetView workbookViewId="0">
      <selection activeCell="C7" sqref="C7"/>
    </sheetView>
  </sheetViews>
  <sheetFormatPr defaultRowHeight="15"/>
  <cols>
    <col min="2" max="2" width="13.140625" customWidth="1"/>
    <col min="3" max="3" width="12.7109375" customWidth="1"/>
    <col min="4" max="4" width="15.42578125" customWidth="1"/>
    <col min="5" max="5" width="13.42578125" customWidth="1"/>
    <col min="6" max="6" width="16.7109375" customWidth="1"/>
    <col min="7" max="7" width="14.42578125" customWidth="1"/>
  </cols>
  <sheetData>
    <row r="1" spans="1:7">
      <c r="A1" t="s">
        <v>69</v>
      </c>
    </row>
    <row r="3" spans="1:7">
      <c r="A3" t="s">
        <v>70</v>
      </c>
      <c r="B3" t="s">
        <v>71</v>
      </c>
      <c r="C3" t="s">
        <v>72</v>
      </c>
      <c r="D3" t="s">
        <v>73</v>
      </c>
      <c r="E3" t="s">
        <v>74</v>
      </c>
      <c r="F3" t="s">
        <v>57</v>
      </c>
      <c r="G3" t="s">
        <v>61</v>
      </c>
    </row>
    <row r="4" spans="1:7">
      <c r="A4">
        <v>2675</v>
      </c>
      <c r="B4" t="s">
        <v>78</v>
      </c>
      <c r="C4" t="s">
        <v>79</v>
      </c>
      <c r="D4" t="s">
        <v>80</v>
      </c>
      <c r="E4" t="s">
        <v>81</v>
      </c>
      <c r="F4" t="s">
        <v>82</v>
      </c>
      <c r="G4" t="s">
        <v>83</v>
      </c>
    </row>
    <row r="5" spans="1:7">
      <c r="A5">
        <v>2676</v>
      </c>
      <c r="B5" t="s">
        <v>84</v>
      </c>
      <c r="C5" t="s">
        <v>85</v>
      </c>
      <c r="D5" t="s">
        <v>86</v>
      </c>
      <c r="E5" t="s">
        <v>87</v>
      </c>
      <c r="F5" t="s">
        <v>88</v>
      </c>
      <c r="G5" t="s">
        <v>89</v>
      </c>
    </row>
    <row r="6" spans="1:7">
      <c r="A6">
        <v>2686</v>
      </c>
      <c r="B6" t="s">
        <v>90</v>
      </c>
      <c r="C6" t="s">
        <v>91</v>
      </c>
      <c r="D6" t="s">
        <v>92</v>
      </c>
      <c r="E6" t="s">
        <v>93</v>
      </c>
      <c r="F6" t="s">
        <v>94</v>
      </c>
      <c r="G6" t="s">
        <v>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29"/>
  <sheetViews>
    <sheetView workbookViewId="0">
      <selection activeCell="F38" sqref="A35:F38"/>
    </sheetView>
  </sheetViews>
  <sheetFormatPr defaultRowHeight="15"/>
  <cols>
    <col min="2" max="2" width="11.7109375" customWidth="1"/>
    <col min="3" max="3" width="8.5703125" customWidth="1"/>
    <col min="4" max="4" width="10.7109375" customWidth="1"/>
    <col min="5" max="5" width="8" customWidth="1"/>
    <col min="6" max="6" width="13.28515625" customWidth="1"/>
    <col min="7" max="7" width="19.140625" bestFit="1" customWidth="1"/>
    <col min="8" max="8" width="6" bestFit="1" customWidth="1"/>
    <col min="9" max="9" width="8" bestFit="1" customWidth="1"/>
    <col min="10" max="10" width="10" bestFit="1" customWidth="1"/>
    <col min="11" max="12" width="5.42578125" customWidth="1"/>
    <col min="13" max="13" width="6.5703125" customWidth="1"/>
    <col min="14" max="14" width="7.28515625" customWidth="1"/>
    <col min="16" max="16" width="12.42578125" bestFit="1" customWidth="1"/>
    <col min="17" max="17" width="11" bestFit="1" customWidth="1"/>
    <col min="19" max="19" width="15.28515625" bestFit="1" customWidth="1"/>
    <col min="20" max="20" width="17.7109375" bestFit="1" customWidth="1"/>
    <col min="21" max="21" width="65.5703125" bestFit="1" customWidth="1"/>
    <col min="22" max="22" width="27.5703125" bestFit="1" customWidth="1"/>
    <col min="23" max="23" width="3.140625" customWidth="1"/>
    <col min="24" max="24" width="12.5703125" customWidth="1"/>
    <col min="25" max="25" width="10.85546875" customWidth="1"/>
  </cols>
  <sheetData>
    <row r="1" spans="1:25">
      <c r="A1" t="s">
        <v>3</v>
      </c>
      <c r="B1" s="4" t="s">
        <v>32</v>
      </c>
      <c r="X1">
        <f>SUM(X18:X29)</f>
        <v>8</v>
      </c>
      <c r="Y1" t="s">
        <v>665</v>
      </c>
    </row>
    <row r="2" spans="1:25">
      <c r="B2" s="4"/>
      <c r="X2">
        <f>SUM(Y18:Y29)</f>
        <v>1</v>
      </c>
      <c r="Y2" t="s">
        <v>664</v>
      </c>
    </row>
    <row r="3" spans="1:25">
      <c r="B3" s="59" t="s">
        <v>280</v>
      </c>
      <c r="X3">
        <f>X2/X1</f>
        <v>0.125</v>
      </c>
    </row>
    <row r="4" spans="1:25">
      <c r="B4" t="s">
        <v>10</v>
      </c>
    </row>
    <row r="5" spans="1:25" ht="75">
      <c r="A5" s="56" t="s">
        <v>54</v>
      </c>
      <c r="B5" s="56" t="s">
        <v>55</v>
      </c>
      <c r="C5" s="56" t="s">
        <v>56</v>
      </c>
      <c r="D5" s="56" t="s">
        <v>255</v>
      </c>
      <c r="E5" s="56" t="s">
        <v>256</v>
      </c>
      <c r="F5" s="56" t="s">
        <v>257</v>
      </c>
      <c r="G5" s="56" t="s">
        <v>259</v>
      </c>
      <c r="H5" s="22" t="s">
        <v>131</v>
      </c>
      <c r="I5" s="22" t="s">
        <v>132</v>
      </c>
      <c r="J5" s="22" t="s">
        <v>133</v>
      </c>
      <c r="K5" s="22" t="s">
        <v>134</v>
      </c>
      <c r="L5" s="22" t="s">
        <v>105</v>
      </c>
      <c r="M5" s="22" t="s">
        <v>157</v>
      </c>
      <c r="N5" s="22" t="s">
        <v>163</v>
      </c>
      <c r="O5" s="22" t="s">
        <v>226</v>
      </c>
      <c r="P5" s="22" t="s">
        <v>141</v>
      </c>
      <c r="Q5" s="18" t="s">
        <v>239</v>
      </c>
      <c r="R5" s="18" t="s">
        <v>210</v>
      </c>
      <c r="S5" s="18" t="s">
        <v>260</v>
      </c>
      <c r="T5" s="18" t="s">
        <v>145</v>
      </c>
      <c r="U5" s="18" t="s">
        <v>183</v>
      </c>
      <c r="X5" s="22" t="s">
        <v>666</v>
      </c>
      <c r="Y5" s="57" t="s">
        <v>667</v>
      </c>
    </row>
    <row r="6" spans="1:25">
      <c r="A6">
        <v>2560</v>
      </c>
      <c r="B6">
        <v>130</v>
      </c>
      <c r="C6">
        <v>550</v>
      </c>
      <c r="D6">
        <v>2.04</v>
      </c>
      <c r="E6">
        <v>9.09</v>
      </c>
      <c r="F6">
        <v>21.22</v>
      </c>
    </row>
    <row r="7" spans="1:25">
      <c r="A7">
        <v>2549</v>
      </c>
      <c r="B7">
        <v>140</v>
      </c>
      <c r="C7">
        <v>509</v>
      </c>
      <c r="D7">
        <v>2.08</v>
      </c>
      <c r="E7">
        <v>9.01</v>
      </c>
      <c r="F7">
        <v>21.33</v>
      </c>
    </row>
    <row r="8" spans="1:25">
      <c r="A8">
        <v>2550</v>
      </c>
      <c r="B8">
        <v>100</v>
      </c>
      <c r="C8">
        <v>537</v>
      </c>
      <c r="D8">
        <v>2.02</v>
      </c>
      <c r="E8">
        <v>8.9600000000000009</v>
      </c>
      <c r="F8">
        <v>21.24</v>
      </c>
      <c r="G8" t="s">
        <v>48</v>
      </c>
    </row>
    <row r="9" spans="1:25">
      <c r="A9">
        <v>2551</v>
      </c>
      <c r="B9">
        <v>101</v>
      </c>
      <c r="C9">
        <v>527</v>
      </c>
      <c r="D9">
        <v>2.04</v>
      </c>
      <c r="E9">
        <v>9.0299999999999994</v>
      </c>
      <c r="F9">
        <v>21.23</v>
      </c>
      <c r="G9" t="s">
        <v>48</v>
      </c>
    </row>
    <row r="10" spans="1:25">
      <c r="A10">
        <v>2558</v>
      </c>
      <c r="B10">
        <v>154</v>
      </c>
      <c r="C10">
        <v>547</v>
      </c>
      <c r="D10">
        <v>2.0499999999999998</v>
      </c>
      <c r="E10">
        <v>9.11</v>
      </c>
      <c r="F10">
        <v>21.22</v>
      </c>
    </row>
    <row r="11" spans="1:25">
      <c r="A11">
        <v>2656</v>
      </c>
      <c r="B11">
        <v>111</v>
      </c>
      <c r="C11">
        <v>491</v>
      </c>
      <c r="D11">
        <v>1.96</v>
      </c>
      <c r="E11">
        <v>8.61</v>
      </c>
      <c r="F11">
        <v>20.309999999999999</v>
      </c>
    </row>
    <row r="12" spans="1:25">
      <c r="A12">
        <v>2657</v>
      </c>
      <c r="B12">
        <v>90</v>
      </c>
      <c r="C12">
        <v>476</v>
      </c>
      <c r="D12">
        <v>1.91</v>
      </c>
      <c r="E12">
        <v>8.65</v>
      </c>
      <c r="F12">
        <v>20.260000000000002</v>
      </c>
    </row>
    <row r="13" spans="1:25">
      <c r="A13">
        <v>2658</v>
      </c>
      <c r="B13">
        <v>94</v>
      </c>
      <c r="C13">
        <v>468</v>
      </c>
      <c r="D13">
        <v>1.91</v>
      </c>
      <c r="E13">
        <v>8.6999999999999993</v>
      </c>
      <c r="F13">
        <v>20.25</v>
      </c>
    </row>
    <row r="14" spans="1:25">
      <c r="A14">
        <v>2659</v>
      </c>
      <c r="B14">
        <v>119</v>
      </c>
      <c r="C14">
        <v>493</v>
      </c>
      <c r="D14">
        <v>1.94</v>
      </c>
      <c r="E14">
        <v>8.5399999999999991</v>
      </c>
      <c r="F14">
        <v>20.39</v>
      </c>
      <c r="G14" t="s">
        <v>58</v>
      </c>
    </row>
    <row r="15" spans="1:25">
      <c r="A15">
        <v>2660</v>
      </c>
      <c r="B15">
        <v>95</v>
      </c>
      <c r="C15">
        <v>485</v>
      </c>
      <c r="D15" s="26">
        <v>1.88</v>
      </c>
      <c r="E15">
        <v>8.5500000000000007</v>
      </c>
      <c r="F15">
        <v>20.38</v>
      </c>
    </row>
    <row r="16" spans="1:25">
      <c r="A16">
        <v>2661</v>
      </c>
      <c r="B16">
        <v>96</v>
      </c>
      <c r="C16">
        <v>475</v>
      </c>
      <c r="D16">
        <v>1.96</v>
      </c>
      <c r="E16">
        <v>8.66</v>
      </c>
      <c r="F16">
        <v>20.32</v>
      </c>
    </row>
    <row r="17" spans="1:25">
      <c r="A17">
        <v>2489</v>
      </c>
      <c r="B17">
        <v>71</v>
      </c>
      <c r="C17">
        <v>507</v>
      </c>
      <c r="D17">
        <v>2.1</v>
      </c>
      <c r="E17">
        <v>8.9</v>
      </c>
      <c r="F17">
        <v>21.3</v>
      </c>
      <c r="G17" s="99" t="s">
        <v>261</v>
      </c>
      <c r="H17" t="s">
        <v>169</v>
      </c>
      <c r="I17" t="s">
        <v>169</v>
      </c>
      <c r="J17">
        <v>2011</v>
      </c>
      <c r="K17" t="s">
        <v>130</v>
      </c>
      <c r="L17">
        <v>33.200000000000003</v>
      </c>
      <c r="M17">
        <v>0.62</v>
      </c>
      <c r="N17" s="3" t="s">
        <v>274</v>
      </c>
      <c r="Q17" s="4" t="str">
        <f>HYPERLINK("\\hopi-fs\shares\users\dhar\Stalk mount testing\Type 6 Target Quality Assurance\CRYO-ME-63 2489","folder")</f>
        <v>folder</v>
      </c>
    </row>
    <row r="18" spans="1:25">
      <c r="A18">
        <v>2671</v>
      </c>
      <c r="B18">
        <v>8.6999999999999994E-2</v>
      </c>
      <c r="C18">
        <v>0.53</v>
      </c>
      <c r="D18">
        <v>2</v>
      </c>
      <c r="E18">
        <v>9</v>
      </c>
      <c r="F18">
        <v>21.2</v>
      </c>
      <c r="G18" s="58" t="s">
        <v>268</v>
      </c>
      <c r="H18">
        <v>18.600000000000001</v>
      </c>
      <c r="I18">
        <v>70.2</v>
      </c>
      <c r="J18" s="17">
        <v>40917</v>
      </c>
      <c r="K18" t="s">
        <v>130</v>
      </c>
      <c r="L18">
        <v>33.200000000000003</v>
      </c>
      <c r="M18">
        <v>0.94399999999999995</v>
      </c>
      <c r="N18">
        <v>1023</v>
      </c>
      <c r="P18" s="26" t="s">
        <v>354</v>
      </c>
      <c r="Q18" s="4" t="str">
        <f>HYPERLINK("\\hopi-fs\shares\users\dhar\Stalk mount testing\Type 6 Target Quality Assurance\CRYO-2094-1744 2671","folder")</f>
        <v>folder</v>
      </c>
      <c r="U18" t="s">
        <v>265</v>
      </c>
      <c r="V18" t="s">
        <v>601</v>
      </c>
      <c r="X18">
        <v>1</v>
      </c>
    </row>
    <row r="19" spans="1:25">
      <c r="A19">
        <v>2537</v>
      </c>
      <c r="B19">
        <v>0.13400000000000001</v>
      </c>
      <c r="C19">
        <v>0.51</v>
      </c>
      <c r="D19">
        <v>2</v>
      </c>
      <c r="E19">
        <v>9.1</v>
      </c>
      <c r="F19">
        <v>21.3</v>
      </c>
      <c r="G19" s="58" t="s">
        <v>269</v>
      </c>
      <c r="H19">
        <v>18.600000000000001</v>
      </c>
      <c r="I19">
        <v>70.2</v>
      </c>
      <c r="J19" s="17">
        <v>40917</v>
      </c>
      <c r="K19" t="s">
        <v>130</v>
      </c>
      <c r="L19">
        <v>33.4</v>
      </c>
      <c r="M19">
        <v>0.4</v>
      </c>
      <c r="N19">
        <v>703</v>
      </c>
      <c r="Q19" s="4" t="str">
        <f>HYPERLINK("\\hopi-fs\shares\users\dhar\Stalk mount testing\Type 6 Target Quality Assurance\CRYO-2093-1745 2537","folder")</f>
        <v>folder</v>
      </c>
      <c r="U19" t="s">
        <v>298</v>
      </c>
      <c r="X19">
        <v>1</v>
      </c>
    </row>
    <row r="20" spans="1:25">
      <c r="A20">
        <v>2482</v>
      </c>
      <c r="B20">
        <v>0.7</v>
      </c>
      <c r="C20">
        <v>0.5</v>
      </c>
      <c r="D20">
        <v>2.1</v>
      </c>
      <c r="E20">
        <v>8.9</v>
      </c>
      <c r="F20">
        <v>21.3</v>
      </c>
      <c r="G20" s="58" t="s">
        <v>270</v>
      </c>
      <c r="H20">
        <v>18.600000000000001</v>
      </c>
      <c r="I20">
        <v>70.2</v>
      </c>
      <c r="J20" s="17">
        <v>40917</v>
      </c>
      <c r="K20" t="s">
        <v>130</v>
      </c>
      <c r="L20">
        <v>33.200000000000003</v>
      </c>
      <c r="M20">
        <v>0.27500000000000002</v>
      </c>
      <c r="N20">
        <v>989</v>
      </c>
      <c r="Q20" s="4" t="str">
        <f>HYPERLINK("\\hopi-fs\shares\users\dhar\Stalk mount testing\Type 6 Target Quality Assurance\CRYO-2092-1747 2482","folder")</f>
        <v>folder</v>
      </c>
      <c r="U20" t="s">
        <v>298</v>
      </c>
      <c r="X20">
        <v>1</v>
      </c>
    </row>
    <row r="21" spans="1:25">
      <c r="A21">
        <v>2656</v>
      </c>
      <c r="B21">
        <v>0.112</v>
      </c>
      <c r="C21">
        <v>0.52400000000000002</v>
      </c>
      <c r="D21">
        <v>2.04</v>
      </c>
      <c r="E21">
        <v>9</v>
      </c>
      <c r="F21">
        <v>21.2</v>
      </c>
      <c r="G21" s="58" t="s">
        <v>271</v>
      </c>
      <c r="H21">
        <v>18.600000000000001</v>
      </c>
      <c r="I21">
        <v>70.2</v>
      </c>
      <c r="J21" s="17">
        <v>40917</v>
      </c>
      <c r="K21" t="s">
        <v>130</v>
      </c>
      <c r="L21">
        <v>33.299999999999997</v>
      </c>
      <c r="M21">
        <v>0.64</v>
      </c>
      <c r="N21">
        <v>921</v>
      </c>
      <c r="P21" s="3" t="s">
        <v>355</v>
      </c>
      <c r="Q21" s="4" t="str">
        <f>HYPERLINK("\\hopi-fs\shares\users\dhar\Stalk mount testing\Type 6 Target Quality Assurance\CRYO-2094-1751 2656","folder")</f>
        <v>folder</v>
      </c>
      <c r="U21" t="s">
        <v>265</v>
      </c>
      <c r="X21">
        <v>1</v>
      </c>
    </row>
    <row r="22" spans="1:25">
      <c r="A22">
        <v>2673</v>
      </c>
      <c r="B22">
        <v>7.9000000000000001E-2</v>
      </c>
      <c r="C22">
        <v>0.52</v>
      </c>
      <c r="D22">
        <v>2</v>
      </c>
      <c r="E22">
        <v>8.8699999999999992</v>
      </c>
      <c r="F22">
        <v>21.3</v>
      </c>
      <c r="G22" s="58" t="s">
        <v>272</v>
      </c>
      <c r="H22">
        <v>18.600000000000001</v>
      </c>
      <c r="I22">
        <v>70.2</v>
      </c>
      <c r="J22" s="17">
        <v>40917</v>
      </c>
      <c r="K22" t="s">
        <v>130</v>
      </c>
      <c r="L22">
        <v>33.1</v>
      </c>
      <c r="M22">
        <v>0.54</v>
      </c>
      <c r="N22">
        <v>904</v>
      </c>
      <c r="Q22" s="4" t="str">
        <f>HYPERLINK("\\hopi-fs\shares\users\dhar\Stalk mount testing\Type 6 Target Quality Assurance\CRYO-2093-1753 2673","folder")</f>
        <v>folder</v>
      </c>
      <c r="U22" t="s">
        <v>299</v>
      </c>
      <c r="X22">
        <v>1</v>
      </c>
    </row>
    <row r="23" spans="1:25">
      <c r="A23">
        <v>2672</v>
      </c>
      <c r="B23">
        <v>0.1</v>
      </c>
      <c r="C23">
        <v>0.52</v>
      </c>
      <c r="D23">
        <v>2.06</v>
      </c>
      <c r="E23">
        <v>8.9</v>
      </c>
      <c r="F23">
        <v>21.2</v>
      </c>
      <c r="G23" s="58" t="s">
        <v>273</v>
      </c>
      <c r="H23">
        <v>18.600000000000001</v>
      </c>
      <c r="I23">
        <v>70.2</v>
      </c>
      <c r="J23" s="17">
        <v>40917</v>
      </c>
      <c r="K23" t="s">
        <v>130</v>
      </c>
      <c r="L23">
        <v>33.15</v>
      </c>
      <c r="M23">
        <v>0.14000000000000001</v>
      </c>
      <c r="N23">
        <v>886</v>
      </c>
      <c r="Q23" s="4" t="str">
        <f>HYPERLINK("\\hopi-fs\shares\users\dhar\Stalk mount testing\Type 6 Target Quality Assurance\CRYO-2093-1754 2672","folder")</f>
        <v>folder</v>
      </c>
      <c r="U23" t="s">
        <v>299</v>
      </c>
      <c r="X23">
        <v>1</v>
      </c>
    </row>
    <row r="24" spans="1:25">
      <c r="A24">
        <v>2670</v>
      </c>
      <c r="B24">
        <v>0.13800000000000001</v>
      </c>
      <c r="C24">
        <v>0.54</v>
      </c>
      <c r="D24">
        <v>2</v>
      </c>
      <c r="E24">
        <v>8.9</v>
      </c>
      <c r="F24">
        <v>21.1</v>
      </c>
      <c r="G24" s="32" t="s">
        <v>1841</v>
      </c>
      <c r="H24">
        <v>24</v>
      </c>
      <c r="I24">
        <v>71.400000000000006</v>
      </c>
      <c r="J24" s="17">
        <v>40919</v>
      </c>
      <c r="K24" t="s">
        <v>130</v>
      </c>
      <c r="L24">
        <v>33</v>
      </c>
      <c r="M24">
        <v>0.28999999999999998</v>
      </c>
      <c r="N24">
        <v>644</v>
      </c>
      <c r="Q24" s="4" t="str">
        <f>HYPERLINK("\\hopi-fs\shares\users\dhar\Stalk mount testing\Type 6 Target Quality Assurance\CRYO-ME-1232-0193 2670","folder")</f>
        <v>folder</v>
      </c>
      <c r="U24" t="s">
        <v>297</v>
      </c>
    </row>
    <row r="25" spans="1:25">
      <c r="A25">
        <v>2663</v>
      </c>
      <c r="B25">
        <v>0.15</v>
      </c>
      <c r="C25">
        <v>0.54</v>
      </c>
      <c r="D25">
        <v>2</v>
      </c>
      <c r="E25">
        <v>9</v>
      </c>
      <c r="F25">
        <v>21.2</v>
      </c>
      <c r="G25" s="32" t="s">
        <v>276</v>
      </c>
      <c r="H25">
        <v>24</v>
      </c>
      <c r="I25">
        <v>71.400000000000006</v>
      </c>
      <c r="J25" s="17">
        <v>40919</v>
      </c>
      <c r="K25" t="s">
        <v>130</v>
      </c>
      <c r="L25">
        <v>33.200000000000003</v>
      </c>
      <c r="M25">
        <v>0.38</v>
      </c>
      <c r="N25" t="s">
        <v>278</v>
      </c>
      <c r="P25" s="26" t="s">
        <v>286</v>
      </c>
      <c r="Q25" s="4" t="str">
        <f>HYPERLINK("\\hopi-fs\shares\users\dhar\Stalk mount testing\Type 6 Target Quality Assurance\CRYO-ME-1233-0194 2663","folder")</f>
        <v>folder</v>
      </c>
    </row>
    <row r="26" spans="1:25">
      <c r="A26">
        <v>2674</v>
      </c>
      <c r="B26">
        <v>0.1</v>
      </c>
      <c r="C26">
        <v>0.51</v>
      </c>
      <c r="D26">
        <v>2.02</v>
      </c>
      <c r="E26">
        <v>8.9</v>
      </c>
      <c r="F26">
        <v>21.3</v>
      </c>
      <c r="G26" s="32" t="s">
        <v>277</v>
      </c>
      <c r="H26">
        <v>24</v>
      </c>
      <c r="I26">
        <v>71.400000000000006</v>
      </c>
      <c r="J26" s="17">
        <v>40919</v>
      </c>
      <c r="K26" t="s">
        <v>130</v>
      </c>
      <c r="L26">
        <v>33.1</v>
      </c>
      <c r="M26">
        <v>0.94</v>
      </c>
      <c r="N26" t="s">
        <v>279</v>
      </c>
      <c r="Q26" s="4" t="str">
        <f>HYPERLINK("\\hopi-fs\shares\users\dhar\Stalk mount testing\Type 6 Target Quality Assurance\CRYO-ME-1238-0195 2674","folder")</f>
        <v>folder</v>
      </c>
      <c r="U26" t="s">
        <v>297</v>
      </c>
    </row>
    <row r="27" spans="1:25">
      <c r="A27">
        <v>2483</v>
      </c>
      <c r="B27">
        <v>9.4E-2</v>
      </c>
      <c r="C27">
        <v>0.46800000000000003</v>
      </c>
      <c r="D27">
        <v>2.0499999999999998</v>
      </c>
      <c r="E27">
        <v>8.9</v>
      </c>
      <c r="F27">
        <v>21.2</v>
      </c>
      <c r="G27" s="13" t="s">
        <v>308</v>
      </c>
      <c r="H27">
        <v>35</v>
      </c>
      <c r="I27">
        <v>72</v>
      </c>
      <c r="J27" s="17">
        <v>40925</v>
      </c>
      <c r="K27" t="s">
        <v>130</v>
      </c>
      <c r="L27">
        <v>33.1</v>
      </c>
      <c r="M27">
        <v>0.47499999999999998</v>
      </c>
      <c r="N27" t="s">
        <v>296</v>
      </c>
      <c r="Q27" s="4" t="str">
        <f>HYPERLINK("\\Hopi-fs\shares\users\dhar\Stalk mount testing\Type 6 Target Quality Assurance\ME 2483","folder")</f>
        <v>folder</v>
      </c>
      <c r="V27" t="s">
        <v>601</v>
      </c>
    </row>
    <row r="28" spans="1:25">
      <c r="A28">
        <v>2018</v>
      </c>
      <c r="B28">
        <v>8.5999999999999993E-2</v>
      </c>
      <c r="C28">
        <v>0.50600000000000001</v>
      </c>
      <c r="D28">
        <v>2.04</v>
      </c>
      <c r="E28">
        <v>8.83</v>
      </c>
      <c r="F28">
        <v>21.24</v>
      </c>
      <c r="G28" s="32" t="s">
        <v>361</v>
      </c>
      <c r="H28">
        <v>44.4</v>
      </c>
      <c r="I28">
        <v>71</v>
      </c>
      <c r="J28" s="17">
        <v>40974</v>
      </c>
      <c r="K28" t="s">
        <v>130</v>
      </c>
      <c r="L28">
        <v>33.07</v>
      </c>
      <c r="M28">
        <v>0.35799999999999998</v>
      </c>
      <c r="N28" t="s">
        <v>369</v>
      </c>
      <c r="P28" t="s">
        <v>385</v>
      </c>
      <c r="Q28" s="4" t="str">
        <f>HYPERLINK("\\hopi-fs\shares\users\dhar\Stalk mount testing\Type 6 Target Quality Assurance\CRYO-45038-111 2018","folder")</f>
        <v>folder</v>
      </c>
      <c r="R28">
        <v>2</v>
      </c>
      <c r="U28" t="s">
        <v>378</v>
      </c>
      <c r="X28">
        <v>1</v>
      </c>
    </row>
    <row r="29" spans="1:25">
      <c r="A29" s="35">
        <v>2488</v>
      </c>
      <c r="B29">
        <v>9.8000000000000004E-2</v>
      </c>
      <c r="C29">
        <v>0.497</v>
      </c>
      <c r="D29">
        <v>2.02</v>
      </c>
      <c r="E29">
        <v>8.83</v>
      </c>
      <c r="F29">
        <v>21.2</v>
      </c>
      <c r="G29" s="210" t="s">
        <v>362</v>
      </c>
      <c r="H29">
        <v>40</v>
      </c>
      <c r="I29">
        <v>71</v>
      </c>
      <c r="J29" s="17">
        <v>40976</v>
      </c>
      <c r="K29" t="s">
        <v>130</v>
      </c>
      <c r="L29">
        <v>33.979999999999997</v>
      </c>
      <c r="M29">
        <v>0.53300000000000003</v>
      </c>
      <c r="N29">
        <v>941</v>
      </c>
      <c r="Q29" s="4" t="str">
        <f>HYPERLINK("\\hopi-fs\shares\users\dhar\Stalk mount testing\Type 6 Target Quality Assurance\CRYO-45039-116 2488","folder")</f>
        <v>folder</v>
      </c>
      <c r="X29">
        <v>1</v>
      </c>
      <c r="Y29">
        <v>1</v>
      </c>
    </row>
  </sheetData>
  <hyperlinks>
    <hyperlink ref="B1" r:id="rId1" display="http://www.lle.rochester.edu/pdm?form=PDM::DocDetail&amp;Project=CTHS&amp;Docid=D-TR-B-209&amp;CType=L&amp;Revision=A" xr:uid="{00000000-0004-0000-0E00-000000000000}"/>
  </hyperlinks>
  <pageMargins left="0.7" right="0.7" top="0.75" bottom="0.75" header="0.3" footer="0.3"/>
  <pageSetup orientation="portrait" horizontalDpi="1200" verticalDpi="1200"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5"/>
  <sheetViews>
    <sheetView workbookViewId="0">
      <selection activeCell="A11" sqref="A11"/>
    </sheetView>
  </sheetViews>
  <sheetFormatPr defaultRowHeight="15"/>
  <cols>
    <col min="1" max="1" width="6.42578125" customWidth="1"/>
    <col min="2" max="2" width="7.7109375" customWidth="1"/>
    <col min="3" max="3" width="13" customWidth="1"/>
    <col min="4" max="4" width="9" customWidth="1"/>
    <col min="5" max="5" width="7.140625" customWidth="1"/>
    <col min="6" max="6" width="11.7109375" customWidth="1"/>
    <col min="7" max="7" width="18.85546875" bestFit="1" customWidth="1"/>
    <col min="9" max="9" width="8" bestFit="1" customWidth="1"/>
    <col min="10" max="10" width="10" bestFit="1" customWidth="1"/>
    <col min="11" max="11" width="10.42578125" bestFit="1" customWidth="1"/>
    <col min="13" max="13" width="5.5703125" customWidth="1"/>
    <col min="14" max="14" width="9" bestFit="1" customWidth="1"/>
    <col min="16" max="16" width="12.42578125" bestFit="1" customWidth="1"/>
    <col min="17" max="17" width="11" bestFit="1" customWidth="1"/>
    <col min="18" max="18" width="6" bestFit="1" customWidth="1"/>
    <col min="19" max="19" width="15.28515625" bestFit="1" customWidth="1"/>
    <col min="20" max="20" width="17.7109375" bestFit="1" customWidth="1"/>
  </cols>
  <sheetData>
    <row r="1" spans="1:21">
      <c r="A1" t="s">
        <v>75</v>
      </c>
      <c r="C1" s="35" t="s">
        <v>124</v>
      </c>
    </row>
    <row r="2" spans="1:21">
      <c r="C2" s="13"/>
    </row>
    <row r="3" spans="1:21">
      <c r="C3" s="13"/>
    </row>
    <row r="5" spans="1:21" ht="45">
      <c r="A5" s="56" t="s">
        <v>70</v>
      </c>
      <c r="B5" s="56" t="s">
        <v>71</v>
      </c>
      <c r="C5" s="56" t="s">
        <v>72</v>
      </c>
      <c r="D5" s="56" t="s">
        <v>76</v>
      </c>
      <c r="E5" s="56" t="s">
        <v>77</v>
      </c>
      <c r="F5" s="56" t="s">
        <v>106</v>
      </c>
      <c r="G5" s="56" t="s">
        <v>259</v>
      </c>
      <c r="H5" s="22" t="s">
        <v>131</v>
      </c>
      <c r="I5" s="22" t="s">
        <v>132</v>
      </c>
      <c r="J5" s="22" t="s">
        <v>133</v>
      </c>
      <c r="K5" s="22" t="s">
        <v>134</v>
      </c>
      <c r="L5" s="22" t="s">
        <v>105</v>
      </c>
      <c r="M5" s="22" t="s">
        <v>157</v>
      </c>
      <c r="N5" s="22" t="s">
        <v>163</v>
      </c>
      <c r="O5" s="22" t="s">
        <v>226</v>
      </c>
      <c r="P5" s="22" t="s">
        <v>141</v>
      </c>
      <c r="Q5" s="22" t="s">
        <v>239</v>
      </c>
      <c r="R5" s="18" t="s">
        <v>210</v>
      </c>
      <c r="S5" s="18" t="s">
        <v>260</v>
      </c>
      <c r="T5" s="18" t="s">
        <v>145</v>
      </c>
      <c r="U5" s="18" t="s">
        <v>183</v>
      </c>
    </row>
    <row r="6" spans="1:21">
      <c r="A6">
        <v>2687</v>
      </c>
      <c r="B6" t="s">
        <v>96</v>
      </c>
      <c r="C6" t="s">
        <v>97</v>
      </c>
      <c r="D6" t="s">
        <v>98</v>
      </c>
      <c r="E6" t="s">
        <v>99</v>
      </c>
      <c r="F6">
        <v>21.38</v>
      </c>
      <c r="G6" t="s">
        <v>109</v>
      </c>
      <c r="H6" t="s">
        <v>158</v>
      </c>
      <c r="I6" t="s">
        <v>158</v>
      </c>
      <c r="J6" s="31">
        <v>40756</v>
      </c>
      <c r="K6" t="s">
        <v>130</v>
      </c>
      <c r="L6">
        <v>32.82</v>
      </c>
      <c r="Q6" s="4" t="str">
        <f>HYPERLINK("\\hopi-fs\shares\users\dhar\Stalk mount testing\Type 6b\Cryo-ME-1234-0154 pin 2687","folder")</f>
        <v>folder</v>
      </c>
    </row>
    <row r="7" spans="1:21">
      <c r="A7">
        <v>2688</v>
      </c>
      <c r="B7">
        <v>95</v>
      </c>
      <c r="C7">
        <v>497</v>
      </c>
      <c r="D7">
        <v>3.2</v>
      </c>
      <c r="E7">
        <v>7.94</v>
      </c>
      <c r="F7">
        <v>21.2</v>
      </c>
      <c r="G7" s="13" t="s">
        <v>104</v>
      </c>
      <c r="H7" t="s">
        <v>158</v>
      </c>
      <c r="I7" t="s">
        <v>158</v>
      </c>
      <c r="J7" s="31">
        <v>40756</v>
      </c>
      <c r="K7" t="s">
        <v>130</v>
      </c>
      <c r="L7">
        <v>33.299999999999997</v>
      </c>
      <c r="M7">
        <v>0.36</v>
      </c>
      <c r="N7">
        <v>383</v>
      </c>
      <c r="Q7" s="4" t="str">
        <f>HYPERLINK("\\hopi-fs\shares\users\dhar\Stalk mount testing\Type 6b\Cryo-ME-1235-0155 pin 2688","folder")</f>
        <v>folder</v>
      </c>
      <c r="U7" t="s">
        <v>311</v>
      </c>
    </row>
    <row r="8" spans="1:21">
      <c r="A8">
        <v>2689</v>
      </c>
      <c r="B8" t="s">
        <v>100</v>
      </c>
      <c r="C8" t="s">
        <v>101</v>
      </c>
      <c r="D8" t="s">
        <v>102</v>
      </c>
      <c r="E8" t="s">
        <v>103</v>
      </c>
      <c r="F8" s="62">
        <v>21.29</v>
      </c>
      <c r="G8" s="63" t="s">
        <v>108</v>
      </c>
      <c r="H8" t="s">
        <v>158</v>
      </c>
      <c r="I8" t="s">
        <v>158</v>
      </c>
      <c r="J8" s="31">
        <v>40756</v>
      </c>
      <c r="K8" t="s">
        <v>130</v>
      </c>
      <c r="L8">
        <v>32.82</v>
      </c>
      <c r="Q8" s="4" t="str">
        <f>HYPERLINK("\\hopi-fs\shares\users\dhar\Stalk mount testing\Type 6b\Cryo-ME-1235-0156 pin 2689","folder")</f>
        <v>folder</v>
      </c>
      <c r="U8" t="s">
        <v>125</v>
      </c>
    </row>
    <row r="9" spans="1:21">
      <c r="A9">
        <v>2563</v>
      </c>
      <c r="B9">
        <v>0.16800000000000001</v>
      </c>
      <c r="C9">
        <v>0.57999999999999996</v>
      </c>
      <c r="D9">
        <v>3.1</v>
      </c>
      <c r="E9">
        <v>7.7</v>
      </c>
      <c r="F9" s="63">
        <v>21.2</v>
      </c>
      <c r="G9" s="16" t="s">
        <v>284</v>
      </c>
      <c r="H9">
        <v>17.399999999999999</v>
      </c>
      <c r="I9">
        <v>71.400000000000006</v>
      </c>
      <c r="J9" s="17">
        <v>40924</v>
      </c>
      <c r="K9" t="s">
        <v>130</v>
      </c>
      <c r="L9">
        <v>33.1</v>
      </c>
      <c r="M9">
        <v>0.97</v>
      </c>
      <c r="Q9" s="4" t="str">
        <f>HYPERLINK("\\Hopi-fs\shares\users\dhar\Stalk mount testing\Type 6b\CRYO-ME-1240-0197 2563","folder")</f>
        <v>folder</v>
      </c>
    </row>
    <row r="10" spans="1:21">
      <c r="A10">
        <v>2478</v>
      </c>
      <c r="B10">
        <v>0.109</v>
      </c>
      <c r="C10">
        <v>0.54</v>
      </c>
      <c r="D10">
        <v>3.1</v>
      </c>
      <c r="E10">
        <v>7.6</v>
      </c>
      <c r="F10" s="63">
        <v>21.2</v>
      </c>
      <c r="G10" s="21" t="s">
        <v>285</v>
      </c>
      <c r="H10">
        <v>17.399999999999999</v>
      </c>
      <c r="I10">
        <v>71.400000000000006</v>
      </c>
      <c r="J10" s="17">
        <v>40924</v>
      </c>
      <c r="K10" t="s">
        <v>130</v>
      </c>
      <c r="L10">
        <v>32.9</v>
      </c>
      <c r="M10">
        <v>0.81</v>
      </c>
      <c r="N10" t="s">
        <v>295</v>
      </c>
      <c r="Q10" s="4" t="str">
        <f>HYPERLINK("\\Hopi-fs\shares\users\dhar\Stalk mount testing\Type 6b\CRYO-ME-1238-0198 2478","folder")</f>
        <v>folder</v>
      </c>
      <c r="U10" t="s">
        <v>312</v>
      </c>
    </row>
    <row r="11" spans="1:21">
      <c r="A11">
        <v>2106</v>
      </c>
      <c r="B11">
        <v>0.13300000000000001</v>
      </c>
      <c r="C11">
        <v>0.51</v>
      </c>
      <c r="D11">
        <v>3.16</v>
      </c>
      <c r="E11">
        <v>7.9</v>
      </c>
      <c r="F11" s="63">
        <v>21.2</v>
      </c>
      <c r="G11" s="66" t="s">
        <v>307</v>
      </c>
      <c r="H11" s="63">
        <v>32.700000000000003</v>
      </c>
      <c r="I11">
        <v>70</v>
      </c>
      <c r="J11" s="17">
        <v>40938</v>
      </c>
      <c r="K11" t="s">
        <v>130</v>
      </c>
      <c r="L11">
        <v>33.1</v>
      </c>
      <c r="M11">
        <v>0.15</v>
      </c>
      <c r="N11" t="s">
        <v>313</v>
      </c>
      <c r="Q11" s="4" t="str">
        <f>HYPERLINK("\\Hopi-fs\shares\users\dhar\Stalk mount testing\Type 6b\CRYO-ME-1241-0201 2106","folder")</f>
        <v>folder</v>
      </c>
    </row>
    <row r="12" spans="1:21">
      <c r="F12" s="62"/>
      <c r="G12" s="10"/>
      <c r="J12" s="54"/>
      <c r="K12" s="54"/>
      <c r="L12" s="54"/>
      <c r="M12" s="54"/>
    </row>
    <row r="13" spans="1:21">
      <c r="G13" s="54"/>
      <c r="J13" s="54"/>
      <c r="K13" s="54"/>
      <c r="L13" s="54"/>
      <c r="M13" s="54"/>
    </row>
    <row r="14" spans="1:21">
      <c r="G14" s="54"/>
      <c r="J14" s="54"/>
      <c r="K14" s="54"/>
      <c r="L14" s="54"/>
      <c r="M14" s="54"/>
    </row>
    <row r="15" spans="1:21">
      <c r="G15" s="54"/>
      <c r="J15" s="54"/>
      <c r="K15" s="54"/>
      <c r="L15" s="54"/>
      <c r="M15" s="54"/>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6"/>
  <sheetViews>
    <sheetView workbookViewId="0">
      <selection activeCell="U6" sqref="U6"/>
    </sheetView>
  </sheetViews>
  <sheetFormatPr defaultRowHeight="15"/>
  <cols>
    <col min="7" max="7" width="19.140625" bestFit="1" customWidth="1"/>
    <col min="8" max="8" width="6" bestFit="1" customWidth="1"/>
    <col min="9" max="9" width="8" bestFit="1" customWidth="1"/>
    <col min="11" max="11" width="10.7109375" customWidth="1"/>
    <col min="12" max="12" width="5.85546875" customWidth="1"/>
    <col min="13" max="13" width="7.140625" customWidth="1"/>
    <col min="14" max="14" width="8" customWidth="1"/>
  </cols>
  <sheetData>
    <row r="1" spans="1:21">
      <c r="A1" t="s">
        <v>340</v>
      </c>
    </row>
    <row r="2" spans="1:21">
      <c r="C2" s="13"/>
    </row>
    <row r="3" spans="1:21">
      <c r="B3" s="35" t="s">
        <v>166</v>
      </c>
      <c r="C3" s="13"/>
    </row>
    <row r="5" spans="1:21" ht="60">
      <c r="A5" s="56" t="s">
        <v>70</v>
      </c>
      <c r="B5" s="56" t="s">
        <v>343</v>
      </c>
      <c r="C5" s="56" t="s">
        <v>344</v>
      </c>
      <c r="D5" s="56" t="s">
        <v>345</v>
      </c>
      <c r="E5" s="56" t="s">
        <v>346</v>
      </c>
      <c r="F5" s="56" t="s">
        <v>106</v>
      </c>
      <c r="G5" s="56" t="s">
        <v>259</v>
      </c>
      <c r="H5" s="22" t="s">
        <v>131</v>
      </c>
      <c r="I5" s="22" t="s">
        <v>132</v>
      </c>
      <c r="J5" s="22" t="s">
        <v>133</v>
      </c>
      <c r="K5" s="22" t="s">
        <v>134</v>
      </c>
      <c r="L5" s="22" t="s">
        <v>105</v>
      </c>
      <c r="M5" s="22" t="s">
        <v>157</v>
      </c>
      <c r="N5" s="22" t="s">
        <v>163</v>
      </c>
      <c r="O5" s="22" t="s">
        <v>226</v>
      </c>
      <c r="P5" s="22" t="s">
        <v>141</v>
      </c>
      <c r="Q5" s="22" t="s">
        <v>239</v>
      </c>
      <c r="R5" s="18" t="s">
        <v>210</v>
      </c>
      <c r="S5" s="18" t="s">
        <v>260</v>
      </c>
      <c r="T5" s="18" t="s">
        <v>145</v>
      </c>
      <c r="U5" s="18" t="s">
        <v>183</v>
      </c>
    </row>
    <row r="6" spans="1:21">
      <c r="A6">
        <v>2499</v>
      </c>
      <c r="B6">
        <v>0.55000000000000004</v>
      </c>
      <c r="C6">
        <v>2</v>
      </c>
      <c r="D6">
        <v>2</v>
      </c>
      <c r="E6">
        <v>7.6</v>
      </c>
      <c r="F6" s="62">
        <v>21.2</v>
      </c>
      <c r="G6" s="90" t="s">
        <v>342</v>
      </c>
      <c r="J6" t="s">
        <v>341</v>
      </c>
      <c r="K6" t="s">
        <v>130</v>
      </c>
      <c r="L6">
        <v>33.200000000000003</v>
      </c>
      <c r="M6">
        <v>0.55000000000000004</v>
      </c>
      <c r="N6" t="s">
        <v>347</v>
      </c>
      <c r="Q6" s="4" t="str">
        <f>HYPERLINK("\\hopi-fs\shares\users\dhar\Stalk mount testing\Type 6c\CRYO-ME-1236-0208 2499","folder")</f>
        <v>folder</v>
      </c>
      <c r="U6" t="s">
        <v>363</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1"/>
  <sheetViews>
    <sheetView workbookViewId="0">
      <pane ySplit="4" topLeftCell="A5" activePane="bottomLeft" state="frozen"/>
      <selection pane="bottomLeft" activeCell="H30" sqref="H30"/>
    </sheetView>
  </sheetViews>
  <sheetFormatPr defaultRowHeight="15"/>
  <cols>
    <col min="2" max="2" width="12.5703125" customWidth="1"/>
    <col min="3" max="3" width="11.140625" customWidth="1"/>
    <col min="4" max="4" width="10.28515625" customWidth="1"/>
    <col min="5" max="5" width="10.7109375" customWidth="1"/>
    <col min="6" max="6" width="20.28515625" bestFit="1" customWidth="1"/>
    <col min="7" max="7" width="6" bestFit="1" customWidth="1"/>
    <col min="8" max="8" width="8" bestFit="1" customWidth="1"/>
    <col min="9" max="9" width="10.140625" bestFit="1" customWidth="1"/>
    <col min="10" max="10" width="6.7109375" customWidth="1"/>
    <col min="11" max="11" width="6.42578125" customWidth="1"/>
    <col min="12" max="12" width="8.140625" bestFit="1" customWidth="1"/>
    <col min="15" max="15" width="8.140625" bestFit="1" customWidth="1"/>
    <col min="16" max="16" width="7.28515625" style="139" bestFit="1" customWidth="1"/>
    <col min="17" max="17" width="6" bestFit="1" customWidth="1"/>
    <col min="19" max="19" width="23.7109375" bestFit="1" customWidth="1"/>
    <col min="20" max="20" width="57" bestFit="1" customWidth="1"/>
    <col min="21" max="21" width="19.140625" customWidth="1"/>
    <col min="22" max="22" width="12" customWidth="1"/>
    <col min="23" max="23" width="19.140625" customWidth="1"/>
  </cols>
  <sheetData>
    <row r="1" spans="1:22">
      <c r="U1">
        <f>SUM(U5:U17)</f>
        <v>5</v>
      </c>
      <c r="V1" t="s">
        <v>665</v>
      </c>
    </row>
    <row r="2" spans="1:22">
      <c r="C2" s="4" t="str">
        <f>HYPERLINK("http://www.lle.rochester.edu/04_resources/04_07_PDM/pdmdocs/release/D/D-TR/D-TR-B-267/A/D-TR-B-267_REVA.PDF","D-TR-B-267")</f>
        <v>D-TR-B-267</v>
      </c>
      <c r="U2">
        <f>SUM(V5:V18)</f>
        <v>2</v>
      </c>
      <c r="V2" t="s">
        <v>664</v>
      </c>
    </row>
    <row r="3" spans="1:22" ht="45">
      <c r="B3" t="s">
        <v>503</v>
      </c>
      <c r="D3" s="57" t="s">
        <v>22</v>
      </c>
      <c r="E3" s="57" t="s">
        <v>8</v>
      </c>
      <c r="U3">
        <f>U2/U1</f>
        <v>0.4</v>
      </c>
    </row>
    <row r="4" spans="1:22" ht="75">
      <c r="A4" s="56" t="s">
        <v>18</v>
      </c>
      <c r="B4" s="56" t="s">
        <v>499</v>
      </c>
      <c r="C4" s="56" t="s">
        <v>500</v>
      </c>
      <c r="D4" s="56" t="s">
        <v>501</v>
      </c>
      <c r="E4" s="133" t="s">
        <v>502</v>
      </c>
      <c r="F4" s="56" t="s">
        <v>259</v>
      </c>
      <c r="G4" s="22" t="s">
        <v>131</v>
      </c>
      <c r="H4" s="22" t="s">
        <v>132</v>
      </c>
      <c r="I4" s="22" t="s">
        <v>133</v>
      </c>
      <c r="J4" s="22" t="s">
        <v>134</v>
      </c>
      <c r="K4" s="22" t="s">
        <v>105</v>
      </c>
      <c r="L4" s="22" t="s">
        <v>157</v>
      </c>
      <c r="M4" s="22" t="s">
        <v>163</v>
      </c>
      <c r="N4" s="22" t="s">
        <v>226</v>
      </c>
      <c r="O4" s="22" t="s">
        <v>141</v>
      </c>
      <c r="P4" s="140" t="s">
        <v>239</v>
      </c>
      <c r="Q4" s="22" t="s">
        <v>210</v>
      </c>
      <c r="R4" s="22" t="s">
        <v>146</v>
      </c>
      <c r="S4" s="22" t="s">
        <v>145</v>
      </c>
      <c r="T4" s="18" t="s">
        <v>183</v>
      </c>
      <c r="U4" s="22" t="s">
        <v>666</v>
      </c>
      <c r="V4" s="57" t="s">
        <v>667</v>
      </c>
    </row>
    <row r="5" spans="1:22">
      <c r="A5" s="136">
        <v>2071</v>
      </c>
      <c r="B5" s="136">
        <v>16.8</v>
      </c>
      <c r="C5" s="136">
        <v>1.57</v>
      </c>
      <c r="D5" s="136">
        <v>10</v>
      </c>
      <c r="E5" s="137">
        <v>21.22</v>
      </c>
      <c r="F5" s="135" t="s">
        <v>507</v>
      </c>
      <c r="G5" s="137">
        <v>52.5</v>
      </c>
      <c r="H5" s="137">
        <v>72.5</v>
      </c>
      <c r="I5" s="138">
        <v>41038</v>
      </c>
      <c r="J5" s="134" t="s">
        <v>130</v>
      </c>
      <c r="K5" s="134">
        <v>33.24</v>
      </c>
      <c r="L5" s="134">
        <v>0.55500000000000005</v>
      </c>
      <c r="M5" s="134">
        <v>304</v>
      </c>
      <c r="N5" s="134"/>
      <c r="O5" s="134"/>
      <c r="P5" s="141" t="str">
        <f>HYPERLINK("\\hopi-fs\shares\users\dhar\Stalk mount testing\Type 8\P884 - 15  2071","folder")</f>
        <v>folder</v>
      </c>
      <c r="R5" t="s">
        <v>175</v>
      </c>
      <c r="S5" t="s">
        <v>140</v>
      </c>
      <c r="T5" t="s">
        <v>511</v>
      </c>
    </row>
    <row r="6" spans="1:22">
      <c r="A6" s="136">
        <v>2072</v>
      </c>
      <c r="B6" s="136">
        <v>16.600000000000001</v>
      </c>
      <c r="C6" s="136">
        <v>1.53</v>
      </c>
      <c r="D6" s="136">
        <v>9.9499999999999993</v>
      </c>
      <c r="E6" s="137">
        <v>21.23</v>
      </c>
      <c r="F6" s="135" t="s">
        <v>510</v>
      </c>
      <c r="G6" s="137">
        <v>41</v>
      </c>
      <c r="H6" s="137">
        <v>72</v>
      </c>
      <c r="I6" s="138">
        <v>41060</v>
      </c>
      <c r="J6" s="134" t="s">
        <v>130</v>
      </c>
      <c r="K6" s="134">
        <v>33.1</v>
      </c>
      <c r="L6" s="134">
        <v>0.66800000000000004</v>
      </c>
      <c r="M6" s="134">
        <v>305</v>
      </c>
      <c r="N6" s="134"/>
      <c r="O6" s="134"/>
      <c r="P6" s="141" t="str">
        <f>HYPERLINK("\\hopi-fs\shares\users\dhar\Stalk mount testing\Type 8\P884 - 16  2072","folder")</f>
        <v>folder</v>
      </c>
      <c r="R6" t="s">
        <v>175</v>
      </c>
      <c r="S6" t="s">
        <v>140</v>
      </c>
      <c r="T6" t="s">
        <v>511</v>
      </c>
    </row>
    <row r="7" spans="1:22">
      <c r="A7" s="136">
        <v>2073</v>
      </c>
      <c r="B7" s="136">
        <v>16</v>
      </c>
      <c r="C7" s="136">
        <v>1.48</v>
      </c>
      <c r="D7" s="136">
        <v>9.9</v>
      </c>
      <c r="E7" s="137">
        <v>21.23</v>
      </c>
      <c r="F7" s="135" t="s">
        <v>508</v>
      </c>
      <c r="G7" s="137">
        <v>52.5</v>
      </c>
      <c r="H7" s="137">
        <v>72.5</v>
      </c>
      <c r="I7" s="138">
        <v>41038</v>
      </c>
      <c r="J7" s="134" t="s">
        <v>130</v>
      </c>
      <c r="K7" s="134">
        <v>33.03</v>
      </c>
      <c r="L7" s="134">
        <v>0.56899999999999995</v>
      </c>
      <c r="M7" s="134">
        <v>286</v>
      </c>
      <c r="N7" s="134"/>
      <c r="O7" s="134"/>
      <c r="P7" s="141" t="str">
        <f>HYPERLINK("\\hopi-fs\shares\users\dhar\Stalk mount testing\Type 8\P884 - 17  2073","folder")</f>
        <v>folder</v>
      </c>
      <c r="R7" t="s">
        <v>175</v>
      </c>
      <c r="S7" t="s">
        <v>140</v>
      </c>
      <c r="T7" t="s">
        <v>511</v>
      </c>
    </row>
    <row r="8" spans="1:22">
      <c r="A8" s="136">
        <v>2081</v>
      </c>
      <c r="B8" s="136">
        <v>15.6</v>
      </c>
      <c r="C8" s="136">
        <v>1.5</v>
      </c>
      <c r="D8" s="136">
        <v>9.94</v>
      </c>
      <c r="E8" s="137">
        <v>21.25</v>
      </c>
      <c r="F8" s="152" t="s">
        <v>510</v>
      </c>
      <c r="G8" s="137">
        <v>56</v>
      </c>
      <c r="H8" s="137">
        <v>71</v>
      </c>
      <c r="I8" s="17">
        <v>41072</v>
      </c>
      <c r="J8" s="134" t="s">
        <v>130</v>
      </c>
      <c r="K8" s="134">
        <v>33.119999999999997</v>
      </c>
      <c r="L8" s="134">
        <v>0.36099999999999999</v>
      </c>
      <c r="P8" s="141" t="str">
        <f>HYPERLINK("\\hopi-fs\shares\users\dhar\Stalk mount testing\Type 8\CRYO-ISE-1Q05-02-34  2081","folder")</f>
        <v>folder</v>
      </c>
      <c r="R8" t="s">
        <v>175</v>
      </c>
      <c r="S8" t="s">
        <v>140</v>
      </c>
    </row>
    <row r="9" spans="1:22">
      <c r="A9" s="136">
        <v>2082</v>
      </c>
      <c r="B9" s="136" t="s">
        <v>582</v>
      </c>
      <c r="C9" s="136">
        <v>1.53</v>
      </c>
      <c r="D9" s="136">
        <v>10.050000000000001</v>
      </c>
      <c r="E9" s="137">
        <v>21.27</v>
      </c>
      <c r="F9" s="153" t="s">
        <v>579</v>
      </c>
      <c r="G9" s="137">
        <v>53</v>
      </c>
      <c r="H9" s="137">
        <v>72</v>
      </c>
      <c r="I9" s="17">
        <v>41122</v>
      </c>
      <c r="J9" s="134" t="s">
        <v>130</v>
      </c>
      <c r="K9" s="134">
        <v>33.229999999999997</v>
      </c>
      <c r="L9" s="134">
        <v>0.91400000000000003</v>
      </c>
      <c r="M9" s="3">
        <v>270</v>
      </c>
      <c r="P9" s="141" t="str">
        <f>HYPERLINK("\\hopi-fs\shares\users\dhar\Stalk mount testing\Type 8\CRYO-ISE-1Q05-02-35  2082","folder")</f>
        <v>folder</v>
      </c>
      <c r="R9" t="s">
        <v>175</v>
      </c>
      <c r="S9" t="s">
        <v>140</v>
      </c>
      <c r="T9" t="s">
        <v>533</v>
      </c>
    </row>
    <row r="10" spans="1:22">
      <c r="A10" s="136">
        <v>2082</v>
      </c>
      <c r="B10" s="136">
        <f>AVERAGE(15.6, 16.2)</f>
        <v>15.899999999999999</v>
      </c>
      <c r="C10" s="136">
        <v>1.54</v>
      </c>
      <c r="D10" s="136">
        <v>10</v>
      </c>
      <c r="E10" s="137">
        <v>21.3</v>
      </c>
      <c r="F10" s="154" t="s">
        <v>579</v>
      </c>
      <c r="G10" s="137">
        <v>55</v>
      </c>
      <c r="H10" s="137">
        <v>71</v>
      </c>
      <c r="I10" s="17">
        <v>41123</v>
      </c>
      <c r="J10" s="134" t="s">
        <v>130</v>
      </c>
      <c r="K10" s="134">
        <v>33.299999999999997</v>
      </c>
      <c r="L10" s="134">
        <v>0.44</v>
      </c>
      <c r="M10" s="136">
        <v>265</v>
      </c>
      <c r="P10" s="141" t="str">
        <f>HYPERLINK("\\hopi-fs\shares\users\dhar\Stalk mount testing\Type 8\CRYO-ISE-1Q05-02-35  2082","folder")</f>
        <v>folder</v>
      </c>
      <c r="R10" t="s">
        <v>175</v>
      </c>
      <c r="S10" t="s">
        <v>140</v>
      </c>
    </row>
    <row r="11" spans="1:22">
      <c r="A11" s="136">
        <v>2083</v>
      </c>
      <c r="B11" s="136">
        <v>19.8</v>
      </c>
      <c r="C11" s="136">
        <v>1.51</v>
      </c>
      <c r="D11" s="136">
        <v>10.16</v>
      </c>
      <c r="E11" s="137">
        <v>21.33</v>
      </c>
      <c r="F11" s="153" t="s">
        <v>580</v>
      </c>
      <c r="G11" s="137">
        <v>56</v>
      </c>
      <c r="H11" s="137">
        <v>71</v>
      </c>
      <c r="I11" s="17">
        <v>41072</v>
      </c>
      <c r="J11" s="134" t="s">
        <v>130</v>
      </c>
      <c r="K11" s="134">
        <v>33.42</v>
      </c>
      <c r="L11" s="134">
        <v>0.85699999999999998</v>
      </c>
      <c r="M11" s="13">
        <v>370</v>
      </c>
      <c r="P11" s="141" t="str">
        <f>HYPERLINK("\\hopi-fs\shares\users\dhar\Stalk mount testing\Type 8\CRYO-ISE-1Q05-02-36  2083","folder")</f>
        <v>folder</v>
      </c>
      <c r="R11" t="s">
        <v>175</v>
      </c>
      <c r="S11" t="s">
        <v>140</v>
      </c>
      <c r="T11" t="s">
        <v>622</v>
      </c>
    </row>
    <row r="12" spans="1:22">
      <c r="A12" s="136">
        <v>2084</v>
      </c>
      <c r="B12" s="136">
        <v>17.8</v>
      </c>
      <c r="C12" s="136">
        <v>1.46</v>
      </c>
      <c r="D12" s="136">
        <v>9.86</v>
      </c>
      <c r="E12" s="137">
        <v>21.24</v>
      </c>
      <c r="F12" s="154" t="s">
        <v>581</v>
      </c>
      <c r="G12" s="137">
        <v>56</v>
      </c>
      <c r="H12" s="137">
        <v>71</v>
      </c>
      <c r="I12" s="17">
        <v>41072</v>
      </c>
      <c r="J12" s="134" t="s">
        <v>130</v>
      </c>
      <c r="K12" s="134">
        <v>32.99</v>
      </c>
      <c r="L12" s="134">
        <v>0.21</v>
      </c>
      <c r="M12" s="13">
        <v>315</v>
      </c>
      <c r="P12" s="141" t="str">
        <f>HYPERLINK("\\hopi-fs\shares\users\dhar\Stalk mount testing\Type 8\CRYO-ISE-1Q05-02-38  2084","folder")</f>
        <v>folder</v>
      </c>
      <c r="R12" t="s">
        <v>175</v>
      </c>
      <c r="S12" t="s">
        <v>140</v>
      </c>
    </row>
    <row r="13" spans="1:22">
      <c r="A13" s="136">
        <v>2085</v>
      </c>
      <c r="B13" s="136">
        <v>17.399999999999999</v>
      </c>
      <c r="C13" s="136">
        <v>1.49</v>
      </c>
      <c r="D13" s="136">
        <v>10</v>
      </c>
      <c r="E13" s="137">
        <v>21.18</v>
      </c>
      <c r="F13" s="135" t="s">
        <v>535</v>
      </c>
      <c r="G13" s="137">
        <v>54</v>
      </c>
      <c r="H13" s="137">
        <v>71</v>
      </c>
      <c r="I13" s="17">
        <v>41075</v>
      </c>
      <c r="J13" s="134" t="s">
        <v>130</v>
      </c>
      <c r="K13" s="134">
        <v>33.130000000000003</v>
      </c>
      <c r="L13" s="134">
        <v>0.47599999999999998</v>
      </c>
      <c r="M13" s="134">
        <v>429</v>
      </c>
      <c r="P13" s="141" t="str">
        <f>HYPERLINK("\\hopi-fs\shares\users\dhar\Stalk mount testing\Type 8\CRYO-2094-1998  2085","folder")</f>
        <v>folder</v>
      </c>
      <c r="R13" t="s">
        <v>175</v>
      </c>
      <c r="S13" t="s">
        <v>140</v>
      </c>
      <c r="T13" t="s">
        <v>538</v>
      </c>
      <c r="U13">
        <v>1</v>
      </c>
      <c r="V13">
        <v>1</v>
      </c>
    </row>
    <row r="14" spans="1:22">
      <c r="A14" s="212">
        <v>2086</v>
      </c>
      <c r="B14" s="136">
        <v>18.8</v>
      </c>
      <c r="C14" s="136">
        <v>1.45</v>
      </c>
      <c r="D14" s="136">
        <v>9.9600000000000009</v>
      </c>
      <c r="E14" s="137">
        <v>21.23</v>
      </c>
      <c r="F14" s="144" t="s">
        <v>534</v>
      </c>
      <c r="G14" s="137">
        <v>54</v>
      </c>
      <c r="H14" s="137">
        <v>71</v>
      </c>
      <c r="I14" s="17">
        <v>41075</v>
      </c>
      <c r="J14" s="134" t="s">
        <v>130</v>
      </c>
      <c r="K14" s="134">
        <v>33.08</v>
      </c>
      <c r="L14" s="134">
        <v>0.35799999999999998</v>
      </c>
      <c r="M14" s="134">
        <v>495</v>
      </c>
      <c r="P14" s="141" t="str">
        <f>HYPERLINK("\\hopi-fs\shares\users\dhar\Stalk mount testing\Type 8\CRYO-2093-1996  2086","folder")</f>
        <v>folder</v>
      </c>
      <c r="R14" t="s">
        <v>175</v>
      </c>
      <c r="S14" t="s">
        <v>140</v>
      </c>
      <c r="T14" t="s">
        <v>533</v>
      </c>
      <c r="U14">
        <v>1</v>
      </c>
    </row>
    <row r="15" spans="1:22">
      <c r="A15" s="136">
        <v>2087</v>
      </c>
      <c r="B15" s="136">
        <v>17.8</v>
      </c>
      <c r="C15" s="136">
        <v>1.46</v>
      </c>
      <c r="D15" s="136">
        <v>9.74</v>
      </c>
      <c r="E15" s="137">
        <v>21.1</v>
      </c>
      <c r="F15" s="135" t="s">
        <v>546</v>
      </c>
      <c r="G15" s="137">
        <v>46</v>
      </c>
      <c r="H15" s="137">
        <v>71</v>
      </c>
      <c r="I15" s="17">
        <v>41087</v>
      </c>
      <c r="J15" s="134" t="s">
        <v>130</v>
      </c>
      <c r="K15" s="134">
        <v>32.729999999999997</v>
      </c>
      <c r="L15" s="134">
        <v>0.29699999999999999</v>
      </c>
      <c r="M15" s="134">
        <v>406</v>
      </c>
      <c r="P15" s="141" t="str">
        <f>HYPERLINK("\\hopi-fs\shares\users\dhar\Stalk mount testing\Type 8\CRYO-47138-163 2087","folder")</f>
        <v>folder</v>
      </c>
      <c r="R15" t="s">
        <v>175</v>
      </c>
      <c r="S15" t="s">
        <v>140</v>
      </c>
      <c r="T15" t="s">
        <v>554</v>
      </c>
      <c r="U15">
        <v>1</v>
      </c>
      <c r="V15">
        <v>1</v>
      </c>
    </row>
    <row r="16" spans="1:22">
      <c r="A16" s="136">
        <v>2088</v>
      </c>
      <c r="B16" s="136">
        <v>17.8</v>
      </c>
      <c r="C16" s="136">
        <v>1.42</v>
      </c>
      <c r="D16" s="136">
        <v>9.9700000000000006</v>
      </c>
      <c r="E16" s="137">
        <v>21.08</v>
      </c>
      <c r="F16" s="147" t="s">
        <v>547</v>
      </c>
      <c r="G16" s="137">
        <v>46</v>
      </c>
      <c r="H16" s="137">
        <v>71</v>
      </c>
      <c r="I16" s="17">
        <v>41087</v>
      </c>
      <c r="J16" s="134" t="s">
        <v>130</v>
      </c>
      <c r="K16" s="134">
        <v>32.9</v>
      </c>
      <c r="L16" s="134">
        <v>0.627</v>
      </c>
      <c r="P16" s="141" t="str">
        <f>HYPERLINK("\\hopi-fs\shares\users\dhar\Stalk mount testing\Type 8\CRYO-47138-169 2088","folder")</f>
        <v>folder</v>
      </c>
      <c r="R16" t="s">
        <v>175</v>
      </c>
      <c r="S16" t="s">
        <v>140</v>
      </c>
      <c r="T16" t="s">
        <v>533</v>
      </c>
      <c r="U16">
        <v>1</v>
      </c>
    </row>
    <row r="17" spans="1:21">
      <c r="A17" s="136">
        <v>2088</v>
      </c>
      <c r="B17" s="136" t="s">
        <v>551</v>
      </c>
      <c r="C17" s="136">
        <v>1.52</v>
      </c>
      <c r="D17" s="136">
        <v>10</v>
      </c>
      <c r="E17" s="137">
        <v>21.26</v>
      </c>
      <c r="F17" s="157" t="s">
        <v>550</v>
      </c>
      <c r="G17" s="137">
        <v>53.6</v>
      </c>
      <c r="H17" s="137">
        <v>71.900000000000006</v>
      </c>
      <c r="I17" s="17">
        <v>41089</v>
      </c>
      <c r="J17" s="134" t="s">
        <v>130</v>
      </c>
      <c r="K17" s="134">
        <v>33.299999999999997</v>
      </c>
      <c r="L17" s="134">
        <v>0.93</v>
      </c>
      <c r="M17" s="134">
        <v>380</v>
      </c>
      <c r="P17" s="141" t="str">
        <f>HYPERLINK("\\hopi-fs\shares\users\dhar\Stalk mount testing\Type 8\CRYO-47138-165 2088","folder")</f>
        <v>folder</v>
      </c>
      <c r="R17" t="s">
        <v>175</v>
      </c>
      <c r="S17" t="s">
        <v>140</v>
      </c>
      <c r="T17" t="s">
        <v>533</v>
      </c>
      <c r="U17">
        <v>1</v>
      </c>
    </row>
    <row r="18" spans="1:21">
      <c r="A18" s="136">
        <v>2081</v>
      </c>
      <c r="B18" s="156" t="s">
        <v>585</v>
      </c>
      <c r="C18" s="136">
        <v>1.49</v>
      </c>
      <c r="D18" s="136">
        <v>9.9499999999999993</v>
      </c>
      <c r="E18" s="137">
        <v>21.26</v>
      </c>
      <c r="F18" s="21" t="s">
        <v>592</v>
      </c>
      <c r="G18" s="137">
        <v>54</v>
      </c>
      <c r="H18" s="137">
        <v>71</v>
      </c>
      <c r="I18" s="17">
        <v>41127</v>
      </c>
      <c r="J18" s="134" t="s">
        <v>130</v>
      </c>
      <c r="K18" s="134">
        <v>33.130000000000003</v>
      </c>
      <c r="L18" s="134">
        <v>0.73699999999999999</v>
      </c>
      <c r="M18" s="134">
        <v>300</v>
      </c>
      <c r="P18" s="141" t="str">
        <f>HYPERLINK("\\hopi-fs\shares\users\dhar\Stalk mount testing\Type 8\CRYO-ISE-1Q05-02-48 2081","folder")</f>
        <v>folder</v>
      </c>
      <c r="R18" s="6" t="s">
        <v>591</v>
      </c>
      <c r="S18" t="s">
        <v>140</v>
      </c>
      <c r="T18" t="s">
        <v>600</v>
      </c>
    </row>
    <row r="19" spans="1:21">
      <c r="A19" s="19">
        <v>3021</v>
      </c>
      <c r="B19" s="204" t="s">
        <v>1080</v>
      </c>
      <c r="C19" s="136">
        <v>1.49</v>
      </c>
      <c r="D19" s="136">
        <v>10</v>
      </c>
      <c r="E19" s="137">
        <v>21.2</v>
      </c>
      <c r="F19" s="271" t="s">
        <v>1082</v>
      </c>
      <c r="G19" s="63">
        <v>54</v>
      </c>
      <c r="H19" s="63">
        <v>71</v>
      </c>
      <c r="I19" s="17">
        <v>41129</v>
      </c>
      <c r="J19" t="s">
        <v>130</v>
      </c>
      <c r="K19" s="134">
        <v>33.15</v>
      </c>
      <c r="L19" t="s">
        <v>158</v>
      </c>
      <c r="M19" s="134" t="s">
        <v>1446</v>
      </c>
      <c r="P19" s="141" t="str">
        <f>HYPERLINK("\\hopi-fs\shares\users\dhar\Stalk mount testing\Type 8\test MEQ 3021","folder")</f>
        <v>folder</v>
      </c>
      <c r="R19" s="6" t="s">
        <v>591</v>
      </c>
      <c r="S19" t="s">
        <v>140</v>
      </c>
    </row>
    <row r="20" spans="1:21">
      <c r="A20" s="19">
        <v>3022</v>
      </c>
      <c r="B20" s="19" t="s">
        <v>1083</v>
      </c>
      <c r="C20" s="136">
        <v>1.52</v>
      </c>
      <c r="D20" s="136">
        <v>9.6999999999999993</v>
      </c>
      <c r="E20" s="137">
        <v>21.2</v>
      </c>
      <c r="F20" s="35" t="s">
        <v>1081</v>
      </c>
      <c r="G20" s="63">
        <v>54</v>
      </c>
      <c r="H20" s="63">
        <v>71</v>
      </c>
      <c r="I20" s="17">
        <v>41129</v>
      </c>
      <c r="J20" t="s">
        <v>130</v>
      </c>
      <c r="K20" s="134">
        <v>33.1</v>
      </c>
      <c r="L20" t="s">
        <v>158</v>
      </c>
      <c r="M20" s="134" t="s">
        <v>1447</v>
      </c>
      <c r="P20" s="141" t="str">
        <f>HYPERLINK("\\hopi-fs\shares\users\dhar\Stalk mount testing\Type 8\test MEQ 3022","folder")</f>
        <v>folder</v>
      </c>
      <c r="R20" s="6" t="s">
        <v>591</v>
      </c>
      <c r="S20" t="s">
        <v>140</v>
      </c>
    </row>
    <row r="21" spans="1:21">
      <c r="A21" s="136">
        <v>2103</v>
      </c>
      <c r="F21" s="234" t="s">
        <v>1217</v>
      </c>
      <c r="I21" s="17">
        <v>41359</v>
      </c>
      <c r="J21" s="134" t="s">
        <v>153</v>
      </c>
      <c r="M21" s="134">
        <v>747</v>
      </c>
      <c r="P21" s="141" t="str">
        <f>HYPERLINK("\\Hopi-fs\shares\users\dhar\Stalk mount testing\CDA target, 26Mar 2013 fiducial","folder")</f>
        <v>folder</v>
      </c>
      <c r="T21" t="s">
        <v>1339</v>
      </c>
    </row>
  </sheetData>
  <pageMargins left="0.7" right="0.7" top="0.75" bottom="0.75" header="0.3" footer="0.3"/>
  <pageSetup orientation="portrait" horizontalDpi="1200" verticalDpi="12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5"/>
  <sheetViews>
    <sheetView workbookViewId="0">
      <pane ySplit="5" topLeftCell="A6" activePane="bottomLeft" state="frozen"/>
      <selection pane="bottomLeft" sqref="A1:XFD5"/>
    </sheetView>
  </sheetViews>
  <sheetFormatPr defaultRowHeight="15"/>
  <cols>
    <col min="4" max="4" width="15.140625" customWidth="1"/>
    <col min="5" max="5" width="8.140625" customWidth="1"/>
    <col min="7" max="7" width="13.28515625" bestFit="1" customWidth="1"/>
    <col min="8" max="8" width="19.85546875" bestFit="1" customWidth="1"/>
    <col min="11" max="11" width="9.85546875" bestFit="1" customWidth="1"/>
    <col min="12" max="12" width="12" customWidth="1"/>
    <col min="13" max="13" width="11.140625" customWidth="1"/>
    <col min="17" max="17" width="12" customWidth="1"/>
    <col min="21" max="21" width="44.28515625" customWidth="1"/>
    <col min="22" max="22" width="34.28515625" customWidth="1"/>
    <col min="24" max="24" width="11.5703125" customWidth="1"/>
    <col min="25" max="25" width="12.28515625" customWidth="1"/>
  </cols>
  <sheetData>
    <row r="1" spans="1:25">
      <c r="A1" s="6" t="s">
        <v>444</v>
      </c>
      <c r="B1" s="6"/>
      <c r="C1" s="4" t="str">
        <f>HYPERLINK("http://www.lle.rochester.edu/04_resources/04_07_PDM/pdmdocs/release/D/D-TR/D-TR-B-229/A/D-TR-B-229_REVA.PDF","drawing")</f>
        <v>drawing</v>
      </c>
      <c r="X1">
        <f>SUM(X6:X33)</f>
        <v>17</v>
      </c>
      <c r="Y1" t="s">
        <v>665</v>
      </c>
    </row>
    <row r="2" spans="1:25">
      <c r="C2" s="35" t="s">
        <v>509</v>
      </c>
      <c r="X2">
        <f>SUM(Y6:Y330)</f>
        <v>4</v>
      </c>
      <c r="Y2" t="s">
        <v>664</v>
      </c>
    </row>
    <row r="3" spans="1:25">
      <c r="G3" s="4" t="str">
        <f>HYPERLINK("http://www.lle.rochester.edu/04_resources/04_07_PDM/pdmdocs/release/D/D-TR/D-TR-C-184/A/D-TR-C-184_REVA.PDF","D-TR-C-184")</f>
        <v>D-TR-C-184</v>
      </c>
      <c r="I3" s="4"/>
      <c r="X3">
        <f>X2/X1</f>
        <v>0.23529411764705882</v>
      </c>
    </row>
    <row r="4" spans="1:25" ht="45">
      <c r="C4" s="604" t="s">
        <v>19</v>
      </c>
      <c r="D4" s="604"/>
      <c r="E4" s="150"/>
      <c r="F4" s="57" t="s">
        <v>22</v>
      </c>
      <c r="G4" s="57" t="s">
        <v>8</v>
      </c>
    </row>
    <row r="5" spans="1:25" s="7" customFormat="1" ht="60">
      <c r="A5" s="56" t="s">
        <v>18</v>
      </c>
      <c r="B5" s="56" t="s">
        <v>574</v>
      </c>
      <c r="C5" s="56" t="s">
        <v>373</v>
      </c>
      <c r="D5" s="56" t="s">
        <v>520</v>
      </c>
      <c r="E5" s="56" t="s">
        <v>568</v>
      </c>
      <c r="F5" s="56" t="s">
        <v>445</v>
      </c>
      <c r="G5" s="106" t="s">
        <v>26</v>
      </c>
      <c r="H5" s="56" t="s">
        <v>259</v>
      </c>
      <c r="I5" s="22" t="s">
        <v>131</v>
      </c>
      <c r="J5" s="22" t="s">
        <v>132</v>
      </c>
      <c r="K5" s="22" t="s">
        <v>133</v>
      </c>
      <c r="L5" s="22" t="s">
        <v>134</v>
      </c>
      <c r="M5" s="22" t="s">
        <v>105</v>
      </c>
      <c r="N5" s="22" t="s">
        <v>157</v>
      </c>
      <c r="O5" s="22" t="s">
        <v>163</v>
      </c>
      <c r="P5" s="22" t="s">
        <v>226</v>
      </c>
      <c r="Q5" s="22" t="s">
        <v>141</v>
      </c>
      <c r="R5" s="22" t="s">
        <v>239</v>
      </c>
      <c r="S5" s="22" t="s">
        <v>210</v>
      </c>
      <c r="T5" s="22" t="s">
        <v>260</v>
      </c>
      <c r="U5" s="22" t="s">
        <v>145</v>
      </c>
      <c r="V5" s="18" t="s">
        <v>183</v>
      </c>
      <c r="X5" s="22" t="s">
        <v>666</v>
      </c>
      <c r="Y5" s="57" t="s">
        <v>667</v>
      </c>
    </row>
    <row r="6" spans="1:25">
      <c r="A6">
        <v>2052</v>
      </c>
      <c r="C6">
        <v>0.41599999999999998</v>
      </c>
      <c r="D6">
        <v>1.48</v>
      </c>
      <c r="F6">
        <v>9.8000000000000007</v>
      </c>
      <c r="G6" s="62">
        <v>21.35</v>
      </c>
      <c r="H6" s="21" t="s">
        <v>453</v>
      </c>
      <c r="K6" s="17">
        <v>41018</v>
      </c>
      <c r="L6" t="s">
        <v>130</v>
      </c>
      <c r="M6">
        <v>33.049999999999997</v>
      </c>
      <c r="N6">
        <v>0.71599999999999997</v>
      </c>
      <c r="O6">
        <v>326</v>
      </c>
      <c r="R6" s="4" t="str">
        <f>HYPERLINK("\\hopi-fs\shares\users\dhar\Stalk mount testing\Type 9\CRYO-ME-1238-0219 2052","FOLDER")</f>
        <v>FOLDER</v>
      </c>
      <c r="T6" t="s">
        <v>456</v>
      </c>
      <c r="U6" t="s">
        <v>431</v>
      </c>
      <c r="V6" t="s">
        <v>466</v>
      </c>
    </row>
    <row r="7" spans="1:25">
      <c r="A7">
        <v>2054</v>
      </c>
      <c r="C7">
        <v>0.53</v>
      </c>
      <c r="D7">
        <v>1.47</v>
      </c>
      <c r="F7">
        <v>9.8000000000000007</v>
      </c>
      <c r="G7" s="62">
        <v>21.31</v>
      </c>
      <c r="H7" s="66" t="s">
        <v>563</v>
      </c>
      <c r="K7" s="17">
        <v>41018</v>
      </c>
      <c r="L7" t="s">
        <v>130</v>
      </c>
      <c r="M7">
        <v>32.79</v>
      </c>
      <c r="N7">
        <v>0.77300000000000002</v>
      </c>
      <c r="O7">
        <v>453</v>
      </c>
      <c r="R7" s="4" t="str">
        <f>HYPERLINK("\\hopi-fs\shares\users\dhar\Stalk mount testing\Type 9\CRYO-ME-1238-0220 2054","FOLDER")</f>
        <v>FOLDER</v>
      </c>
      <c r="T7" t="s">
        <v>456</v>
      </c>
      <c r="U7" t="s">
        <v>431</v>
      </c>
      <c r="V7" t="s">
        <v>515</v>
      </c>
    </row>
    <row r="8" spans="1:25">
      <c r="A8">
        <v>2053</v>
      </c>
      <c r="C8">
        <v>0.32</v>
      </c>
      <c r="D8">
        <v>1.45</v>
      </c>
      <c r="F8" s="3">
        <v>9.59</v>
      </c>
      <c r="G8" s="62">
        <v>21</v>
      </c>
      <c r="H8" s="62" t="s">
        <v>454</v>
      </c>
      <c r="I8" s="62">
        <v>27</v>
      </c>
      <c r="J8">
        <v>73</v>
      </c>
      <c r="K8" s="17">
        <v>41022</v>
      </c>
      <c r="L8" t="s">
        <v>130</v>
      </c>
      <c r="M8">
        <v>32.47</v>
      </c>
      <c r="N8">
        <v>0.434</v>
      </c>
      <c r="R8" s="4" t="str">
        <f>HYPERLINK("\\hopi-fs\shares\users\dhar\Stalk mount testing\Type 9\CRYO-ISE-1Q05-02-11 2053","FOLDER")</f>
        <v>FOLDER</v>
      </c>
      <c r="T8" t="s">
        <v>456</v>
      </c>
      <c r="U8" t="s">
        <v>431</v>
      </c>
    </row>
    <row r="9" spans="1:25">
      <c r="A9">
        <v>2055</v>
      </c>
      <c r="C9">
        <v>0.437</v>
      </c>
      <c r="D9">
        <v>1.49</v>
      </c>
      <c r="F9">
        <v>9.8000000000000007</v>
      </c>
      <c r="G9" s="62">
        <v>21.09</v>
      </c>
      <c r="H9" s="63" t="s">
        <v>455</v>
      </c>
      <c r="I9" s="62">
        <v>27</v>
      </c>
      <c r="J9">
        <v>73</v>
      </c>
      <c r="K9" s="17">
        <v>41022</v>
      </c>
      <c r="L9" t="s">
        <v>130</v>
      </c>
      <c r="M9">
        <v>32.82</v>
      </c>
      <c r="N9">
        <v>0.316</v>
      </c>
      <c r="O9">
        <v>405</v>
      </c>
      <c r="R9" s="4" t="str">
        <f>HYPERLINK("\\hopi-fs\shares\users\dhar\Stalk mount testing\Type 9\CRYO-ISE-1Q05-02-12 2055","FOLDER")</f>
        <v>FOLDER</v>
      </c>
      <c r="T9" t="s">
        <v>456</v>
      </c>
      <c r="U9" t="s">
        <v>431</v>
      </c>
      <c r="V9" t="s">
        <v>511</v>
      </c>
    </row>
    <row r="10" spans="1:25">
      <c r="A10">
        <v>2620</v>
      </c>
      <c r="C10">
        <v>0.46400000000000002</v>
      </c>
      <c r="D10">
        <v>1.5</v>
      </c>
      <c r="F10">
        <v>9.9600000000000009</v>
      </c>
      <c r="G10" s="62">
        <v>21.26</v>
      </c>
      <c r="H10" s="21" t="s">
        <v>517</v>
      </c>
      <c r="I10" s="62">
        <v>56</v>
      </c>
      <c r="J10">
        <v>71</v>
      </c>
      <c r="K10" s="17">
        <v>41072</v>
      </c>
      <c r="L10" t="s">
        <v>130</v>
      </c>
      <c r="M10">
        <v>33.200000000000003</v>
      </c>
      <c r="N10">
        <v>0.46100000000000002</v>
      </c>
      <c r="O10">
        <v>373</v>
      </c>
      <c r="R10" s="4" t="str">
        <f>HYPERLINK("\\hopi-fs\shares\users\dhar\Stalk mount testing\Type 9\P884 - 24  2620","folder")</f>
        <v>folder</v>
      </c>
      <c r="T10" t="s">
        <v>456</v>
      </c>
      <c r="U10" t="s">
        <v>522</v>
      </c>
      <c r="V10" t="s">
        <v>597</v>
      </c>
    </row>
    <row r="11" spans="1:25">
      <c r="A11">
        <v>2643</v>
      </c>
      <c r="C11">
        <v>0.435</v>
      </c>
      <c r="D11">
        <v>1.5</v>
      </c>
      <c r="F11">
        <v>9.94</v>
      </c>
      <c r="G11" s="62">
        <v>21.25</v>
      </c>
      <c r="H11" s="21" t="s">
        <v>518</v>
      </c>
      <c r="I11" s="62">
        <v>56</v>
      </c>
      <c r="J11">
        <v>71</v>
      </c>
      <c r="K11" s="17">
        <v>41072</v>
      </c>
      <c r="L11" t="s">
        <v>130</v>
      </c>
      <c r="M11">
        <v>33.119999999999997</v>
      </c>
      <c r="N11">
        <v>0.61199999999999999</v>
      </c>
      <c r="O11" t="s">
        <v>521</v>
      </c>
      <c r="R11" s="4" t="str">
        <f>HYPERLINK("\\hopi-fs\shares\users\dhar\Stalk mount testing\Type 9\P884 - 25  2643","folder")</f>
        <v>folder</v>
      </c>
      <c r="T11" t="s">
        <v>456</v>
      </c>
      <c r="U11" t="s">
        <v>522</v>
      </c>
      <c r="V11" t="s">
        <v>597</v>
      </c>
    </row>
    <row r="12" spans="1:25">
      <c r="A12">
        <v>2080</v>
      </c>
      <c r="C12" s="142">
        <v>0.36899999999999999</v>
      </c>
      <c r="D12" s="26">
        <v>1.44</v>
      </c>
      <c r="E12" s="13"/>
      <c r="F12">
        <v>9.8800000000000008</v>
      </c>
      <c r="G12" s="62">
        <v>21.25</v>
      </c>
      <c r="H12" s="21" t="s">
        <v>519</v>
      </c>
      <c r="I12" s="62">
        <v>56</v>
      </c>
      <c r="J12">
        <v>71</v>
      </c>
      <c r="K12" s="17">
        <v>41072</v>
      </c>
      <c r="L12" t="s">
        <v>130</v>
      </c>
      <c r="M12">
        <v>33</v>
      </c>
      <c r="N12">
        <v>0.33100000000000002</v>
      </c>
      <c r="R12" s="4" t="str">
        <f>HYPERLINK("\\hopi-fs\shares\users\dhar\Stalk mount testing\Type 9\P884 - 26  2080","folder")</f>
        <v>folder</v>
      </c>
      <c r="T12" t="s">
        <v>456</v>
      </c>
    </row>
    <row r="13" spans="1:25">
      <c r="A13">
        <v>2539</v>
      </c>
      <c r="C13">
        <v>0.49399999999999999</v>
      </c>
      <c r="D13">
        <v>1.51</v>
      </c>
      <c r="F13">
        <v>9.9</v>
      </c>
      <c r="G13" s="62">
        <v>21.18</v>
      </c>
      <c r="H13" s="510" t="s">
        <v>516</v>
      </c>
      <c r="I13" s="62">
        <v>56</v>
      </c>
      <c r="J13">
        <v>71</v>
      </c>
      <c r="K13" s="17">
        <v>41072</v>
      </c>
      <c r="L13" t="s">
        <v>130</v>
      </c>
      <c r="M13">
        <v>33.01</v>
      </c>
      <c r="N13">
        <v>0.435</v>
      </c>
      <c r="O13">
        <v>400</v>
      </c>
      <c r="R13" s="4" t="str">
        <f>HYPERLINK("\\hopi-fs\shares\users\dhar\Stalk mount testing\Type 9\P884 - 27  2539","folder")</f>
        <v>folder</v>
      </c>
      <c r="T13" t="s">
        <v>456</v>
      </c>
      <c r="U13" t="s">
        <v>3869</v>
      </c>
      <c r="V13" t="s">
        <v>1075</v>
      </c>
    </row>
    <row r="14" spans="1:25">
      <c r="A14">
        <v>3015</v>
      </c>
      <c r="C14">
        <v>0.35499999999999998</v>
      </c>
      <c r="D14">
        <v>1.47</v>
      </c>
      <c r="E14" s="3">
        <v>1.1100000000000001</v>
      </c>
      <c r="F14">
        <v>9.93</v>
      </c>
      <c r="G14" s="63">
        <v>21.25</v>
      </c>
      <c r="H14" s="403" t="s">
        <v>560</v>
      </c>
      <c r="I14" s="63">
        <v>61</v>
      </c>
      <c r="J14" s="63">
        <v>69</v>
      </c>
      <c r="K14" s="17">
        <v>41109</v>
      </c>
      <c r="L14" t="s">
        <v>130</v>
      </c>
      <c r="M14">
        <v>33.090000000000003</v>
      </c>
      <c r="N14">
        <v>0.221</v>
      </c>
      <c r="R14" s="4" t="str">
        <f>HYPERLINK("\\Hopi-fs\shares\users\dhar\Stalk mount testing\Type 9\CRYO-2093-1976  3015","folder")</f>
        <v>folder</v>
      </c>
      <c r="T14" t="s">
        <v>456</v>
      </c>
      <c r="U14" t="s">
        <v>578</v>
      </c>
      <c r="X14">
        <v>1</v>
      </c>
    </row>
    <row r="15" spans="1:25">
      <c r="A15" s="13">
        <v>3016</v>
      </c>
      <c r="C15">
        <v>0.47199999999999998</v>
      </c>
      <c r="D15">
        <v>1.49</v>
      </c>
      <c r="E15">
        <v>1.03</v>
      </c>
      <c r="F15">
        <v>9.9</v>
      </c>
      <c r="G15" s="63">
        <v>21.15</v>
      </c>
      <c r="H15" s="13" t="s">
        <v>561</v>
      </c>
      <c r="I15" s="63">
        <v>61</v>
      </c>
      <c r="J15" s="63">
        <v>69</v>
      </c>
      <c r="K15" s="17">
        <v>41109</v>
      </c>
      <c r="L15" t="s">
        <v>130</v>
      </c>
      <c r="M15">
        <v>32.97</v>
      </c>
      <c r="N15">
        <v>7.9000000000000001E-2</v>
      </c>
      <c r="O15">
        <v>514</v>
      </c>
      <c r="P15" t="s">
        <v>2557</v>
      </c>
      <c r="R15" s="4" t="str">
        <f>HYPERLINK("\\Hopi-fs\shares\users\dhar\Stalk mount testing\Type 9\CRYO-2093-1977  3016","folder")</f>
        <v>folder</v>
      </c>
      <c r="T15" t="s">
        <v>456</v>
      </c>
      <c r="U15" t="s">
        <v>578</v>
      </c>
      <c r="X15">
        <v>1</v>
      </c>
    </row>
    <row r="16" spans="1:25">
      <c r="A16">
        <v>3017</v>
      </c>
      <c r="C16">
        <v>0.59599999999999997</v>
      </c>
      <c r="D16">
        <v>1.51</v>
      </c>
      <c r="F16" s="3">
        <v>10.99</v>
      </c>
      <c r="G16" s="63">
        <v>21.04</v>
      </c>
      <c r="H16" s="509" t="s">
        <v>562</v>
      </c>
      <c r="I16" s="63">
        <v>61</v>
      </c>
      <c r="J16" s="63">
        <v>69</v>
      </c>
      <c r="K16" s="17">
        <v>41109</v>
      </c>
      <c r="L16" t="s">
        <v>130</v>
      </c>
      <c r="M16">
        <v>33.979999999999997</v>
      </c>
      <c r="N16">
        <v>0.67400000000000004</v>
      </c>
      <c r="Q16" t="s">
        <v>566</v>
      </c>
      <c r="R16" s="4" t="str">
        <f>HYPERLINK("\\Hopi-fs\shares\users\dhar\Stalk mount testing\Type 9\CRYO-2094-1978  3017","folder")</f>
        <v>folder</v>
      </c>
      <c r="T16" t="s">
        <v>456</v>
      </c>
      <c r="U16" t="s">
        <v>3868</v>
      </c>
      <c r="X16">
        <v>1</v>
      </c>
    </row>
    <row r="17" spans="1:25">
      <c r="A17">
        <v>2054</v>
      </c>
      <c r="C17">
        <v>0.47199999999999998</v>
      </c>
      <c r="D17">
        <v>1.48</v>
      </c>
      <c r="F17" s="3">
        <v>9.4499999999999993</v>
      </c>
      <c r="G17" s="63">
        <v>21.06</v>
      </c>
      <c r="H17" s="314" t="s">
        <v>564</v>
      </c>
      <c r="I17" s="63">
        <v>61</v>
      </c>
      <c r="J17" s="63">
        <v>69</v>
      </c>
      <c r="K17" s="17">
        <v>41109</v>
      </c>
      <c r="L17" t="s">
        <v>130</v>
      </c>
      <c r="M17">
        <v>32.42</v>
      </c>
      <c r="N17">
        <v>0.34799999999999998</v>
      </c>
      <c r="Q17" t="s">
        <v>565</v>
      </c>
      <c r="R17" s="4" t="str">
        <f>HYPERLINK("\\Hopi-fs\shares\users\dhar\Stalk mount testing\Type 9\CRYO-2093-1980  2054","folder")</f>
        <v>folder</v>
      </c>
      <c r="T17" t="s">
        <v>456</v>
      </c>
      <c r="U17" t="s">
        <v>3868</v>
      </c>
      <c r="X17">
        <v>1</v>
      </c>
    </row>
    <row r="18" spans="1:25">
      <c r="A18">
        <v>2679</v>
      </c>
      <c r="B18">
        <f>AVERAGE(13,14.4)</f>
        <v>13.7</v>
      </c>
      <c r="D18">
        <v>1.52</v>
      </c>
      <c r="E18">
        <v>1</v>
      </c>
      <c r="F18">
        <v>9.9</v>
      </c>
      <c r="G18" s="63">
        <v>21.2</v>
      </c>
      <c r="H18" s="26" t="s">
        <v>571</v>
      </c>
      <c r="I18" s="63">
        <v>61</v>
      </c>
      <c r="J18" s="63">
        <v>69</v>
      </c>
      <c r="K18" s="17">
        <v>41116</v>
      </c>
      <c r="L18" t="s">
        <v>130</v>
      </c>
      <c r="M18">
        <v>33.1</v>
      </c>
      <c r="N18">
        <v>0.55000000000000004</v>
      </c>
      <c r="Q18" t="s">
        <v>573</v>
      </c>
      <c r="R18" s="4" t="str">
        <f>HYPERLINK("\\hopi-fs\shares\users\dhar\Stalk mount testing\Type 9\CRYO-2095-1983 2679","folder")</f>
        <v>folder</v>
      </c>
      <c r="T18" t="s">
        <v>456</v>
      </c>
      <c r="U18" t="s">
        <v>578</v>
      </c>
      <c r="X18">
        <v>1</v>
      </c>
    </row>
    <row r="19" spans="1:25">
      <c r="A19">
        <v>2679</v>
      </c>
      <c r="D19">
        <v>1.52</v>
      </c>
      <c r="E19">
        <v>1.03</v>
      </c>
      <c r="F19">
        <v>9.9499999999999993</v>
      </c>
      <c r="G19" s="63">
        <v>21.3</v>
      </c>
      <c r="H19" s="26" t="s">
        <v>575</v>
      </c>
      <c r="I19" s="63">
        <v>53.6</v>
      </c>
      <c r="J19" s="63">
        <v>72.599999999999994</v>
      </c>
      <c r="K19" s="17">
        <v>41116</v>
      </c>
      <c r="L19" t="s">
        <v>130</v>
      </c>
      <c r="M19">
        <v>33.200000000000003</v>
      </c>
      <c r="N19">
        <v>0.109</v>
      </c>
      <c r="R19" s="4"/>
      <c r="T19" t="s">
        <v>456</v>
      </c>
      <c r="U19" t="s">
        <v>578</v>
      </c>
      <c r="X19">
        <v>1</v>
      </c>
    </row>
    <row r="20" spans="1:25">
      <c r="A20">
        <v>2679</v>
      </c>
      <c r="B20">
        <v>13</v>
      </c>
      <c r="D20">
        <v>1.52</v>
      </c>
      <c r="E20">
        <v>1.03</v>
      </c>
      <c r="F20">
        <v>9.9499999999999993</v>
      </c>
      <c r="G20" s="63">
        <v>21.3</v>
      </c>
      <c r="H20" s="13" t="s">
        <v>576</v>
      </c>
      <c r="I20" s="63">
        <v>53</v>
      </c>
      <c r="J20" s="63">
        <v>72.7</v>
      </c>
      <c r="K20" s="17">
        <v>41116</v>
      </c>
      <c r="L20" t="s">
        <v>130</v>
      </c>
      <c r="M20">
        <v>33.200000000000003</v>
      </c>
      <c r="N20">
        <v>0.753</v>
      </c>
      <c r="O20" t="s">
        <v>577</v>
      </c>
      <c r="R20" s="4" t="str">
        <f>HYPERLINK("\\hopi-fs\shares\users\dhar\Stalk mount testing\Type 9\CRYO-2092-1987  1930","folder")</f>
        <v>folder</v>
      </c>
      <c r="T20" t="s">
        <v>456</v>
      </c>
      <c r="U20" t="s">
        <v>578</v>
      </c>
      <c r="V20" t="s">
        <v>584</v>
      </c>
      <c r="X20">
        <v>1</v>
      </c>
      <c r="Y20">
        <v>1</v>
      </c>
    </row>
    <row r="21" spans="1:25">
      <c r="A21">
        <v>1930</v>
      </c>
      <c r="C21">
        <v>0.5</v>
      </c>
      <c r="D21">
        <v>1.49</v>
      </c>
      <c r="E21">
        <v>1</v>
      </c>
      <c r="F21">
        <v>9.9600000000000009</v>
      </c>
      <c r="G21" s="63">
        <v>21.19</v>
      </c>
      <c r="H21" s="13" t="s">
        <v>572</v>
      </c>
      <c r="I21" s="63">
        <v>55</v>
      </c>
      <c r="J21" s="63">
        <v>72</v>
      </c>
      <c r="K21" s="17">
        <v>41116</v>
      </c>
      <c r="L21" t="s">
        <v>130</v>
      </c>
      <c r="M21">
        <v>33.08</v>
      </c>
      <c r="N21">
        <v>0.61799999999999999</v>
      </c>
      <c r="O21">
        <v>496</v>
      </c>
      <c r="R21" s="4" t="str">
        <f>HYPERLINK("\\hopi-fs\shares\users\dhar\Stalk mount testing\Type 9\CRYO-2092-1987  1930","folder")</f>
        <v>folder</v>
      </c>
      <c r="T21" t="s">
        <v>456</v>
      </c>
      <c r="U21" t="s">
        <v>578</v>
      </c>
      <c r="V21" t="s">
        <v>584</v>
      </c>
      <c r="X21">
        <v>1</v>
      </c>
      <c r="Y21">
        <v>1</v>
      </c>
    </row>
    <row r="22" spans="1:25">
      <c r="A22">
        <v>3018</v>
      </c>
      <c r="B22" s="155" t="s">
        <v>586</v>
      </c>
      <c r="C22">
        <v>0.47</v>
      </c>
      <c r="D22">
        <v>1.49</v>
      </c>
      <c r="E22">
        <v>1.03</v>
      </c>
      <c r="F22">
        <v>9.93</v>
      </c>
      <c r="G22" s="63">
        <v>21.23</v>
      </c>
      <c r="H22" s="69" t="s">
        <v>590</v>
      </c>
      <c r="I22" s="63">
        <v>54</v>
      </c>
      <c r="J22" s="63">
        <v>71</v>
      </c>
      <c r="K22" s="17">
        <v>41129</v>
      </c>
      <c r="L22" t="s">
        <v>130</v>
      </c>
      <c r="M22">
        <v>33.08</v>
      </c>
      <c r="N22">
        <v>0.59399999999999997</v>
      </c>
      <c r="O22">
        <v>404</v>
      </c>
      <c r="R22" s="4" t="str">
        <f>HYPERLINK("\\hopi-fs\shares\users\dhar\Stalk mount testing\Type 9\CRYO-ME-1239-0221 3018","folder")</f>
        <v>folder</v>
      </c>
      <c r="U22" t="s">
        <v>578</v>
      </c>
      <c r="V22" t="s">
        <v>600</v>
      </c>
    </row>
    <row r="23" spans="1:25">
      <c r="A23" s="13">
        <v>3019</v>
      </c>
      <c r="B23" s="155" t="s">
        <v>587</v>
      </c>
      <c r="C23">
        <v>0.5</v>
      </c>
      <c r="D23">
        <v>1.51</v>
      </c>
      <c r="E23">
        <v>1.01</v>
      </c>
      <c r="F23">
        <v>9.89</v>
      </c>
      <c r="G23" s="63">
        <v>21.25</v>
      </c>
      <c r="H23" s="69" t="s">
        <v>593</v>
      </c>
      <c r="I23" s="63">
        <v>54</v>
      </c>
      <c r="J23" s="63">
        <v>71</v>
      </c>
      <c r="K23" s="17">
        <v>41129</v>
      </c>
      <c r="L23" t="s">
        <v>130</v>
      </c>
      <c r="M23">
        <v>33.08</v>
      </c>
      <c r="N23">
        <v>0.376</v>
      </c>
      <c r="O23" t="s">
        <v>595</v>
      </c>
      <c r="R23" s="4" t="str">
        <f>HYPERLINK("\\hopi-fs\shares\users\dhar\Stalk mount testing\Type 9\CRYO-ME-1239-0222 3019","folder")</f>
        <v>folder</v>
      </c>
      <c r="U23" t="s">
        <v>578</v>
      </c>
      <c r="V23" t="s">
        <v>1084</v>
      </c>
    </row>
    <row r="24" spans="1:25">
      <c r="A24" s="13">
        <v>3020</v>
      </c>
      <c r="B24" s="155" t="s">
        <v>588</v>
      </c>
      <c r="C24">
        <v>0.47499999999999998</v>
      </c>
      <c r="D24">
        <v>1.51</v>
      </c>
      <c r="E24">
        <v>1.02</v>
      </c>
      <c r="F24">
        <v>9.84</v>
      </c>
      <c r="G24" s="63">
        <v>21.25</v>
      </c>
      <c r="H24" s="69" t="s">
        <v>594</v>
      </c>
      <c r="I24" s="63">
        <v>54</v>
      </c>
      <c r="J24" s="63">
        <v>71</v>
      </c>
      <c r="K24" s="17">
        <v>41129</v>
      </c>
      <c r="L24" t="s">
        <v>130</v>
      </c>
      <c r="M24">
        <v>32.590000000000003</v>
      </c>
      <c r="N24">
        <v>0.30199999999999999</v>
      </c>
      <c r="O24" t="s">
        <v>596</v>
      </c>
      <c r="R24" s="4" t="str">
        <f>HYPERLINK("\\hopi-fs\shares\users\dhar\Stalk mount testing\Type 9\CRYO-ME-1240-0223 3020","folder")</f>
        <v>folder</v>
      </c>
      <c r="U24" t="s">
        <v>578</v>
      </c>
      <c r="V24" t="s">
        <v>1086</v>
      </c>
    </row>
    <row r="25" spans="1:25">
      <c r="A25">
        <v>2589</v>
      </c>
      <c r="B25" s="158" t="s">
        <v>585</v>
      </c>
      <c r="C25">
        <v>0.46</v>
      </c>
      <c r="D25">
        <v>1.5</v>
      </c>
      <c r="E25">
        <v>1.04</v>
      </c>
      <c r="F25">
        <v>9.9499999999999993</v>
      </c>
      <c r="G25" s="165">
        <v>18.899999999999999</v>
      </c>
      <c r="H25" s="164" t="s">
        <v>603</v>
      </c>
      <c r="I25" s="63">
        <v>62</v>
      </c>
      <c r="J25" s="63">
        <v>68</v>
      </c>
      <c r="K25" s="17">
        <v>41145</v>
      </c>
      <c r="L25" t="s">
        <v>130</v>
      </c>
      <c r="M25">
        <v>30.75</v>
      </c>
      <c r="N25">
        <v>0.34699999999999998</v>
      </c>
      <c r="R25" s="4"/>
      <c r="U25" t="s">
        <v>578</v>
      </c>
      <c r="X25">
        <v>1</v>
      </c>
    </row>
    <row r="26" spans="1:25">
      <c r="A26">
        <v>2271</v>
      </c>
      <c r="B26" s="158" t="s">
        <v>605</v>
      </c>
      <c r="C26">
        <v>0.55200000000000005</v>
      </c>
      <c r="D26">
        <v>1.58</v>
      </c>
      <c r="E26">
        <v>1.02</v>
      </c>
      <c r="F26">
        <v>9.98</v>
      </c>
      <c r="G26" s="165">
        <v>18.45</v>
      </c>
      <c r="H26" s="146" t="s">
        <v>604</v>
      </c>
      <c r="I26" s="63">
        <v>62</v>
      </c>
      <c r="J26" s="63">
        <v>68</v>
      </c>
      <c r="K26" s="17">
        <v>41145</v>
      </c>
      <c r="L26" t="s">
        <v>130</v>
      </c>
      <c r="M26">
        <v>30.46</v>
      </c>
      <c r="N26">
        <v>0.19</v>
      </c>
      <c r="U26" t="s">
        <v>578</v>
      </c>
      <c r="X26">
        <v>1</v>
      </c>
    </row>
    <row r="27" spans="1:25">
      <c r="A27">
        <v>2286</v>
      </c>
      <c r="B27" s="158" t="s">
        <v>606</v>
      </c>
      <c r="C27">
        <v>0.57999999999999996</v>
      </c>
      <c r="D27">
        <v>1.57</v>
      </c>
      <c r="F27">
        <v>9.9</v>
      </c>
      <c r="G27" s="165">
        <v>19.18</v>
      </c>
      <c r="H27" s="146" t="s">
        <v>611</v>
      </c>
      <c r="I27" s="63">
        <v>62</v>
      </c>
      <c r="J27" s="63">
        <v>68</v>
      </c>
      <c r="K27" s="17">
        <v>41145</v>
      </c>
      <c r="L27" t="s">
        <v>130</v>
      </c>
      <c r="M27">
        <v>31.1</v>
      </c>
      <c r="N27">
        <v>0.50800000000000001</v>
      </c>
      <c r="U27" t="s">
        <v>578</v>
      </c>
      <c r="X27">
        <v>1</v>
      </c>
    </row>
    <row r="28" spans="1:25">
      <c r="A28">
        <v>3029</v>
      </c>
      <c r="C28">
        <v>0.55000000000000004</v>
      </c>
      <c r="D28">
        <v>1.6</v>
      </c>
      <c r="E28">
        <v>1.02</v>
      </c>
      <c r="F28">
        <v>9.77</v>
      </c>
      <c r="G28" s="168">
        <v>21.2</v>
      </c>
      <c r="H28" s="146" t="s">
        <v>612</v>
      </c>
      <c r="I28" s="63">
        <v>55</v>
      </c>
      <c r="J28" s="63">
        <v>71</v>
      </c>
      <c r="K28" s="17">
        <v>41148</v>
      </c>
      <c r="L28" t="s">
        <v>130</v>
      </c>
      <c r="M28">
        <v>33.1</v>
      </c>
      <c r="N28">
        <v>0.47</v>
      </c>
      <c r="R28" s="4" t="str">
        <f>HYPERLINK("\\Hopi-fs\shares\users\dhar\Stalk mount testing\Type 9\CRYO-2101-2060 3029","folder")</f>
        <v>folder</v>
      </c>
      <c r="U28" t="s">
        <v>578</v>
      </c>
      <c r="X28">
        <v>1</v>
      </c>
    </row>
    <row r="29" spans="1:25">
      <c r="A29">
        <v>3029</v>
      </c>
      <c r="G29" s="168"/>
      <c r="H29" s="146" t="s">
        <v>615</v>
      </c>
      <c r="I29" s="63">
        <v>55</v>
      </c>
      <c r="J29" s="63">
        <v>71.5</v>
      </c>
      <c r="K29" s="17">
        <v>41149</v>
      </c>
      <c r="L29" t="s">
        <v>130</v>
      </c>
      <c r="R29" s="4" t="str">
        <f>HYPERLINK("\\Hopi-fs\shares\users\dhar\Stalk mount testing\Type 9\CRYO-2100-2065 3029","folder")</f>
        <v>folder</v>
      </c>
      <c r="U29" t="s">
        <v>578</v>
      </c>
      <c r="X29">
        <v>1</v>
      </c>
    </row>
    <row r="30" spans="1:25">
      <c r="A30">
        <v>3029</v>
      </c>
      <c r="C30">
        <v>0.51</v>
      </c>
      <c r="D30">
        <v>1.48</v>
      </c>
      <c r="E30">
        <v>0.96</v>
      </c>
      <c r="F30">
        <v>9.8000000000000007</v>
      </c>
      <c r="G30" s="168">
        <v>21.2</v>
      </c>
      <c r="H30" s="170" t="s">
        <v>617</v>
      </c>
      <c r="I30" s="63">
        <v>53.6</v>
      </c>
      <c r="J30" s="63">
        <v>72</v>
      </c>
      <c r="K30" s="17">
        <v>41149</v>
      </c>
      <c r="L30" t="s">
        <v>130</v>
      </c>
      <c r="M30">
        <v>33</v>
      </c>
      <c r="N30">
        <v>0.14899999999999999</v>
      </c>
      <c r="O30">
        <v>486</v>
      </c>
      <c r="R30" s="4" t="str">
        <f>HYPERLINK("\\Hopi-fs\shares\users\dhar\Stalk mount testing\Type 9\CRYO-2100-2068 3029","folder")</f>
        <v>folder</v>
      </c>
      <c r="U30" t="s">
        <v>578</v>
      </c>
      <c r="V30" t="s">
        <v>621</v>
      </c>
      <c r="X30">
        <v>1</v>
      </c>
      <c r="Y30">
        <v>1</v>
      </c>
    </row>
    <row r="31" spans="1:25">
      <c r="A31">
        <v>3030</v>
      </c>
      <c r="C31">
        <v>0.47</v>
      </c>
      <c r="D31">
        <v>1.5</v>
      </c>
      <c r="E31">
        <v>1.03</v>
      </c>
      <c r="F31">
        <v>10</v>
      </c>
      <c r="G31" s="168">
        <v>21.3</v>
      </c>
      <c r="H31" t="s">
        <v>613</v>
      </c>
      <c r="I31" s="63">
        <v>55</v>
      </c>
      <c r="J31" s="63">
        <v>71</v>
      </c>
      <c r="K31" s="17">
        <v>41148</v>
      </c>
      <c r="L31" t="s">
        <v>130</v>
      </c>
      <c r="M31">
        <v>33.200000000000003</v>
      </c>
      <c r="N31">
        <v>0.48</v>
      </c>
      <c r="R31" s="4" t="str">
        <f>HYPERLINK("\\Hopi-fs\shares\users\dhar\Stalk mount testing\Type 9\CRYO-2101-2070 3030","folder")</f>
        <v>folder</v>
      </c>
      <c r="U31" t="s">
        <v>578</v>
      </c>
      <c r="X31">
        <v>1</v>
      </c>
    </row>
    <row r="32" spans="1:25">
      <c r="A32">
        <v>3030</v>
      </c>
      <c r="C32">
        <v>0.46</v>
      </c>
      <c r="D32">
        <v>1.5</v>
      </c>
      <c r="E32">
        <v>1.03</v>
      </c>
      <c r="F32">
        <v>10</v>
      </c>
      <c r="G32" s="168">
        <v>21.3</v>
      </c>
      <c r="H32" s="13" t="s">
        <v>619</v>
      </c>
      <c r="I32" s="63">
        <v>53.6</v>
      </c>
      <c r="J32" s="63">
        <v>72</v>
      </c>
      <c r="K32" s="17">
        <v>41149</v>
      </c>
      <c r="L32" t="s">
        <v>130</v>
      </c>
      <c r="M32">
        <v>33.200000000000003</v>
      </c>
      <c r="N32">
        <v>0.56999999999999995</v>
      </c>
      <c r="O32">
        <v>564</v>
      </c>
      <c r="R32" s="4" t="str">
        <f>HYPERLINK("\\Hopi-fs\shares\users\dhar\Stalk mount testing\Type 9\CRYO-2101-2074 3030","folder")</f>
        <v>folder</v>
      </c>
      <c r="U32" t="s">
        <v>578</v>
      </c>
      <c r="V32" t="s">
        <v>621</v>
      </c>
      <c r="X32">
        <v>1</v>
      </c>
      <c r="Y32">
        <v>1</v>
      </c>
    </row>
    <row r="33" spans="1:24">
      <c r="A33" s="13">
        <v>3031</v>
      </c>
      <c r="C33">
        <v>0.48499999999999999</v>
      </c>
      <c r="D33">
        <v>1.51</v>
      </c>
      <c r="E33">
        <v>1.02</v>
      </c>
      <c r="F33">
        <v>9.9499999999999993</v>
      </c>
      <c r="G33" s="168">
        <v>21.2</v>
      </c>
      <c r="H33" s="13" t="s">
        <v>614</v>
      </c>
      <c r="I33" s="63">
        <v>55</v>
      </c>
      <c r="J33" s="63">
        <v>72</v>
      </c>
      <c r="K33" s="17">
        <v>41148</v>
      </c>
      <c r="L33" t="s">
        <v>130</v>
      </c>
      <c r="M33">
        <v>33.1</v>
      </c>
      <c r="N33">
        <v>0.92</v>
      </c>
      <c r="O33">
        <v>553</v>
      </c>
      <c r="Q33" t="s">
        <v>2586</v>
      </c>
      <c r="R33" s="4" t="str">
        <f>HYPERLINK("\\Hopi-fs\shares\users\dhar\Stalk mount testing\Type 9\CRYO-2101-2073 3031","folder")</f>
        <v>folder</v>
      </c>
      <c r="U33" t="s">
        <v>578</v>
      </c>
      <c r="X33">
        <v>1</v>
      </c>
    </row>
    <row r="34" spans="1:24">
      <c r="A34">
        <v>2622</v>
      </c>
      <c r="B34">
        <v>12.4</v>
      </c>
      <c r="C34">
        <v>0.505</v>
      </c>
      <c r="D34">
        <v>1.51</v>
      </c>
      <c r="E34">
        <v>1</v>
      </c>
      <c r="F34">
        <v>9.9700000000000006</v>
      </c>
      <c r="G34" s="168">
        <v>21.34</v>
      </c>
      <c r="H34" s="13" t="s">
        <v>1133</v>
      </c>
      <c r="I34" t="s">
        <v>169</v>
      </c>
      <c r="J34" t="s">
        <v>169</v>
      </c>
      <c r="K34" s="162">
        <v>41288</v>
      </c>
      <c r="L34" t="s">
        <v>130</v>
      </c>
      <c r="M34">
        <v>33.159999999999997</v>
      </c>
      <c r="N34">
        <v>0.51500000000000001</v>
      </c>
      <c r="O34">
        <v>573</v>
      </c>
      <c r="Q34" t="s">
        <v>1159</v>
      </c>
      <c r="R34" s="4" t="str">
        <f>HYPERLINK("\\Hopi-fs\shares\users\dhar\Stalk mount testing\Type 9\CRYO-2084-2131 2622","FOLDER")</f>
        <v>FOLDER</v>
      </c>
      <c r="U34" t="s">
        <v>1134</v>
      </c>
      <c r="V34" t="s">
        <v>1147</v>
      </c>
      <c r="W34" t="s">
        <v>1142</v>
      </c>
    </row>
    <row r="35" spans="1:24">
      <c r="A35">
        <v>2678</v>
      </c>
      <c r="B35">
        <v>12.2</v>
      </c>
      <c r="C35">
        <v>0.53700000000000003</v>
      </c>
      <c r="D35">
        <v>1.54</v>
      </c>
      <c r="E35">
        <v>0.97599999999999998</v>
      </c>
      <c r="F35">
        <v>10.029999999999999</v>
      </c>
      <c r="G35" s="168">
        <v>21.34</v>
      </c>
      <c r="H35" s="13" t="s">
        <v>1135</v>
      </c>
      <c r="I35" t="s">
        <v>169</v>
      </c>
      <c r="J35" t="s">
        <v>169</v>
      </c>
      <c r="K35" s="162">
        <v>41288</v>
      </c>
      <c r="L35" t="s">
        <v>130</v>
      </c>
      <c r="M35">
        <v>33.340000000000003</v>
      </c>
      <c r="N35">
        <v>0.65</v>
      </c>
      <c r="O35">
        <v>499</v>
      </c>
      <c r="R35" s="4" t="str">
        <f>HYPERLINK("\\Hopi-fs\shares\users\dhar\Stalk mount testing\Type 9\CRYO-2084-2134 2678","FOLDER")</f>
        <v>FOLDER</v>
      </c>
      <c r="U35" t="s">
        <v>1134</v>
      </c>
      <c r="W35" t="s">
        <v>1142</v>
      </c>
    </row>
  </sheetData>
  <mergeCells count="1">
    <mergeCell ref="C4:D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62"/>
  <sheetViews>
    <sheetView zoomScale="120" zoomScaleNormal="120" workbookViewId="0">
      <pane ySplit="5" topLeftCell="A12" activePane="bottomLeft" state="frozen"/>
      <selection pane="bottomLeft" activeCell="A12" sqref="A12"/>
    </sheetView>
  </sheetViews>
  <sheetFormatPr defaultRowHeight="15"/>
  <cols>
    <col min="1" max="1" width="9" customWidth="1"/>
    <col min="2" max="2" width="11.85546875" style="46" customWidth="1"/>
    <col min="3" max="3" width="8.7109375" style="20" customWidth="1"/>
    <col min="4" max="4" width="16.28515625" bestFit="1" customWidth="1"/>
    <col min="5" max="5" width="12" bestFit="1" customWidth="1"/>
    <col min="6" max="6" width="16.42578125" style="41" customWidth="1"/>
    <col min="7" max="7" width="23.5703125" style="15" bestFit="1" customWidth="1"/>
    <col min="8" max="8" width="6.140625" style="37" customWidth="1"/>
    <col min="9" max="9" width="8" style="37" bestFit="1" customWidth="1"/>
    <col min="10" max="10" width="11.5703125" bestFit="1" customWidth="1"/>
    <col min="11" max="11" width="10.42578125" bestFit="1" customWidth="1"/>
    <col min="12" max="12" width="10.42578125" style="25" customWidth="1"/>
    <col min="13" max="14" width="10.42578125" style="40" customWidth="1"/>
    <col min="15" max="15" width="6.140625" style="40" customWidth="1"/>
    <col min="16" max="16" width="8.42578125" customWidth="1"/>
    <col min="17" max="17" width="11" bestFit="1" customWidth="1"/>
    <col min="18" max="18" width="8.5703125" customWidth="1"/>
    <col min="19" max="19" width="13.7109375" customWidth="1"/>
    <col min="20" max="20" width="32" customWidth="1"/>
    <col min="21" max="21" width="23" customWidth="1"/>
    <col min="22" max="22" width="16" customWidth="1"/>
    <col min="23" max="23" width="27.140625" bestFit="1" customWidth="1"/>
    <col min="24" max="24" width="12.28515625" customWidth="1"/>
  </cols>
  <sheetData>
    <row r="1" spans="1:25">
      <c r="A1" s="6" t="s">
        <v>17</v>
      </c>
      <c r="B1" s="5" t="s">
        <v>16</v>
      </c>
      <c r="L1" s="25" t="s">
        <v>663</v>
      </c>
      <c r="M1" s="40">
        <f>AVERAGE(N43, N46:N47, N50, N60, N63:N85)</f>
        <v>136.51785714285714</v>
      </c>
      <c r="T1" t="s">
        <v>258</v>
      </c>
      <c r="X1" s="40">
        <f>SUM(X6:X215)</f>
        <v>117</v>
      </c>
      <c r="Y1" t="s">
        <v>665</v>
      </c>
    </row>
    <row r="2" spans="1:25">
      <c r="A2" s="13"/>
      <c r="B2" s="45" t="s">
        <v>166</v>
      </c>
      <c r="G2" s="357"/>
      <c r="M2" s="55">
        <f>STDEV(N43,N46:N47, N50, N60, N63:N85)</f>
        <v>11.232791070704343</v>
      </c>
      <c r="X2">
        <f>SUM(Y6:Y215)</f>
        <v>71</v>
      </c>
      <c r="Y2" t="s">
        <v>664</v>
      </c>
    </row>
    <row r="3" spans="1:25">
      <c r="F3" s="5"/>
      <c r="M3" s="40">
        <f>MAX(N43:N85)</f>
        <v>163</v>
      </c>
      <c r="X3" s="40">
        <f>X2/X1</f>
        <v>0.60683760683760679</v>
      </c>
    </row>
    <row r="4" spans="1:25">
      <c r="A4" s="1"/>
      <c r="B4" s="604" t="s">
        <v>5</v>
      </c>
      <c r="C4" s="604"/>
      <c r="D4" s="1" t="s">
        <v>7</v>
      </c>
      <c r="E4" s="174"/>
      <c r="F4" s="41" t="s">
        <v>8</v>
      </c>
    </row>
    <row r="5" spans="1:25" ht="75">
      <c r="A5" s="2" t="s">
        <v>4</v>
      </c>
      <c r="B5" s="23" t="s">
        <v>11</v>
      </c>
      <c r="C5" s="23" t="s">
        <v>6</v>
      </c>
      <c r="D5" s="23" t="s">
        <v>9</v>
      </c>
      <c r="E5" s="23" t="s">
        <v>634</v>
      </c>
      <c r="F5" s="23" t="s">
        <v>68</v>
      </c>
      <c r="G5" s="18" t="s">
        <v>135</v>
      </c>
      <c r="H5" s="18" t="s">
        <v>131</v>
      </c>
      <c r="I5" s="18" t="s">
        <v>132</v>
      </c>
      <c r="J5" s="18" t="s">
        <v>133</v>
      </c>
      <c r="K5" s="18" t="s">
        <v>134</v>
      </c>
      <c r="L5" s="18" t="s">
        <v>105</v>
      </c>
      <c r="M5" s="22" t="s">
        <v>479</v>
      </c>
      <c r="N5" s="219" t="s">
        <v>1143</v>
      </c>
      <c r="O5" s="22" t="s">
        <v>226</v>
      </c>
      <c r="P5" s="18" t="s">
        <v>141</v>
      </c>
      <c r="Q5" s="18" t="s">
        <v>239</v>
      </c>
      <c r="R5" s="18" t="s">
        <v>210</v>
      </c>
      <c r="S5" s="18" t="s">
        <v>146</v>
      </c>
      <c r="T5" s="18" t="s">
        <v>145</v>
      </c>
      <c r="U5" s="18" t="s">
        <v>183</v>
      </c>
      <c r="X5" s="22" t="s">
        <v>666</v>
      </c>
      <c r="Y5" s="57" t="s">
        <v>667</v>
      </c>
    </row>
    <row r="6" spans="1:25">
      <c r="A6" s="10">
        <v>2522</v>
      </c>
      <c r="B6" s="10">
        <v>17</v>
      </c>
      <c r="C6" s="10">
        <v>2.15</v>
      </c>
      <c r="D6" s="10">
        <v>11.94</v>
      </c>
      <c r="E6" s="10"/>
      <c r="F6" s="10">
        <v>18.64</v>
      </c>
      <c r="X6" s="189"/>
    </row>
    <row r="7" spans="1:25">
      <c r="A7" s="10">
        <v>2523</v>
      </c>
      <c r="B7" s="10">
        <v>18</v>
      </c>
      <c r="C7" s="10">
        <v>1.98</v>
      </c>
      <c r="D7" s="10">
        <v>12.02</v>
      </c>
      <c r="E7" s="10"/>
      <c r="F7" s="10">
        <v>18.78</v>
      </c>
      <c r="X7" s="189"/>
    </row>
    <row r="8" spans="1:25">
      <c r="A8" s="9">
        <v>2524</v>
      </c>
      <c r="B8" s="46">
        <v>18</v>
      </c>
      <c r="C8" s="20">
        <v>2.1</v>
      </c>
      <c r="D8" s="9">
        <v>12.16</v>
      </c>
      <c r="E8" s="174"/>
      <c r="F8" s="41">
        <v>18.75</v>
      </c>
      <c r="X8" s="189"/>
    </row>
    <row r="9" spans="1:25">
      <c r="A9" s="9">
        <v>2525</v>
      </c>
      <c r="B9" s="46">
        <v>16</v>
      </c>
      <c r="C9" s="20">
        <v>2.2000000000000002</v>
      </c>
      <c r="D9" s="9">
        <v>14.31</v>
      </c>
      <c r="E9" s="174"/>
      <c r="F9" s="41">
        <v>18.78</v>
      </c>
      <c r="X9" s="189"/>
    </row>
    <row r="10" spans="1:25">
      <c r="A10" s="11">
        <v>2526</v>
      </c>
      <c r="B10" s="11">
        <v>16</v>
      </c>
      <c r="C10" s="11">
        <v>2.1</v>
      </c>
      <c r="D10" s="11">
        <v>12.17</v>
      </c>
      <c r="E10" s="11"/>
      <c r="F10" s="11">
        <v>18.5</v>
      </c>
      <c r="X10" s="189"/>
    </row>
    <row r="11" spans="1:25">
      <c r="A11" s="11">
        <v>2527</v>
      </c>
      <c r="B11" s="11">
        <v>15</v>
      </c>
      <c r="C11" s="11">
        <v>2.5</v>
      </c>
      <c r="D11" s="11">
        <v>12.17</v>
      </c>
      <c r="E11" s="11"/>
      <c r="F11" s="11">
        <v>18.64</v>
      </c>
      <c r="X11" s="189"/>
    </row>
    <row r="12" spans="1:25">
      <c r="A12" s="11">
        <v>2271</v>
      </c>
      <c r="B12" s="11">
        <v>15</v>
      </c>
      <c r="C12" s="11">
        <v>1.9</v>
      </c>
      <c r="D12" s="11">
        <v>11.82</v>
      </c>
      <c r="E12" s="11"/>
      <c r="F12" s="11">
        <v>18.48</v>
      </c>
      <c r="G12" s="15" t="s">
        <v>48</v>
      </c>
      <c r="X12" s="189"/>
    </row>
    <row r="13" spans="1:25">
      <c r="A13" s="11">
        <v>2000</v>
      </c>
      <c r="B13" s="11">
        <v>8</v>
      </c>
      <c r="C13" s="11">
        <v>1.9</v>
      </c>
      <c r="D13" s="11">
        <v>11.8</v>
      </c>
      <c r="E13" s="11"/>
      <c r="F13" s="11">
        <v>19</v>
      </c>
      <c r="G13" s="15" t="s">
        <v>48</v>
      </c>
      <c r="X13" s="189"/>
    </row>
    <row r="14" spans="1:25">
      <c r="A14" s="11">
        <v>2278</v>
      </c>
      <c r="B14" s="11">
        <v>19</v>
      </c>
      <c r="C14" s="11">
        <v>2.0499999999999998</v>
      </c>
      <c r="D14" s="11">
        <v>12.06</v>
      </c>
      <c r="E14" s="11"/>
      <c r="F14" s="11">
        <v>21.11</v>
      </c>
      <c r="X14" s="189"/>
    </row>
    <row r="15" spans="1:25">
      <c r="A15" s="11">
        <v>2276</v>
      </c>
      <c r="B15" s="11">
        <v>16</v>
      </c>
      <c r="C15" s="11">
        <v>2.0699999999999998</v>
      </c>
      <c r="D15" s="11">
        <v>12.01</v>
      </c>
      <c r="E15" s="11"/>
      <c r="F15" s="11">
        <v>21.28</v>
      </c>
      <c r="X15" s="189"/>
    </row>
    <row r="16" spans="1:25">
      <c r="A16" s="11">
        <v>2427</v>
      </c>
      <c r="B16" s="11">
        <v>13</v>
      </c>
      <c r="C16" s="11">
        <v>1.95</v>
      </c>
      <c r="D16" s="11">
        <v>12.7</v>
      </c>
      <c r="E16" s="11"/>
      <c r="F16" s="11">
        <v>18.260000000000002</v>
      </c>
      <c r="X16" s="189"/>
    </row>
    <row r="17" spans="1:25">
      <c r="A17" s="11">
        <v>2432</v>
      </c>
      <c r="D17" s="11">
        <v>12.21</v>
      </c>
      <c r="E17" s="11"/>
      <c r="F17" s="11">
        <v>18.670000000000002</v>
      </c>
      <c r="G17" s="15" t="s">
        <v>49</v>
      </c>
      <c r="X17" s="189"/>
    </row>
    <row r="18" spans="1:25">
      <c r="A18" s="11">
        <v>2461</v>
      </c>
      <c r="B18" s="11">
        <v>17</v>
      </c>
      <c r="C18" s="11">
        <v>1.71</v>
      </c>
      <c r="D18" s="11">
        <v>13.1</v>
      </c>
      <c r="E18" s="11"/>
      <c r="F18" s="11">
        <v>18.66</v>
      </c>
      <c r="X18" s="189"/>
    </row>
    <row r="19" spans="1:25">
      <c r="A19" s="11">
        <v>2465</v>
      </c>
      <c r="B19" s="11">
        <v>14</v>
      </c>
      <c r="C19" s="11">
        <v>1.89</v>
      </c>
      <c r="D19" s="11">
        <v>12.81</v>
      </c>
      <c r="E19" s="11"/>
      <c r="F19" s="11">
        <v>18.739999999999998</v>
      </c>
      <c r="X19" s="189"/>
    </row>
    <row r="20" spans="1:25">
      <c r="A20" s="11">
        <v>2000</v>
      </c>
      <c r="B20" s="12" t="s">
        <v>50</v>
      </c>
      <c r="C20" s="11">
        <v>1.93</v>
      </c>
      <c r="D20" s="11">
        <v>11.85</v>
      </c>
      <c r="E20" s="11"/>
      <c r="F20" s="11">
        <v>18.82</v>
      </c>
      <c r="G20" s="15" t="s">
        <v>51</v>
      </c>
      <c r="X20" s="189"/>
    </row>
    <row r="21" spans="1:25">
      <c r="A21" s="11">
        <v>2278</v>
      </c>
      <c r="B21" s="11">
        <v>20</v>
      </c>
      <c r="C21" s="11">
        <v>2.04</v>
      </c>
      <c r="D21" s="11">
        <v>12.01</v>
      </c>
      <c r="E21" s="11"/>
      <c r="F21" s="11">
        <v>21.22</v>
      </c>
      <c r="X21" s="189"/>
    </row>
    <row r="22" spans="1:25">
      <c r="A22" s="11">
        <v>2276</v>
      </c>
      <c r="B22" s="11">
        <v>20</v>
      </c>
      <c r="C22" s="11">
        <v>2.08</v>
      </c>
      <c r="D22" s="11">
        <v>12.06</v>
      </c>
      <c r="E22" s="11"/>
      <c r="F22" s="11">
        <v>21.28</v>
      </c>
      <c r="X22" s="189"/>
    </row>
    <row r="23" spans="1:25">
      <c r="A23" s="11">
        <v>2351</v>
      </c>
      <c r="B23" s="11">
        <v>17</v>
      </c>
      <c r="C23" s="11">
        <v>2</v>
      </c>
      <c r="D23" s="11">
        <v>12.85</v>
      </c>
      <c r="E23" s="11"/>
      <c r="F23" s="11">
        <v>18.079999999999998</v>
      </c>
      <c r="G23" s="15" t="s">
        <v>52</v>
      </c>
      <c r="X23" s="189"/>
    </row>
    <row r="24" spans="1:25">
      <c r="A24" s="11">
        <v>2354</v>
      </c>
      <c r="B24" s="11">
        <v>15</v>
      </c>
      <c r="C24" s="11">
        <v>1.93</v>
      </c>
      <c r="D24" s="11">
        <v>12.38</v>
      </c>
      <c r="E24" s="11"/>
      <c r="F24" s="11">
        <v>18.579999999999998</v>
      </c>
      <c r="G24" s="15" t="s">
        <v>53</v>
      </c>
      <c r="X24" s="189"/>
    </row>
    <row r="25" spans="1:25">
      <c r="A25" s="11">
        <v>2644</v>
      </c>
      <c r="B25" s="11">
        <v>15</v>
      </c>
      <c r="C25" s="11">
        <v>2</v>
      </c>
      <c r="D25" s="11">
        <v>12.12</v>
      </c>
      <c r="E25" s="11"/>
      <c r="F25" s="11">
        <v>18.84</v>
      </c>
      <c r="X25" s="189"/>
    </row>
    <row r="26" spans="1:25">
      <c r="A26" s="11">
        <v>2645</v>
      </c>
      <c r="B26" s="11">
        <v>18</v>
      </c>
      <c r="C26" s="11">
        <v>2.04</v>
      </c>
      <c r="D26" s="11">
        <v>11.9</v>
      </c>
      <c r="E26" s="11"/>
      <c r="F26" s="11">
        <v>18.829999999999998</v>
      </c>
      <c r="X26" s="189"/>
    </row>
    <row r="27" spans="1:25">
      <c r="A27" s="11">
        <v>2646</v>
      </c>
      <c r="B27" s="11">
        <v>16</v>
      </c>
      <c r="C27" s="11">
        <v>2.04</v>
      </c>
      <c r="D27" s="11">
        <v>12.07</v>
      </c>
      <c r="E27" s="11"/>
      <c r="F27" s="11">
        <v>18.87</v>
      </c>
      <c r="G27" s="15" t="s">
        <v>120</v>
      </c>
      <c r="X27" s="189"/>
    </row>
    <row r="28" spans="1:25">
      <c r="A28" s="11">
        <v>2647</v>
      </c>
      <c r="B28" s="11">
        <v>16</v>
      </c>
      <c r="C28" s="11">
        <v>2</v>
      </c>
      <c r="D28" s="11">
        <v>12.07</v>
      </c>
      <c r="E28" s="11"/>
      <c r="F28" s="11">
        <v>18.93</v>
      </c>
      <c r="G28" s="15" t="s">
        <v>122</v>
      </c>
      <c r="X28" s="189"/>
    </row>
    <row r="29" spans="1:25">
      <c r="A29" s="11">
        <v>2648</v>
      </c>
      <c r="B29" s="11">
        <v>17</v>
      </c>
      <c r="C29" s="11">
        <v>1.98</v>
      </c>
      <c r="D29" s="11">
        <v>12.09</v>
      </c>
      <c r="E29" s="11"/>
      <c r="F29" s="11">
        <v>18.93</v>
      </c>
      <c r="G29" s="15" t="s">
        <v>119</v>
      </c>
      <c r="H29" s="29" t="s">
        <v>334</v>
      </c>
      <c r="X29" s="189"/>
    </row>
    <row r="30" spans="1:25">
      <c r="A30" s="11">
        <v>2648</v>
      </c>
      <c r="B30" s="46">
        <v>16</v>
      </c>
      <c r="C30" s="20">
        <v>1.92</v>
      </c>
      <c r="D30" s="11">
        <v>12</v>
      </c>
      <c r="E30" s="11"/>
      <c r="F30" s="41">
        <v>18.86</v>
      </c>
      <c r="G30" s="87" t="s">
        <v>332</v>
      </c>
      <c r="H30" s="86">
        <v>35.5</v>
      </c>
      <c r="I30" s="86">
        <v>72</v>
      </c>
      <c r="J30" s="17">
        <v>40955</v>
      </c>
      <c r="K30" t="s">
        <v>130</v>
      </c>
      <c r="L30" s="25">
        <v>33.299999999999997</v>
      </c>
      <c r="M30" s="40">
        <v>0.09</v>
      </c>
      <c r="N30" s="40">
        <v>185</v>
      </c>
      <c r="Q30" s="4" t="str">
        <f>HYPERLINK("\\Hopi-fs\shares\users\dhar\Stalk mount testing\Type 1 Target Quality Assurance\CRYO-2095-1952 2648","folder")</f>
        <v>folder</v>
      </c>
      <c r="S30" t="s">
        <v>175</v>
      </c>
      <c r="T30" t="s">
        <v>140</v>
      </c>
      <c r="U30" t="s">
        <v>335</v>
      </c>
      <c r="X30" s="189">
        <v>1</v>
      </c>
      <c r="Y30">
        <v>1</v>
      </c>
    </row>
    <row r="31" spans="1:25">
      <c r="A31" s="11">
        <v>2649</v>
      </c>
      <c r="B31" s="11">
        <v>15</v>
      </c>
      <c r="C31" s="11">
        <v>1.99</v>
      </c>
      <c r="D31" s="11">
        <v>12</v>
      </c>
      <c r="E31" s="11"/>
      <c r="F31" s="11">
        <v>18.850000000000001</v>
      </c>
      <c r="G31" s="15" t="s">
        <v>121</v>
      </c>
      <c r="X31" s="189"/>
    </row>
    <row r="32" spans="1:25">
      <c r="A32" s="11">
        <v>2650</v>
      </c>
      <c r="B32" s="11">
        <v>17</v>
      </c>
      <c r="C32" s="11">
        <v>1.94</v>
      </c>
      <c r="D32" s="11">
        <v>12</v>
      </c>
      <c r="E32" s="11"/>
      <c r="F32" s="11">
        <v>18.89</v>
      </c>
      <c r="G32" s="19" t="s">
        <v>107</v>
      </c>
      <c r="P32" s="29" t="s">
        <v>111</v>
      </c>
      <c r="S32" t="s">
        <v>110</v>
      </c>
      <c r="X32" s="189"/>
    </row>
    <row r="33" spans="1:25">
      <c r="A33" s="11">
        <v>2651</v>
      </c>
      <c r="B33" s="11">
        <v>19.8</v>
      </c>
      <c r="C33" s="11">
        <v>2</v>
      </c>
      <c r="D33" s="11">
        <v>11.73</v>
      </c>
      <c r="E33" s="11"/>
      <c r="F33" s="11">
        <v>18.850000000000001</v>
      </c>
      <c r="G33" s="19" t="s">
        <v>123</v>
      </c>
      <c r="P33" t="s">
        <v>143</v>
      </c>
      <c r="X33" s="189"/>
    </row>
    <row r="34" spans="1:25">
      <c r="A34" s="11">
        <v>2652</v>
      </c>
      <c r="B34" s="11">
        <v>10</v>
      </c>
      <c r="C34" s="11">
        <v>1.98</v>
      </c>
      <c r="D34" s="11">
        <v>12.01</v>
      </c>
      <c r="E34" s="11"/>
      <c r="F34" s="11">
        <v>18.98</v>
      </c>
      <c r="G34" s="15" t="s">
        <v>116</v>
      </c>
      <c r="X34" s="189"/>
    </row>
    <row r="35" spans="1:25">
      <c r="A35" s="11">
        <v>2653</v>
      </c>
      <c r="B35" s="11">
        <v>18</v>
      </c>
      <c r="C35" s="11">
        <v>2.0099999999999998</v>
      </c>
      <c r="D35" s="11">
        <v>12.18</v>
      </c>
      <c r="E35" s="11"/>
      <c r="F35" s="11">
        <v>18.86</v>
      </c>
      <c r="G35" s="19" t="s">
        <v>60</v>
      </c>
      <c r="K35" t="s">
        <v>130</v>
      </c>
      <c r="P35" t="s">
        <v>142</v>
      </c>
      <c r="X35" s="189"/>
    </row>
    <row r="36" spans="1:25">
      <c r="A36" s="11">
        <v>2654</v>
      </c>
      <c r="B36" s="11">
        <v>20.2</v>
      </c>
      <c r="C36" s="11">
        <v>1.96</v>
      </c>
      <c r="D36" s="11">
        <v>12.09</v>
      </c>
      <c r="E36" s="11"/>
      <c r="F36" s="11">
        <v>18.88</v>
      </c>
      <c r="G36" s="15" t="s">
        <v>59</v>
      </c>
      <c r="X36" s="189"/>
    </row>
    <row r="37" spans="1:25">
      <c r="A37" s="11">
        <v>2655</v>
      </c>
      <c r="B37" s="11">
        <v>18.600000000000001</v>
      </c>
      <c r="C37" s="11">
        <v>2.02</v>
      </c>
      <c r="D37" s="11">
        <v>12.19</v>
      </c>
      <c r="E37" s="11"/>
      <c r="F37" s="11">
        <v>18.829999999999998</v>
      </c>
      <c r="X37" s="189"/>
    </row>
    <row r="38" spans="1:25">
      <c r="A38" s="11">
        <v>2664</v>
      </c>
      <c r="B38" s="11">
        <v>17.600000000000001</v>
      </c>
      <c r="C38" s="11">
        <v>1.94</v>
      </c>
      <c r="D38" s="11">
        <v>12.08</v>
      </c>
      <c r="E38" s="11"/>
      <c r="F38" s="11">
        <v>19</v>
      </c>
      <c r="G38" s="15" t="s">
        <v>117</v>
      </c>
      <c r="X38" s="189"/>
    </row>
    <row r="39" spans="1:25">
      <c r="A39" s="11">
        <v>2665</v>
      </c>
      <c r="B39" s="11">
        <v>18.600000000000001</v>
      </c>
      <c r="C39" s="11">
        <v>1.97</v>
      </c>
      <c r="D39" s="11">
        <v>12</v>
      </c>
      <c r="E39" s="11"/>
      <c r="F39" s="11">
        <v>18.88</v>
      </c>
      <c r="G39" s="15" t="s">
        <v>118</v>
      </c>
      <c r="X39" s="189"/>
    </row>
    <row r="40" spans="1:25">
      <c r="A40" s="11">
        <v>2666</v>
      </c>
      <c r="B40" s="11">
        <v>16.399999999999999</v>
      </c>
      <c r="C40" s="11">
        <v>2</v>
      </c>
      <c r="D40" s="11">
        <v>12</v>
      </c>
      <c r="E40" s="11"/>
      <c r="F40" s="11">
        <v>18.899999999999999</v>
      </c>
      <c r="G40" s="15" t="s">
        <v>115</v>
      </c>
      <c r="H40" s="29" t="s">
        <v>333</v>
      </c>
      <c r="X40" s="189"/>
    </row>
    <row r="41" spans="1:25">
      <c r="A41" s="11">
        <v>2666</v>
      </c>
      <c r="B41" s="46">
        <v>14</v>
      </c>
      <c r="C41" s="20">
        <v>2</v>
      </c>
      <c r="D41" s="86">
        <v>12</v>
      </c>
      <c r="E41" s="174"/>
      <c r="F41" s="41">
        <v>18.600000000000001</v>
      </c>
      <c r="G41" s="87" t="s">
        <v>331</v>
      </c>
      <c r="H41" s="37">
        <v>35.5</v>
      </c>
      <c r="I41" s="37">
        <v>72</v>
      </c>
      <c r="J41" s="17">
        <v>40955</v>
      </c>
      <c r="K41" t="s">
        <v>130</v>
      </c>
      <c r="L41" s="25">
        <v>33.299999999999997</v>
      </c>
      <c r="M41" s="40">
        <v>0.25</v>
      </c>
      <c r="N41" s="40">
        <v>158</v>
      </c>
      <c r="Q41" s="4" t="str">
        <f>HYPERLINK("\\Hopi-fs\shares\users\dhar\Stalk mount testing\Type 1 Target Quality Assurance\CRYO-2094-1947 2666","folder")</f>
        <v>folder</v>
      </c>
      <c r="S41" t="s">
        <v>175</v>
      </c>
      <c r="T41" t="s">
        <v>140</v>
      </c>
      <c r="U41" t="s">
        <v>335</v>
      </c>
      <c r="X41" s="189">
        <v>1</v>
      </c>
      <c r="Y41">
        <v>1</v>
      </c>
    </row>
    <row r="42" spans="1:25">
      <c r="A42" s="11">
        <v>2667</v>
      </c>
      <c r="B42" s="11">
        <v>17.600000000000001</v>
      </c>
      <c r="C42" s="11">
        <v>1.97</v>
      </c>
      <c r="D42" s="11">
        <v>11.98</v>
      </c>
      <c r="E42" s="11"/>
      <c r="F42" s="11">
        <v>18.829999999999998</v>
      </c>
      <c r="G42" s="15" t="s">
        <v>114</v>
      </c>
      <c r="X42" s="189"/>
    </row>
    <row r="43" spans="1:25">
      <c r="A43" s="11">
        <v>2282</v>
      </c>
      <c r="B43" s="11">
        <v>16</v>
      </c>
      <c r="C43" s="11">
        <v>1.99</v>
      </c>
      <c r="D43" s="11">
        <v>12.1</v>
      </c>
      <c r="E43" s="11"/>
      <c r="F43" s="11">
        <v>18.8</v>
      </c>
      <c r="G43" s="15" t="s">
        <v>63</v>
      </c>
      <c r="N43" s="44">
        <v>103</v>
      </c>
      <c r="X43" s="189"/>
    </row>
    <row r="44" spans="1:25">
      <c r="A44" s="11">
        <v>2344</v>
      </c>
      <c r="B44" s="11">
        <v>15</v>
      </c>
      <c r="C44" s="11">
        <v>1.98</v>
      </c>
      <c r="D44" s="11">
        <v>11.98</v>
      </c>
      <c r="E44" s="11"/>
      <c r="F44" s="11">
        <v>18.940000000000001</v>
      </c>
      <c r="G44" s="10"/>
      <c r="H44" s="10"/>
      <c r="X44" s="189"/>
    </row>
    <row r="45" spans="1:25">
      <c r="A45" s="11">
        <v>2469</v>
      </c>
      <c r="B45" s="11">
        <v>20</v>
      </c>
      <c r="C45" s="11">
        <v>2.06</v>
      </c>
      <c r="D45" s="11">
        <v>13</v>
      </c>
      <c r="E45" s="11"/>
      <c r="F45" s="11">
        <v>18.63</v>
      </c>
      <c r="G45" s="10"/>
      <c r="H45" s="10"/>
      <c r="X45" s="189"/>
    </row>
    <row r="46" spans="1:25">
      <c r="A46" s="11">
        <v>2103</v>
      </c>
      <c r="B46" s="11">
        <v>16</v>
      </c>
      <c r="C46" s="11">
        <v>2.0499999999999998</v>
      </c>
      <c r="D46" s="11">
        <v>12.01</v>
      </c>
      <c r="E46" s="11"/>
      <c r="F46" s="11">
        <v>18.87</v>
      </c>
      <c r="G46" s="21" t="s">
        <v>127</v>
      </c>
      <c r="H46" s="49">
        <v>33.799999999999997</v>
      </c>
      <c r="I46" s="49">
        <v>72.5</v>
      </c>
      <c r="J46" s="17">
        <v>40899</v>
      </c>
      <c r="K46" t="s">
        <v>130</v>
      </c>
      <c r="L46" s="25">
        <v>33.4</v>
      </c>
      <c r="M46" s="25">
        <v>0.45</v>
      </c>
      <c r="N46" s="40">
        <v>128</v>
      </c>
      <c r="Q46" s="4" t="str">
        <f>HYPERLINK("\\hopi-fs\shares\users\dhar\Stalk mount testing\Type 1 Target Quality Assurance\CRYO-ME-1231-0162 2103","folder")</f>
        <v>folder</v>
      </c>
      <c r="S46" t="s">
        <v>175</v>
      </c>
      <c r="T46" t="s">
        <v>140</v>
      </c>
      <c r="U46" t="s">
        <v>253</v>
      </c>
      <c r="X46" s="189"/>
    </row>
    <row r="47" spans="1:25">
      <c r="A47" s="11">
        <v>2269</v>
      </c>
      <c r="B47" s="11">
        <v>19</v>
      </c>
      <c r="C47" s="11">
        <v>2.0099999999999998</v>
      </c>
      <c r="D47" s="11">
        <v>12</v>
      </c>
      <c r="E47" s="11"/>
      <c r="F47" s="11">
        <v>18.7</v>
      </c>
      <c r="G47" s="21" t="s">
        <v>128</v>
      </c>
      <c r="H47" s="49">
        <v>33.799999999999997</v>
      </c>
      <c r="I47" s="49">
        <v>72.5</v>
      </c>
      <c r="J47" s="17">
        <v>40899</v>
      </c>
      <c r="K47" t="s">
        <v>130</v>
      </c>
      <c r="L47" s="25">
        <v>33.299999999999997</v>
      </c>
      <c r="M47" s="40">
        <v>1.03</v>
      </c>
      <c r="N47" s="40">
        <v>151</v>
      </c>
      <c r="P47" s="26" t="s">
        <v>262</v>
      </c>
      <c r="Q47" s="4" t="str">
        <f>HYPERLINK("\\hopi-fs\shares\users\dhar\Stalk mount testing\Type 1 Target Quality Assurance\CRYO-ME-1232-0163 2269","folder")</f>
        <v>folder</v>
      </c>
      <c r="X47" s="189"/>
    </row>
    <row r="48" spans="1:25">
      <c r="A48" s="11">
        <v>2270</v>
      </c>
      <c r="B48" s="11">
        <v>16</v>
      </c>
      <c r="C48" s="11">
        <v>1.95</v>
      </c>
      <c r="D48" s="11">
        <v>12.12</v>
      </c>
      <c r="E48" s="11"/>
      <c r="F48" s="11">
        <v>18.78</v>
      </c>
      <c r="G48" s="10"/>
      <c r="H48" s="10"/>
      <c r="X48" s="189"/>
    </row>
    <row r="49" spans="1:24">
      <c r="A49" s="11">
        <v>2288</v>
      </c>
      <c r="B49" s="11">
        <v>15</v>
      </c>
      <c r="C49" s="11">
        <v>2.04</v>
      </c>
      <c r="D49" s="11">
        <v>11.61</v>
      </c>
      <c r="E49" s="11"/>
      <c r="F49" s="11">
        <v>18.61</v>
      </c>
      <c r="G49" s="10"/>
      <c r="X49" s="189"/>
    </row>
    <row r="50" spans="1:24">
      <c r="A50" s="11">
        <v>2348</v>
      </c>
      <c r="B50" s="11">
        <v>18</v>
      </c>
      <c r="C50" s="11">
        <v>2</v>
      </c>
      <c r="D50" s="11">
        <v>12.71</v>
      </c>
      <c r="E50" s="11"/>
      <c r="F50" s="11">
        <v>18.13</v>
      </c>
      <c r="G50" s="21" t="s">
        <v>126</v>
      </c>
      <c r="H50" s="37">
        <v>33.799999999999997</v>
      </c>
      <c r="I50" s="37">
        <v>72.5</v>
      </c>
      <c r="J50" s="17">
        <v>40899</v>
      </c>
      <c r="K50" t="s">
        <v>130</v>
      </c>
      <c r="L50" s="25">
        <v>33.299999999999997</v>
      </c>
      <c r="M50" s="40">
        <v>0.7</v>
      </c>
      <c r="N50" s="40">
        <v>129</v>
      </c>
      <c r="Q50" s="4" t="str">
        <f>HYPERLINK("\\hopi-fs\shares\users\dhar\Stalk mount testing\Type 1 Target Quality Assurance\CRYO-ME-1241-0161 2348","folder")</f>
        <v>folder</v>
      </c>
      <c r="S50" t="s">
        <v>175</v>
      </c>
      <c r="T50" t="s">
        <v>140</v>
      </c>
      <c r="U50" t="s">
        <v>253</v>
      </c>
      <c r="X50" s="189"/>
    </row>
    <row r="51" spans="1:24">
      <c r="A51" s="11">
        <v>2439</v>
      </c>
      <c r="B51" s="11">
        <v>83</v>
      </c>
      <c r="C51" s="11">
        <v>1.94</v>
      </c>
      <c r="D51" s="11">
        <v>12.34</v>
      </c>
      <c r="E51" s="11"/>
      <c r="F51" s="11">
        <v>18.75</v>
      </c>
      <c r="G51" s="10" t="s">
        <v>112</v>
      </c>
      <c r="U51" t="s">
        <v>113</v>
      </c>
      <c r="X51" s="189"/>
    </row>
    <row r="52" spans="1:24">
      <c r="A52" s="11">
        <v>2226</v>
      </c>
      <c r="B52" s="11">
        <v>13</v>
      </c>
      <c r="C52" s="11">
        <v>2.0299999999999998</v>
      </c>
      <c r="D52" s="11">
        <v>12.01</v>
      </c>
      <c r="E52" s="11"/>
      <c r="F52" s="11">
        <v>18.920000000000002</v>
      </c>
      <c r="X52" s="189"/>
    </row>
    <row r="53" spans="1:24">
      <c r="A53" s="11">
        <v>2345</v>
      </c>
      <c r="B53" s="11">
        <v>18</v>
      </c>
      <c r="C53" s="11">
        <v>2</v>
      </c>
      <c r="D53" s="11">
        <v>12.09</v>
      </c>
      <c r="E53" s="11"/>
      <c r="F53" s="11">
        <v>18.739999999999998</v>
      </c>
      <c r="X53" s="189"/>
    </row>
    <row r="54" spans="1:24">
      <c r="A54" s="11">
        <v>2296</v>
      </c>
      <c r="B54" s="11">
        <v>14</v>
      </c>
      <c r="C54" s="11">
        <v>2.04</v>
      </c>
      <c r="D54" s="11">
        <v>11.93</v>
      </c>
      <c r="E54" s="11"/>
      <c r="F54" s="11">
        <v>18.89</v>
      </c>
      <c r="X54" s="189"/>
    </row>
    <row r="55" spans="1:24">
      <c r="A55" s="11">
        <v>2225</v>
      </c>
      <c r="B55" s="11">
        <v>16</v>
      </c>
      <c r="C55" s="11">
        <v>2.0299999999999998</v>
      </c>
      <c r="D55" s="11">
        <v>11.98</v>
      </c>
      <c r="E55" s="11"/>
      <c r="F55" s="11">
        <v>18.989999999999998</v>
      </c>
      <c r="X55" s="189"/>
    </row>
    <row r="56" spans="1:24">
      <c r="A56" s="11">
        <v>2246</v>
      </c>
      <c r="B56" s="11">
        <v>19</v>
      </c>
      <c r="C56" s="11">
        <v>2.04</v>
      </c>
      <c r="D56" s="11">
        <v>11.94</v>
      </c>
      <c r="E56" s="11"/>
      <c r="F56" s="11">
        <v>18.87</v>
      </c>
      <c r="X56" s="189"/>
    </row>
    <row r="57" spans="1:24">
      <c r="A57" s="11">
        <v>2379</v>
      </c>
      <c r="B57" s="11">
        <v>15.4</v>
      </c>
      <c r="C57" s="11">
        <v>2</v>
      </c>
      <c r="D57" s="11">
        <v>12.11</v>
      </c>
      <c r="E57" s="11"/>
      <c r="F57" s="11">
        <v>18.79</v>
      </c>
      <c r="X57" s="11"/>
    </row>
    <row r="58" spans="1:24">
      <c r="A58" s="11">
        <v>2690</v>
      </c>
      <c r="B58" s="11">
        <v>21</v>
      </c>
      <c r="C58" s="11">
        <v>2.0099999999999998</v>
      </c>
      <c r="D58" s="11">
        <v>12.1</v>
      </c>
      <c r="E58" s="11"/>
      <c r="F58" s="11">
        <v>18.8</v>
      </c>
      <c r="G58" s="10" t="s">
        <v>129</v>
      </c>
      <c r="H58" s="37">
        <v>52</v>
      </c>
      <c r="I58" s="37">
        <v>69</v>
      </c>
      <c r="J58" s="17">
        <v>40829</v>
      </c>
      <c r="K58" t="s">
        <v>130</v>
      </c>
      <c r="O58" s="40" t="s">
        <v>229</v>
      </c>
      <c r="P58" s="26" t="s">
        <v>208</v>
      </c>
      <c r="Q58" s="34" t="str">
        <f>HYPERLINK("\\hopi-fs\shares\users\dhar\Stalk mount testing\Type 1 Target Quality Assurance\CRYO-ME-1233-0164 2690","FOLDER")</f>
        <v>FOLDER</v>
      </c>
      <c r="R58" s="26" t="s">
        <v>211</v>
      </c>
      <c r="S58" t="s">
        <v>139</v>
      </c>
      <c r="T58" t="s">
        <v>140</v>
      </c>
      <c r="U58" t="s">
        <v>144</v>
      </c>
      <c r="X58" s="11"/>
    </row>
    <row r="59" spans="1:24">
      <c r="A59" s="11">
        <v>2691</v>
      </c>
      <c r="B59" s="11">
        <v>18.5</v>
      </c>
      <c r="C59" s="11">
        <v>2.02</v>
      </c>
      <c r="D59" s="11">
        <v>12</v>
      </c>
      <c r="E59" s="11"/>
      <c r="F59" s="11">
        <v>18.8</v>
      </c>
      <c r="G59" s="16"/>
      <c r="H59" s="11"/>
      <c r="J59" s="17"/>
      <c r="Q59" s="4"/>
      <c r="S59" t="s">
        <v>139</v>
      </c>
      <c r="T59" t="s">
        <v>140</v>
      </c>
      <c r="X59" s="11"/>
    </row>
    <row r="60" spans="1:24">
      <c r="A60" s="11">
        <v>2080</v>
      </c>
      <c r="B60" s="11">
        <v>17</v>
      </c>
      <c r="C60" s="11">
        <v>2.02</v>
      </c>
      <c r="D60" s="11">
        <v>12.07</v>
      </c>
      <c r="E60" s="11"/>
      <c r="F60" s="11">
        <v>18.899999999999999</v>
      </c>
      <c r="G60" s="16" t="s">
        <v>136</v>
      </c>
      <c r="H60" s="11">
        <v>32.700000000000003</v>
      </c>
      <c r="I60" s="49">
        <v>72</v>
      </c>
      <c r="J60" s="17">
        <v>40899</v>
      </c>
      <c r="K60" t="s">
        <v>130</v>
      </c>
      <c r="L60" s="49">
        <v>33.4</v>
      </c>
      <c r="M60" s="49">
        <v>0.51</v>
      </c>
      <c r="N60" s="49">
        <v>136</v>
      </c>
      <c r="O60" s="49"/>
      <c r="Q60" s="4" t="str">
        <f>HYPERLINK("\\hopi-fs\shares\users\dhar\Stalk mount testing\Type 1 Target Quality Assurance\CRYO-ME-1237-0165 2080","folder")</f>
        <v>folder</v>
      </c>
      <c r="S60" t="s">
        <v>175</v>
      </c>
      <c r="T60" t="s">
        <v>140</v>
      </c>
      <c r="U60" t="s">
        <v>253</v>
      </c>
      <c r="X60" s="11"/>
    </row>
    <row r="61" spans="1:24">
      <c r="A61" s="11">
        <v>2692</v>
      </c>
      <c r="B61" s="11">
        <v>19</v>
      </c>
      <c r="C61" s="11">
        <v>2</v>
      </c>
      <c r="D61" s="11">
        <v>12.1</v>
      </c>
      <c r="E61" s="11"/>
      <c r="F61" s="11">
        <v>19.11</v>
      </c>
      <c r="G61" s="21" t="s">
        <v>137</v>
      </c>
      <c r="H61" s="37">
        <v>57</v>
      </c>
      <c r="I61" s="37">
        <v>69</v>
      </c>
      <c r="J61" s="17">
        <v>40829</v>
      </c>
      <c r="K61" t="s">
        <v>130</v>
      </c>
      <c r="O61" s="45" t="s">
        <v>217</v>
      </c>
      <c r="P61" s="14" t="s">
        <v>209</v>
      </c>
      <c r="Q61" s="28" t="str">
        <f>HYPERLINK("\\hopi-fs\shares\users\dhar\Stalk mount testing\Type 1 Target Quality Assurance\CRYO-ME-1237-0166 2692","folder")</f>
        <v>folder</v>
      </c>
      <c r="R61" s="42" t="s">
        <v>212</v>
      </c>
      <c r="S61" t="s">
        <v>139</v>
      </c>
      <c r="T61" t="s">
        <v>140</v>
      </c>
      <c r="U61" t="s">
        <v>148</v>
      </c>
      <c r="X61" s="11"/>
    </row>
    <row r="62" spans="1:24">
      <c r="A62" s="11">
        <v>2693</v>
      </c>
      <c r="B62" s="11">
        <v>18</v>
      </c>
      <c r="C62" s="11">
        <v>2</v>
      </c>
      <c r="D62" s="11">
        <v>12.1</v>
      </c>
      <c r="E62" s="11"/>
      <c r="F62" s="11">
        <v>18.850000000000001</v>
      </c>
      <c r="G62" s="21" t="s">
        <v>138</v>
      </c>
      <c r="H62" s="37">
        <v>57</v>
      </c>
      <c r="I62" s="37">
        <v>69</v>
      </c>
      <c r="J62" s="17">
        <v>40829</v>
      </c>
      <c r="K62" t="s">
        <v>130</v>
      </c>
      <c r="P62" s="26" t="s">
        <v>172</v>
      </c>
      <c r="Q62" s="34" t="str">
        <f>HYPERLINK("\\hopi-fs\shares\users\dhar\Stalk mount testing\Type 1 Target Quality Assurance\CRYO-ME-1237-0167 2693","folder")</f>
        <v>folder</v>
      </c>
      <c r="R62" s="26" t="s">
        <v>211</v>
      </c>
      <c r="S62" t="s">
        <v>139</v>
      </c>
      <c r="T62" t="s">
        <v>140</v>
      </c>
      <c r="U62" t="s">
        <v>147</v>
      </c>
      <c r="X62" s="11"/>
    </row>
    <row r="63" spans="1:24">
      <c r="A63" s="11">
        <v>2694</v>
      </c>
      <c r="B63" s="11">
        <v>18</v>
      </c>
      <c r="C63" s="20">
        <v>2.02</v>
      </c>
      <c r="D63" s="11">
        <v>12.1</v>
      </c>
      <c r="E63" s="11"/>
      <c r="F63" s="11">
        <v>18.850000000000001</v>
      </c>
      <c r="G63" s="11" t="s">
        <v>168</v>
      </c>
      <c r="H63" s="37" t="s">
        <v>169</v>
      </c>
      <c r="I63" s="37" t="s">
        <v>169</v>
      </c>
      <c r="J63" s="17">
        <v>40855</v>
      </c>
      <c r="K63" t="s">
        <v>130</v>
      </c>
      <c r="L63" s="25">
        <v>33.4</v>
      </c>
      <c r="M63" s="40">
        <v>0.33</v>
      </c>
      <c r="N63" s="40">
        <v>124</v>
      </c>
      <c r="O63" s="19"/>
      <c r="P63" s="26" t="s">
        <v>190</v>
      </c>
      <c r="Q63" s="27" t="str">
        <f>HYPERLINK("\\hopi-fs\shares\users\dhar\Stalk mount testing\Type 1 Target Quality Assurance\CRYO-ME-1235-0173 2694","folder")</f>
        <v>folder</v>
      </c>
      <c r="R63" s="26" t="s">
        <v>211</v>
      </c>
      <c r="S63" t="s">
        <v>139</v>
      </c>
      <c r="T63" t="s">
        <v>140</v>
      </c>
      <c r="U63" t="s">
        <v>174</v>
      </c>
      <c r="X63" s="11"/>
    </row>
    <row r="64" spans="1:24">
      <c r="A64" s="11">
        <v>2695</v>
      </c>
      <c r="B64" s="11">
        <v>17</v>
      </c>
      <c r="C64" s="11">
        <v>1.96</v>
      </c>
      <c r="D64" s="11">
        <v>12</v>
      </c>
      <c r="E64" s="11"/>
      <c r="F64" s="11">
        <v>18.850000000000001</v>
      </c>
      <c r="G64" s="19" t="s">
        <v>149</v>
      </c>
      <c r="H64" s="37">
        <v>32</v>
      </c>
      <c r="I64" s="37">
        <v>68</v>
      </c>
      <c r="J64" s="17">
        <v>40843</v>
      </c>
      <c r="K64" t="s">
        <v>130</v>
      </c>
      <c r="L64" s="25">
        <v>33.200000000000003</v>
      </c>
      <c r="M64" s="40">
        <v>0.78500000000000003</v>
      </c>
      <c r="N64" s="40">
        <v>135</v>
      </c>
      <c r="O64" s="45" t="s">
        <v>217</v>
      </c>
      <c r="P64" s="26" t="s">
        <v>178</v>
      </c>
      <c r="Q64" s="27" t="str">
        <f>HYPERLINK("\\hopi-fs\shares\users\dhar\Stalk mount testing\Type 1 Target Quality Assurance\CRYO-ME-1232-0168 2695","folder")</f>
        <v>folder</v>
      </c>
      <c r="R64" s="26" t="s">
        <v>211</v>
      </c>
      <c r="S64" t="s">
        <v>139</v>
      </c>
      <c r="T64" t="s">
        <v>140</v>
      </c>
      <c r="U64" t="s">
        <v>167</v>
      </c>
      <c r="X64" s="11"/>
    </row>
    <row r="65" spans="1:24">
      <c r="A65" s="11">
        <v>2696</v>
      </c>
      <c r="B65" s="11">
        <v>19</v>
      </c>
      <c r="C65" s="20">
        <v>2</v>
      </c>
      <c r="D65" s="11">
        <v>12</v>
      </c>
      <c r="E65" s="11"/>
      <c r="F65" s="11">
        <v>18.86</v>
      </c>
      <c r="G65" s="19" t="s">
        <v>151</v>
      </c>
      <c r="H65" s="37">
        <v>31</v>
      </c>
      <c r="I65" s="37">
        <v>70</v>
      </c>
      <c r="J65" s="17">
        <v>40848</v>
      </c>
      <c r="K65" t="s">
        <v>130</v>
      </c>
      <c r="L65" s="25">
        <v>33.299999999999997</v>
      </c>
      <c r="M65" s="38">
        <v>1.1000000000000001</v>
      </c>
      <c r="N65" s="40">
        <v>138</v>
      </c>
      <c r="O65" s="19"/>
      <c r="P65" s="26" t="s">
        <v>230</v>
      </c>
      <c r="Q65" s="4" t="str">
        <f>HYPERLINK("\\hopi-fs\shares\users\dhar\Stalk mount testing\Type 1 Target Quality Assurance\CRYO-ME-1237-0169 2696","folder")</f>
        <v>folder</v>
      </c>
      <c r="R65" s="43" t="s">
        <v>212</v>
      </c>
      <c r="S65" t="s">
        <v>152</v>
      </c>
      <c r="T65" t="s">
        <v>140</v>
      </c>
      <c r="U65" t="s">
        <v>171</v>
      </c>
      <c r="X65" s="11"/>
    </row>
    <row r="66" spans="1:24">
      <c r="A66" s="11" t="s">
        <v>199</v>
      </c>
      <c r="B66" s="11">
        <v>19</v>
      </c>
      <c r="C66" s="20">
        <v>1.99</v>
      </c>
      <c r="D66" s="11">
        <v>12.1</v>
      </c>
      <c r="E66" s="11"/>
      <c r="F66" s="11">
        <v>18.8</v>
      </c>
      <c r="G66" s="19" t="s">
        <v>164</v>
      </c>
      <c r="H66" s="37">
        <v>31</v>
      </c>
      <c r="I66" s="37">
        <v>68</v>
      </c>
      <c r="J66" s="17">
        <v>40849</v>
      </c>
      <c r="K66" t="s">
        <v>130</v>
      </c>
      <c r="L66" s="25">
        <v>33.299999999999997</v>
      </c>
      <c r="M66" s="40">
        <v>0.48699999999999999</v>
      </c>
      <c r="N66" s="40">
        <v>142.5</v>
      </c>
      <c r="O66" s="40" t="s">
        <v>229</v>
      </c>
      <c r="P66" s="26" t="s">
        <v>173</v>
      </c>
      <c r="Q66" s="27" t="str">
        <f>HYPERLINK("\\hopi-fs\shares\users\dhar\Stalk mount testing\Type 1 Target Quality Assurance\CRYO-ME-1242-0172 2697","folder")</f>
        <v>folder</v>
      </c>
      <c r="R66" s="27"/>
      <c r="S66" t="s">
        <v>139</v>
      </c>
      <c r="T66" t="s">
        <v>140</v>
      </c>
      <c r="X66" s="11"/>
    </row>
    <row r="67" spans="1:24">
      <c r="A67" s="11">
        <v>2697</v>
      </c>
      <c r="B67" s="11">
        <v>19</v>
      </c>
      <c r="C67" s="33">
        <v>1.98</v>
      </c>
      <c r="D67" s="11">
        <v>12.1</v>
      </c>
      <c r="E67" s="11"/>
      <c r="F67" s="11">
        <v>18.8</v>
      </c>
      <c r="G67" s="32" t="s">
        <v>198</v>
      </c>
      <c r="H67" s="19">
        <v>36</v>
      </c>
      <c r="I67" s="19">
        <v>71</v>
      </c>
      <c r="J67" s="17">
        <v>40875</v>
      </c>
      <c r="K67" t="s">
        <v>130</v>
      </c>
      <c r="L67" s="33">
        <v>33.299999999999997</v>
      </c>
      <c r="M67" s="40">
        <v>0.65500000000000003</v>
      </c>
      <c r="N67" s="40">
        <v>145</v>
      </c>
      <c r="O67" s="40" t="s">
        <v>229</v>
      </c>
      <c r="P67" t="s">
        <v>214</v>
      </c>
      <c r="Q67" s="34" t="str">
        <f>HYPERLINK("\\hopi-fs\shares\users\dhar\Stalk mount testing\Type 1 Target Quality Assurance\CRYO-ME-1239-0181 2697","folder")</f>
        <v>folder</v>
      </c>
      <c r="R67" t="s">
        <v>213</v>
      </c>
      <c r="S67" t="s">
        <v>175</v>
      </c>
      <c r="T67" t="s">
        <v>140</v>
      </c>
      <c r="U67" t="s">
        <v>203</v>
      </c>
      <c r="X67" s="11"/>
    </row>
    <row r="68" spans="1:24">
      <c r="A68" s="11">
        <v>2698</v>
      </c>
      <c r="B68" s="11">
        <v>19</v>
      </c>
      <c r="C68" s="20">
        <v>1.95</v>
      </c>
      <c r="D68" s="11">
        <v>12.1</v>
      </c>
      <c r="E68" s="11"/>
      <c r="F68" s="11">
        <v>18.899999999999999</v>
      </c>
      <c r="G68" s="19" t="s">
        <v>162</v>
      </c>
      <c r="H68" s="37">
        <v>32</v>
      </c>
      <c r="I68" s="37">
        <v>67</v>
      </c>
      <c r="J68" s="17">
        <v>40849</v>
      </c>
      <c r="K68" t="s">
        <v>130</v>
      </c>
      <c r="L68" s="25">
        <v>33.4</v>
      </c>
      <c r="M68" s="40">
        <v>0.82699999999999996</v>
      </c>
      <c r="N68" s="40">
        <v>144</v>
      </c>
      <c r="P68" s="13" t="s">
        <v>216</v>
      </c>
      <c r="Q68" s="4" t="str">
        <f>HYPERLINK("\\hopi-fs\shares\users\dhar\Stalk mount testing\Type 1 Target Quality Assurance\CRYO-ME-1235-0171 2698","folder")</f>
        <v>folder</v>
      </c>
      <c r="R68" t="s">
        <v>215</v>
      </c>
      <c r="S68" t="s">
        <v>139</v>
      </c>
      <c r="T68" t="s">
        <v>140</v>
      </c>
      <c r="U68" t="s">
        <v>189</v>
      </c>
      <c r="X68" s="11"/>
    </row>
    <row r="69" spans="1:24">
      <c r="A69" s="11">
        <v>2699</v>
      </c>
      <c r="B69" s="11">
        <v>17</v>
      </c>
      <c r="C69" s="20">
        <v>2.0099999999999998</v>
      </c>
      <c r="D69" s="11">
        <v>12</v>
      </c>
      <c r="E69" s="11"/>
      <c r="F69" s="11">
        <v>18.8</v>
      </c>
      <c r="G69" s="19" t="s">
        <v>150</v>
      </c>
      <c r="H69" s="37">
        <v>32</v>
      </c>
      <c r="I69" s="37">
        <v>68</v>
      </c>
      <c r="J69" s="17">
        <v>40843</v>
      </c>
      <c r="K69" t="s">
        <v>130</v>
      </c>
      <c r="L69" s="25">
        <v>33.299999999999997</v>
      </c>
      <c r="M69" s="40">
        <v>0.35</v>
      </c>
      <c r="N69" s="40">
        <v>125</v>
      </c>
      <c r="O69" s="40" t="s">
        <v>229</v>
      </c>
      <c r="P69" s="26" t="s">
        <v>224</v>
      </c>
      <c r="Q69" s="27" t="str">
        <f>HYPERLINK("\\hopi-fs\shares\users\dhar\Stalk mount testing\Type 1 Target Quality Assurance\CRYO-ME-1237-0170 2699","folder")</f>
        <v>folder</v>
      </c>
      <c r="R69" s="26" t="s">
        <v>213</v>
      </c>
      <c r="S69" t="s">
        <v>139</v>
      </c>
      <c r="T69" t="s">
        <v>140</v>
      </c>
      <c r="U69" t="s">
        <v>165</v>
      </c>
      <c r="X69" s="11"/>
    </row>
    <row r="70" spans="1:24">
      <c r="A70" s="11">
        <v>2700</v>
      </c>
      <c r="B70" s="11">
        <v>19</v>
      </c>
      <c r="C70" s="20">
        <v>2.0099999999999998</v>
      </c>
      <c r="D70" s="11">
        <v>12</v>
      </c>
      <c r="E70" s="11"/>
      <c r="F70" s="11">
        <v>18.850000000000001</v>
      </c>
      <c r="G70" s="32" t="s">
        <v>197</v>
      </c>
      <c r="H70" s="19">
        <v>40</v>
      </c>
      <c r="I70" s="19">
        <v>71.5</v>
      </c>
      <c r="J70" s="17">
        <v>40882</v>
      </c>
      <c r="K70" t="s">
        <v>130</v>
      </c>
      <c r="L70" s="25">
        <v>33.299999999999997</v>
      </c>
      <c r="M70" s="40">
        <v>1</v>
      </c>
      <c r="N70" s="40">
        <v>146</v>
      </c>
      <c r="Q70" s="4" t="str">
        <f>HYPERLINK("\\hopi-fs\shares\users\dhar\Stalk mount testing\Type 1 Target Quality Assurance\CRYO-ME-1235-0183 2700","folder")</f>
        <v>folder</v>
      </c>
      <c r="S70" t="s">
        <v>175</v>
      </c>
      <c r="T70" t="s">
        <v>140</v>
      </c>
      <c r="U70" t="s">
        <v>203</v>
      </c>
      <c r="X70" s="11"/>
    </row>
    <row r="71" spans="1:24">
      <c r="A71" s="11">
        <v>2701</v>
      </c>
      <c r="B71" s="11">
        <v>18.600000000000001</v>
      </c>
      <c r="C71" s="20">
        <v>2</v>
      </c>
      <c r="D71" s="11">
        <v>12</v>
      </c>
      <c r="E71" s="11"/>
      <c r="F71" s="11">
        <v>18.850000000000001</v>
      </c>
      <c r="G71" s="19" t="s">
        <v>170</v>
      </c>
      <c r="H71" s="37" t="s">
        <v>169</v>
      </c>
      <c r="I71" s="37" t="s">
        <v>169</v>
      </c>
      <c r="J71" s="17">
        <v>40855</v>
      </c>
      <c r="K71" t="s">
        <v>130</v>
      </c>
      <c r="L71" s="25">
        <v>33.299999999999997</v>
      </c>
      <c r="M71" s="40">
        <v>8.5999999999999993E-2</v>
      </c>
      <c r="N71" s="40">
        <v>130</v>
      </c>
      <c r="O71" s="40" t="s">
        <v>228</v>
      </c>
      <c r="P71" s="35" t="s">
        <v>202</v>
      </c>
      <c r="Q71" s="36" t="str">
        <f>HYPERLINK("\\hopi-fs\shares\users\dhar\Stalk mount testing\Type 1 Target Quality Assurance\CRYO-ME-1242-0174 2701","folder")</f>
        <v>folder</v>
      </c>
      <c r="R71" s="35" t="s">
        <v>215</v>
      </c>
      <c r="T71" t="s">
        <v>140</v>
      </c>
      <c r="U71" t="s">
        <v>191</v>
      </c>
      <c r="X71" s="11"/>
    </row>
    <row r="72" spans="1:24">
      <c r="A72" s="11">
        <v>2702</v>
      </c>
      <c r="B72" s="11">
        <v>17</v>
      </c>
      <c r="C72" s="20">
        <v>2</v>
      </c>
      <c r="D72" s="11">
        <v>12</v>
      </c>
      <c r="E72" s="11"/>
      <c r="F72" s="11">
        <v>18.850000000000001</v>
      </c>
      <c r="G72" s="32" t="s">
        <v>196</v>
      </c>
      <c r="H72" s="19">
        <v>40</v>
      </c>
      <c r="I72" s="19">
        <v>71.5</v>
      </c>
      <c r="J72" s="17">
        <v>40882</v>
      </c>
      <c r="K72" t="s">
        <v>130</v>
      </c>
      <c r="L72" s="25">
        <v>33.4</v>
      </c>
      <c r="M72" s="38">
        <v>1.1000000000000001</v>
      </c>
      <c r="N72" s="40">
        <v>141</v>
      </c>
      <c r="O72" s="19" t="s">
        <v>227</v>
      </c>
      <c r="P72" s="26" t="s">
        <v>223</v>
      </c>
      <c r="Q72" s="27" t="str">
        <f>HYPERLINK("\\hopi-fs\shares\users\dhar\Stalk mount testing\Type 1 Target Quality Assurance\CRYO-ME-1237-0182 2702","folder")</f>
        <v>folder</v>
      </c>
      <c r="R72" s="34"/>
      <c r="S72" t="s">
        <v>175</v>
      </c>
      <c r="T72" t="s">
        <v>140</v>
      </c>
      <c r="X72" s="11"/>
    </row>
    <row r="73" spans="1:24">
      <c r="A73" s="11">
        <v>2703</v>
      </c>
      <c r="B73" s="11">
        <v>17</v>
      </c>
      <c r="C73" s="20">
        <v>2</v>
      </c>
      <c r="D73" s="11">
        <v>12</v>
      </c>
      <c r="E73" s="11"/>
      <c r="F73" s="11">
        <v>18.8</v>
      </c>
      <c r="G73" s="32" t="s">
        <v>188</v>
      </c>
      <c r="H73" s="11">
        <v>31</v>
      </c>
      <c r="I73" s="37">
        <v>70</v>
      </c>
      <c r="J73" s="17">
        <v>40877</v>
      </c>
      <c r="K73" t="s">
        <v>130</v>
      </c>
      <c r="L73" s="25">
        <v>33.200000000000003</v>
      </c>
      <c r="M73" s="40">
        <v>0.89500000000000002</v>
      </c>
      <c r="N73" s="40">
        <v>134</v>
      </c>
      <c r="O73" s="19" t="s">
        <v>227</v>
      </c>
      <c r="P73" s="26" t="s">
        <v>222</v>
      </c>
      <c r="Q73" s="27" t="str">
        <f>HYPERLINK("\\hopi-fs\shares\users\dhar\Stalk mount testing\Type 1 Target Quality Assurance\CRYO-ME-1238-0176 2703","folder")</f>
        <v>folder</v>
      </c>
      <c r="R73" s="34"/>
      <c r="S73" t="s">
        <v>175</v>
      </c>
      <c r="T73" t="s">
        <v>140</v>
      </c>
      <c r="X73" s="11"/>
    </row>
    <row r="74" spans="1:24">
      <c r="A74" s="11">
        <v>2704</v>
      </c>
      <c r="B74" s="19">
        <v>19</v>
      </c>
      <c r="C74" s="20">
        <v>2.0499999999999998</v>
      </c>
      <c r="D74">
        <v>12.1</v>
      </c>
      <c r="F74" s="41">
        <v>19.100000000000001</v>
      </c>
      <c r="G74" s="32" t="s">
        <v>232</v>
      </c>
      <c r="H74" s="37">
        <v>28</v>
      </c>
      <c r="I74" s="41">
        <v>70</v>
      </c>
      <c r="J74" s="17">
        <v>40896</v>
      </c>
      <c r="K74" t="s">
        <v>130</v>
      </c>
      <c r="L74" s="25">
        <v>33.6</v>
      </c>
      <c r="M74" s="40">
        <v>0.7</v>
      </c>
      <c r="N74" s="40">
        <v>134</v>
      </c>
      <c r="Q74" s="4" t="str">
        <f>HYPERLINK("\\hopi-fs\shares\users\dhar\Stalk mount testing\Type 1 Target Quality Assurance\CRYO-ME-1234-0189 2704","folder")</f>
        <v>folder</v>
      </c>
      <c r="S74" t="s">
        <v>176</v>
      </c>
      <c r="T74" t="s">
        <v>140</v>
      </c>
      <c r="U74" t="s">
        <v>241</v>
      </c>
      <c r="X74" s="11"/>
    </row>
    <row r="75" spans="1:24">
      <c r="A75" s="11">
        <v>2587</v>
      </c>
      <c r="B75" s="46">
        <v>21</v>
      </c>
      <c r="C75" s="20">
        <v>1.92</v>
      </c>
      <c r="D75">
        <v>12.3</v>
      </c>
      <c r="F75" s="41">
        <v>18.850000000000001</v>
      </c>
      <c r="G75" s="32" t="s">
        <v>182</v>
      </c>
      <c r="H75" s="37">
        <v>43</v>
      </c>
      <c r="I75" s="37">
        <v>68</v>
      </c>
      <c r="J75" s="17">
        <v>40863</v>
      </c>
      <c r="K75" t="s">
        <v>130</v>
      </c>
      <c r="L75" s="25">
        <v>33.5</v>
      </c>
      <c r="M75" s="40">
        <v>0.54</v>
      </c>
      <c r="N75" s="40">
        <v>143</v>
      </c>
      <c r="O75" s="40" t="s">
        <v>218</v>
      </c>
      <c r="P75" s="26" t="s">
        <v>207</v>
      </c>
      <c r="Q75" s="27" t="str">
        <f>HYPERLINK("\\hopi-fs\shares\users\dhar\Stalk mount testing\Type 1 Target Quality Assurance\CRYO-ME-1236-0175 2587","folder")</f>
        <v>folder</v>
      </c>
      <c r="R75" s="26" t="s">
        <v>211</v>
      </c>
      <c r="S75" t="s">
        <v>175</v>
      </c>
      <c r="T75" t="s">
        <v>140</v>
      </c>
      <c r="U75" t="s">
        <v>191</v>
      </c>
      <c r="X75" s="11"/>
    </row>
    <row r="76" spans="1:24">
      <c r="A76" s="11">
        <v>2108</v>
      </c>
      <c r="B76" s="19">
        <v>19</v>
      </c>
      <c r="C76" s="20">
        <v>2</v>
      </c>
      <c r="D76">
        <v>12</v>
      </c>
      <c r="F76" s="41">
        <v>19.170000000000002</v>
      </c>
      <c r="G76" s="32" t="s">
        <v>204</v>
      </c>
      <c r="H76" s="19">
        <v>26</v>
      </c>
      <c r="I76" s="19">
        <v>70</v>
      </c>
      <c r="J76" s="17">
        <v>40886</v>
      </c>
      <c r="K76" t="s">
        <v>130</v>
      </c>
      <c r="L76" s="25">
        <v>33.700000000000003</v>
      </c>
      <c r="M76" s="40">
        <v>0.85</v>
      </c>
      <c r="N76" s="40">
        <v>148</v>
      </c>
      <c r="Q76" s="4" t="str">
        <f>HYPERLINK("\\hopi-fs\shares\users\dhar\Stalk mount testing\Type 1 Target Quality Assurance\CRYO-ME-1240-0185 2108","folder")</f>
        <v>folder</v>
      </c>
      <c r="S76" t="s">
        <v>176</v>
      </c>
      <c r="T76" t="s">
        <v>140</v>
      </c>
      <c r="U76" t="s">
        <v>240</v>
      </c>
      <c r="X76" s="11"/>
    </row>
    <row r="77" spans="1:24">
      <c r="A77" s="11">
        <v>2102</v>
      </c>
      <c r="B77" s="19">
        <v>16</v>
      </c>
      <c r="C77" s="20">
        <v>2.04</v>
      </c>
      <c r="D77">
        <v>12</v>
      </c>
      <c r="F77" s="41">
        <v>18.899999999999999</v>
      </c>
      <c r="G77" s="19" t="s">
        <v>233</v>
      </c>
      <c r="H77" s="37">
        <v>28</v>
      </c>
      <c r="I77" s="37">
        <v>70</v>
      </c>
      <c r="J77" s="17">
        <v>40896</v>
      </c>
      <c r="K77" t="s">
        <v>130</v>
      </c>
      <c r="L77" s="25">
        <v>33.299999999999997</v>
      </c>
      <c r="M77" s="40">
        <v>0.47</v>
      </c>
      <c r="N77" s="40">
        <v>120</v>
      </c>
      <c r="Q77" s="4" t="str">
        <f>HYPERLINK("\\hopi-fs\shares\users\dhar\Stalk mount testing\Type 1 Target Quality Assurance\CRYO-ME-1239-0188 2102","folder")</f>
        <v>folder</v>
      </c>
      <c r="S77" t="s">
        <v>176</v>
      </c>
      <c r="T77" t="s">
        <v>140</v>
      </c>
      <c r="U77" t="s">
        <v>240</v>
      </c>
      <c r="X77" s="11"/>
    </row>
    <row r="78" spans="1:24">
      <c r="A78" s="11">
        <v>2083</v>
      </c>
      <c r="B78" s="46">
        <v>20</v>
      </c>
      <c r="C78" s="20">
        <v>1.94</v>
      </c>
      <c r="D78">
        <v>11.33</v>
      </c>
      <c r="F78" s="41">
        <v>19</v>
      </c>
      <c r="G78" s="32" t="s">
        <v>195</v>
      </c>
      <c r="H78" s="39">
        <v>31</v>
      </c>
      <c r="I78" s="39">
        <v>70</v>
      </c>
      <c r="J78" s="17">
        <v>40877</v>
      </c>
      <c r="K78" t="s">
        <v>130</v>
      </c>
      <c r="L78" s="25">
        <v>32.700000000000003</v>
      </c>
      <c r="M78" s="40">
        <v>0.99</v>
      </c>
      <c r="N78" s="40">
        <v>163</v>
      </c>
      <c r="Q78" s="4" t="str">
        <f>HYPERLINK("\\hopi-fs\shares\users\dhar\Stalk mount testing\Type 1 Target Quality Assurance\CRYO-ME-1233-0178 2083","folder")</f>
        <v>folder</v>
      </c>
      <c r="S78" t="s">
        <v>177</v>
      </c>
      <c r="T78" t="s">
        <v>140</v>
      </c>
      <c r="U78" t="s">
        <v>201</v>
      </c>
      <c r="X78" s="11"/>
    </row>
    <row r="79" spans="1:24">
      <c r="A79" s="11">
        <v>2706</v>
      </c>
      <c r="B79" s="46">
        <v>20.6</v>
      </c>
      <c r="C79" s="20">
        <v>1.95</v>
      </c>
      <c r="D79">
        <v>12</v>
      </c>
      <c r="F79" s="41">
        <v>18.899999999999999</v>
      </c>
      <c r="G79" s="19" t="s">
        <v>180</v>
      </c>
      <c r="H79" s="37">
        <v>31</v>
      </c>
      <c r="I79" s="37">
        <v>70</v>
      </c>
      <c r="J79" s="17">
        <v>40877</v>
      </c>
      <c r="K79" t="s">
        <v>130</v>
      </c>
      <c r="L79" s="25">
        <v>33.299999999999997</v>
      </c>
      <c r="M79" s="40" t="s">
        <v>193</v>
      </c>
      <c r="N79" s="40">
        <v>146</v>
      </c>
      <c r="O79" s="19"/>
      <c r="P79" s="26" t="s">
        <v>221</v>
      </c>
      <c r="Q79" s="4" t="str">
        <f>HYPERLINK("\\hopi-fs\shares\users\dhar\Stalk mount testing\Type 1 Target Quality Assurance\CRYO-ME-1236-0179 2706","folder")</f>
        <v>folder</v>
      </c>
      <c r="R79" s="26" t="s">
        <v>213</v>
      </c>
      <c r="S79" t="s">
        <v>175</v>
      </c>
      <c r="T79" t="s">
        <v>140</v>
      </c>
      <c r="U79" t="s">
        <v>201</v>
      </c>
      <c r="X79" s="11"/>
    </row>
    <row r="80" spans="1:24">
      <c r="A80" s="11">
        <v>2705</v>
      </c>
      <c r="B80" s="46">
        <v>18</v>
      </c>
      <c r="C80" s="20">
        <v>2.0099999999999998</v>
      </c>
      <c r="D80">
        <v>12.1</v>
      </c>
      <c r="F80" s="41">
        <v>18.8</v>
      </c>
      <c r="G80" s="32" t="s">
        <v>181</v>
      </c>
      <c r="H80" s="37">
        <v>31</v>
      </c>
      <c r="I80" s="37">
        <v>70</v>
      </c>
      <c r="J80" s="17">
        <v>40877</v>
      </c>
      <c r="K80" t="s">
        <v>130</v>
      </c>
      <c r="L80" s="25">
        <v>33.4</v>
      </c>
      <c r="M80" s="40">
        <v>0.39</v>
      </c>
      <c r="N80" s="40">
        <v>136</v>
      </c>
      <c r="O80" s="44" t="s">
        <v>225</v>
      </c>
      <c r="P80" s="26" t="s">
        <v>220</v>
      </c>
      <c r="R80" s="26" t="s">
        <v>211</v>
      </c>
      <c r="S80" t="s">
        <v>175</v>
      </c>
      <c r="T80" t="s">
        <v>140</v>
      </c>
      <c r="U80" t="s">
        <v>201</v>
      </c>
      <c r="X80" s="11"/>
    </row>
    <row r="81" spans="1:25">
      <c r="A81" s="11">
        <v>2430</v>
      </c>
      <c r="B81" s="46">
        <v>20</v>
      </c>
      <c r="C81" s="20">
        <v>2.12</v>
      </c>
      <c r="D81">
        <v>11.9</v>
      </c>
      <c r="F81" s="41">
        <v>19.2</v>
      </c>
      <c r="G81" s="32" t="s">
        <v>194</v>
      </c>
      <c r="H81" s="37">
        <v>31</v>
      </c>
      <c r="I81" s="37">
        <v>70</v>
      </c>
      <c r="J81" s="17">
        <v>40877</v>
      </c>
      <c r="K81" t="s">
        <v>130</v>
      </c>
      <c r="L81" s="25">
        <v>33.700000000000003</v>
      </c>
      <c r="M81" s="40">
        <v>0.83499999999999996</v>
      </c>
      <c r="N81" s="40">
        <v>144</v>
      </c>
      <c r="O81" s="19"/>
      <c r="P81" s="26" t="s">
        <v>219</v>
      </c>
      <c r="Q81" s="27" t="str">
        <f>HYPERLINK("\\hopi-fs\shares\users\dhar\Stalk mount testing\Type 1 Target Quality Assurance\CRYO-ME-1234-0177 2430","folder")</f>
        <v>folder</v>
      </c>
      <c r="R81" s="26" t="s">
        <v>213</v>
      </c>
      <c r="S81" t="s">
        <v>175</v>
      </c>
      <c r="T81" t="s">
        <v>140</v>
      </c>
      <c r="U81" t="s">
        <v>201</v>
      </c>
      <c r="X81" s="19"/>
    </row>
    <row r="82" spans="1:25">
      <c r="A82" s="11">
        <v>2585</v>
      </c>
      <c r="B82" s="46">
        <v>17</v>
      </c>
      <c r="C82" s="20">
        <v>2.0499999999999998</v>
      </c>
      <c r="D82">
        <v>12</v>
      </c>
      <c r="F82" s="41">
        <v>18.829999999999998</v>
      </c>
      <c r="G82" s="32" t="s">
        <v>200</v>
      </c>
      <c r="H82" s="19">
        <v>40</v>
      </c>
      <c r="I82" s="19">
        <v>71.5</v>
      </c>
      <c r="J82" s="17">
        <v>40882</v>
      </c>
      <c r="K82" t="s">
        <v>130</v>
      </c>
      <c r="L82" s="25">
        <v>33.5</v>
      </c>
      <c r="M82" s="40">
        <v>0.37</v>
      </c>
      <c r="N82" s="40">
        <v>135</v>
      </c>
      <c r="Q82" s="4" t="str">
        <f>HYPERLINK("\\hopi-fs\shares\users\dhar\Stalk mount testing\Type 1 Target Quality Assurance\CRYO-ME-1236-0184 2585","folder")</f>
        <v>folder</v>
      </c>
      <c r="S82" t="s">
        <v>184</v>
      </c>
      <c r="T82" t="s">
        <v>140</v>
      </c>
      <c r="U82" t="s">
        <v>203</v>
      </c>
      <c r="X82" s="189"/>
    </row>
    <row r="83" spans="1:25">
      <c r="A83" s="11">
        <v>2281</v>
      </c>
      <c r="B83" s="46">
        <v>20</v>
      </c>
      <c r="C83" s="20">
        <v>2.04</v>
      </c>
      <c r="D83">
        <v>12</v>
      </c>
      <c r="F83" s="41">
        <v>18.7</v>
      </c>
      <c r="G83" s="19" t="s">
        <v>64</v>
      </c>
      <c r="H83" s="19">
        <v>33.5</v>
      </c>
      <c r="I83" s="19">
        <v>71.5</v>
      </c>
      <c r="J83" s="17">
        <v>40883</v>
      </c>
      <c r="K83" t="s">
        <v>130</v>
      </c>
      <c r="L83" s="25">
        <v>33.200000000000003</v>
      </c>
      <c r="M83" s="40">
        <v>0.51500000000000001</v>
      </c>
      <c r="N83" s="40">
        <v>136</v>
      </c>
      <c r="P83" s="26" t="s">
        <v>264</v>
      </c>
      <c r="Q83" s="4" t="str">
        <f>HYPERLINK("\\hopi-fs\shares\users\dhar\Stalk mount testing\Type 1 Target Quality Assurance\CRYO-ME-57 2281","folder")</f>
        <v>folder</v>
      </c>
      <c r="R83" s="26" t="s">
        <v>263</v>
      </c>
      <c r="S83" t="s">
        <v>175</v>
      </c>
      <c r="T83" t="s">
        <v>140</v>
      </c>
      <c r="U83" t="s">
        <v>203</v>
      </c>
      <c r="X83" s="189"/>
    </row>
    <row r="84" spans="1:25">
      <c r="A84" s="11">
        <v>2588</v>
      </c>
      <c r="B84" s="46">
        <v>17</v>
      </c>
      <c r="C84" s="20">
        <v>2.09</v>
      </c>
      <c r="D84">
        <v>12.1</v>
      </c>
      <c r="F84" s="41">
        <v>18.8</v>
      </c>
      <c r="G84" s="19" t="s">
        <v>205</v>
      </c>
      <c r="H84" s="19">
        <v>26</v>
      </c>
      <c r="I84" s="19">
        <v>70</v>
      </c>
      <c r="J84" s="17">
        <v>40886</v>
      </c>
      <c r="K84" t="s">
        <v>130</v>
      </c>
      <c r="L84" s="25">
        <v>33.4</v>
      </c>
      <c r="M84" s="19" t="s">
        <v>231</v>
      </c>
      <c r="N84" s="40">
        <v>133</v>
      </c>
      <c r="Q84" s="4" t="str">
        <f>HYPERLINK("\\hopi-fs\shares\users\dhar\Stalk mount testing\Type 1 Target Quality Assurance\CRYO-ME-1232-0186 2588","folder")</f>
        <v>folder</v>
      </c>
      <c r="S84" t="s">
        <v>175</v>
      </c>
      <c r="T84" t="s">
        <v>140</v>
      </c>
      <c r="U84" t="s">
        <v>241</v>
      </c>
      <c r="X84" s="189"/>
    </row>
    <row r="85" spans="1:25">
      <c r="A85" s="11">
        <v>2653</v>
      </c>
      <c r="B85" s="46">
        <v>19</v>
      </c>
      <c r="C85" s="20">
        <v>1.98</v>
      </c>
      <c r="D85">
        <v>12.15</v>
      </c>
      <c r="F85" s="41">
        <v>18.8</v>
      </c>
      <c r="G85" s="32" t="s">
        <v>234</v>
      </c>
      <c r="H85" s="41">
        <v>28</v>
      </c>
      <c r="I85" s="41">
        <v>70</v>
      </c>
      <c r="J85" s="17">
        <v>40896</v>
      </c>
      <c r="K85" t="s">
        <v>130</v>
      </c>
      <c r="L85" s="25">
        <v>33.4</v>
      </c>
      <c r="M85" s="40">
        <v>0.56999999999999995</v>
      </c>
      <c r="N85" s="40">
        <v>133</v>
      </c>
      <c r="Q85" s="4" t="str">
        <f>HYPERLINK("\\hopi-fs\shares\users\dhar\Stalk mount testing\Type 1 Target Quality Assurance\CRYO-ME-1240-0190 2653","folder")</f>
        <v>folder</v>
      </c>
      <c r="S85" t="s">
        <v>175</v>
      </c>
      <c r="T85" t="s">
        <v>140</v>
      </c>
      <c r="U85" t="s">
        <v>252</v>
      </c>
      <c r="X85" s="189"/>
    </row>
    <row r="86" spans="1:25">
      <c r="A86" s="11">
        <v>2714</v>
      </c>
      <c r="G86" s="47" t="s">
        <v>235</v>
      </c>
      <c r="H86" s="37">
        <v>23</v>
      </c>
      <c r="I86" s="37">
        <v>69</v>
      </c>
      <c r="J86" s="17">
        <v>40897</v>
      </c>
      <c r="K86" t="s">
        <v>130</v>
      </c>
      <c r="Q86" s="4" t="str">
        <f>HYPERLINK("\\hopi-fs\shares\users\dhar\Stalk mount testing\Type 1 Target Quality Assurance\CRYO-2095-1891 2714","folder")</f>
        <v>folder</v>
      </c>
      <c r="S86" t="s">
        <v>175</v>
      </c>
      <c r="T86" t="s">
        <v>140</v>
      </c>
      <c r="X86" s="189">
        <v>1</v>
      </c>
    </row>
    <row r="87" spans="1:25">
      <c r="A87" s="11">
        <v>2715</v>
      </c>
      <c r="B87" s="46">
        <v>20</v>
      </c>
      <c r="C87" s="20">
        <v>2.02</v>
      </c>
      <c r="D87" s="46">
        <v>12.16</v>
      </c>
      <c r="E87" s="174"/>
      <c r="F87" s="41">
        <v>18.829999999999998</v>
      </c>
      <c r="G87" s="52" t="s">
        <v>236</v>
      </c>
      <c r="H87" s="37">
        <v>22</v>
      </c>
      <c r="I87" s="37">
        <v>70</v>
      </c>
      <c r="J87" s="17">
        <v>40897</v>
      </c>
      <c r="K87" t="s">
        <v>130</v>
      </c>
      <c r="L87" s="25">
        <v>33.5</v>
      </c>
      <c r="M87" s="40">
        <v>1</v>
      </c>
      <c r="N87" s="40">
        <v>209</v>
      </c>
      <c r="Q87" s="4" t="str">
        <f>HYPERLINK("\\hopi-fs\shares\users\dhar\Stalk mount testing\Type 1 Target Quality Assurance\CRYO-2093-1898 2715","folder")</f>
        <v>folder</v>
      </c>
      <c r="S87" t="s">
        <v>175</v>
      </c>
      <c r="T87" t="s">
        <v>140</v>
      </c>
      <c r="U87" t="s">
        <v>254</v>
      </c>
      <c r="X87" s="189">
        <v>1</v>
      </c>
      <c r="Y87">
        <v>1</v>
      </c>
    </row>
    <row r="88" spans="1:25">
      <c r="A88" s="11">
        <v>2076</v>
      </c>
      <c r="B88" s="46">
        <v>19</v>
      </c>
      <c r="C88" s="20">
        <v>2</v>
      </c>
      <c r="D88" s="46">
        <v>12.1</v>
      </c>
      <c r="E88" s="174"/>
      <c r="F88" s="41">
        <v>18.8</v>
      </c>
      <c r="G88" s="52" t="s">
        <v>237</v>
      </c>
      <c r="H88" s="37">
        <v>21</v>
      </c>
      <c r="I88" s="37">
        <v>72</v>
      </c>
      <c r="J88" s="17">
        <v>40897</v>
      </c>
      <c r="K88" t="s">
        <v>130</v>
      </c>
      <c r="L88" s="25">
        <v>33.4</v>
      </c>
      <c r="M88" s="40">
        <v>0.9</v>
      </c>
      <c r="N88" s="40">
        <v>192</v>
      </c>
      <c r="Q88" s="4" t="str">
        <f>HYPERLINK("\\hopi-fs\shares\users\dhar\Stalk mount testing\Type 1 Target Quality Assurance\CRYO-2092-1899 2076","folder")</f>
        <v>folder</v>
      </c>
      <c r="S88" t="s">
        <v>175</v>
      </c>
      <c r="T88" t="s">
        <v>140</v>
      </c>
      <c r="X88" s="189">
        <v>1</v>
      </c>
    </row>
    <row r="89" spans="1:25">
      <c r="A89" s="11">
        <v>2712</v>
      </c>
      <c r="B89" s="46">
        <v>20</v>
      </c>
      <c r="C89" s="20">
        <v>2</v>
      </c>
      <c r="D89" s="46">
        <v>12.1</v>
      </c>
      <c r="E89" s="174"/>
      <c r="F89" s="41">
        <v>18.8</v>
      </c>
      <c r="G89" s="52" t="s">
        <v>238</v>
      </c>
      <c r="H89" s="37">
        <v>21</v>
      </c>
      <c r="I89" s="37">
        <v>72</v>
      </c>
      <c r="J89" s="17">
        <v>40897</v>
      </c>
      <c r="K89" t="s">
        <v>130</v>
      </c>
      <c r="L89" s="25">
        <v>33.4</v>
      </c>
      <c r="M89" s="40">
        <v>0.92</v>
      </c>
      <c r="N89" s="40">
        <v>191</v>
      </c>
      <c r="Q89" s="4" t="str">
        <f>HYPERLINK("\\hopi-fs\shares\users\dhar\Stalk mount testing\Type 1 Target Quality Assurance\CRYO-2093-1900 2712","folder")</f>
        <v>folder</v>
      </c>
      <c r="S89" t="s">
        <v>175</v>
      </c>
      <c r="T89" t="s">
        <v>140</v>
      </c>
      <c r="U89" t="s">
        <v>254</v>
      </c>
      <c r="X89" s="189">
        <v>1</v>
      </c>
      <c r="Y89">
        <v>1</v>
      </c>
    </row>
    <row r="90" spans="1:25">
      <c r="A90" s="11">
        <v>2713</v>
      </c>
      <c r="B90" s="46">
        <v>23</v>
      </c>
      <c r="C90" s="20">
        <v>1.99</v>
      </c>
      <c r="D90" s="48">
        <v>11.9</v>
      </c>
      <c r="E90" s="174"/>
      <c r="F90" s="41">
        <v>18.8</v>
      </c>
      <c r="G90" s="53" t="s">
        <v>242</v>
      </c>
      <c r="H90" s="37">
        <v>41.8</v>
      </c>
      <c r="I90" s="37">
        <v>72</v>
      </c>
      <c r="J90" s="17">
        <v>40898</v>
      </c>
      <c r="K90" t="s">
        <v>130</v>
      </c>
      <c r="L90" s="25">
        <v>33.200000000000003</v>
      </c>
      <c r="M90" s="40">
        <v>0.46</v>
      </c>
      <c r="N90" s="40">
        <v>198</v>
      </c>
      <c r="Q90" s="4" t="str">
        <f>HYPERLINK("\\hopi-fs\shares\users\dhar\Stalk mount testing\Type 1 Target Quality Assurance\CRYO-45054-076 2713","folder")</f>
        <v>folder</v>
      </c>
      <c r="S90" t="s">
        <v>175</v>
      </c>
      <c r="T90" t="s">
        <v>140</v>
      </c>
      <c r="U90" t="s">
        <v>254</v>
      </c>
      <c r="X90" s="189">
        <v>1</v>
      </c>
      <c r="Y90">
        <v>1</v>
      </c>
    </row>
    <row r="91" spans="1:25">
      <c r="A91" s="11">
        <v>2714</v>
      </c>
      <c r="B91" s="46">
        <v>19</v>
      </c>
      <c r="C91" s="20">
        <v>2</v>
      </c>
      <c r="D91" s="49">
        <v>12</v>
      </c>
      <c r="E91" s="174"/>
      <c r="F91" s="41">
        <v>18.8</v>
      </c>
      <c r="G91" s="53" t="s">
        <v>243</v>
      </c>
      <c r="H91" s="49">
        <v>41.8</v>
      </c>
      <c r="I91" s="49">
        <v>72</v>
      </c>
      <c r="J91" s="17">
        <v>40898</v>
      </c>
      <c r="K91" t="s">
        <v>130</v>
      </c>
      <c r="L91" s="25">
        <v>33.299999999999997</v>
      </c>
      <c r="M91" s="40">
        <v>0.48</v>
      </c>
      <c r="N91" s="40">
        <v>189</v>
      </c>
      <c r="Q91" s="4" t="str">
        <f>HYPERLINK("\\hopi-fs\shares\users\dhar\Stalk mount testing\Type 1 Target Quality Assurance\CRYO-44951-078 2714","folder")</f>
        <v>folder</v>
      </c>
      <c r="S91" t="s">
        <v>175</v>
      </c>
      <c r="T91" t="s">
        <v>140</v>
      </c>
      <c r="U91" t="s">
        <v>254</v>
      </c>
      <c r="X91" s="189">
        <v>1</v>
      </c>
      <c r="Y91">
        <v>1</v>
      </c>
    </row>
    <row r="92" spans="1:25">
      <c r="A92" s="11">
        <v>2079</v>
      </c>
      <c r="B92" s="46">
        <v>18</v>
      </c>
      <c r="C92" s="20">
        <v>2</v>
      </c>
      <c r="D92" s="49">
        <v>12</v>
      </c>
      <c r="E92" s="174"/>
      <c r="F92" s="41">
        <v>18.75</v>
      </c>
      <c r="G92" s="53" t="s">
        <v>244</v>
      </c>
      <c r="H92" s="49">
        <v>41.8</v>
      </c>
      <c r="I92" s="49">
        <v>73</v>
      </c>
      <c r="J92" s="17">
        <v>40898</v>
      </c>
      <c r="K92" t="s">
        <v>130</v>
      </c>
      <c r="L92" s="25">
        <v>33.299999999999997</v>
      </c>
      <c r="M92" s="40">
        <v>0.73</v>
      </c>
      <c r="N92" s="40">
        <v>195</v>
      </c>
      <c r="Q92" s="4" t="str">
        <f>HYPERLINK("\\hopi-fs\shares\users\dhar\Stalk mount testing\Type 1 Target Quality Assurance\CRYO-45449-088 2079","folder")</f>
        <v>folder</v>
      </c>
      <c r="S92" t="s">
        <v>175</v>
      </c>
      <c r="T92" t="s">
        <v>140</v>
      </c>
      <c r="U92" t="s">
        <v>254</v>
      </c>
      <c r="X92" s="189">
        <v>1</v>
      </c>
      <c r="Y92">
        <v>1</v>
      </c>
    </row>
    <row r="93" spans="1:25">
      <c r="A93" s="11" t="s">
        <v>247</v>
      </c>
      <c r="B93" s="46">
        <v>15</v>
      </c>
      <c r="C93" s="20">
        <v>2</v>
      </c>
      <c r="D93" s="49">
        <v>12</v>
      </c>
      <c r="E93" s="174"/>
      <c r="F93" s="41">
        <v>18.7</v>
      </c>
      <c r="G93" s="19"/>
      <c r="H93" s="49">
        <v>37</v>
      </c>
      <c r="I93" s="49">
        <v>71</v>
      </c>
      <c r="J93" s="17">
        <v>40899</v>
      </c>
      <c r="K93" t="s">
        <v>130</v>
      </c>
      <c r="L93" s="25">
        <v>33.200000000000003</v>
      </c>
      <c r="M93" s="40">
        <v>0.88</v>
      </c>
      <c r="P93" s="26" t="s">
        <v>248</v>
      </c>
      <c r="Q93" s="4" t="str">
        <f>HYPERLINK("\\hopi-fs\shares\users\dhar\Stalk mount testing\Type 1 Target Quality Assurance\CRYO-45251-089 2082","folder")</f>
        <v>folder</v>
      </c>
      <c r="S93" t="s">
        <v>175</v>
      </c>
      <c r="T93" t="s">
        <v>140</v>
      </c>
      <c r="X93" s="189"/>
    </row>
    <row r="94" spans="1:25">
      <c r="A94" s="11">
        <v>2081</v>
      </c>
      <c r="B94" s="46">
        <v>19</v>
      </c>
      <c r="C94" s="20">
        <v>2</v>
      </c>
      <c r="D94" s="49">
        <v>12</v>
      </c>
      <c r="E94" s="174"/>
      <c r="F94" s="41">
        <v>18.760000000000002</v>
      </c>
      <c r="G94" s="52" t="s">
        <v>246</v>
      </c>
      <c r="H94" s="37">
        <v>36</v>
      </c>
      <c r="I94" s="37">
        <v>71</v>
      </c>
      <c r="J94" s="17">
        <v>40899</v>
      </c>
      <c r="K94" t="s">
        <v>130</v>
      </c>
      <c r="L94" s="25">
        <v>33.200000000000003</v>
      </c>
      <c r="M94" s="40">
        <v>0.41</v>
      </c>
      <c r="N94" s="40">
        <v>196</v>
      </c>
      <c r="Q94" s="4" t="str">
        <f>HYPERLINK("\\hopi-fs\shares\users\dhar\Stalk mount testing\Type 1 Target Quality Assurance\CRYO-2094-1901 2081","folder")</f>
        <v>folder</v>
      </c>
      <c r="S94" t="s">
        <v>175</v>
      </c>
      <c r="T94" t="s">
        <v>140</v>
      </c>
      <c r="U94" t="s">
        <v>254</v>
      </c>
      <c r="X94" s="189">
        <v>1</v>
      </c>
      <c r="Y94">
        <v>1</v>
      </c>
    </row>
    <row r="95" spans="1:25">
      <c r="A95" s="76">
        <v>2082</v>
      </c>
      <c r="B95" s="46">
        <v>19</v>
      </c>
      <c r="C95" s="20">
        <v>2</v>
      </c>
      <c r="D95" s="49">
        <v>11.9</v>
      </c>
      <c r="E95" s="174"/>
      <c r="F95" s="41">
        <v>18.8</v>
      </c>
      <c r="G95" s="50" t="s">
        <v>245</v>
      </c>
      <c r="H95" s="37">
        <v>35</v>
      </c>
      <c r="I95" s="37">
        <v>72</v>
      </c>
      <c r="J95" s="17">
        <v>40899</v>
      </c>
      <c r="K95" t="s">
        <v>130</v>
      </c>
      <c r="L95" s="25">
        <v>33.299999999999997</v>
      </c>
      <c r="M95" s="40">
        <v>0.57999999999999996</v>
      </c>
      <c r="N95" s="40">
        <v>194</v>
      </c>
      <c r="Q95" s="4" t="str">
        <f>HYPERLINK("\\hopi-fs\shares\users\dhar\Stalk mount testing\Type 1 Target Quality Assurance\CRYO-45251-089 2082","folder")</f>
        <v>folder</v>
      </c>
      <c r="S95" t="s">
        <v>175</v>
      </c>
      <c r="T95" t="s">
        <v>140</v>
      </c>
      <c r="X95" s="189">
        <v>1</v>
      </c>
    </row>
    <row r="96" spans="1:25">
      <c r="A96" s="11">
        <v>2088</v>
      </c>
      <c r="B96" s="46">
        <v>15</v>
      </c>
      <c r="C96" s="20">
        <v>2</v>
      </c>
      <c r="D96" s="60">
        <v>12.05</v>
      </c>
      <c r="E96" s="174"/>
      <c r="F96" s="41">
        <v>18.8</v>
      </c>
      <c r="G96" s="68" t="s">
        <v>288</v>
      </c>
      <c r="H96" s="37">
        <v>33.799999999999997</v>
      </c>
      <c r="I96" s="37">
        <v>70</v>
      </c>
      <c r="J96" s="17">
        <v>40925</v>
      </c>
      <c r="K96" t="s">
        <v>130</v>
      </c>
      <c r="L96" s="25">
        <v>33.5</v>
      </c>
      <c r="M96" s="40">
        <v>0.35</v>
      </c>
      <c r="N96" s="40">
        <v>175</v>
      </c>
      <c r="Q96" s="4" t="str">
        <f>HYPERLINK("\\Hopi-fs\shares\users\dhar\Stalk mount testing\Type 1 Target Quality Assurance\CRYO-44751-096 2088","folder")</f>
        <v>folder</v>
      </c>
      <c r="S96" t="s">
        <v>175</v>
      </c>
      <c r="T96" t="s">
        <v>140</v>
      </c>
      <c r="U96" t="s">
        <v>302</v>
      </c>
      <c r="X96" s="189">
        <v>1</v>
      </c>
      <c r="Y96">
        <v>1</v>
      </c>
    </row>
    <row r="97" spans="1:25">
      <c r="A97" s="11">
        <v>2691</v>
      </c>
      <c r="B97" s="46">
        <v>20</v>
      </c>
      <c r="C97" s="20">
        <v>2</v>
      </c>
      <c r="D97" s="65">
        <v>12</v>
      </c>
      <c r="E97" s="174"/>
      <c r="F97" s="41">
        <v>18.8</v>
      </c>
      <c r="G97" s="68" t="s">
        <v>289</v>
      </c>
      <c r="H97" s="19">
        <v>33.799999999999997</v>
      </c>
      <c r="I97" s="19">
        <v>70</v>
      </c>
      <c r="J97" s="72">
        <v>40925</v>
      </c>
      <c r="K97" s="13" t="s">
        <v>130</v>
      </c>
      <c r="L97" s="19">
        <v>33.299999999999997</v>
      </c>
      <c r="M97" s="19">
        <v>0.76500000000000001</v>
      </c>
      <c r="N97" s="19">
        <v>185</v>
      </c>
      <c r="Q97" s="4" t="str">
        <f>HYPERLINK("\\Hopi-fs\shares\users\dhar\Stalk mount testing\Type 1 Target Quality Assurance\CRYO-44749-097 2691","folder")</f>
        <v>folder</v>
      </c>
      <c r="S97" t="s">
        <v>175</v>
      </c>
      <c r="T97" t="s">
        <v>140</v>
      </c>
      <c r="U97" t="s">
        <v>302</v>
      </c>
      <c r="X97" s="189">
        <v>1</v>
      </c>
      <c r="Y97">
        <v>1</v>
      </c>
    </row>
    <row r="98" spans="1:25">
      <c r="A98" s="11">
        <v>2248</v>
      </c>
      <c r="B98" s="46">
        <v>16</v>
      </c>
      <c r="C98" s="20">
        <v>1.96</v>
      </c>
      <c r="D98" s="65">
        <v>12</v>
      </c>
      <c r="E98" s="174"/>
      <c r="F98" s="41">
        <v>19</v>
      </c>
      <c r="G98" s="68" t="s">
        <v>290</v>
      </c>
      <c r="H98" s="19">
        <v>33.799999999999997</v>
      </c>
      <c r="I98" s="19">
        <v>70</v>
      </c>
      <c r="J98" s="72">
        <v>40925</v>
      </c>
      <c r="K98" s="13" t="s">
        <v>130</v>
      </c>
      <c r="L98" s="19">
        <v>33.4</v>
      </c>
      <c r="M98" s="19">
        <v>0.64</v>
      </c>
      <c r="N98" s="19">
        <v>174</v>
      </c>
      <c r="Q98" s="4" t="str">
        <f>HYPERLINK("\\Hopi-fs\shares\users\dhar\Stalk mount testing\Type 1 Target Quality Assurance\CRYO-44849-098 2248","folder")</f>
        <v>folder</v>
      </c>
      <c r="S98" t="s">
        <v>175</v>
      </c>
      <c r="T98" t="s">
        <v>140</v>
      </c>
      <c r="U98" t="s">
        <v>302</v>
      </c>
      <c r="X98" s="189">
        <v>1</v>
      </c>
      <c r="Y98">
        <v>1</v>
      </c>
    </row>
    <row r="99" spans="1:25">
      <c r="A99" s="11">
        <v>2077</v>
      </c>
      <c r="B99" s="46">
        <v>14</v>
      </c>
      <c r="C99" s="20">
        <v>2.0099999999999998</v>
      </c>
      <c r="D99" s="67">
        <v>12.1</v>
      </c>
      <c r="E99" s="174"/>
      <c r="F99" s="41">
        <v>18.8</v>
      </c>
      <c r="G99" s="68" t="s">
        <v>291</v>
      </c>
      <c r="H99" s="19">
        <v>33.799999999999997</v>
      </c>
      <c r="I99" s="19">
        <v>70</v>
      </c>
      <c r="J99" s="72">
        <v>40925</v>
      </c>
      <c r="K99" s="13" t="s">
        <v>130</v>
      </c>
      <c r="L99" s="19">
        <v>33.4</v>
      </c>
      <c r="M99" s="19">
        <v>0.185</v>
      </c>
      <c r="N99" s="19">
        <v>174</v>
      </c>
      <c r="Q99" s="4" t="str">
        <f>HYPERLINK("\\Hopi-fs\shares\users\dhar\Stalk mount testing\Type 1 Target Quality Assurance\CRYO-44648-099 2077","folder")</f>
        <v>folder</v>
      </c>
      <c r="S99" t="s">
        <v>175</v>
      </c>
      <c r="T99" t="s">
        <v>140</v>
      </c>
      <c r="U99" t="s">
        <v>302</v>
      </c>
      <c r="X99" s="189">
        <v>1</v>
      </c>
      <c r="Y99">
        <v>1</v>
      </c>
    </row>
    <row r="100" spans="1:25">
      <c r="A100" s="11">
        <v>2083</v>
      </c>
      <c r="B100" s="46">
        <v>15.4</v>
      </c>
      <c r="C100" s="20">
        <v>2</v>
      </c>
      <c r="D100" s="67">
        <v>12.1</v>
      </c>
      <c r="E100" s="174"/>
      <c r="F100" s="41">
        <v>18.8</v>
      </c>
      <c r="G100" s="68" t="s">
        <v>292</v>
      </c>
      <c r="H100" s="19">
        <v>33.799999999999997</v>
      </c>
      <c r="I100" s="19">
        <v>70</v>
      </c>
      <c r="J100" s="72">
        <v>40925</v>
      </c>
      <c r="K100" s="13" t="s">
        <v>130</v>
      </c>
      <c r="L100" s="19">
        <v>33.299999999999997</v>
      </c>
      <c r="M100" s="19">
        <v>0.78100000000000003</v>
      </c>
      <c r="N100" s="19">
        <v>174</v>
      </c>
      <c r="Q100" s="4" t="str">
        <f>HYPERLINK("\\Hopi-fs\shares\users\dhar\Stalk mount testing\Type 1 Target Quality Assurance\CRYO-44850-100 2083","folder")</f>
        <v>folder</v>
      </c>
      <c r="S100" t="s">
        <v>175</v>
      </c>
      <c r="T100" t="s">
        <v>140</v>
      </c>
      <c r="U100" t="s">
        <v>302</v>
      </c>
      <c r="X100" s="189">
        <v>1</v>
      </c>
      <c r="Y100">
        <v>1</v>
      </c>
    </row>
    <row r="101" spans="1:25">
      <c r="A101" s="11">
        <v>2090</v>
      </c>
      <c r="B101" s="46">
        <v>13</v>
      </c>
      <c r="C101" s="20">
        <v>1.97</v>
      </c>
      <c r="D101" s="67">
        <v>12.1</v>
      </c>
      <c r="E101" s="174"/>
      <c r="F101" s="11">
        <v>18.8</v>
      </c>
      <c r="G101" s="69" t="s">
        <v>293</v>
      </c>
      <c r="H101" s="19">
        <v>33.799999999999997</v>
      </c>
      <c r="I101" s="19">
        <v>70</v>
      </c>
      <c r="J101" s="72">
        <v>40925</v>
      </c>
      <c r="K101" s="13" t="s">
        <v>130</v>
      </c>
      <c r="L101" s="19">
        <v>33.26</v>
      </c>
      <c r="M101" s="19">
        <v>0.41499999999999998</v>
      </c>
      <c r="N101" s="19">
        <v>166</v>
      </c>
      <c r="Q101" s="4" t="str">
        <f>HYPERLINK("\\Hopi-fs\shares\users\dhar\Stalk mount testing\Type 1 Target Quality Assurance\CRYO-44849-101 2090","folder")</f>
        <v>folder</v>
      </c>
      <c r="S101" t="s">
        <v>175</v>
      </c>
      <c r="T101" t="s">
        <v>140</v>
      </c>
      <c r="U101" t="s">
        <v>302</v>
      </c>
      <c r="X101" s="189">
        <v>1</v>
      </c>
      <c r="Y101">
        <v>1</v>
      </c>
    </row>
    <row r="102" spans="1:25">
      <c r="A102" s="11">
        <v>2091</v>
      </c>
      <c r="B102" s="46">
        <v>14.8</v>
      </c>
      <c r="C102" s="20">
        <v>2.0499999999999998</v>
      </c>
      <c r="D102" s="67">
        <v>12.2</v>
      </c>
      <c r="E102" s="174"/>
      <c r="F102" s="11">
        <v>18.7</v>
      </c>
      <c r="G102" s="21" t="s">
        <v>300</v>
      </c>
      <c r="H102" s="67">
        <v>18.600000000000001</v>
      </c>
      <c r="I102" s="37">
        <v>71</v>
      </c>
      <c r="J102" s="17">
        <v>40926</v>
      </c>
      <c r="K102" t="s">
        <v>130</v>
      </c>
      <c r="L102" s="25">
        <v>33.5</v>
      </c>
      <c r="M102" s="40">
        <v>0.81299999999999994</v>
      </c>
      <c r="N102" s="40">
        <v>143</v>
      </c>
      <c r="Q102" s="4" t="str">
        <f>HYPERLINK("\\Hopi-fs\shares\users\dhar\Stalk mount testing\Type 1 Target Quality Assurance\CRYO-ME-1238-0199 2091","folder")</f>
        <v>folder</v>
      </c>
      <c r="S102" t="s">
        <v>175</v>
      </c>
      <c r="T102" t="s">
        <v>140</v>
      </c>
      <c r="U102" t="s">
        <v>330</v>
      </c>
      <c r="X102" s="189"/>
    </row>
    <row r="103" spans="1:25">
      <c r="A103" s="11">
        <v>2086</v>
      </c>
      <c r="B103" s="46">
        <v>16</v>
      </c>
      <c r="C103" s="20">
        <v>2</v>
      </c>
      <c r="D103" s="67">
        <v>11.9</v>
      </c>
      <c r="E103" s="174"/>
      <c r="F103" s="11">
        <v>18.739999999999998</v>
      </c>
      <c r="G103" s="21" t="s">
        <v>301</v>
      </c>
      <c r="H103" s="37">
        <v>18.600000000000001</v>
      </c>
      <c r="I103" s="37">
        <v>71</v>
      </c>
      <c r="J103" s="17">
        <v>40926</v>
      </c>
      <c r="K103" t="s">
        <v>130</v>
      </c>
      <c r="L103" s="25">
        <v>33.1</v>
      </c>
      <c r="M103" s="40">
        <v>0.35499999999999998</v>
      </c>
      <c r="N103" s="40">
        <v>139</v>
      </c>
      <c r="Q103" s="4" t="str">
        <f>HYPERLINK("\\Hopi-fs\shares\users\dhar\Stalk mount testing\Type 1 Target Quality Assurance\CRYO-ME-1239-0200 2086","folder")</f>
        <v>folder</v>
      </c>
      <c r="S103" t="s">
        <v>175</v>
      </c>
      <c r="T103" t="s">
        <v>140</v>
      </c>
      <c r="U103" t="s">
        <v>316</v>
      </c>
      <c r="X103" s="189"/>
    </row>
    <row r="104" spans="1:25">
      <c r="A104" s="11">
        <v>2282</v>
      </c>
      <c r="B104" s="46">
        <v>12</v>
      </c>
      <c r="C104" s="20">
        <v>2</v>
      </c>
      <c r="D104" s="73">
        <v>11.9</v>
      </c>
      <c r="E104" s="174"/>
      <c r="F104" s="41">
        <v>18.8</v>
      </c>
      <c r="G104" s="11" t="s">
        <v>309</v>
      </c>
      <c r="H104" s="10" t="s">
        <v>169</v>
      </c>
      <c r="I104" s="37" t="s">
        <v>169</v>
      </c>
      <c r="J104" s="31">
        <v>40909</v>
      </c>
      <c r="K104" t="s">
        <v>310</v>
      </c>
      <c r="L104" s="25">
        <v>33.299999999999997</v>
      </c>
      <c r="M104" s="40">
        <v>0.36499999999999999</v>
      </c>
      <c r="N104" s="44">
        <v>103</v>
      </c>
      <c r="Q104" s="4" t="str">
        <f>HYPERLINK("\\Hopi-fs\shares\users\dhar\Stalk mount testing\Type 1 Target Quality Assurance\CRYO-ME-1242-0066 2282","folder")</f>
        <v>folder</v>
      </c>
      <c r="S104" t="s">
        <v>175</v>
      </c>
      <c r="T104" t="s">
        <v>1087</v>
      </c>
      <c r="V104" s="62"/>
      <c r="W104" s="62"/>
      <c r="X104" s="189"/>
    </row>
    <row r="105" spans="1:25">
      <c r="A105" s="75">
        <v>2028</v>
      </c>
      <c r="B105" s="46">
        <v>15</v>
      </c>
      <c r="C105" s="20" t="s">
        <v>315</v>
      </c>
      <c r="D105" s="74">
        <v>12.1</v>
      </c>
      <c r="E105" s="174"/>
      <c r="F105" s="41">
        <v>18.8</v>
      </c>
      <c r="G105" s="77" t="s">
        <v>314</v>
      </c>
      <c r="H105" s="10">
        <v>34</v>
      </c>
      <c r="I105" s="37">
        <v>70.599999999999994</v>
      </c>
      <c r="J105" s="17">
        <v>40942</v>
      </c>
      <c r="K105" t="s">
        <v>130</v>
      </c>
      <c r="L105" s="25">
        <v>33.700000000000003</v>
      </c>
      <c r="M105" s="40">
        <v>0.93799999999999994</v>
      </c>
      <c r="Q105" s="4" t="str">
        <f>HYPERLINK("\\Hopi-fs\shares\users\dhar\Stalk mount testing\Type 1 Target Quality Assurance\CRYO-2093-1714 2028","folder")</f>
        <v>folder</v>
      </c>
      <c r="S105" t="s">
        <v>175</v>
      </c>
      <c r="T105" t="s">
        <v>140</v>
      </c>
      <c r="V105" s="70"/>
      <c r="W105" s="71"/>
      <c r="X105" s="189">
        <v>1</v>
      </c>
    </row>
    <row r="106" spans="1:25">
      <c r="A106" s="75">
        <v>2025</v>
      </c>
      <c r="B106" s="201"/>
      <c r="C106" s="201"/>
      <c r="D106" s="201"/>
      <c r="E106" s="201"/>
      <c r="F106" s="201"/>
      <c r="G106" s="77" t="s">
        <v>1073</v>
      </c>
      <c r="H106" s="10">
        <v>34</v>
      </c>
      <c r="I106" s="201">
        <v>70.599999999999994</v>
      </c>
      <c r="J106" s="17">
        <v>40942</v>
      </c>
      <c r="K106" t="s">
        <v>130</v>
      </c>
      <c r="L106" s="201"/>
      <c r="M106" s="201"/>
      <c r="N106" s="201"/>
      <c r="O106" s="201"/>
      <c r="Q106" s="4" t="str">
        <f>HYPERLINK("\\Hopi-fs\shares\users\dhar\Stalk mount testing\Type 1 Target Quality Assurance\28deg bent stalk 2025","folder")</f>
        <v>folder</v>
      </c>
      <c r="V106" s="70"/>
      <c r="W106" s="71"/>
      <c r="X106" s="201"/>
    </row>
    <row r="107" spans="1:25">
      <c r="A107" s="85">
        <v>2098</v>
      </c>
      <c r="B107" s="46">
        <v>15</v>
      </c>
      <c r="C107" s="20">
        <v>2</v>
      </c>
      <c r="D107" s="79">
        <v>12</v>
      </c>
      <c r="E107" s="174"/>
      <c r="F107" s="41">
        <v>18.850000000000001</v>
      </c>
      <c r="G107" s="87" t="s">
        <v>318</v>
      </c>
      <c r="H107" s="10">
        <v>30.6</v>
      </c>
      <c r="I107" s="37">
        <v>70.5</v>
      </c>
      <c r="J107" s="17">
        <v>40952</v>
      </c>
      <c r="K107" t="s">
        <v>130</v>
      </c>
      <c r="L107" s="25">
        <v>33.299999999999997</v>
      </c>
      <c r="M107" s="40">
        <v>0.92</v>
      </c>
      <c r="N107" s="40">
        <v>255</v>
      </c>
      <c r="Q107" s="4" t="str">
        <f>HYPERLINK("\\Hopi-fs\shares\users\dhar\Stalk mount testing\Type 1 Target Quality Assurance\CRYO-2093-1938 2098","folder")</f>
        <v>folder</v>
      </c>
      <c r="S107" t="s">
        <v>175</v>
      </c>
      <c r="T107" t="s">
        <v>140</v>
      </c>
      <c r="V107" s="69"/>
      <c r="W107" s="71"/>
      <c r="X107" s="189">
        <v>1</v>
      </c>
    </row>
    <row r="108" spans="1:25">
      <c r="A108" s="11">
        <v>2087</v>
      </c>
      <c r="B108" s="46">
        <v>17.5</v>
      </c>
      <c r="C108" s="20">
        <v>2</v>
      </c>
      <c r="D108" s="79">
        <v>12.1</v>
      </c>
      <c r="E108" s="174"/>
      <c r="F108" s="41">
        <v>18.7</v>
      </c>
      <c r="G108" s="87" t="s">
        <v>319</v>
      </c>
      <c r="H108" s="10">
        <v>30.6</v>
      </c>
      <c r="I108" s="79">
        <v>70.5</v>
      </c>
      <c r="J108" s="17">
        <v>40952</v>
      </c>
      <c r="K108" t="s">
        <v>130</v>
      </c>
      <c r="L108" s="25">
        <v>33.299999999999997</v>
      </c>
      <c r="M108" s="40">
        <v>0.46600000000000003</v>
      </c>
      <c r="N108" s="40">
        <v>199</v>
      </c>
      <c r="Q108" s="4" t="str">
        <f>HYPERLINK("\\Hopi-fs\shares\users\dhar\Stalk mount testing\Type 1 Target Quality Assurance\CRYO-2093-1939 2087","folder")</f>
        <v>folder</v>
      </c>
      <c r="S108" t="s">
        <v>175</v>
      </c>
      <c r="T108" t="s">
        <v>140</v>
      </c>
      <c r="U108" t="s">
        <v>335</v>
      </c>
      <c r="V108" s="68"/>
      <c r="W108" s="29"/>
      <c r="X108" s="189">
        <v>1</v>
      </c>
      <c r="Y108">
        <v>1</v>
      </c>
    </row>
    <row r="109" spans="1:25">
      <c r="A109" s="11">
        <v>2270</v>
      </c>
      <c r="B109" s="46">
        <v>16</v>
      </c>
      <c r="C109" s="20">
        <v>2.1</v>
      </c>
      <c r="D109" s="79">
        <v>11.9</v>
      </c>
      <c r="E109" s="174"/>
      <c r="F109" s="41">
        <v>18.8</v>
      </c>
      <c r="G109" s="87" t="s">
        <v>320</v>
      </c>
      <c r="H109" s="10">
        <v>30.6</v>
      </c>
      <c r="I109" s="79">
        <v>70.5</v>
      </c>
      <c r="J109" s="17">
        <v>40952</v>
      </c>
      <c r="K109" t="s">
        <v>130</v>
      </c>
      <c r="L109" s="25">
        <v>33.5</v>
      </c>
      <c r="M109" s="40">
        <v>0.53500000000000003</v>
      </c>
      <c r="N109" s="40">
        <v>188</v>
      </c>
      <c r="Q109" s="4" t="str">
        <f>HYPERLINK("\\Hopi-fs\shares\users\dhar\Stalk mount testing\Type 1 Target Quality Assurance\CRYO-2094-1942 2270","folder")</f>
        <v>folder</v>
      </c>
      <c r="S109" t="s">
        <v>175</v>
      </c>
      <c r="T109" t="s">
        <v>140</v>
      </c>
      <c r="U109" t="s">
        <v>335</v>
      </c>
      <c r="V109" s="68"/>
      <c r="W109" s="29"/>
      <c r="X109" s="189">
        <v>1</v>
      </c>
      <c r="Y109">
        <v>1</v>
      </c>
    </row>
    <row r="110" spans="1:25">
      <c r="A110" s="11">
        <v>2089</v>
      </c>
      <c r="B110" s="46">
        <v>15</v>
      </c>
      <c r="C110" s="20">
        <v>2.0299999999999998</v>
      </c>
      <c r="D110" s="80">
        <v>12.1</v>
      </c>
      <c r="E110" s="174"/>
      <c r="F110" s="41">
        <v>18.850000000000001</v>
      </c>
      <c r="G110" s="87" t="s">
        <v>321</v>
      </c>
      <c r="H110" s="10">
        <v>30.6</v>
      </c>
      <c r="I110" s="79">
        <v>70.5</v>
      </c>
      <c r="J110" s="17">
        <v>40952</v>
      </c>
      <c r="K110" t="s">
        <v>130</v>
      </c>
      <c r="L110" s="25">
        <v>33.5</v>
      </c>
      <c r="M110" s="40">
        <v>0.28999999999999998</v>
      </c>
      <c r="N110" s="40">
        <v>188</v>
      </c>
      <c r="Q110" s="4" t="str">
        <f>HYPERLINK("\\Hopi-fs\shares\users\dhar\Stalk mount testing\Type 1 Target Quality Assurance\CRYO-2093-1944 2089","folder")</f>
        <v>folder</v>
      </c>
      <c r="S110" t="s">
        <v>175</v>
      </c>
      <c r="T110" t="s">
        <v>140</v>
      </c>
      <c r="U110" t="s">
        <v>335</v>
      </c>
      <c r="V110" s="68"/>
      <c r="W110" s="29"/>
      <c r="X110" s="189">
        <v>1</v>
      </c>
      <c r="Y110">
        <v>1</v>
      </c>
    </row>
    <row r="111" spans="1:25">
      <c r="A111" s="85">
        <v>2099</v>
      </c>
      <c r="B111" s="46">
        <v>17</v>
      </c>
      <c r="C111" s="20">
        <v>2</v>
      </c>
      <c r="D111" s="81">
        <v>12.1</v>
      </c>
      <c r="E111" s="174"/>
      <c r="F111" s="41">
        <v>18.850000000000001</v>
      </c>
      <c r="G111" s="84" t="s">
        <v>322</v>
      </c>
      <c r="H111" s="10">
        <v>30.6</v>
      </c>
      <c r="I111" s="79">
        <v>70.5</v>
      </c>
      <c r="J111" s="17">
        <v>40952</v>
      </c>
      <c r="K111" t="s">
        <v>130</v>
      </c>
      <c r="L111" s="25">
        <v>33.4</v>
      </c>
      <c r="Q111" s="4" t="str">
        <f>HYPERLINK("\\hopi-fs\shares\users\dhar\Stalk mount testing\Type 1 Target Quality Assurance\CRYO-2092-1945 2099 out of spec","FOLDER")</f>
        <v>FOLDER</v>
      </c>
      <c r="S111" t="s">
        <v>175</v>
      </c>
      <c r="T111" t="s">
        <v>140</v>
      </c>
      <c r="V111" s="68"/>
      <c r="W111" s="29"/>
      <c r="X111" s="189">
        <v>1</v>
      </c>
    </row>
    <row r="112" spans="1:25">
      <c r="A112" s="85">
        <v>2100</v>
      </c>
      <c r="B112" s="46">
        <v>15</v>
      </c>
      <c r="C112" s="20">
        <v>1.94</v>
      </c>
      <c r="D112" s="81">
        <v>12.16</v>
      </c>
      <c r="E112" s="174"/>
      <c r="F112" s="41">
        <v>18.84</v>
      </c>
      <c r="G112" s="87" t="s">
        <v>323</v>
      </c>
      <c r="H112" s="10">
        <v>30.6</v>
      </c>
      <c r="I112" s="79">
        <v>70.5</v>
      </c>
      <c r="J112" s="17">
        <v>40952</v>
      </c>
      <c r="K112" t="s">
        <v>130</v>
      </c>
      <c r="L112" s="25">
        <v>33.4</v>
      </c>
      <c r="M112" s="40">
        <v>0.27</v>
      </c>
      <c r="N112" s="40">
        <v>278</v>
      </c>
      <c r="Q112" s="4" t="str">
        <f>HYPERLINK("\\hopi-fs\shares\users\dhar\Stalk mount testing\Type 1 Target Quality Assurance\CRYO-2093-1950 2100 wrong pi tube","FOLDER")</f>
        <v>FOLDER</v>
      </c>
      <c r="S112" t="s">
        <v>175</v>
      </c>
      <c r="T112" t="s">
        <v>140</v>
      </c>
      <c r="V112" s="69"/>
      <c r="W112" s="29"/>
      <c r="X112" s="189">
        <v>1</v>
      </c>
    </row>
    <row r="113" spans="1:25">
      <c r="A113" s="11">
        <v>2436</v>
      </c>
      <c r="B113" s="46">
        <v>17</v>
      </c>
      <c r="C113" s="20">
        <v>2</v>
      </c>
      <c r="D113" s="82">
        <v>11.85</v>
      </c>
      <c r="E113" s="174"/>
      <c r="F113" s="41">
        <v>18.899999999999999</v>
      </c>
      <c r="G113" s="84" t="s">
        <v>324</v>
      </c>
      <c r="H113" s="37">
        <v>31.7</v>
      </c>
      <c r="I113" s="37">
        <v>71</v>
      </c>
      <c r="J113" s="17">
        <v>40953</v>
      </c>
      <c r="K113" t="s">
        <v>130</v>
      </c>
      <c r="L113" s="25">
        <v>33.200000000000003</v>
      </c>
      <c r="M113" s="40">
        <v>0.61899999999999999</v>
      </c>
      <c r="Q113" s="4" t="str">
        <f>HYPERLINK("\\Hopi-fs\shares\users\dhar\Stalk mount testing\Type 1 Target Quality Assurance\CRYO-2094-1951 2436","folder")</f>
        <v>folder</v>
      </c>
      <c r="S113" t="s">
        <v>175</v>
      </c>
      <c r="T113" t="s">
        <v>140</v>
      </c>
      <c r="X113" s="189">
        <v>1</v>
      </c>
    </row>
    <row r="114" spans="1:25">
      <c r="A114" s="11">
        <v>2436</v>
      </c>
      <c r="B114" s="83">
        <v>15.5</v>
      </c>
      <c r="C114" s="83">
        <v>2.1</v>
      </c>
      <c r="D114" s="83">
        <v>11.9</v>
      </c>
      <c r="E114" s="174"/>
      <c r="F114" s="83">
        <v>18.899999999999999</v>
      </c>
      <c r="G114" s="87" t="s">
        <v>328</v>
      </c>
      <c r="H114" s="83">
        <v>32.799999999999997</v>
      </c>
      <c r="I114" s="83">
        <v>71.900000000000006</v>
      </c>
      <c r="J114" s="17">
        <v>40954</v>
      </c>
      <c r="K114" t="s">
        <v>130</v>
      </c>
      <c r="L114" s="83">
        <v>33.200000000000003</v>
      </c>
      <c r="M114" s="83">
        <v>0.874</v>
      </c>
      <c r="N114" s="83">
        <v>179</v>
      </c>
      <c r="O114" s="83"/>
      <c r="Q114" s="4" t="str">
        <f>HYPERLINK("\\Hopi-fs\shares\users\dhar\Stalk mount testing\Type 1 Target Quality Assurance\CRYO-2093-1958 2436","folder")</f>
        <v>folder</v>
      </c>
      <c r="S114" t="s">
        <v>175</v>
      </c>
      <c r="T114" t="s">
        <v>140</v>
      </c>
      <c r="U114" t="s">
        <v>335</v>
      </c>
      <c r="X114" s="189">
        <v>1</v>
      </c>
      <c r="Y114">
        <v>1</v>
      </c>
    </row>
    <row r="115" spans="1:25">
      <c r="A115" s="11">
        <v>2029</v>
      </c>
      <c r="B115" s="46">
        <v>17</v>
      </c>
      <c r="C115" s="20">
        <v>1.9890000000000001</v>
      </c>
      <c r="D115" s="82">
        <v>12.1</v>
      </c>
      <c r="E115" s="174"/>
      <c r="F115" s="41">
        <v>18.87</v>
      </c>
      <c r="G115" s="84" t="s">
        <v>325</v>
      </c>
      <c r="H115" s="82">
        <v>31.7</v>
      </c>
      <c r="I115" s="82">
        <v>71</v>
      </c>
      <c r="J115" s="17">
        <v>40953</v>
      </c>
      <c r="K115" t="s">
        <v>130</v>
      </c>
      <c r="L115" s="25">
        <v>33.4</v>
      </c>
      <c r="M115" s="40">
        <v>0.64</v>
      </c>
      <c r="Q115" s="4" t="str">
        <f>HYPERLINK("\\Hopi-fs\shares\users\dhar\Stalk mount testing\Type 1 Target Quality Assurance\CRYO-2093-1953 2029","folder")</f>
        <v>folder</v>
      </c>
      <c r="S115" t="s">
        <v>175</v>
      </c>
      <c r="T115" t="s">
        <v>140</v>
      </c>
      <c r="X115" s="189">
        <v>1</v>
      </c>
    </row>
    <row r="116" spans="1:25">
      <c r="A116" s="11">
        <v>2029</v>
      </c>
      <c r="B116" s="83">
        <v>17</v>
      </c>
      <c r="C116" s="83">
        <v>2.02</v>
      </c>
      <c r="D116" s="83">
        <v>12.1</v>
      </c>
      <c r="E116" s="174"/>
      <c r="F116" s="83">
        <v>18.8</v>
      </c>
      <c r="G116" s="84" t="s">
        <v>329</v>
      </c>
      <c r="H116" s="83">
        <v>32.799999999999997</v>
      </c>
      <c r="I116" s="83">
        <v>71.900000000000006</v>
      </c>
      <c r="J116" s="17">
        <v>40954</v>
      </c>
      <c r="K116" t="s">
        <v>130</v>
      </c>
      <c r="L116" s="83">
        <v>33.4</v>
      </c>
      <c r="M116" s="83">
        <v>0.155</v>
      </c>
      <c r="N116" s="83"/>
      <c r="O116" s="83"/>
      <c r="Q116" s="4"/>
      <c r="S116" t="s">
        <v>175</v>
      </c>
      <c r="T116" t="s">
        <v>140</v>
      </c>
      <c r="X116" s="189">
        <v>1</v>
      </c>
    </row>
    <row r="117" spans="1:25">
      <c r="A117" s="85">
        <v>2101</v>
      </c>
      <c r="G117" s="84" t="s">
        <v>326</v>
      </c>
      <c r="H117" s="82">
        <v>31.7</v>
      </c>
      <c r="I117" s="82">
        <v>71</v>
      </c>
      <c r="J117" s="17">
        <v>40953</v>
      </c>
      <c r="K117" t="s">
        <v>130</v>
      </c>
      <c r="Q117" s="4" t="str">
        <f>HYPERLINK("\\Hopi-fs\shares\users\dhar\Stalk mount testing\Type 1 Target Quality Assurance\CRYO-2092-1955 2101 out of spec","folder")</f>
        <v>folder</v>
      </c>
      <c r="S117" t="s">
        <v>175</v>
      </c>
      <c r="T117" t="s">
        <v>140</v>
      </c>
      <c r="X117" s="189">
        <v>1</v>
      </c>
    </row>
    <row r="118" spans="1:25">
      <c r="A118" s="11">
        <v>2291</v>
      </c>
      <c r="B118" s="46">
        <v>15.6</v>
      </c>
      <c r="C118" s="20">
        <v>2</v>
      </c>
      <c r="D118">
        <v>11.7</v>
      </c>
      <c r="F118" s="44">
        <v>18.5</v>
      </c>
      <c r="G118" s="87" t="s">
        <v>327</v>
      </c>
      <c r="H118" s="37">
        <v>33.299999999999997</v>
      </c>
      <c r="I118" s="37">
        <v>71.3</v>
      </c>
      <c r="J118" s="17">
        <v>40954</v>
      </c>
      <c r="K118" t="s">
        <v>130</v>
      </c>
      <c r="L118" s="44">
        <v>32.6</v>
      </c>
      <c r="M118" s="40">
        <v>0.41499999999999998</v>
      </c>
      <c r="N118" s="86">
        <v>185</v>
      </c>
      <c r="Q118" s="4" t="str">
        <f>HYPERLINK("\\Hopi-fs\shares\users\dhar\Stalk mount testing\Type 1 Target Quality Assurance\CRYO-2093-1934 2291 32 6mm","folder")</f>
        <v>folder</v>
      </c>
      <c r="S118" t="s">
        <v>175</v>
      </c>
      <c r="T118" t="s">
        <v>140</v>
      </c>
      <c r="X118" s="189">
        <v>1</v>
      </c>
    </row>
    <row r="119" spans="1:25">
      <c r="A119" s="11">
        <v>2649</v>
      </c>
      <c r="B119" s="46">
        <v>17</v>
      </c>
      <c r="C119" s="20">
        <v>2.02</v>
      </c>
      <c r="D119" s="88">
        <v>12</v>
      </c>
      <c r="E119" s="174"/>
      <c r="F119" s="41">
        <v>18.87</v>
      </c>
      <c r="G119" s="19" t="s">
        <v>336</v>
      </c>
      <c r="H119" s="37">
        <v>35</v>
      </c>
      <c r="I119" s="37">
        <v>68</v>
      </c>
      <c r="J119" s="17">
        <v>40959</v>
      </c>
      <c r="K119" t="s">
        <v>130</v>
      </c>
      <c r="L119" s="25">
        <v>33.299999999999997</v>
      </c>
      <c r="M119" s="40">
        <v>0.32100000000000001</v>
      </c>
      <c r="N119" s="40">
        <v>156</v>
      </c>
      <c r="Q119" s="4" t="str">
        <f>HYPERLINK("\\Hopi-fs\shares\users\dhar\Stalk mount testing\Type 1 Target Quality Assurance\CRYO-ME-1240-0202  2649","FOLDER")</f>
        <v>FOLDER</v>
      </c>
      <c r="S119" t="s">
        <v>175</v>
      </c>
      <c r="T119" t="s">
        <v>140</v>
      </c>
      <c r="U119" t="s">
        <v>370</v>
      </c>
      <c r="X119" s="189"/>
    </row>
    <row r="120" spans="1:25">
      <c r="A120" s="11">
        <v>2031</v>
      </c>
      <c r="B120" s="46">
        <v>18.600000000000001</v>
      </c>
      <c r="C120" s="20">
        <v>2.02</v>
      </c>
      <c r="D120" s="88">
        <v>12</v>
      </c>
      <c r="E120" s="174"/>
      <c r="F120" s="41">
        <v>18.91</v>
      </c>
      <c r="G120" s="19" t="s">
        <v>337</v>
      </c>
      <c r="H120" s="37">
        <v>35</v>
      </c>
      <c r="I120" s="37">
        <v>68</v>
      </c>
      <c r="J120" s="17">
        <v>40959</v>
      </c>
      <c r="K120" t="s">
        <v>130</v>
      </c>
      <c r="L120" s="25">
        <v>33.299999999999997</v>
      </c>
      <c r="M120" s="40">
        <v>0.71399999999999997</v>
      </c>
      <c r="N120" s="40" t="s">
        <v>589</v>
      </c>
      <c r="Q120" s="4" t="str">
        <f>HYPERLINK("\\Hopi-fs\shares\users\dhar\Stalk mount testing\Type 1 Target Quality Assurance\CRYO-ME-1238-0203  2031","FOLDER")</f>
        <v>FOLDER</v>
      </c>
      <c r="S120" t="s">
        <v>175</v>
      </c>
      <c r="T120" t="s">
        <v>140</v>
      </c>
      <c r="U120" t="s">
        <v>597</v>
      </c>
      <c r="X120" s="189"/>
    </row>
    <row r="121" spans="1:25">
      <c r="A121" s="11">
        <v>2032</v>
      </c>
      <c r="B121" s="46">
        <v>15.4</v>
      </c>
      <c r="C121" s="20">
        <v>2.0499999999999998</v>
      </c>
      <c r="D121" s="88">
        <v>12.1</v>
      </c>
      <c r="E121" s="174"/>
      <c r="F121" s="41">
        <v>18.84</v>
      </c>
      <c r="G121" s="19" t="s">
        <v>338</v>
      </c>
      <c r="H121" s="37">
        <v>35</v>
      </c>
      <c r="I121" s="37">
        <v>68</v>
      </c>
      <c r="J121" s="17">
        <v>40959</v>
      </c>
      <c r="K121" t="s">
        <v>130</v>
      </c>
      <c r="L121" s="25">
        <v>33.4</v>
      </c>
      <c r="M121" s="40">
        <v>0.27200000000000002</v>
      </c>
      <c r="N121" s="40" t="s">
        <v>349</v>
      </c>
      <c r="Q121" s="4" t="str">
        <f>HYPERLINK("\\Hopi-fs\shares\users\dhar\Stalk mount testing\Type 1 Target Quality Assurance\CRYO-ME-1238-0204  2032","FOLDER")</f>
        <v>FOLDER</v>
      </c>
      <c r="S121" t="s">
        <v>175</v>
      </c>
      <c r="T121" t="s">
        <v>140</v>
      </c>
      <c r="U121" t="s">
        <v>399</v>
      </c>
      <c r="X121" s="189"/>
    </row>
    <row r="122" spans="1:25">
      <c r="A122" s="11">
        <v>2034</v>
      </c>
      <c r="B122" s="46">
        <v>16</v>
      </c>
      <c r="C122" s="20">
        <v>2.0299999999999998</v>
      </c>
      <c r="D122" s="88">
        <v>12</v>
      </c>
      <c r="E122" s="174"/>
      <c r="F122" s="41">
        <v>18.829999999999998</v>
      </c>
      <c r="G122" s="19" t="s">
        <v>339</v>
      </c>
      <c r="H122" s="37">
        <v>35</v>
      </c>
      <c r="I122" s="37">
        <v>68</v>
      </c>
      <c r="J122" s="17">
        <v>40959</v>
      </c>
      <c r="K122" t="s">
        <v>130</v>
      </c>
      <c r="L122" s="25">
        <v>33.200000000000003</v>
      </c>
      <c r="M122" s="40">
        <v>0.54</v>
      </c>
      <c r="N122" s="40">
        <v>130</v>
      </c>
      <c r="O122" s="19"/>
      <c r="P122" s="19"/>
      <c r="Q122" s="4" t="str">
        <f>HYPERLINK("\\Hopi-fs\shares\users\dhar\Stalk mount testing\Type 1 Target Quality Assurance\CRYO-ME-1240-0205  2034","FOLDER")</f>
        <v>FOLDER</v>
      </c>
      <c r="S122" t="s">
        <v>175</v>
      </c>
      <c r="T122" t="s">
        <v>140</v>
      </c>
      <c r="U122" t="s">
        <v>598</v>
      </c>
      <c r="X122" s="19"/>
    </row>
    <row r="123" spans="1:25">
      <c r="A123" s="11">
        <v>2030</v>
      </c>
      <c r="B123" s="46">
        <v>17.600000000000001</v>
      </c>
      <c r="C123" s="20">
        <v>2.0499999999999998</v>
      </c>
      <c r="D123" s="91">
        <v>12</v>
      </c>
      <c r="E123" s="174"/>
      <c r="F123" s="41">
        <v>18.82</v>
      </c>
      <c r="G123" s="15" t="s">
        <v>356</v>
      </c>
      <c r="H123" s="37">
        <v>44.4</v>
      </c>
      <c r="I123" s="37">
        <v>71</v>
      </c>
      <c r="J123" s="17">
        <v>40974</v>
      </c>
      <c r="K123" t="s">
        <v>130</v>
      </c>
      <c r="L123" s="25">
        <v>33.299999999999997</v>
      </c>
      <c r="M123" s="40">
        <v>0.52100000000000002</v>
      </c>
      <c r="N123" s="40">
        <v>179</v>
      </c>
      <c r="Q123" s="4" t="str">
        <f>HYPERLINK("\\hopi-fs\shares\users\dhar\Stalk mount testing\Type 1 Target Quality Assurance\CRYO-45236-109 2030","folder")</f>
        <v>folder</v>
      </c>
      <c r="S123" t="s">
        <v>175</v>
      </c>
      <c r="T123" t="s">
        <v>140</v>
      </c>
      <c r="X123" s="189">
        <v>1</v>
      </c>
    </row>
    <row r="124" spans="1:25">
      <c r="A124" s="11">
        <v>2035</v>
      </c>
      <c r="B124" s="46">
        <v>16.399999999999999</v>
      </c>
      <c r="C124" s="20">
        <v>2.0299999999999998</v>
      </c>
      <c r="D124" s="91">
        <v>12</v>
      </c>
      <c r="E124" s="174"/>
      <c r="F124" s="41">
        <v>18.89</v>
      </c>
      <c r="G124" s="19" t="s">
        <v>357</v>
      </c>
      <c r="H124" s="37">
        <v>44.4</v>
      </c>
      <c r="I124" s="37">
        <v>71</v>
      </c>
      <c r="J124" s="17">
        <v>40974</v>
      </c>
      <c r="K124" t="s">
        <v>130</v>
      </c>
      <c r="L124" s="25">
        <v>33.380000000000003</v>
      </c>
      <c r="M124" s="40">
        <v>0.59299999999999997</v>
      </c>
      <c r="N124" s="40">
        <v>183</v>
      </c>
      <c r="Q124" s="4" t="str">
        <f>HYPERLINK("\\hopi-fs\shares\users\dhar\Stalk mount testing\Type 1 Target Quality Assurance\CRYO-45039-110 2035","folder")</f>
        <v>folder</v>
      </c>
      <c r="S124" t="s">
        <v>175</v>
      </c>
      <c r="T124" t="s">
        <v>140</v>
      </c>
      <c r="U124" t="s">
        <v>378</v>
      </c>
      <c r="X124" s="189">
        <v>1</v>
      </c>
      <c r="Y124">
        <v>1</v>
      </c>
    </row>
    <row r="125" spans="1:25">
      <c r="A125" s="11">
        <v>2439</v>
      </c>
      <c r="B125" s="46">
        <v>15</v>
      </c>
      <c r="C125" s="20">
        <v>1.96</v>
      </c>
      <c r="D125" s="91">
        <v>12.34</v>
      </c>
      <c r="E125" s="174"/>
      <c r="F125" s="41">
        <v>18.84</v>
      </c>
      <c r="G125" s="19" t="s">
        <v>358</v>
      </c>
      <c r="H125" s="37">
        <v>44.4</v>
      </c>
      <c r="I125" s="37">
        <v>71</v>
      </c>
      <c r="J125" s="17">
        <v>40974</v>
      </c>
      <c r="K125" t="s">
        <v>130</v>
      </c>
      <c r="L125" s="25">
        <v>33.590000000000003</v>
      </c>
      <c r="M125" s="40">
        <v>0.20499999999999999</v>
      </c>
      <c r="N125" s="40">
        <v>170</v>
      </c>
      <c r="Q125" s="4" t="str">
        <f>HYPERLINK("\\hopi-fs\shares\users\dhar\Stalk mount testing\Type 1 Target Quality Assurance\CRYO-44938-112 2439","folder")</f>
        <v>folder</v>
      </c>
      <c r="S125" t="s">
        <v>175</v>
      </c>
      <c r="T125" t="s">
        <v>140</v>
      </c>
      <c r="U125" t="s">
        <v>378</v>
      </c>
      <c r="X125" s="189">
        <v>1</v>
      </c>
      <c r="Y125">
        <v>1</v>
      </c>
    </row>
    <row r="126" spans="1:25">
      <c r="A126" s="11">
        <v>2298</v>
      </c>
      <c r="B126" s="46">
        <v>16.8</v>
      </c>
      <c r="C126" s="20">
        <v>1.99</v>
      </c>
      <c r="D126" s="91">
        <v>11.66</v>
      </c>
      <c r="E126" s="174"/>
      <c r="F126" s="41">
        <v>19.07</v>
      </c>
      <c r="G126" s="15" t="s">
        <v>359</v>
      </c>
      <c r="H126" s="37">
        <v>44.4</v>
      </c>
      <c r="I126" s="37">
        <v>71</v>
      </c>
      <c r="J126" s="17">
        <v>40974</v>
      </c>
      <c r="K126" t="s">
        <v>130</v>
      </c>
      <c r="L126" s="25">
        <v>33.15</v>
      </c>
      <c r="M126" s="40">
        <v>0.252</v>
      </c>
      <c r="N126" s="40">
        <v>191</v>
      </c>
      <c r="Q126" s="4" t="str">
        <f>HYPERLINK("\\hopi-fs\shares\users\dhar\Stalk mount testing\Type 1 Target Quality Assurance\CRYO-45038-115 2298","folder")</f>
        <v>folder</v>
      </c>
      <c r="S126" t="s">
        <v>175</v>
      </c>
      <c r="T126" t="s">
        <v>140</v>
      </c>
      <c r="X126" s="189">
        <v>1</v>
      </c>
    </row>
    <row r="127" spans="1:25">
      <c r="A127" s="11">
        <v>2044</v>
      </c>
      <c r="B127" s="46">
        <v>18</v>
      </c>
      <c r="C127" s="20">
        <v>2.0299999999999998</v>
      </c>
      <c r="D127" s="91">
        <v>11.93</v>
      </c>
      <c r="E127" s="174"/>
      <c r="F127" s="41">
        <v>18.84</v>
      </c>
      <c r="G127" s="19" t="s">
        <v>360</v>
      </c>
      <c r="H127" s="37">
        <v>44.4</v>
      </c>
      <c r="I127" s="37">
        <v>71</v>
      </c>
      <c r="J127" s="17">
        <v>40974</v>
      </c>
      <c r="K127" t="s">
        <v>130</v>
      </c>
      <c r="L127" s="25">
        <v>33.24</v>
      </c>
      <c r="M127" s="40">
        <v>0.31</v>
      </c>
      <c r="N127" s="40">
        <v>195</v>
      </c>
      <c r="Q127" s="4" t="str">
        <f>HYPERLINK("\\hopi-fs\shares\users\dhar\Stalk mount testing\Type 1 Target Quality Assurance\CRYO-45038-117 2044","folder")</f>
        <v>folder</v>
      </c>
      <c r="S127" t="s">
        <v>175</v>
      </c>
      <c r="T127" t="s">
        <v>140</v>
      </c>
      <c r="U127" t="s">
        <v>378</v>
      </c>
      <c r="X127" s="189">
        <v>1</v>
      </c>
      <c r="Y127">
        <v>1</v>
      </c>
    </row>
    <row r="128" spans="1:25">
      <c r="A128" s="11">
        <v>2046</v>
      </c>
      <c r="B128" s="46">
        <v>14</v>
      </c>
      <c r="C128" s="20">
        <v>2.0099999999999998</v>
      </c>
      <c r="D128" s="92">
        <v>12.03</v>
      </c>
      <c r="E128" s="174"/>
      <c r="F128" s="41">
        <v>18.84</v>
      </c>
      <c r="G128" s="15" t="s">
        <v>365</v>
      </c>
      <c r="H128" s="37">
        <v>40</v>
      </c>
      <c r="I128" s="37">
        <v>72</v>
      </c>
      <c r="J128" s="17">
        <v>40976</v>
      </c>
      <c r="K128" t="s">
        <v>130</v>
      </c>
      <c r="L128" s="25">
        <v>33.340000000000003</v>
      </c>
      <c r="M128" s="40">
        <v>0.60399999999999998</v>
      </c>
      <c r="N128" s="40">
        <v>178</v>
      </c>
      <c r="Q128" s="4" t="str">
        <f>HYPERLINK("\\hopi-fs\shares\users\dhar\Stalk mount testing\Type 1 Target Quality Assurance\CRYO-45038-113 2046","folder")</f>
        <v>folder</v>
      </c>
      <c r="S128" t="s">
        <v>175</v>
      </c>
      <c r="T128" t="s">
        <v>140</v>
      </c>
      <c r="X128" s="189">
        <v>1</v>
      </c>
    </row>
    <row r="129" spans="1:25">
      <c r="A129" s="11">
        <v>2042</v>
      </c>
      <c r="B129" s="46">
        <v>15</v>
      </c>
      <c r="C129" s="20">
        <v>2.0499999999999998</v>
      </c>
      <c r="D129" s="92">
        <v>12.03</v>
      </c>
      <c r="E129" s="174"/>
      <c r="F129" s="41">
        <v>18.809999999999999</v>
      </c>
      <c r="G129" s="19" t="s">
        <v>366</v>
      </c>
      <c r="H129" s="37">
        <v>40</v>
      </c>
      <c r="I129" s="37">
        <v>72</v>
      </c>
      <c r="J129" s="17">
        <v>40976</v>
      </c>
      <c r="K129" t="s">
        <v>130</v>
      </c>
      <c r="L129" s="25">
        <v>33.32</v>
      </c>
      <c r="M129" s="40">
        <v>0.53500000000000003</v>
      </c>
      <c r="N129" s="40">
        <v>176</v>
      </c>
      <c r="Q129" s="4" t="str">
        <f>HYPERLINK("\\hopi-fs\shares\users\dhar\Stalk mount testing\Type 1 Target Quality Assurance\CRYO-45138-114 2042","folder")</f>
        <v>folder</v>
      </c>
      <c r="S129" t="s">
        <v>175</v>
      </c>
      <c r="T129" t="s">
        <v>140</v>
      </c>
      <c r="U129" t="s">
        <v>378</v>
      </c>
      <c r="X129" s="189">
        <v>1</v>
      </c>
      <c r="Y129">
        <v>1</v>
      </c>
    </row>
    <row r="130" spans="1:25">
      <c r="A130" s="11">
        <v>2043</v>
      </c>
      <c r="B130" s="46">
        <v>15.4</v>
      </c>
      <c r="C130" s="20">
        <v>2.0499999999999998</v>
      </c>
      <c r="D130" s="92">
        <v>12.05</v>
      </c>
      <c r="E130" s="174"/>
      <c r="F130" s="10">
        <v>18.84</v>
      </c>
      <c r="G130" s="95" t="s">
        <v>367</v>
      </c>
      <c r="H130" s="37">
        <v>40</v>
      </c>
      <c r="I130" s="37">
        <v>72</v>
      </c>
      <c r="J130" s="17">
        <v>40976</v>
      </c>
      <c r="K130" t="s">
        <v>130</v>
      </c>
      <c r="L130" s="25">
        <v>33.380000000000003</v>
      </c>
      <c r="M130" s="40">
        <v>0.33200000000000002</v>
      </c>
      <c r="N130" s="40">
        <v>180</v>
      </c>
      <c r="P130" t="s">
        <v>386</v>
      </c>
      <c r="Q130" s="4" t="str">
        <f>HYPERLINK("\\hopi-fs\shares\users\dhar\Stalk mount testing\Type 1 Target Quality Assurance\CRYO-45039-118 2043","folder")</f>
        <v>folder</v>
      </c>
      <c r="R130">
        <v>5</v>
      </c>
      <c r="S130" t="s">
        <v>175</v>
      </c>
      <c r="T130" t="s">
        <v>140</v>
      </c>
      <c r="U130" t="s">
        <v>378</v>
      </c>
      <c r="X130" s="189">
        <v>1</v>
      </c>
      <c r="Y130">
        <v>1</v>
      </c>
    </row>
    <row r="131" spans="1:25">
      <c r="A131" s="11">
        <v>2041</v>
      </c>
      <c r="B131" s="46">
        <v>15.6</v>
      </c>
      <c r="C131" s="20">
        <v>2.02</v>
      </c>
      <c r="D131" s="93">
        <v>11.9</v>
      </c>
      <c r="E131" s="174"/>
      <c r="F131" s="10">
        <v>18.850000000000001</v>
      </c>
      <c r="G131" s="16" t="s">
        <v>376</v>
      </c>
      <c r="H131" s="37">
        <v>25</v>
      </c>
      <c r="I131" s="37">
        <v>71.400000000000006</v>
      </c>
      <c r="J131" s="17">
        <v>40982</v>
      </c>
      <c r="K131" t="s">
        <v>130</v>
      </c>
      <c r="L131" s="25">
        <v>33.200000000000003</v>
      </c>
      <c r="N131" s="29" t="s">
        <v>377</v>
      </c>
      <c r="S131" t="s">
        <v>175</v>
      </c>
      <c r="T131" t="s">
        <v>140</v>
      </c>
      <c r="X131" s="189"/>
    </row>
    <row r="132" spans="1:25">
      <c r="A132" s="11">
        <v>2029</v>
      </c>
      <c r="B132" s="46">
        <v>17.2</v>
      </c>
      <c r="C132" s="20">
        <v>2.0099999999999998</v>
      </c>
      <c r="D132" s="96">
        <v>11.93</v>
      </c>
      <c r="E132" s="174"/>
      <c r="F132" s="10">
        <v>18.850000000000001</v>
      </c>
      <c r="G132" s="76" t="s">
        <v>387</v>
      </c>
      <c r="H132" s="37">
        <v>42</v>
      </c>
      <c r="I132" s="37">
        <v>72</v>
      </c>
      <c r="J132" s="17">
        <v>40990</v>
      </c>
      <c r="K132" t="s">
        <v>130</v>
      </c>
      <c r="L132" s="25">
        <v>33.24</v>
      </c>
      <c r="M132" s="40">
        <v>0.4</v>
      </c>
      <c r="N132" s="40">
        <v>186</v>
      </c>
      <c r="Q132" s="4" t="str">
        <f>HYPERLINK("\\Hopi-fs\shares\users\dhar\Stalk mount testing\Type 1 Target Quality Assurance\CRYO-45237-120 2029","folder")</f>
        <v>folder</v>
      </c>
      <c r="S132" t="s">
        <v>175</v>
      </c>
      <c r="T132" t="s">
        <v>140</v>
      </c>
      <c r="X132" s="189">
        <v>1</v>
      </c>
    </row>
    <row r="133" spans="1:25">
      <c r="A133" s="11">
        <v>2239</v>
      </c>
      <c r="B133" s="46">
        <v>19.399999999999999</v>
      </c>
      <c r="C133" s="20">
        <v>1.99</v>
      </c>
      <c r="D133" s="96">
        <v>12.07</v>
      </c>
      <c r="E133" s="174"/>
      <c r="F133" s="41">
        <v>18.850000000000001</v>
      </c>
      <c r="G133" s="100" t="s">
        <v>397</v>
      </c>
      <c r="H133" s="37">
        <v>42</v>
      </c>
      <c r="I133" s="37">
        <v>72</v>
      </c>
      <c r="J133" s="17">
        <v>40990</v>
      </c>
      <c r="K133" t="s">
        <v>130</v>
      </c>
      <c r="L133" s="25">
        <v>33.340000000000003</v>
      </c>
      <c r="M133" s="40">
        <v>0.85</v>
      </c>
      <c r="N133" s="40">
        <v>195</v>
      </c>
      <c r="Q133" s="4" t="str">
        <f>HYPERLINK("\\Hopi-fs\shares\users\dhar\Stalk mount testing\Type 1 Target Quality Assurance\CRYO-45036-127 2239","folder")</f>
        <v>folder</v>
      </c>
      <c r="S133" t="s">
        <v>175</v>
      </c>
      <c r="T133" t="s">
        <v>140</v>
      </c>
      <c r="U133" t="s">
        <v>414</v>
      </c>
      <c r="X133" s="189">
        <v>1</v>
      </c>
      <c r="Y133">
        <v>1</v>
      </c>
    </row>
    <row r="134" spans="1:25">
      <c r="A134" s="211">
        <v>2024</v>
      </c>
      <c r="B134" s="46">
        <v>17.2</v>
      </c>
      <c r="C134" s="20">
        <v>2</v>
      </c>
      <c r="D134" s="96">
        <v>11.98</v>
      </c>
      <c r="E134" s="174"/>
      <c r="F134" s="41">
        <v>18.850000000000001</v>
      </c>
      <c r="G134" s="97" t="s">
        <v>388</v>
      </c>
      <c r="H134" s="37">
        <v>42</v>
      </c>
      <c r="I134" s="37">
        <v>72</v>
      </c>
      <c r="J134" s="17">
        <v>40990</v>
      </c>
      <c r="K134" t="s">
        <v>130</v>
      </c>
      <c r="L134" s="25">
        <v>33.26</v>
      </c>
      <c r="M134" s="40">
        <v>0.52800000000000002</v>
      </c>
      <c r="N134" s="40">
        <v>190</v>
      </c>
      <c r="Q134" s="4" t="str">
        <f>HYPERLINK("\\Hopi-fs\shares\users\dhar\Stalk mount testing\Type 1 Target Quality Assurance\CRYO-44838-128 2024","folder")</f>
        <v>folder</v>
      </c>
      <c r="S134" t="s">
        <v>175</v>
      </c>
      <c r="T134" t="s">
        <v>140</v>
      </c>
      <c r="X134" s="189">
        <v>1</v>
      </c>
    </row>
    <row r="135" spans="1:25">
      <c r="A135" s="178">
        <v>2024</v>
      </c>
      <c r="B135" s="311">
        <v>17</v>
      </c>
      <c r="C135" s="311">
        <v>2.0499999999999998</v>
      </c>
      <c r="D135" s="311">
        <v>11.97</v>
      </c>
      <c r="E135" s="311"/>
      <c r="F135" s="311">
        <v>18.86</v>
      </c>
      <c r="G135" s="19" t="s">
        <v>1712</v>
      </c>
      <c r="H135" s="311">
        <v>24.1</v>
      </c>
      <c r="I135" s="311">
        <v>68.7</v>
      </c>
      <c r="J135" s="17">
        <v>42067</v>
      </c>
      <c r="K135" t="s">
        <v>130</v>
      </c>
      <c r="L135" s="311">
        <v>33.31</v>
      </c>
      <c r="M135" s="311">
        <v>0.36299999999999999</v>
      </c>
      <c r="N135" s="311">
        <v>165</v>
      </c>
      <c r="O135" s="311"/>
      <c r="Q135" s="4" t="str">
        <f>HYPERLINK("\\hopi-fs\shares\users\dhar\Stalk mount testing\Type 1 Target Quality Assurance\CRYO-ISE-1Q14-07-12  2024 type 1","folder")</f>
        <v>folder</v>
      </c>
      <c r="T135" t="s">
        <v>1711</v>
      </c>
      <c r="U135" t="s">
        <v>1717</v>
      </c>
      <c r="X135" s="311"/>
    </row>
    <row r="136" spans="1:25">
      <c r="A136" s="11">
        <v>2027</v>
      </c>
      <c r="B136" s="46">
        <v>17.8</v>
      </c>
      <c r="C136" s="20">
        <v>2</v>
      </c>
      <c r="D136" s="96">
        <v>11.96</v>
      </c>
      <c r="E136" s="174"/>
      <c r="F136" s="41">
        <v>18.88</v>
      </c>
      <c r="G136" s="15" t="s">
        <v>389</v>
      </c>
      <c r="H136" s="37">
        <v>42</v>
      </c>
      <c r="I136" s="37">
        <v>72</v>
      </c>
      <c r="J136" s="17">
        <v>40990</v>
      </c>
      <c r="K136" t="s">
        <v>130</v>
      </c>
      <c r="L136" s="25">
        <v>33.299999999999997</v>
      </c>
      <c r="M136" s="40">
        <v>0.40200000000000002</v>
      </c>
      <c r="N136" s="40">
        <v>204</v>
      </c>
      <c r="Q136" s="4" t="str">
        <f>HYPERLINK("\\Hopi-fs\shares\users\dhar\Stalk mount testing\Type 1 Target Quality Assurance\CRYO-44838-126 2027","folder")</f>
        <v>folder</v>
      </c>
      <c r="S136" t="s">
        <v>175</v>
      </c>
      <c r="T136" t="s">
        <v>140</v>
      </c>
      <c r="U136" t="s">
        <v>2182</v>
      </c>
      <c r="X136" s="189">
        <v>1</v>
      </c>
    </row>
    <row r="137" spans="1:25">
      <c r="A137" s="11">
        <v>2225</v>
      </c>
      <c r="B137" s="46">
        <v>19.399999999999999</v>
      </c>
      <c r="C137" s="20">
        <v>2.04</v>
      </c>
      <c r="D137" s="96">
        <v>12.1</v>
      </c>
      <c r="E137" s="174"/>
      <c r="F137" s="41">
        <v>18.95</v>
      </c>
      <c r="G137" s="19" t="s">
        <v>390</v>
      </c>
      <c r="H137" s="37">
        <v>42</v>
      </c>
      <c r="I137" s="37">
        <v>72</v>
      </c>
      <c r="J137" s="17">
        <v>40990</v>
      </c>
      <c r="K137" t="s">
        <v>130</v>
      </c>
      <c r="L137" s="25">
        <v>33.54</v>
      </c>
      <c r="M137" s="40">
        <v>0.56299999999999994</v>
      </c>
      <c r="N137" s="40">
        <v>194</v>
      </c>
      <c r="Q137" s="4" t="str">
        <f>HYPERLINK("\\Hopi-fs\shares\users\dhar\Stalk mount testing\Type 1 Target Quality Assurance\CRYO-44838-130 2225","folder")</f>
        <v>folder</v>
      </c>
      <c r="S137" t="s">
        <v>175</v>
      </c>
      <c r="T137" t="s">
        <v>140</v>
      </c>
      <c r="U137" t="s">
        <v>414</v>
      </c>
      <c r="X137" s="189">
        <v>1</v>
      </c>
      <c r="Y137">
        <v>1</v>
      </c>
    </row>
    <row r="138" spans="1:25">
      <c r="A138" s="11">
        <v>2296</v>
      </c>
      <c r="B138" s="46">
        <v>17.8</v>
      </c>
      <c r="C138" s="20">
        <v>1.99</v>
      </c>
      <c r="D138" s="96">
        <v>12.08</v>
      </c>
      <c r="E138" s="174"/>
      <c r="F138" s="41">
        <v>18.88</v>
      </c>
      <c r="G138" s="15" t="s">
        <v>391</v>
      </c>
      <c r="H138" s="37">
        <v>42</v>
      </c>
      <c r="I138" s="37">
        <v>72</v>
      </c>
      <c r="J138" s="17">
        <v>40990</v>
      </c>
      <c r="K138" t="s">
        <v>130</v>
      </c>
      <c r="L138" s="25">
        <v>33.39</v>
      </c>
      <c r="M138" s="40">
        <v>0.38500000000000001</v>
      </c>
      <c r="Q138" s="4" t="str">
        <f>HYPERLINK("\\Hopi-fs\shares\users\dhar\Stalk mount testing\Type 1 Target Quality Assurance\CRYO-44838-133 2296","folder")</f>
        <v>folder</v>
      </c>
      <c r="S138" t="s">
        <v>175</v>
      </c>
      <c r="T138" t="s">
        <v>140</v>
      </c>
      <c r="U138" t="s">
        <v>2182</v>
      </c>
      <c r="X138" s="189">
        <v>1</v>
      </c>
    </row>
    <row r="139" spans="1:25">
      <c r="A139" s="11">
        <v>2046</v>
      </c>
      <c r="B139" s="46">
        <v>18.399999999999999</v>
      </c>
      <c r="C139" s="20">
        <v>1.96</v>
      </c>
      <c r="D139" s="96">
        <v>12</v>
      </c>
      <c r="E139" s="174"/>
      <c r="F139" s="41">
        <v>18.829999999999998</v>
      </c>
      <c r="G139" s="19" t="s">
        <v>392</v>
      </c>
      <c r="H139" s="37">
        <v>42</v>
      </c>
      <c r="I139" s="37">
        <v>72</v>
      </c>
      <c r="J139" s="17">
        <v>40991</v>
      </c>
      <c r="K139" t="s">
        <v>130</v>
      </c>
      <c r="L139" s="25">
        <v>33.270000000000003</v>
      </c>
      <c r="M139" s="40">
        <v>0.44700000000000001</v>
      </c>
      <c r="N139" s="40">
        <v>185</v>
      </c>
      <c r="Q139" s="4" t="str">
        <f>HYPERLINK("\\Hopi-fs\shares\users\dhar\Stalk mount testing\Type 1 Target Quality Assurance\CRYO-45236-121 2046","folder")</f>
        <v>folder</v>
      </c>
      <c r="S139" t="s">
        <v>175</v>
      </c>
      <c r="T139" t="s">
        <v>140</v>
      </c>
      <c r="U139" t="s">
        <v>414</v>
      </c>
      <c r="X139" s="189">
        <v>1</v>
      </c>
      <c r="Y139">
        <v>1</v>
      </c>
    </row>
    <row r="140" spans="1:25">
      <c r="A140" s="211">
        <v>2030</v>
      </c>
      <c r="B140" s="46">
        <v>18.8</v>
      </c>
      <c r="C140" s="20">
        <v>2</v>
      </c>
      <c r="D140" s="96">
        <v>11.99</v>
      </c>
      <c r="E140" s="174"/>
      <c r="F140" s="41">
        <v>18.850000000000001</v>
      </c>
      <c r="G140" s="97" t="s">
        <v>393</v>
      </c>
      <c r="H140" s="37">
        <v>42</v>
      </c>
      <c r="I140" s="37">
        <v>72</v>
      </c>
      <c r="J140" s="17">
        <v>40991</v>
      </c>
      <c r="K140" t="s">
        <v>130</v>
      </c>
      <c r="L140" s="25">
        <v>33.25</v>
      </c>
      <c r="M140" s="40">
        <v>0.252</v>
      </c>
      <c r="N140" s="40">
        <v>174</v>
      </c>
      <c r="Q140" s="4" t="str">
        <f>HYPERLINK("\\Hopi-fs\shares\users\dhar\Stalk mount testing\Type 1 Target Quality Assurance\CRYO-44937-123 2030","folder")</f>
        <v>folder</v>
      </c>
      <c r="S140" t="s">
        <v>175</v>
      </c>
      <c r="T140" t="s">
        <v>140</v>
      </c>
      <c r="U140" t="s">
        <v>2182</v>
      </c>
      <c r="X140" s="189">
        <v>1</v>
      </c>
    </row>
    <row r="141" spans="1:25">
      <c r="A141" s="11">
        <v>2298</v>
      </c>
      <c r="B141" s="46">
        <v>19.399999999999999</v>
      </c>
      <c r="C141" s="20">
        <v>1.99</v>
      </c>
      <c r="D141" s="96">
        <v>11.67</v>
      </c>
      <c r="E141" s="174"/>
      <c r="F141" s="41">
        <v>19.04</v>
      </c>
      <c r="G141" s="19" t="s">
        <v>394</v>
      </c>
      <c r="H141" s="37">
        <v>42</v>
      </c>
      <c r="I141" s="37">
        <v>72</v>
      </c>
      <c r="J141" s="17">
        <v>40991</v>
      </c>
      <c r="K141" t="s">
        <v>130</v>
      </c>
      <c r="L141" s="25">
        <v>33.14</v>
      </c>
      <c r="M141" s="40">
        <v>0.28799999999999998</v>
      </c>
      <c r="N141" s="40">
        <v>201</v>
      </c>
      <c r="Q141" s="4" t="str">
        <f>HYPERLINK("\\Hopi-fs\shares\users\dhar\Stalk mount testing\Type 1 Target Quality Assurance\CRYO-44839-124 2298","folder")</f>
        <v>folder</v>
      </c>
      <c r="S141" t="s">
        <v>175</v>
      </c>
      <c r="T141" t="s">
        <v>140</v>
      </c>
      <c r="U141" t="s">
        <v>414</v>
      </c>
      <c r="X141" s="189">
        <v>1</v>
      </c>
      <c r="Y141">
        <v>1</v>
      </c>
    </row>
    <row r="142" spans="1:25">
      <c r="A142" s="11">
        <v>2039</v>
      </c>
      <c r="B142" s="46">
        <v>16.8</v>
      </c>
      <c r="C142" s="20">
        <v>1.99</v>
      </c>
      <c r="D142" s="96">
        <v>12.03</v>
      </c>
      <c r="E142" s="174"/>
      <c r="F142" s="41">
        <v>18.829999999999998</v>
      </c>
      <c r="G142" s="19" t="s">
        <v>395</v>
      </c>
      <c r="H142" s="37">
        <v>42</v>
      </c>
      <c r="I142" s="37">
        <v>72</v>
      </c>
      <c r="J142" s="17">
        <v>40991</v>
      </c>
      <c r="K142" t="s">
        <v>130</v>
      </c>
      <c r="L142" s="25">
        <v>33.28</v>
      </c>
      <c r="M142" s="40">
        <v>0.22800000000000001</v>
      </c>
      <c r="N142" s="40">
        <v>189</v>
      </c>
      <c r="Q142" s="4" t="str">
        <f>HYPERLINK("\\Hopi-fs\shares\users\dhar\Stalk mount testing\Type 1 Target Quality Assurance\CRYO-44838-131 2039","folder")</f>
        <v>folder</v>
      </c>
      <c r="S142" t="s">
        <v>175</v>
      </c>
      <c r="T142" t="s">
        <v>140</v>
      </c>
      <c r="U142" t="s">
        <v>414</v>
      </c>
      <c r="X142" s="189">
        <v>1</v>
      </c>
      <c r="Y142">
        <v>1</v>
      </c>
    </row>
    <row r="143" spans="1:25">
      <c r="A143" s="11">
        <v>2040</v>
      </c>
      <c r="B143" s="46">
        <v>16.399999999999999</v>
      </c>
      <c r="C143" s="20">
        <v>1.96</v>
      </c>
      <c r="D143" s="96">
        <v>12</v>
      </c>
      <c r="E143" s="174"/>
      <c r="F143" s="41">
        <v>18.850000000000001</v>
      </c>
      <c r="G143" s="19" t="s">
        <v>396</v>
      </c>
      <c r="H143" s="37">
        <v>42</v>
      </c>
      <c r="I143" s="37">
        <v>72</v>
      </c>
      <c r="J143" s="17">
        <v>40991</v>
      </c>
      <c r="K143" t="s">
        <v>130</v>
      </c>
      <c r="L143" s="25">
        <v>33.26</v>
      </c>
      <c r="M143" s="40">
        <v>0.48</v>
      </c>
      <c r="N143" s="40">
        <v>184</v>
      </c>
      <c r="Q143" s="4" t="str">
        <f>HYPERLINK("\\Hopi-fs\shares\users\dhar\Stalk mount testing\Type 1 Target Quality Assurance\CRYO-44738-132 2040","folder")</f>
        <v>folder</v>
      </c>
      <c r="S143" t="s">
        <v>175</v>
      </c>
      <c r="T143" t="s">
        <v>140</v>
      </c>
      <c r="U143" t="s">
        <v>414</v>
      </c>
      <c r="X143" s="189">
        <v>1</v>
      </c>
      <c r="Y143">
        <v>1</v>
      </c>
    </row>
    <row r="144" spans="1:25">
      <c r="A144" s="11">
        <v>2037</v>
      </c>
      <c r="B144" s="19">
        <v>17</v>
      </c>
      <c r="C144" s="20">
        <v>18</v>
      </c>
      <c r="D144" s="102">
        <v>12.1</v>
      </c>
      <c r="E144" s="174"/>
      <c r="F144" s="41">
        <v>18.8</v>
      </c>
      <c r="G144" s="19" t="s">
        <v>420</v>
      </c>
      <c r="H144" s="37">
        <v>55</v>
      </c>
      <c r="I144" s="37">
        <v>70</v>
      </c>
      <c r="J144" s="17">
        <v>41015</v>
      </c>
      <c r="K144" t="s">
        <v>130</v>
      </c>
      <c r="L144" s="25">
        <v>33.4</v>
      </c>
      <c r="M144" s="40">
        <v>0.71799999999999997</v>
      </c>
      <c r="N144" s="40">
        <v>184</v>
      </c>
      <c r="Q144" s="4" t="str">
        <f>HYPERLINK("\\hopi-fs\shares\users\dhar\Stalk mount testing\Type 1 Target Quality Assurance\CRYO-2102-1802 2037","folder")</f>
        <v>folder</v>
      </c>
      <c r="S144" t="s">
        <v>175</v>
      </c>
      <c r="T144" t="s">
        <v>140</v>
      </c>
      <c r="U144" t="s">
        <v>447</v>
      </c>
      <c r="X144" s="189">
        <v>1</v>
      </c>
      <c r="Y144">
        <v>1</v>
      </c>
    </row>
    <row r="145" spans="1:25">
      <c r="A145" s="11">
        <v>2036</v>
      </c>
      <c r="B145" s="46">
        <v>16.600000000000001</v>
      </c>
      <c r="C145" s="20">
        <v>2.0499999999999998</v>
      </c>
      <c r="D145" s="102">
        <v>12</v>
      </c>
      <c r="E145" s="174"/>
      <c r="F145" s="41">
        <v>18.8</v>
      </c>
      <c r="G145" s="102" t="s">
        <v>421</v>
      </c>
      <c r="H145" s="102">
        <v>55</v>
      </c>
      <c r="I145" s="102">
        <v>70</v>
      </c>
      <c r="J145" s="17">
        <v>41015</v>
      </c>
      <c r="K145" t="s">
        <v>130</v>
      </c>
      <c r="L145" s="25">
        <v>33.200000000000003</v>
      </c>
      <c r="M145" s="40">
        <v>0.56999999999999995</v>
      </c>
      <c r="Q145" s="4" t="str">
        <f>HYPERLINK("\\hopi-fs\shares\users\dhar\Stalk mount testing\Type 1 Target Quality Assurance\CRYO-2102-1803 2036","folder")</f>
        <v>folder</v>
      </c>
      <c r="S145" t="s">
        <v>175</v>
      </c>
      <c r="T145" t="s">
        <v>140</v>
      </c>
      <c r="X145" s="189">
        <v>1</v>
      </c>
    </row>
    <row r="146" spans="1:25">
      <c r="A146" s="11">
        <v>2694</v>
      </c>
      <c r="B146" s="102">
        <v>17.8</v>
      </c>
      <c r="C146" s="20">
        <v>2.04</v>
      </c>
      <c r="D146" s="102">
        <v>11.9</v>
      </c>
      <c r="E146" s="174"/>
      <c r="F146" s="41">
        <v>18.8</v>
      </c>
      <c r="G146" s="19" t="s">
        <v>422</v>
      </c>
      <c r="H146" s="102">
        <v>55</v>
      </c>
      <c r="I146" s="102">
        <v>70</v>
      </c>
      <c r="J146" s="17">
        <v>41015</v>
      </c>
      <c r="K146" t="s">
        <v>130</v>
      </c>
      <c r="L146" s="25">
        <v>33.299999999999997</v>
      </c>
      <c r="M146" s="40">
        <v>0.73</v>
      </c>
      <c r="N146" s="40">
        <v>180</v>
      </c>
      <c r="Q146" s="4" t="str">
        <f>HYPERLINK("\\hopi-fs\shares\users\dhar\Stalk mount testing\Type 1 Target Quality Assurance\CRYO-2105-1805 2694","folder")</f>
        <v>folder</v>
      </c>
      <c r="S146" t="s">
        <v>175</v>
      </c>
      <c r="T146" t="s">
        <v>140</v>
      </c>
      <c r="U146" t="s">
        <v>447</v>
      </c>
      <c r="X146" s="189">
        <v>1</v>
      </c>
      <c r="Y146">
        <v>1</v>
      </c>
    </row>
    <row r="147" spans="1:25">
      <c r="A147" s="11">
        <v>2587</v>
      </c>
      <c r="B147" s="46">
        <v>16</v>
      </c>
      <c r="C147" s="20">
        <v>2</v>
      </c>
      <c r="D147" s="102">
        <v>12.3</v>
      </c>
      <c r="E147" s="174"/>
      <c r="F147" s="41">
        <v>18.8</v>
      </c>
      <c r="G147" s="19" t="s">
        <v>423</v>
      </c>
      <c r="H147" s="102">
        <v>55</v>
      </c>
      <c r="I147" s="102">
        <v>70</v>
      </c>
      <c r="J147" s="17">
        <v>41015</v>
      </c>
      <c r="K147" t="s">
        <v>130</v>
      </c>
      <c r="L147" s="25">
        <v>33.6</v>
      </c>
      <c r="M147" s="40">
        <v>0.53</v>
      </c>
      <c r="N147" s="40">
        <v>166</v>
      </c>
      <c r="Q147" s="4" t="str">
        <f>HYPERLINK("\\hopi-fs\shares\users\dhar\Stalk mount testing\Type 1 Target Quality Assurance\CRYO-2104-1806 2587","folder")</f>
        <v>folder</v>
      </c>
      <c r="S147" t="s">
        <v>175</v>
      </c>
      <c r="T147" t="s">
        <v>140</v>
      </c>
      <c r="U147" t="s">
        <v>447</v>
      </c>
      <c r="X147" s="189">
        <v>1</v>
      </c>
      <c r="Y147">
        <v>1</v>
      </c>
    </row>
    <row r="148" spans="1:25">
      <c r="A148" s="11">
        <v>2379</v>
      </c>
      <c r="B148" s="46">
        <v>13.6</v>
      </c>
      <c r="C148" s="20">
        <v>1.99</v>
      </c>
      <c r="D148" s="102">
        <v>12.1</v>
      </c>
      <c r="E148" s="174"/>
      <c r="F148" s="41">
        <v>18.899999999999999</v>
      </c>
      <c r="G148" s="102" t="s">
        <v>424</v>
      </c>
      <c r="H148" s="102">
        <v>55</v>
      </c>
      <c r="I148" s="102">
        <v>70</v>
      </c>
      <c r="J148" s="17">
        <v>41015</v>
      </c>
      <c r="K148" t="s">
        <v>130</v>
      </c>
      <c r="L148" s="25">
        <v>33.4</v>
      </c>
      <c r="M148" s="40">
        <v>0.56999999999999995</v>
      </c>
      <c r="Q148" s="4" t="str">
        <f>HYPERLINK("\\hopi-fs\shares\users\dhar\Stalk mount testing\Type 1 Target Quality Assurance\CRYO-2104-1810 2379","folder")</f>
        <v>folder</v>
      </c>
      <c r="S148" t="s">
        <v>175</v>
      </c>
      <c r="T148" t="s">
        <v>140</v>
      </c>
      <c r="X148" s="189">
        <v>1</v>
      </c>
    </row>
    <row r="149" spans="1:25">
      <c r="A149" s="11">
        <v>2041</v>
      </c>
      <c r="B149" s="46">
        <v>16.399999999999999</v>
      </c>
      <c r="C149" s="20">
        <v>2.0299999999999998</v>
      </c>
      <c r="D149" s="102">
        <v>12</v>
      </c>
      <c r="E149" s="174"/>
      <c r="F149" s="41">
        <v>18.899999999999999</v>
      </c>
      <c r="G149" s="19" t="s">
        <v>425</v>
      </c>
      <c r="H149" s="102">
        <v>55</v>
      </c>
      <c r="I149" s="102">
        <v>70</v>
      </c>
      <c r="J149" s="17">
        <v>41015</v>
      </c>
      <c r="K149" t="s">
        <v>130</v>
      </c>
      <c r="L149" s="25">
        <v>33.4</v>
      </c>
      <c r="M149" s="40">
        <v>0.78500000000000003</v>
      </c>
      <c r="N149" s="40">
        <v>179</v>
      </c>
      <c r="Q149" s="4" t="str">
        <f>HYPERLINK("\\hopi-fs\shares\users\dhar\Stalk mount testing\Type 1 Target Quality Assurance\CRYO-2103-1811 2041","folder")</f>
        <v>folder</v>
      </c>
      <c r="S149" t="s">
        <v>175</v>
      </c>
      <c r="T149" t="s">
        <v>140</v>
      </c>
      <c r="U149" t="s">
        <v>447</v>
      </c>
      <c r="X149" s="189">
        <v>1</v>
      </c>
      <c r="Y149">
        <v>1</v>
      </c>
    </row>
    <row r="150" spans="1:25">
      <c r="A150" t="s">
        <v>426</v>
      </c>
      <c r="B150" s="46">
        <v>16</v>
      </c>
      <c r="C150" s="20">
        <v>2.0499999999999998</v>
      </c>
      <c r="D150" s="103">
        <v>11.9</v>
      </c>
      <c r="E150" s="174"/>
      <c r="F150" s="41">
        <v>19.2</v>
      </c>
      <c r="G150" s="38" t="s">
        <v>427</v>
      </c>
      <c r="H150" s="37">
        <v>38</v>
      </c>
      <c r="I150" s="37">
        <v>68</v>
      </c>
      <c r="J150" s="17">
        <v>41016</v>
      </c>
      <c r="K150" t="s">
        <v>130</v>
      </c>
      <c r="L150" s="25">
        <v>33.700000000000003</v>
      </c>
      <c r="M150" s="40">
        <v>0.25</v>
      </c>
      <c r="N150" s="40">
        <v>178</v>
      </c>
      <c r="P150" t="s">
        <v>446</v>
      </c>
      <c r="Q150" s="4" t="str">
        <f>HYPERLINK("\\hopi-fs\shares\users\dhar\Stalk mount testing\Type 1 Target Quality Assurance\CRYO-2102-1816 AA","folder")</f>
        <v>folder</v>
      </c>
      <c r="S150" t="s">
        <v>175</v>
      </c>
      <c r="T150" t="s">
        <v>140</v>
      </c>
      <c r="X150" s="189">
        <v>1</v>
      </c>
    </row>
    <row r="151" spans="1:25">
      <c r="A151" s="11">
        <v>2038</v>
      </c>
      <c r="G151" s="38" t="s">
        <v>428</v>
      </c>
      <c r="H151" s="37">
        <v>38</v>
      </c>
      <c r="I151" s="37">
        <v>68</v>
      </c>
      <c r="J151" s="17">
        <v>41016</v>
      </c>
      <c r="K151" t="s">
        <v>130</v>
      </c>
      <c r="S151" t="s">
        <v>175</v>
      </c>
      <c r="T151" t="s">
        <v>140</v>
      </c>
      <c r="X151" s="189">
        <v>1</v>
      </c>
    </row>
    <row r="152" spans="1:25">
      <c r="A152" s="11">
        <v>2465</v>
      </c>
      <c r="B152" s="46">
        <v>16.600000000000001</v>
      </c>
      <c r="C152" s="20">
        <v>1.95</v>
      </c>
      <c r="D152" s="103">
        <v>12</v>
      </c>
      <c r="E152" s="174"/>
      <c r="F152" s="41">
        <v>18.8</v>
      </c>
      <c r="G152" s="19" t="s">
        <v>432</v>
      </c>
      <c r="H152" s="37">
        <v>35</v>
      </c>
      <c r="I152" s="37">
        <v>73</v>
      </c>
      <c r="J152" s="17">
        <v>41017</v>
      </c>
      <c r="K152" t="s">
        <v>130</v>
      </c>
      <c r="L152" s="25">
        <v>33.299999999999997</v>
      </c>
      <c r="M152" s="40">
        <v>0.85</v>
      </c>
      <c r="N152" s="40">
        <v>178</v>
      </c>
      <c r="Q152" s="4" t="str">
        <f>HYPERLINK("\\hopi-fs\shares\users\dhar\Stalk mount testing\Type 1 Target Quality Assurance\CRYO-2103-1800 2465","folder")</f>
        <v>folder</v>
      </c>
      <c r="S152" t="s">
        <v>175</v>
      </c>
      <c r="T152" t="s">
        <v>140</v>
      </c>
      <c r="U152" t="s">
        <v>447</v>
      </c>
      <c r="X152" s="189">
        <v>1</v>
      </c>
      <c r="Y152">
        <v>1</v>
      </c>
    </row>
    <row r="153" spans="1:25">
      <c r="A153" s="11">
        <v>2275</v>
      </c>
      <c r="B153" s="46">
        <v>14</v>
      </c>
      <c r="C153" s="20">
        <v>2</v>
      </c>
      <c r="D153" s="126">
        <v>12</v>
      </c>
      <c r="E153" s="174"/>
      <c r="F153" s="41">
        <v>19.399999999999999</v>
      </c>
      <c r="G153" s="15" t="s">
        <v>469</v>
      </c>
      <c r="H153" s="37">
        <v>52.5</v>
      </c>
      <c r="I153" s="37">
        <v>72.5</v>
      </c>
      <c r="J153" s="17">
        <v>41038</v>
      </c>
      <c r="K153" t="s">
        <v>130</v>
      </c>
      <c r="L153" s="25">
        <v>33.96</v>
      </c>
      <c r="M153" s="40">
        <v>0.47</v>
      </c>
      <c r="Q153" s="4" t="str">
        <f>HYPERLINK("\\hopi-fs\shares\users\dhar\Stalk mount testing\Type 1 Target Quality Assurance\CRYO-2123-1908","folder")</f>
        <v>folder</v>
      </c>
      <c r="S153" t="s">
        <v>175</v>
      </c>
      <c r="T153" t="s">
        <v>140</v>
      </c>
      <c r="X153" s="189">
        <v>1</v>
      </c>
    </row>
    <row r="154" spans="1:25">
      <c r="A154" s="11">
        <v>2063</v>
      </c>
      <c r="B154" s="46">
        <v>13.4</v>
      </c>
      <c r="C154" s="20">
        <v>2.0499999999999998</v>
      </c>
      <c r="D154" s="126">
        <v>11.9</v>
      </c>
      <c r="E154" s="174"/>
      <c r="F154" s="41">
        <v>18.899999999999999</v>
      </c>
      <c r="G154" s="19" t="s">
        <v>470</v>
      </c>
      <c r="H154" s="37">
        <v>52.5</v>
      </c>
      <c r="I154" s="37">
        <v>72.5</v>
      </c>
      <c r="J154" s="17">
        <v>41038</v>
      </c>
      <c r="K154" t="s">
        <v>130</v>
      </c>
      <c r="L154" s="25">
        <v>33.33</v>
      </c>
      <c r="M154" s="40">
        <v>3.7999999999999999E-2</v>
      </c>
      <c r="N154" s="40" t="s">
        <v>478</v>
      </c>
      <c r="Q154" s="4" t="str">
        <f>HYPERLINK("\\hopi-fs\shares\users\dhar\Stalk mount testing\Type 1 Target Quality Assurance\CRYO-2124-1910","folder")</f>
        <v>folder</v>
      </c>
      <c r="S154" t="s">
        <v>175</v>
      </c>
      <c r="T154" t="s">
        <v>140</v>
      </c>
      <c r="U154" t="s">
        <v>497</v>
      </c>
      <c r="X154" s="189">
        <v>1</v>
      </c>
      <c r="Y154">
        <v>1</v>
      </c>
    </row>
    <row r="155" spans="1:25">
      <c r="A155" s="11">
        <v>2235</v>
      </c>
      <c r="B155" s="46">
        <v>15.8</v>
      </c>
      <c r="C155" s="20">
        <v>2.04</v>
      </c>
      <c r="D155" s="126">
        <v>12</v>
      </c>
      <c r="E155" s="174"/>
      <c r="F155" s="41">
        <v>19.100000000000001</v>
      </c>
      <c r="G155" s="19" t="s">
        <v>471</v>
      </c>
      <c r="H155" s="37">
        <v>52.5</v>
      </c>
      <c r="I155" s="37">
        <v>72.5</v>
      </c>
      <c r="J155" s="17">
        <v>41038</v>
      </c>
      <c r="K155" t="s">
        <v>130</v>
      </c>
      <c r="L155" s="25">
        <v>33.56</v>
      </c>
      <c r="M155" s="40">
        <v>0.44400000000000001</v>
      </c>
      <c r="N155" s="40">
        <v>165</v>
      </c>
      <c r="Q155" s="4" t="str">
        <f>HYPERLINK("\\hopi-fs\shares\users\dhar\Stalk mount testing\Type 1 Target Quality Assurance\CRYO-2122-1911","folder")</f>
        <v>folder</v>
      </c>
      <c r="S155" t="s">
        <v>175</v>
      </c>
      <c r="T155" t="s">
        <v>140</v>
      </c>
      <c r="U155" t="s">
        <v>497</v>
      </c>
      <c r="X155" s="189">
        <v>1</v>
      </c>
      <c r="Y155">
        <v>1</v>
      </c>
    </row>
    <row r="156" spans="1:25">
      <c r="A156" s="11">
        <v>2061</v>
      </c>
      <c r="B156" s="46">
        <v>17</v>
      </c>
      <c r="C156" s="20">
        <v>2.0499999999999998</v>
      </c>
      <c r="D156" s="126">
        <v>12.2</v>
      </c>
      <c r="E156" s="174"/>
      <c r="F156" s="41">
        <v>18.8</v>
      </c>
      <c r="G156" s="19" t="s">
        <v>472</v>
      </c>
      <c r="H156" s="37">
        <v>52.5</v>
      </c>
      <c r="I156" s="37">
        <v>72.5</v>
      </c>
      <c r="J156" s="17">
        <v>41038</v>
      </c>
      <c r="K156" t="s">
        <v>130</v>
      </c>
      <c r="L156" s="25">
        <v>33.49</v>
      </c>
      <c r="M156" s="40">
        <v>0.56000000000000005</v>
      </c>
      <c r="N156" s="40">
        <v>179</v>
      </c>
      <c r="Q156" s="4" t="str">
        <f>HYPERLINK("\\hopi-fs\shares\users\dhar\Stalk mount testing\Type 1 Target Quality Assurance\CRYO-2117-1912","folder")</f>
        <v>folder</v>
      </c>
      <c r="S156" t="s">
        <v>175</v>
      </c>
      <c r="T156" t="s">
        <v>140</v>
      </c>
      <c r="U156" t="s">
        <v>497</v>
      </c>
      <c r="X156" s="189">
        <v>1</v>
      </c>
      <c r="Y156">
        <v>1</v>
      </c>
    </row>
    <row r="157" spans="1:25">
      <c r="A157" s="11">
        <v>2062</v>
      </c>
      <c r="B157" s="46">
        <v>18</v>
      </c>
      <c r="C157" s="20">
        <v>2</v>
      </c>
      <c r="D157" s="126">
        <v>12.1</v>
      </c>
      <c r="E157" s="174"/>
      <c r="F157" s="41">
        <v>18.98</v>
      </c>
      <c r="G157" s="15" t="s">
        <v>473</v>
      </c>
      <c r="H157" s="37">
        <v>52.5</v>
      </c>
      <c r="I157" s="37">
        <v>72.5</v>
      </c>
      <c r="J157" s="17">
        <v>41038</v>
      </c>
      <c r="K157" t="s">
        <v>130</v>
      </c>
      <c r="L157" s="25">
        <v>33.5</v>
      </c>
      <c r="M157" s="40">
        <v>0.21299999999999999</v>
      </c>
      <c r="Q157" s="4" t="str">
        <f>HYPERLINK("\\hopi-fs\shares\users\dhar\Stalk mount testing\Type 1 Target Quality Assurance\CRYO-2120-1913","folder")</f>
        <v>folder</v>
      </c>
      <c r="S157" t="s">
        <v>175</v>
      </c>
      <c r="T157" t="s">
        <v>140</v>
      </c>
      <c r="X157" s="189">
        <v>1</v>
      </c>
    </row>
    <row r="158" spans="1:25">
      <c r="A158" s="11" t="s">
        <v>477</v>
      </c>
      <c r="B158" s="46">
        <v>18.8</v>
      </c>
      <c r="C158" s="20">
        <v>2.0299999999999998</v>
      </c>
      <c r="D158" s="126">
        <v>12</v>
      </c>
      <c r="E158" s="174"/>
      <c r="F158" s="41">
        <v>18.84</v>
      </c>
      <c r="G158" s="19" t="s">
        <v>474</v>
      </c>
      <c r="H158" s="37">
        <v>52.5</v>
      </c>
      <c r="I158" s="37">
        <v>72.5</v>
      </c>
      <c r="J158" s="17">
        <v>41038</v>
      </c>
      <c r="K158" t="s">
        <v>130</v>
      </c>
      <c r="L158" s="25">
        <v>33.32</v>
      </c>
      <c r="M158" s="40">
        <v>0.255</v>
      </c>
      <c r="N158" s="40">
        <v>175</v>
      </c>
      <c r="Q158" s="4" t="str">
        <f>HYPERLINK("\\hopi-fs\shares\users\dhar\Stalk mount testing\Type 1 Target Quality Assurance\CRYO-2124-1916","folder")</f>
        <v>folder</v>
      </c>
      <c r="S158" t="s">
        <v>175</v>
      </c>
      <c r="T158" t="s">
        <v>140</v>
      </c>
      <c r="U158" t="s">
        <v>497</v>
      </c>
      <c r="X158" s="189">
        <v>1</v>
      </c>
      <c r="Y158">
        <v>1</v>
      </c>
    </row>
    <row r="159" spans="1:25">
      <c r="A159" s="11">
        <v>2057</v>
      </c>
      <c r="B159" s="46">
        <v>18.600000000000001</v>
      </c>
      <c r="C159" s="20">
        <v>2.0299999999999998</v>
      </c>
      <c r="D159" s="127">
        <v>12.1</v>
      </c>
      <c r="E159" s="174"/>
      <c r="F159" s="41">
        <v>18.760000000000002</v>
      </c>
      <c r="G159" s="19" t="s">
        <v>475</v>
      </c>
      <c r="H159" s="37">
        <v>32.799999999999997</v>
      </c>
      <c r="I159" s="37">
        <v>72</v>
      </c>
      <c r="J159" s="17">
        <v>41040</v>
      </c>
      <c r="K159" t="s">
        <v>130</v>
      </c>
      <c r="L159" s="25">
        <v>33.340000000000003</v>
      </c>
      <c r="M159" s="40">
        <v>0.40500000000000003</v>
      </c>
      <c r="N159" s="40">
        <v>181</v>
      </c>
      <c r="Q159" s="4" t="str">
        <f>HYPERLINK("\\hopi-fs\shares\users\dhar\Stalk mount testing\Type 1 Target Quality Assurance\CRYO-2119-1922","folder")</f>
        <v>folder</v>
      </c>
      <c r="S159" t="s">
        <v>175</v>
      </c>
      <c r="T159" t="s">
        <v>140</v>
      </c>
      <c r="U159" t="s">
        <v>497</v>
      </c>
      <c r="X159" s="189">
        <v>1</v>
      </c>
      <c r="Y159">
        <v>1</v>
      </c>
    </row>
    <row r="160" spans="1:25">
      <c r="A160" s="11">
        <v>2058</v>
      </c>
      <c r="B160" s="46">
        <v>19.2</v>
      </c>
      <c r="C160" s="20">
        <v>2.0699999999999998</v>
      </c>
      <c r="D160" s="127">
        <v>12.22</v>
      </c>
      <c r="E160" s="174"/>
      <c r="F160" s="41">
        <v>18.86</v>
      </c>
      <c r="G160" s="15" t="s">
        <v>476</v>
      </c>
      <c r="H160" s="37">
        <v>32.799999999999997</v>
      </c>
      <c r="I160" s="37">
        <v>72</v>
      </c>
      <c r="J160" s="17">
        <v>41040</v>
      </c>
      <c r="K160" t="s">
        <v>130</v>
      </c>
      <c r="L160" s="25">
        <v>33.590000000000003</v>
      </c>
      <c r="M160" s="40">
        <v>0.39800000000000002</v>
      </c>
      <c r="Q160" s="4" t="str">
        <f>HYPERLINK("\\hopi-fs\shares\users\dhar\Stalk mount testing\Type 1 Target Quality Assurance\CRYO-2122-1927","folder")</f>
        <v>folder</v>
      </c>
      <c r="S160" t="s">
        <v>175</v>
      </c>
      <c r="T160" t="s">
        <v>140</v>
      </c>
      <c r="X160" s="189">
        <v>1</v>
      </c>
    </row>
    <row r="161" spans="1:25">
      <c r="A161" s="11">
        <v>2060</v>
      </c>
      <c r="B161" s="46">
        <v>16.8</v>
      </c>
      <c r="C161" s="20">
        <v>2.0099999999999998</v>
      </c>
      <c r="D161" s="128">
        <v>12</v>
      </c>
      <c r="E161" s="174"/>
      <c r="F161" s="41">
        <v>18.8</v>
      </c>
      <c r="G161" s="19" t="s">
        <v>484</v>
      </c>
      <c r="H161" s="37">
        <v>52.5</v>
      </c>
      <c r="I161" s="37">
        <v>73</v>
      </c>
      <c r="J161" s="17">
        <v>41044</v>
      </c>
      <c r="K161" t="s">
        <v>130</v>
      </c>
      <c r="L161" s="25">
        <v>33.299999999999997</v>
      </c>
      <c r="M161" s="40">
        <v>0.52</v>
      </c>
      <c r="N161" s="40">
        <v>173</v>
      </c>
      <c r="Q161" s="4" t="str">
        <f>HYPERLINK("\\hopi-fs\shares\users\dhar\Stalk mount testing\Type 1 Target Quality Assurance\CRYO-2121-1906 2060","folder")</f>
        <v>folder</v>
      </c>
      <c r="S161" t="s">
        <v>175</v>
      </c>
      <c r="T161" t="s">
        <v>140</v>
      </c>
      <c r="X161" s="189">
        <v>1</v>
      </c>
    </row>
    <row r="162" spans="1:25">
      <c r="A162" s="11">
        <v>2074</v>
      </c>
      <c r="B162" s="46">
        <v>20</v>
      </c>
      <c r="C162" s="20">
        <v>2</v>
      </c>
      <c r="D162" s="129">
        <v>12</v>
      </c>
      <c r="E162" s="174"/>
      <c r="F162" s="41">
        <v>19</v>
      </c>
      <c r="G162" s="129" t="s">
        <v>489</v>
      </c>
      <c r="H162" s="37">
        <v>44</v>
      </c>
      <c r="I162" s="37">
        <v>73</v>
      </c>
      <c r="J162" s="17">
        <v>41045</v>
      </c>
      <c r="K162" t="s">
        <v>130</v>
      </c>
      <c r="L162" s="25">
        <v>33.4</v>
      </c>
      <c r="M162" s="40">
        <v>0.64</v>
      </c>
      <c r="Q162" s="4" t="str">
        <f>HYPERLINK("\\hopi-fs\shares\users\dhar\Stalk mount testing\Type 1 Target Quality Assurance\CRYO-2108-2007 2074","folder")</f>
        <v>folder</v>
      </c>
      <c r="S162" t="s">
        <v>175</v>
      </c>
      <c r="T162" t="s">
        <v>140</v>
      </c>
      <c r="X162" s="189">
        <v>1</v>
      </c>
    </row>
    <row r="163" spans="1:25">
      <c r="A163" s="11">
        <v>2075</v>
      </c>
      <c r="B163" s="46">
        <v>15.8</v>
      </c>
      <c r="C163" s="20">
        <v>1.99</v>
      </c>
      <c r="D163" s="129">
        <v>12.04</v>
      </c>
      <c r="E163" s="174"/>
      <c r="F163" s="41">
        <v>18.850000000000001</v>
      </c>
      <c r="G163" s="19" t="s">
        <v>490</v>
      </c>
      <c r="H163" s="37">
        <v>44</v>
      </c>
      <c r="I163" s="37">
        <v>73</v>
      </c>
      <c r="J163" s="17">
        <v>41045</v>
      </c>
      <c r="K163" t="s">
        <v>130</v>
      </c>
      <c r="L163" s="25">
        <v>32.880000000000003</v>
      </c>
      <c r="M163" s="40">
        <v>0.27500000000000002</v>
      </c>
      <c r="N163" s="40">
        <v>176</v>
      </c>
      <c r="Q163" s="4" t="str">
        <f>HYPERLINK("\\hopi-fs\shares\users\dhar\Stalk mount testing\Type 1 Target Quality Assurance\CRYO-2108-2008 2075","folder")</f>
        <v>folder</v>
      </c>
      <c r="S163" t="s">
        <v>175</v>
      </c>
      <c r="T163" t="s">
        <v>140</v>
      </c>
      <c r="U163" t="s">
        <v>514</v>
      </c>
      <c r="X163" s="189">
        <v>1</v>
      </c>
      <c r="Y163">
        <v>1</v>
      </c>
    </row>
    <row r="164" spans="1:25">
      <c r="A164" s="11">
        <v>2076</v>
      </c>
      <c r="B164" s="46">
        <v>17.600000000000001</v>
      </c>
      <c r="C164" s="20">
        <v>2</v>
      </c>
      <c r="D164" s="129">
        <v>11.95</v>
      </c>
      <c r="E164" s="174"/>
      <c r="F164" s="41">
        <v>18.82</v>
      </c>
      <c r="G164" s="19" t="s">
        <v>491</v>
      </c>
      <c r="H164" s="37">
        <v>44</v>
      </c>
      <c r="I164" s="37">
        <v>73</v>
      </c>
      <c r="J164" s="17">
        <v>41045</v>
      </c>
      <c r="K164" t="s">
        <v>130</v>
      </c>
      <c r="L164" s="25">
        <v>33.21</v>
      </c>
      <c r="M164" s="40">
        <v>0.5</v>
      </c>
      <c r="N164" s="40">
        <v>190</v>
      </c>
      <c r="Q164" s="4" t="str">
        <f>HYPERLINK("\\hopi-fs\shares\users\dhar\Stalk mount testing\Type 1 Target Quality Assurance\CRYO-2107-2011 2076","folder")</f>
        <v>folder</v>
      </c>
      <c r="S164" t="s">
        <v>175</v>
      </c>
      <c r="T164" t="s">
        <v>140</v>
      </c>
      <c r="U164" t="s">
        <v>514</v>
      </c>
      <c r="X164" s="189">
        <v>1</v>
      </c>
      <c r="Y164">
        <v>1</v>
      </c>
    </row>
    <row r="165" spans="1:25">
      <c r="A165" s="11">
        <v>2077</v>
      </c>
      <c r="B165" s="46">
        <v>18.600000000000001</v>
      </c>
      <c r="C165" s="20">
        <v>2.02</v>
      </c>
      <c r="D165" s="129">
        <v>12.06</v>
      </c>
      <c r="E165" s="174"/>
      <c r="F165" s="41">
        <v>18.77</v>
      </c>
      <c r="G165" s="19" t="s">
        <v>492</v>
      </c>
      <c r="H165" s="37">
        <v>44</v>
      </c>
      <c r="I165" s="37">
        <v>73</v>
      </c>
      <c r="J165" s="17">
        <v>41045</v>
      </c>
      <c r="K165" t="s">
        <v>130</v>
      </c>
      <c r="L165" s="25">
        <v>33.31</v>
      </c>
      <c r="M165" s="40">
        <v>0.309</v>
      </c>
      <c r="N165" s="40">
        <v>183</v>
      </c>
      <c r="Q165" s="4" t="str">
        <f>HYPERLINK("\\hopi-fs\shares\users\dhar\Stalk mount testing\Type 1 Target Quality Assurance\CRYO-2108-2012 2077","folder")</f>
        <v>folder</v>
      </c>
      <c r="S165" t="s">
        <v>175</v>
      </c>
      <c r="T165" t="s">
        <v>140</v>
      </c>
      <c r="U165" t="s">
        <v>514</v>
      </c>
      <c r="X165" s="189">
        <v>1</v>
      </c>
      <c r="Y165">
        <v>1</v>
      </c>
    </row>
    <row r="166" spans="1:25">
      <c r="A166" s="11">
        <v>2078</v>
      </c>
      <c r="B166" s="46">
        <v>18</v>
      </c>
      <c r="C166" s="20">
        <v>2</v>
      </c>
      <c r="D166" s="129">
        <v>12.02</v>
      </c>
      <c r="E166" s="174"/>
      <c r="F166" s="41">
        <v>18.87</v>
      </c>
      <c r="G166" s="19" t="s">
        <v>493</v>
      </c>
      <c r="H166" s="37">
        <v>44</v>
      </c>
      <c r="I166" s="37">
        <v>73</v>
      </c>
      <c r="J166" s="17">
        <v>41045</v>
      </c>
      <c r="K166" t="s">
        <v>130</v>
      </c>
      <c r="L166" s="25">
        <v>33.36</v>
      </c>
      <c r="M166" s="40">
        <v>0.47499999999999998</v>
      </c>
      <c r="N166" s="40">
        <v>179</v>
      </c>
      <c r="Q166" s="4" t="str">
        <f>HYPERLINK("\\hopi-fs\shares\users\dhar\Stalk mount testing\Type 1 Target Quality Assurance\CRYO-2108-2013 2078","folder")</f>
        <v>folder</v>
      </c>
      <c r="S166" t="s">
        <v>175</v>
      </c>
      <c r="T166" t="s">
        <v>140</v>
      </c>
      <c r="U166" t="s">
        <v>514</v>
      </c>
      <c r="X166" s="189">
        <v>1</v>
      </c>
      <c r="Y166">
        <v>1</v>
      </c>
    </row>
    <row r="167" spans="1:25">
      <c r="A167" s="11">
        <v>2079</v>
      </c>
      <c r="B167" s="46">
        <v>14</v>
      </c>
      <c r="C167" s="20">
        <v>1.98</v>
      </c>
      <c r="D167" s="130">
        <v>12.1</v>
      </c>
      <c r="E167" s="174"/>
      <c r="F167" s="41">
        <v>18.8</v>
      </c>
      <c r="G167" s="19" t="s">
        <v>494</v>
      </c>
      <c r="H167" s="37">
        <v>44</v>
      </c>
      <c r="I167" s="37">
        <v>73</v>
      </c>
      <c r="J167" s="17">
        <v>41045</v>
      </c>
      <c r="K167" t="s">
        <v>130</v>
      </c>
      <c r="L167" s="25">
        <v>33.299999999999997</v>
      </c>
      <c r="M167" s="40">
        <v>0.48</v>
      </c>
      <c r="N167" s="40">
        <v>164</v>
      </c>
      <c r="Q167" s="4" t="str">
        <f>HYPERLINK("\\hopi-fs\shares\users\dhar\Stalk mount testing\Type 1 Target Quality Assurance\CRYO-2108-2014 2079","folder")</f>
        <v>folder</v>
      </c>
      <c r="S167" t="s">
        <v>175</v>
      </c>
      <c r="T167" t="s">
        <v>140</v>
      </c>
      <c r="U167" t="s">
        <v>514</v>
      </c>
      <c r="X167" s="189">
        <v>1</v>
      </c>
      <c r="Y167">
        <v>1</v>
      </c>
    </row>
    <row r="168" spans="1:25">
      <c r="A168" s="11">
        <v>2062</v>
      </c>
      <c r="B168" s="46">
        <v>16.600000000000001</v>
      </c>
      <c r="C168" s="20">
        <v>2.06</v>
      </c>
      <c r="D168" s="130">
        <v>12.07</v>
      </c>
      <c r="E168" s="174"/>
      <c r="F168" s="41">
        <v>19</v>
      </c>
      <c r="G168" s="19" t="s">
        <v>495</v>
      </c>
      <c r="H168" s="37">
        <v>27</v>
      </c>
      <c r="I168" s="37">
        <v>72</v>
      </c>
      <c r="J168" s="17">
        <v>41047</v>
      </c>
      <c r="K168" t="s">
        <v>130</v>
      </c>
      <c r="L168" s="25">
        <v>33.6</v>
      </c>
      <c r="M168" s="40">
        <v>0.88600000000000001</v>
      </c>
      <c r="N168" s="40">
        <v>178</v>
      </c>
      <c r="Q168" s="4" t="str">
        <f>HYPERLINK("\\hopi-fs\shares\users\dhar\Stalk mount testing\Type 1 Target Quality Assurance\CRYO-2107-2019 2062","folder")</f>
        <v>folder</v>
      </c>
      <c r="S168" t="s">
        <v>175</v>
      </c>
      <c r="T168" t="s">
        <v>140</v>
      </c>
      <c r="X168" s="189">
        <v>1</v>
      </c>
    </row>
    <row r="169" spans="1:25">
      <c r="A169" s="11">
        <v>2056</v>
      </c>
      <c r="B169" s="46">
        <v>18.399999999999999</v>
      </c>
      <c r="C169" s="20">
        <v>2.08</v>
      </c>
      <c r="D169" s="143">
        <v>12.16</v>
      </c>
      <c r="E169" s="174"/>
      <c r="F169" s="41">
        <v>18.850000000000001</v>
      </c>
      <c r="G169" s="19" t="s">
        <v>523</v>
      </c>
      <c r="H169" s="37">
        <v>62</v>
      </c>
      <c r="I169" s="37">
        <v>68</v>
      </c>
      <c r="J169" s="17">
        <v>41078</v>
      </c>
      <c r="K169" t="s">
        <v>130</v>
      </c>
      <c r="L169" s="25">
        <v>33.53</v>
      </c>
      <c r="M169" s="40">
        <v>0.22</v>
      </c>
      <c r="N169" s="40">
        <v>181</v>
      </c>
      <c r="Q169" s="4" t="str">
        <f>HYPERLINK("\\Hopi-fs\shares\users\dhar\Stalk mount testing\Type 1 Target Quality Assurance\CRYO-2093-2043  2056","folder")</f>
        <v>folder</v>
      </c>
      <c r="S169" t="s">
        <v>175</v>
      </c>
      <c r="T169" t="s">
        <v>140</v>
      </c>
      <c r="U169" t="s">
        <v>675</v>
      </c>
      <c r="X169" s="189">
        <v>1</v>
      </c>
      <c r="Y169">
        <v>1</v>
      </c>
    </row>
    <row r="170" spans="1:25">
      <c r="A170" s="11">
        <v>2058</v>
      </c>
      <c r="B170" s="46">
        <v>16.8</v>
      </c>
      <c r="C170" s="20">
        <v>2</v>
      </c>
      <c r="D170" s="143">
        <v>12.23</v>
      </c>
      <c r="E170" s="174"/>
      <c r="F170" s="41">
        <v>18.84</v>
      </c>
      <c r="G170" s="19" t="s">
        <v>524</v>
      </c>
      <c r="H170" s="143">
        <v>62</v>
      </c>
      <c r="I170" s="143">
        <v>68</v>
      </c>
      <c r="J170" s="17">
        <v>41078</v>
      </c>
      <c r="K170" t="s">
        <v>130</v>
      </c>
      <c r="L170" s="25">
        <v>33.51</v>
      </c>
      <c r="M170" s="40">
        <v>0.50900000000000001</v>
      </c>
      <c r="N170" s="40">
        <v>175</v>
      </c>
      <c r="Q170" s="4" t="str">
        <f>HYPERLINK("\\Hopi-fs\shares\users\dhar\Stalk mount testing\Type 1 Target Quality Assurance\CRYO-2094-2044  2058","folder")</f>
        <v>folder</v>
      </c>
      <c r="S170" t="s">
        <v>175</v>
      </c>
      <c r="T170" t="s">
        <v>140</v>
      </c>
      <c r="U170" t="s">
        <v>675</v>
      </c>
      <c r="X170" s="189">
        <v>1</v>
      </c>
      <c r="Y170">
        <v>1</v>
      </c>
    </row>
    <row r="171" spans="1:25">
      <c r="A171" s="11">
        <v>2059</v>
      </c>
      <c r="B171" s="46">
        <v>16.399999999999999</v>
      </c>
      <c r="C171" s="20">
        <v>2</v>
      </c>
      <c r="D171" s="143">
        <v>12.14</v>
      </c>
      <c r="E171" s="174"/>
      <c r="F171" s="41">
        <v>18.82</v>
      </c>
      <c r="G171" s="19" t="s">
        <v>525</v>
      </c>
      <c r="H171" s="143">
        <v>62</v>
      </c>
      <c r="I171" s="143">
        <v>68</v>
      </c>
      <c r="J171" s="17">
        <v>41078</v>
      </c>
      <c r="K171" t="s">
        <v>130</v>
      </c>
      <c r="L171" s="25">
        <v>33.43</v>
      </c>
      <c r="M171" s="40">
        <v>0.57199999999999995</v>
      </c>
      <c r="N171" s="40">
        <v>173</v>
      </c>
      <c r="Q171" s="4" t="str">
        <f>HYPERLINK("\\Hopi-fs\shares\users\dhar\Stalk mount testing\Type 1 Target Quality Assurance\CRYO-2094-2045  2059","folder")</f>
        <v>folder</v>
      </c>
      <c r="S171" t="s">
        <v>175</v>
      </c>
      <c r="T171" t="s">
        <v>140</v>
      </c>
      <c r="U171" t="s">
        <v>675</v>
      </c>
      <c r="X171" s="189">
        <v>1</v>
      </c>
      <c r="Y171">
        <v>1</v>
      </c>
    </row>
    <row r="172" spans="1:25">
      <c r="A172" s="11">
        <v>2236</v>
      </c>
      <c r="B172" s="46">
        <v>17.600000000000001</v>
      </c>
      <c r="C172" s="20">
        <v>2.02</v>
      </c>
      <c r="D172" s="143">
        <v>12.12</v>
      </c>
      <c r="E172" s="174"/>
      <c r="F172" s="41">
        <v>18.940000000000001</v>
      </c>
      <c r="G172" s="19" t="s">
        <v>526</v>
      </c>
      <c r="H172" s="143">
        <v>62</v>
      </c>
      <c r="I172" s="143">
        <v>68</v>
      </c>
      <c r="J172" s="17">
        <v>41078</v>
      </c>
      <c r="K172" t="s">
        <v>130</v>
      </c>
      <c r="L172" s="25">
        <v>33.520000000000003</v>
      </c>
      <c r="M172" s="40">
        <v>0.1</v>
      </c>
      <c r="N172" s="40">
        <v>189</v>
      </c>
      <c r="Q172" s="4" t="str">
        <f>HYPERLINK("\\Hopi-fs\shares\users\dhar\Stalk mount testing\Type 1 Target Quality Assurance\CRYO-2095-2046  2236","folder")</f>
        <v>folder</v>
      </c>
      <c r="S172" t="s">
        <v>175</v>
      </c>
      <c r="T172" t="s">
        <v>140</v>
      </c>
      <c r="U172" t="s">
        <v>675</v>
      </c>
      <c r="X172" s="189">
        <v>1</v>
      </c>
      <c r="Y172">
        <v>1</v>
      </c>
    </row>
    <row r="173" spans="1:25">
      <c r="A173" s="11">
        <v>2036</v>
      </c>
      <c r="C173" s="44" t="s">
        <v>1074</v>
      </c>
      <c r="G173" s="44" t="s">
        <v>527</v>
      </c>
      <c r="H173" s="37">
        <v>54</v>
      </c>
      <c r="I173" s="37">
        <v>72</v>
      </c>
      <c r="J173" s="17">
        <v>41078</v>
      </c>
      <c r="K173" t="s">
        <v>130</v>
      </c>
      <c r="Q173" s="4" t="str">
        <f>HYPERLINK("\\Hopi-fs\shares\users\dhar\Stalk mount testing\Type 1 Target Quality Assurance\CRYO-2094-2047  2036","folder")</f>
        <v>folder</v>
      </c>
      <c r="S173" t="s">
        <v>175</v>
      </c>
      <c r="T173" t="s">
        <v>140</v>
      </c>
      <c r="U173" t="s">
        <v>530</v>
      </c>
      <c r="X173" s="189">
        <v>1</v>
      </c>
    </row>
    <row r="174" spans="1:25">
      <c r="A174" s="11">
        <v>2038</v>
      </c>
      <c r="B174" s="46">
        <v>16.2</v>
      </c>
      <c r="C174" s="143">
        <v>2</v>
      </c>
      <c r="D174" s="143">
        <v>12.02</v>
      </c>
      <c r="E174" s="174"/>
      <c r="F174" s="41">
        <v>18.84</v>
      </c>
      <c r="G174" s="19" t="s">
        <v>528</v>
      </c>
      <c r="H174" s="143">
        <v>54</v>
      </c>
      <c r="I174" s="143">
        <v>72</v>
      </c>
      <c r="J174" s="17">
        <v>41078</v>
      </c>
      <c r="K174" t="s">
        <v>130</v>
      </c>
      <c r="L174" s="25">
        <v>33.31</v>
      </c>
      <c r="M174" s="40">
        <v>0.64200000000000002</v>
      </c>
      <c r="N174" s="40">
        <v>166</v>
      </c>
      <c r="Q174" s="4" t="str">
        <f>HYPERLINK("\\Hopi-fs\shares\users\dhar\Stalk mount testing\Type 1 Target Quality Assurance\CRYO-2093-2048  2038","folder")</f>
        <v>folder</v>
      </c>
      <c r="S174" t="s">
        <v>175</v>
      </c>
      <c r="T174" t="s">
        <v>140</v>
      </c>
      <c r="U174" t="s">
        <v>650</v>
      </c>
      <c r="X174" s="189">
        <v>1</v>
      </c>
    </row>
    <row r="175" spans="1:25">
      <c r="A175" s="11">
        <v>2379</v>
      </c>
      <c r="C175" s="44" t="s">
        <v>1074</v>
      </c>
      <c r="F175" s="10"/>
      <c r="G175" s="203" t="s">
        <v>529</v>
      </c>
      <c r="H175" s="143">
        <v>54</v>
      </c>
      <c r="I175" s="143">
        <v>72</v>
      </c>
      <c r="J175" s="17">
        <v>41078</v>
      </c>
      <c r="K175" t="s">
        <v>130</v>
      </c>
      <c r="Q175" s="4" t="str">
        <f>HYPERLINK("\\Hopi-fs\shares\users\dhar\Stalk mount testing\Type 1 Target Quality Assurance\CRYO-2093-2049  2379","folder")</f>
        <v>folder</v>
      </c>
      <c r="S175" t="s">
        <v>175</v>
      </c>
      <c r="T175" t="s">
        <v>140</v>
      </c>
      <c r="U175" t="s">
        <v>530</v>
      </c>
      <c r="X175" s="189">
        <v>1</v>
      </c>
    </row>
    <row r="176" spans="1:25">
      <c r="A176" s="11">
        <v>2092</v>
      </c>
      <c r="B176" s="46">
        <v>16.2</v>
      </c>
      <c r="C176" s="20">
        <v>1.97</v>
      </c>
      <c r="D176" s="145">
        <v>12.09</v>
      </c>
      <c r="E176" s="174"/>
      <c r="F176" s="10">
        <v>18.82</v>
      </c>
      <c r="G176" s="149" t="s">
        <v>539</v>
      </c>
      <c r="H176" s="37">
        <v>46</v>
      </c>
      <c r="I176" s="37">
        <v>71</v>
      </c>
      <c r="J176" s="17">
        <v>41087</v>
      </c>
      <c r="K176" t="s">
        <v>130</v>
      </c>
      <c r="L176" s="25">
        <v>33.33</v>
      </c>
      <c r="M176" s="40">
        <v>0.35799999999999998</v>
      </c>
      <c r="N176" s="40">
        <v>181</v>
      </c>
      <c r="Q176" s="4" t="str">
        <f>HYPERLINK("\\hopi-fs\shares\users\dhar\Stalk mount testing\Type 1 Target Quality Assurance\CRYO-47138-156 2092","folder")</f>
        <v>folder</v>
      </c>
      <c r="S176" t="s">
        <v>175</v>
      </c>
      <c r="T176" t="s">
        <v>140</v>
      </c>
      <c r="U176" t="s">
        <v>540</v>
      </c>
      <c r="X176" s="189">
        <v>1</v>
      </c>
    </row>
    <row r="177" spans="1:25">
      <c r="A177" s="11">
        <v>2092</v>
      </c>
      <c r="B177" s="311">
        <v>17.600000000000001</v>
      </c>
      <c r="C177" s="311">
        <v>2.02</v>
      </c>
      <c r="D177" s="311">
        <v>12.07</v>
      </c>
      <c r="E177" s="311"/>
      <c r="F177" s="10">
        <v>18.829999999999998</v>
      </c>
      <c r="G177" s="312" t="s">
        <v>1713</v>
      </c>
      <c r="H177" s="311">
        <v>24.1</v>
      </c>
      <c r="I177" s="311">
        <v>68.7</v>
      </c>
      <c r="J177" s="17">
        <v>42067</v>
      </c>
      <c r="K177" t="s">
        <v>130</v>
      </c>
      <c r="L177" s="311">
        <v>33.36</v>
      </c>
      <c r="M177" s="311">
        <v>0.75</v>
      </c>
      <c r="N177" s="311">
        <v>172</v>
      </c>
      <c r="O177" s="311"/>
      <c r="Q177" s="4" t="str">
        <f>HYPERLINK("\\hopi-fs\shares\users\dhar\Stalk mount testing\Type 1 Target Quality Assurance\CRYO-ISE-1Q14-07-13  2092 type 1","folder")</f>
        <v>folder</v>
      </c>
      <c r="T177" t="s">
        <v>1711</v>
      </c>
      <c r="U177" t="s">
        <v>1716</v>
      </c>
      <c r="X177" s="311"/>
    </row>
    <row r="178" spans="1:25">
      <c r="A178" s="11">
        <v>2093</v>
      </c>
      <c r="B178" s="46">
        <v>15.6</v>
      </c>
      <c r="C178" s="20">
        <v>1.99</v>
      </c>
      <c r="D178" s="145">
        <v>12.13</v>
      </c>
      <c r="E178" s="174"/>
      <c r="F178" s="10">
        <v>18.829999999999998</v>
      </c>
      <c r="G178" s="149" t="s">
        <v>542</v>
      </c>
      <c r="H178" s="37">
        <v>46</v>
      </c>
      <c r="I178" s="37">
        <v>71</v>
      </c>
      <c r="J178" s="17">
        <v>41087</v>
      </c>
      <c r="K178" t="s">
        <v>130</v>
      </c>
      <c r="L178" s="25">
        <v>33.39</v>
      </c>
      <c r="M178" s="40">
        <v>0.38900000000000001</v>
      </c>
      <c r="N178" s="40">
        <v>174</v>
      </c>
      <c r="Q178" s="4" t="str">
        <f>HYPERLINK("\\hopi-fs\shares\users\dhar\Stalk mount testing\Type 1 Target Quality Assurance\CRYO-47138-157 2093","folder")</f>
        <v>folder</v>
      </c>
      <c r="S178" t="s">
        <v>175</v>
      </c>
      <c r="T178" t="s">
        <v>140</v>
      </c>
      <c r="U178" t="s">
        <v>553</v>
      </c>
      <c r="X178" s="189">
        <v>1</v>
      </c>
      <c r="Y178">
        <v>1</v>
      </c>
    </row>
    <row r="179" spans="1:25">
      <c r="A179" s="11">
        <v>2094</v>
      </c>
      <c r="B179" s="46">
        <v>14.8</v>
      </c>
      <c r="C179" s="20">
        <v>2.02</v>
      </c>
      <c r="D179" s="145">
        <v>12.07</v>
      </c>
      <c r="E179" s="174"/>
      <c r="F179" s="10">
        <v>18.829999999999998</v>
      </c>
      <c r="G179" s="149" t="s">
        <v>552</v>
      </c>
      <c r="H179" s="37">
        <v>46</v>
      </c>
      <c r="I179" s="37">
        <v>71</v>
      </c>
      <c r="J179" s="17">
        <v>41087</v>
      </c>
      <c r="K179" t="s">
        <v>130</v>
      </c>
      <c r="L179" s="25">
        <v>33.36</v>
      </c>
      <c r="M179" s="40">
        <v>0.47599999999999998</v>
      </c>
      <c r="N179" s="40">
        <v>174</v>
      </c>
      <c r="Q179" s="4" t="str">
        <f>HYPERLINK("\\hopi-fs\shares\users\dhar\Stalk mount testing\Type 1 Target Quality Assurance\CRYO-47139-158 2094","folder")</f>
        <v>folder</v>
      </c>
      <c r="S179" t="s">
        <v>175</v>
      </c>
      <c r="T179" t="s">
        <v>140</v>
      </c>
      <c r="U179" t="s">
        <v>553</v>
      </c>
      <c r="X179" s="189">
        <v>1</v>
      </c>
      <c r="Y179">
        <v>1</v>
      </c>
    </row>
    <row r="180" spans="1:25">
      <c r="A180" s="11">
        <v>2095</v>
      </c>
      <c r="B180" s="46">
        <v>14.4</v>
      </c>
      <c r="C180" s="20">
        <v>2</v>
      </c>
      <c r="D180" s="145">
        <v>11.93</v>
      </c>
      <c r="E180" s="174"/>
      <c r="F180" s="10">
        <v>18.84</v>
      </c>
      <c r="G180" s="149" t="s">
        <v>543</v>
      </c>
      <c r="H180" s="37">
        <v>46</v>
      </c>
      <c r="I180" s="37">
        <v>71</v>
      </c>
      <c r="J180" s="17">
        <v>41087</v>
      </c>
      <c r="K180" t="s">
        <v>130</v>
      </c>
      <c r="L180" s="25">
        <v>33.22</v>
      </c>
      <c r="M180" s="40">
        <v>0.33100000000000002</v>
      </c>
      <c r="N180" s="40">
        <v>161</v>
      </c>
      <c r="Q180" s="4" t="str">
        <f>HYPERLINK("\\hopi-fs\shares\users\dhar\Stalk mount testing\Type 1 Target Quality Assurance\CRYO-47138-159 2095","folder")</f>
        <v>folder</v>
      </c>
      <c r="S180" t="s">
        <v>175</v>
      </c>
      <c r="T180" t="s">
        <v>140</v>
      </c>
      <c r="U180" t="s">
        <v>553</v>
      </c>
      <c r="X180" s="189">
        <v>1</v>
      </c>
      <c r="Y180">
        <v>1</v>
      </c>
    </row>
    <row r="181" spans="1:25">
      <c r="A181" s="11">
        <v>2045</v>
      </c>
      <c r="B181" s="46">
        <v>18.399999999999999</v>
      </c>
      <c r="C181" s="20">
        <v>2</v>
      </c>
      <c r="D181" s="145">
        <v>12.04</v>
      </c>
      <c r="E181" s="174"/>
      <c r="F181" s="10">
        <v>18.829999999999998</v>
      </c>
      <c r="G181" s="11" t="s">
        <v>541</v>
      </c>
      <c r="H181" s="37">
        <v>46</v>
      </c>
      <c r="I181" s="37">
        <v>71</v>
      </c>
      <c r="J181" s="17">
        <v>41087</v>
      </c>
      <c r="K181" t="s">
        <v>130</v>
      </c>
      <c r="L181" s="25">
        <v>33.31</v>
      </c>
      <c r="M181" s="40">
        <v>0.126</v>
      </c>
      <c r="N181" s="40">
        <v>170</v>
      </c>
      <c r="Q181" s="4" t="str">
        <f>HYPERLINK("\\hopi-fs\shares\users\dhar\Stalk mount testing\Type 1 Target Quality Assurance\CRYO-47138-160 2045","folder")</f>
        <v>folder</v>
      </c>
      <c r="S181" t="s">
        <v>175</v>
      </c>
      <c r="T181" t="s">
        <v>140</v>
      </c>
      <c r="U181" t="s">
        <v>553</v>
      </c>
      <c r="X181" s="189">
        <v>1</v>
      </c>
      <c r="Y181">
        <v>1</v>
      </c>
    </row>
    <row r="182" spans="1:25">
      <c r="A182" s="11">
        <v>3002</v>
      </c>
      <c r="B182" s="46">
        <v>14.6</v>
      </c>
      <c r="C182" s="20">
        <v>1.97</v>
      </c>
      <c r="D182" s="148">
        <v>12.11</v>
      </c>
      <c r="E182" s="174"/>
      <c r="F182" s="41">
        <v>18.84</v>
      </c>
      <c r="G182" s="38" t="s">
        <v>555</v>
      </c>
      <c r="H182" s="37">
        <v>61</v>
      </c>
      <c r="I182" s="37">
        <v>69</v>
      </c>
      <c r="J182" s="17">
        <v>41108</v>
      </c>
      <c r="K182" t="s">
        <v>130</v>
      </c>
      <c r="L182" s="25">
        <v>33.36</v>
      </c>
      <c r="M182" s="40">
        <v>7.6999999999999999E-2</v>
      </c>
      <c r="Q182" s="4" t="str">
        <f>HYPERLINK("\\Hopi-fs\shares\users\dhar\Stalk mount testing\Type 1 Target Quality Assurance\CRYO-2094-1961  3002","folder")</f>
        <v>folder</v>
      </c>
      <c r="S182" t="s">
        <v>175</v>
      </c>
      <c r="T182" t="s">
        <v>140</v>
      </c>
      <c r="U182" t="s">
        <v>540</v>
      </c>
      <c r="X182" s="189">
        <v>1</v>
      </c>
    </row>
    <row r="183" spans="1:25">
      <c r="A183" s="11">
        <v>2098</v>
      </c>
      <c r="B183" s="46">
        <v>16</v>
      </c>
      <c r="C183" s="20">
        <v>1.96</v>
      </c>
      <c r="D183" s="148">
        <v>12.15</v>
      </c>
      <c r="E183" s="174"/>
      <c r="F183" s="41">
        <v>18.97</v>
      </c>
      <c r="G183" s="15" t="s">
        <v>556</v>
      </c>
      <c r="H183" s="37">
        <v>61</v>
      </c>
      <c r="I183" s="37">
        <v>69</v>
      </c>
      <c r="J183" s="17">
        <v>41108</v>
      </c>
      <c r="K183" t="s">
        <v>130</v>
      </c>
      <c r="L183" s="25">
        <v>33.5</v>
      </c>
      <c r="M183" s="40">
        <v>0.24299999999999999</v>
      </c>
      <c r="Q183" s="4" t="str">
        <f>HYPERLINK("\\Hopi-fs\shares\users\dhar\Stalk mount testing\Type 1 Target Quality Assurance\CRYO-2094-1965  2098","folder")</f>
        <v>folder</v>
      </c>
      <c r="S183" t="s">
        <v>175</v>
      </c>
      <c r="T183" t="s">
        <v>140</v>
      </c>
      <c r="U183" t="s">
        <v>540</v>
      </c>
      <c r="X183" s="189">
        <v>1</v>
      </c>
    </row>
    <row r="184" spans="1:25">
      <c r="A184" s="11">
        <v>2099</v>
      </c>
      <c r="B184" s="46">
        <v>16.2</v>
      </c>
      <c r="C184" s="20">
        <v>2</v>
      </c>
      <c r="D184" s="148">
        <v>12.07</v>
      </c>
      <c r="E184" s="174"/>
      <c r="F184" s="41">
        <v>18.84</v>
      </c>
      <c r="G184" s="19" t="s">
        <v>557</v>
      </c>
      <c r="H184" s="37">
        <v>61</v>
      </c>
      <c r="I184" s="37">
        <v>69</v>
      </c>
      <c r="J184" s="17">
        <v>41108</v>
      </c>
      <c r="K184" t="s">
        <v>130</v>
      </c>
      <c r="L184" s="25">
        <v>33.340000000000003</v>
      </c>
      <c r="M184" s="40">
        <v>8.3000000000000004E-2</v>
      </c>
      <c r="N184" s="40">
        <v>180</v>
      </c>
      <c r="Q184" s="4" t="str">
        <f>HYPERLINK("\\Hopi-fs\shares\users\dhar\Stalk mount testing\Type 1 Target Quality Assurance\CRYO-2093-1966  2099","folder")</f>
        <v>folder</v>
      </c>
      <c r="S184" t="s">
        <v>175</v>
      </c>
      <c r="T184" t="s">
        <v>140</v>
      </c>
      <c r="U184" t="s">
        <v>540</v>
      </c>
      <c r="X184" s="189">
        <v>1</v>
      </c>
    </row>
    <row r="185" spans="1:25">
      <c r="A185" s="11">
        <v>3000</v>
      </c>
      <c r="B185" s="46">
        <v>16.8</v>
      </c>
      <c r="C185" s="20">
        <v>1.95</v>
      </c>
      <c r="D185" s="148">
        <v>12.09</v>
      </c>
      <c r="E185" s="174"/>
      <c r="F185" s="41">
        <v>18.84</v>
      </c>
      <c r="G185" s="19" t="s">
        <v>558</v>
      </c>
      <c r="H185" s="37">
        <v>61</v>
      </c>
      <c r="I185" s="37">
        <v>69</v>
      </c>
      <c r="J185" s="17">
        <v>41108</v>
      </c>
      <c r="K185" t="s">
        <v>130</v>
      </c>
      <c r="L185" s="25">
        <v>33.299999999999997</v>
      </c>
      <c r="M185" s="40">
        <v>0.23400000000000001</v>
      </c>
      <c r="N185" s="40">
        <v>189</v>
      </c>
      <c r="Q185" s="4" t="str">
        <f>HYPERLINK("\\Hopi-fs\shares\users\dhar\Stalk mount testing\Type 1 Target Quality Assurance\CRYO-2094-1968  3000","folder")</f>
        <v>folder</v>
      </c>
      <c r="S185" t="s">
        <v>175</v>
      </c>
      <c r="T185" t="s">
        <v>140</v>
      </c>
      <c r="U185" t="s">
        <v>583</v>
      </c>
      <c r="X185" s="189">
        <v>1</v>
      </c>
      <c r="Y185">
        <v>1</v>
      </c>
    </row>
    <row r="186" spans="1:25">
      <c r="A186" s="11">
        <v>3001</v>
      </c>
      <c r="B186" s="46">
        <v>16.8</v>
      </c>
      <c r="C186" s="20">
        <v>1.98</v>
      </c>
      <c r="D186" s="148">
        <v>12.13</v>
      </c>
      <c r="E186" s="174"/>
      <c r="F186" s="41">
        <v>18.86</v>
      </c>
      <c r="G186" s="38" t="s">
        <v>559</v>
      </c>
      <c r="H186" s="37">
        <v>61</v>
      </c>
      <c r="I186" s="37">
        <v>69</v>
      </c>
      <c r="J186" s="17">
        <v>41108</v>
      </c>
      <c r="K186" t="s">
        <v>130</v>
      </c>
      <c r="L186" s="25">
        <v>33.380000000000003</v>
      </c>
      <c r="M186" s="40">
        <v>0.247</v>
      </c>
      <c r="Q186" s="4" t="str">
        <f>HYPERLINK("\\Hopi-fs\shares\users\dhar\Stalk mount testing\Type 1 Target Quality Assurance\CRYO-2093-1972  3001","folder")</f>
        <v>folder</v>
      </c>
      <c r="S186" t="s">
        <v>175</v>
      </c>
      <c r="T186" t="s">
        <v>140</v>
      </c>
      <c r="U186" t="s">
        <v>540</v>
      </c>
      <c r="X186" s="189">
        <v>1</v>
      </c>
    </row>
    <row r="187" spans="1:25">
      <c r="A187" s="11">
        <v>3007</v>
      </c>
      <c r="B187" s="46">
        <f>AVERAGE(13.8, 14.8)</f>
        <v>14.3</v>
      </c>
      <c r="C187" s="20">
        <v>2</v>
      </c>
      <c r="D187" s="150">
        <v>12.1</v>
      </c>
      <c r="E187" s="174"/>
      <c r="F187" s="41">
        <v>18.8</v>
      </c>
      <c r="G187" s="19" t="s">
        <v>567</v>
      </c>
      <c r="H187" s="37">
        <v>52.6</v>
      </c>
      <c r="I187" s="37">
        <v>72.5</v>
      </c>
      <c r="J187" s="17">
        <v>41114</v>
      </c>
      <c r="K187" t="s">
        <v>130</v>
      </c>
      <c r="L187" s="25">
        <v>33.380000000000003</v>
      </c>
      <c r="M187" s="40">
        <v>0.72</v>
      </c>
      <c r="N187" s="40">
        <v>169</v>
      </c>
      <c r="Q187" s="4" t="str">
        <f>HYPERLINK("\\Hopi-fs\shares\users\dhar\Stalk mount testing\Type 1 Target Quality Assurance\CRYO-2095-1964 3007","folder")</f>
        <v>folder</v>
      </c>
      <c r="S187" t="s">
        <v>175</v>
      </c>
      <c r="T187" t="s">
        <v>140</v>
      </c>
      <c r="U187" t="s">
        <v>583</v>
      </c>
      <c r="X187" s="189">
        <v>1</v>
      </c>
      <c r="Y187">
        <v>1</v>
      </c>
    </row>
    <row r="188" spans="1:25">
      <c r="A188" s="11">
        <v>3008</v>
      </c>
      <c r="B188" s="46">
        <v>15</v>
      </c>
      <c r="C188" s="20">
        <v>1.97</v>
      </c>
      <c r="D188" s="150">
        <v>12.1</v>
      </c>
      <c r="E188" s="174"/>
      <c r="F188" s="41">
        <v>18.8</v>
      </c>
      <c r="G188" s="19" t="s">
        <v>569</v>
      </c>
      <c r="H188" s="37">
        <v>53.6</v>
      </c>
      <c r="I188" s="37">
        <v>72</v>
      </c>
      <c r="J188" s="17">
        <v>41115</v>
      </c>
      <c r="K188" t="s">
        <v>130</v>
      </c>
      <c r="L188" s="25">
        <v>33.4</v>
      </c>
      <c r="M188" s="40">
        <v>0.53</v>
      </c>
      <c r="N188" s="40">
        <v>178</v>
      </c>
      <c r="Q188" s="4" t="str">
        <f>HYPERLINK("\\Hopi-fs\shares\users\dhar\Stalk mount testing\Type 1 Target Quality Assurance\CRYO-2094-1971 3008","folder")</f>
        <v>folder</v>
      </c>
      <c r="S188" t="s">
        <v>175</v>
      </c>
      <c r="T188" t="s">
        <v>140</v>
      </c>
      <c r="U188" t="s">
        <v>583</v>
      </c>
      <c r="X188" s="189">
        <v>1</v>
      </c>
      <c r="Y188">
        <v>1</v>
      </c>
    </row>
    <row r="189" spans="1:25">
      <c r="A189" s="11">
        <v>3009</v>
      </c>
      <c r="B189" s="46">
        <f>AVERAGE(14.4, 15)</f>
        <v>14.7</v>
      </c>
      <c r="C189" s="20">
        <v>1.96</v>
      </c>
      <c r="D189" s="151">
        <v>12</v>
      </c>
      <c r="E189" s="174"/>
      <c r="F189" s="41">
        <v>18.8</v>
      </c>
      <c r="G189" s="19" t="s">
        <v>570</v>
      </c>
      <c r="H189" s="37">
        <v>55.6</v>
      </c>
      <c r="I189" s="37">
        <v>72</v>
      </c>
      <c r="J189" s="17">
        <v>41115</v>
      </c>
      <c r="K189" t="s">
        <v>130</v>
      </c>
      <c r="L189" s="25">
        <v>33.299999999999997</v>
      </c>
      <c r="M189" s="40">
        <v>0.32400000000000001</v>
      </c>
      <c r="N189" s="40">
        <v>188</v>
      </c>
      <c r="Q189" s="4" t="str">
        <f>HYPERLINK("\\hopi-fs\shares\users\dhar\Stalk mount testing\Type 1 Target Quality Assurance\CRYO-2093-1974 3009","folder")</f>
        <v>folder</v>
      </c>
      <c r="S189" t="s">
        <v>175</v>
      </c>
      <c r="T189" t="s">
        <v>140</v>
      </c>
      <c r="U189" t="s">
        <v>583</v>
      </c>
      <c r="X189" s="189">
        <v>1</v>
      </c>
      <c r="Y189">
        <v>1</v>
      </c>
    </row>
    <row r="190" spans="1:25" ht="21" customHeight="1">
      <c r="A190" s="11">
        <v>3023</v>
      </c>
      <c r="B190" s="46">
        <v>16.8</v>
      </c>
      <c r="C190" s="20">
        <v>2.0299999999999998</v>
      </c>
      <c r="D190" s="158">
        <v>11.85</v>
      </c>
      <c r="E190" s="174"/>
      <c r="F190" s="41">
        <v>18.88</v>
      </c>
      <c r="G190" s="68" t="s">
        <v>608</v>
      </c>
      <c r="H190" s="37">
        <v>62</v>
      </c>
      <c r="I190" s="37">
        <v>68</v>
      </c>
      <c r="J190" s="17">
        <v>41145</v>
      </c>
      <c r="K190" t="s">
        <v>130</v>
      </c>
      <c r="L190" s="25">
        <v>33.19</v>
      </c>
      <c r="M190" s="40">
        <v>0.34899999999999998</v>
      </c>
      <c r="N190" s="40">
        <v>174</v>
      </c>
      <c r="Q190" s="4" t="str">
        <f>HYPERLINK("\\Hopi-fs\shares\users\dhar\Stalk mount testing\Type 1 Target Quality Assurance\CRYO-2101-2055 3023","FOLDER")</f>
        <v>FOLDER</v>
      </c>
      <c r="S190" t="s">
        <v>175</v>
      </c>
      <c r="T190" t="s">
        <v>140</v>
      </c>
      <c r="U190" t="s">
        <v>620</v>
      </c>
      <c r="X190" s="189">
        <v>1</v>
      </c>
      <c r="Y190">
        <v>1</v>
      </c>
    </row>
    <row r="191" spans="1:25">
      <c r="A191" s="11">
        <v>3024</v>
      </c>
      <c r="B191" s="46">
        <v>16.600000000000001</v>
      </c>
      <c r="C191" s="20">
        <v>2.0099999999999998</v>
      </c>
      <c r="D191" s="158">
        <v>12.1</v>
      </c>
      <c r="E191" s="174"/>
      <c r="F191" s="41">
        <v>18.809999999999999</v>
      </c>
      <c r="G191" s="68" t="s">
        <v>607</v>
      </c>
      <c r="H191" s="158">
        <v>62</v>
      </c>
      <c r="I191" s="158">
        <v>68</v>
      </c>
      <c r="J191" s="162">
        <v>41145</v>
      </c>
      <c r="K191" t="s">
        <v>130</v>
      </c>
      <c r="L191" s="25">
        <v>33.35</v>
      </c>
      <c r="M191" s="40">
        <v>0.52500000000000002</v>
      </c>
      <c r="N191" s="40">
        <v>185</v>
      </c>
      <c r="Q191" s="4" t="str">
        <f>HYPERLINK("\\Hopi-fs\shares\users\dhar\Stalk mount testing\Type 1 Target Quality Assurance\CRYO-2101-2056 3024","FOLDER")</f>
        <v>FOLDER</v>
      </c>
      <c r="S191" t="s">
        <v>175</v>
      </c>
      <c r="T191" t="s">
        <v>140</v>
      </c>
      <c r="U191" t="s">
        <v>620</v>
      </c>
      <c r="X191" s="189">
        <v>1</v>
      </c>
      <c r="Y191">
        <v>1</v>
      </c>
    </row>
    <row r="192" spans="1:25">
      <c r="A192" s="11">
        <v>3025</v>
      </c>
      <c r="B192" s="46">
        <v>18.8</v>
      </c>
      <c r="C192" s="20">
        <v>2.02</v>
      </c>
      <c r="D192" s="158">
        <v>12.11</v>
      </c>
      <c r="E192" s="174"/>
      <c r="F192" s="41">
        <v>18.850000000000001</v>
      </c>
      <c r="G192" s="68" t="s">
        <v>609</v>
      </c>
      <c r="H192" s="158">
        <v>62</v>
      </c>
      <c r="I192" s="158">
        <v>68</v>
      </c>
      <c r="J192" s="162">
        <v>41145</v>
      </c>
      <c r="K192" t="s">
        <v>130</v>
      </c>
      <c r="L192" s="25">
        <v>33.43</v>
      </c>
      <c r="M192" s="40">
        <v>0.57899999999999996</v>
      </c>
      <c r="N192" s="40">
        <v>185</v>
      </c>
      <c r="Q192" s="4" t="str">
        <f>HYPERLINK("\\Hopi-fs\shares\users\dhar\Stalk mount testing\Type 1 Target Quality Assurance\CRYO-2101-2057 3025","FOLDER")</f>
        <v>FOLDER</v>
      </c>
      <c r="S192" t="s">
        <v>175</v>
      </c>
      <c r="T192" t="s">
        <v>140</v>
      </c>
      <c r="U192" t="s">
        <v>620</v>
      </c>
      <c r="X192" s="189">
        <v>1</v>
      </c>
      <c r="Y192">
        <v>1</v>
      </c>
    </row>
    <row r="193" spans="1:25">
      <c r="A193" s="11">
        <v>3026</v>
      </c>
      <c r="B193" s="46">
        <v>17.399999999999999</v>
      </c>
      <c r="C193" s="20">
        <v>2.04</v>
      </c>
      <c r="D193" s="158">
        <v>12.07</v>
      </c>
      <c r="E193" s="174"/>
      <c r="F193" s="41">
        <v>18.84</v>
      </c>
      <c r="G193" s="68" t="s">
        <v>602</v>
      </c>
      <c r="H193" s="158">
        <v>62</v>
      </c>
      <c r="I193" s="158">
        <v>68</v>
      </c>
      <c r="J193" s="162">
        <v>41145</v>
      </c>
      <c r="K193" t="s">
        <v>130</v>
      </c>
      <c r="L193" s="25">
        <v>33.4</v>
      </c>
      <c r="M193" s="40">
        <v>0.40600000000000003</v>
      </c>
      <c r="N193" s="40">
        <v>185</v>
      </c>
      <c r="Q193" s="4" t="str">
        <f>HYPERLINK("\\Hopi-fs\shares\users\dhar\Stalk mount testing\Type 1 Target Quality Assurance\CRYO-2100-2058 3026","FOLDER")</f>
        <v>FOLDER</v>
      </c>
      <c r="S193" t="s">
        <v>175</v>
      </c>
      <c r="T193" t="s">
        <v>140</v>
      </c>
      <c r="U193" t="s">
        <v>620</v>
      </c>
      <c r="X193" s="189">
        <v>1</v>
      </c>
      <c r="Y193">
        <v>1</v>
      </c>
    </row>
    <row r="194" spans="1:25">
      <c r="A194" s="11">
        <v>3027</v>
      </c>
      <c r="B194" s="46">
        <v>13.8</v>
      </c>
      <c r="C194" s="20">
        <v>1.96</v>
      </c>
      <c r="D194" s="158">
        <v>12.07</v>
      </c>
      <c r="E194" s="174"/>
      <c r="F194" s="41">
        <v>18.84</v>
      </c>
      <c r="G194" s="166" t="s">
        <v>610</v>
      </c>
      <c r="H194" s="158">
        <v>62</v>
      </c>
      <c r="I194" s="158">
        <v>68</v>
      </c>
      <c r="J194" s="162">
        <v>41145</v>
      </c>
      <c r="K194" t="s">
        <v>130</v>
      </c>
      <c r="L194" s="25">
        <v>33.33</v>
      </c>
      <c r="M194" s="40">
        <v>0.56000000000000005</v>
      </c>
      <c r="Q194" s="4" t="str">
        <f>HYPERLINK("\\Hopi-fs\shares\users\dhar\Stalk mount testing\Type 1 Target Quality Assurance\CRYO-2101-2059 3027","FOLDER")</f>
        <v>FOLDER</v>
      </c>
      <c r="S194" t="s">
        <v>175</v>
      </c>
      <c r="T194" t="s">
        <v>140</v>
      </c>
      <c r="U194" t="s">
        <v>540</v>
      </c>
      <c r="X194" s="189">
        <v>1</v>
      </c>
    </row>
    <row r="195" spans="1:25">
      <c r="A195" s="11">
        <v>3028</v>
      </c>
      <c r="B195" s="46">
        <v>16.600000000000001</v>
      </c>
      <c r="C195" s="20">
        <v>1.99</v>
      </c>
      <c r="D195" s="163">
        <v>12.2</v>
      </c>
      <c r="E195" s="174"/>
      <c r="F195" s="41">
        <v>19</v>
      </c>
      <c r="G195" s="169" t="s">
        <v>616</v>
      </c>
      <c r="H195" s="63">
        <v>55</v>
      </c>
      <c r="I195" s="63">
        <v>72</v>
      </c>
      <c r="J195" s="17">
        <v>41148</v>
      </c>
      <c r="K195" t="s">
        <v>130</v>
      </c>
      <c r="L195" s="25">
        <v>33.6</v>
      </c>
      <c r="M195" s="40">
        <v>0.41</v>
      </c>
      <c r="Q195" s="4" t="str">
        <f>HYPERLINK("\\Hopi-fs\shares\users\dhar\Stalk mount testing\Type 1 Target Quality Assurance\CRYO-2100-2061 3028","folder")</f>
        <v>folder</v>
      </c>
      <c r="S195" t="s">
        <v>175</v>
      </c>
      <c r="T195" t="s">
        <v>140</v>
      </c>
      <c r="U195" t="s">
        <v>540</v>
      </c>
      <c r="X195" s="189">
        <v>1</v>
      </c>
    </row>
    <row r="196" spans="1:25">
      <c r="A196" s="11">
        <v>3028</v>
      </c>
      <c r="B196" s="46">
        <v>15.8</v>
      </c>
      <c r="C196" s="20">
        <v>2.0099999999999998</v>
      </c>
      <c r="D196" s="167">
        <v>12.2</v>
      </c>
      <c r="E196" s="174"/>
      <c r="F196" s="41">
        <v>19</v>
      </c>
      <c r="G196" s="19" t="s">
        <v>618</v>
      </c>
      <c r="H196" s="63">
        <v>55</v>
      </c>
      <c r="I196" s="63">
        <v>71.5</v>
      </c>
      <c r="J196" s="17">
        <v>41149</v>
      </c>
      <c r="K196" t="s">
        <v>130</v>
      </c>
      <c r="L196" s="25">
        <v>33.6</v>
      </c>
      <c r="M196" s="40">
        <v>0.40200000000000002</v>
      </c>
      <c r="N196" s="40">
        <v>184</v>
      </c>
      <c r="Q196" s="4" t="str">
        <f>HYPERLINK("\\Hopi-fs\shares\users\dhar\Stalk mount testing\Type 1 Target Quality Assurance\CRYO-2100-2069 3028","folder")</f>
        <v>folder</v>
      </c>
      <c r="T196" t="s">
        <v>140</v>
      </c>
      <c r="U196" t="s">
        <v>540</v>
      </c>
      <c r="X196" s="189">
        <v>1</v>
      </c>
    </row>
    <row r="197" spans="1:25" ht="36.75" customHeight="1">
      <c r="A197" s="179">
        <v>3033</v>
      </c>
      <c r="B197" s="177">
        <f>AVERAGE(17, 18,18)</f>
        <v>17.666666666666668</v>
      </c>
      <c r="C197" s="20">
        <v>2.0299999999999998</v>
      </c>
      <c r="D197" s="174">
        <v>11.9</v>
      </c>
      <c r="E197" s="183">
        <v>1.25</v>
      </c>
      <c r="F197" s="41">
        <v>18.8</v>
      </c>
      <c r="G197" s="19" t="s">
        <v>639</v>
      </c>
      <c r="H197" s="37">
        <v>56</v>
      </c>
      <c r="I197" s="37">
        <v>71</v>
      </c>
      <c r="J197" s="17">
        <v>41169</v>
      </c>
      <c r="K197" t="s">
        <v>130</v>
      </c>
      <c r="L197" s="25">
        <v>33.26</v>
      </c>
      <c r="M197" s="40">
        <v>0.23599999999999999</v>
      </c>
      <c r="N197" s="19">
        <v>200</v>
      </c>
      <c r="Q197" s="4" t="str">
        <f>HYPERLINK("\\hopi-fs\shares\users\dhar\Stalk mount testing\Type 1 Target Quality Assurance\CRYO-2083-2093 3033","folder")</f>
        <v>folder</v>
      </c>
      <c r="S197" t="s">
        <v>175</v>
      </c>
      <c r="T197" t="s">
        <v>641</v>
      </c>
      <c r="U197" t="s">
        <v>540</v>
      </c>
      <c r="V197" s="29" t="s">
        <v>651</v>
      </c>
      <c r="X197" s="189">
        <v>1</v>
      </c>
      <c r="Y197">
        <v>1</v>
      </c>
    </row>
    <row r="198" spans="1:25">
      <c r="A198" s="179">
        <v>3038</v>
      </c>
      <c r="B198" s="177">
        <f>AVERAGE(19,18)</f>
        <v>18.5</v>
      </c>
      <c r="C198" s="20">
        <v>2.0299999999999998</v>
      </c>
      <c r="D198" s="174">
        <v>12</v>
      </c>
      <c r="E198" s="183">
        <v>1.2</v>
      </c>
      <c r="F198" s="41">
        <v>18.8</v>
      </c>
      <c r="G198" s="19" t="s">
        <v>638</v>
      </c>
      <c r="H198" s="37">
        <v>56</v>
      </c>
      <c r="I198" s="174">
        <v>71</v>
      </c>
      <c r="J198" s="17">
        <v>41169</v>
      </c>
      <c r="K198" t="s">
        <v>130</v>
      </c>
      <c r="L198" s="25">
        <v>33.369999999999997</v>
      </c>
      <c r="M198" s="40">
        <v>0.63400000000000001</v>
      </c>
      <c r="N198" s="19" t="s">
        <v>1173</v>
      </c>
      <c r="Q198" s="4" t="str">
        <f>HYPERLINK("\\hopi-fs\shares\users\dhar\Stalk mount testing\Type 1 Target Quality Assurance\CRYO-2083-2092 3038","folder")</f>
        <v>folder</v>
      </c>
      <c r="S198" t="s">
        <v>175</v>
      </c>
      <c r="T198" t="s">
        <v>641</v>
      </c>
      <c r="U198" t="s">
        <v>540</v>
      </c>
      <c r="V198" s="29"/>
      <c r="X198" s="189">
        <v>1</v>
      </c>
    </row>
    <row r="199" spans="1:25">
      <c r="A199" s="95">
        <v>3034</v>
      </c>
      <c r="B199" s="177">
        <f>AVERAGE(16, 17)</f>
        <v>16.5</v>
      </c>
      <c r="C199" s="46">
        <v>2.09</v>
      </c>
      <c r="D199" s="41">
        <v>11.85</v>
      </c>
      <c r="E199" s="183">
        <v>1.2</v>
      </c>
      <c r="F199" s="41">
        <v>18.8</v>
      </c>
      <c r="G199" s="169" t="s">
        <v>637</v>
      </c>
      <c r="H199" s="37">
        <v>56</v>
      </c>
      <c r="I199" s="174">
        <v>71</v>
      </c>
      <c r="J199" s="17">
        <v>41169</v>
      </c>
      <c r="K199" t="s">
        <v>130</v>
      </c>
      <c r="L199" s="25">
        <v>33.18</v>
      </c>
      <c r="M199" s="40">
        <v>0.60599999999999998</v>
      </c>
      <c r="N199" s="19">
        <v>201</v>
      </c>
      <c r="Q199" s="4" t="str">
        <f>HYPERLINK("\\hopi-fs\shares\users\dhar\Stalk mount testing\Type 1 Target Quality Assurance\CRYO-2082-2091 3034","folder")</f>
        <v>folder</v>
      </c>
      <c r="S199" t="s">
        <v>175</v>
      </c>
      <c r="T199" t="s">
        <v>641</v>
      </c>
      <c r="U199" t="s">
        <v>540</v>
      </c>
      <c r="V199" s="29" t="s">
        <v>651</v>
      </c>
      <c r="X199" s="189">
        <v>1</v>
      </c>
      <c r="Y199">
        <v>1</v>
      </c>
    </row>
    <row r="200" spans="1:25">
      <c r="A200" s="179">
        <v>3032</v>
      </c>
      <c r="B200" s="177">
        <f>AVERAGE(18, 17)</f>
        <v>17.5</v>
      </c>
      <c r="C200" s="20">
        <v>2.1</v>
      </c>
      <c r="D200" s="174">
        <v>11.9</v>
      </c>
      <c r="E200" s="183">
        <v>1.1399999999999999</v>
      </c>
      <c r="F200" s="41">
        <v>18.8</v>
      </c>
      <c r="G200" s="184" t="s">
        <v>636</v>
      </c>
      <c r="H200" s="37">
        <v>56</v>
      </c>
      <c r="I200" s="174">
        <v>71</v>
      </c>
      <c r="J200" s="17">
        <v>41169</v>
      </c>
      <c r="K200" t="s">
        <v>130</v>
      </c>
      <c r="L200" s="25">
        <v>33.26</v>
      </c>
      <c r="M200" s="40">
        <v>0.40899999999999997</v>
      </c>
      <c r="N200" s="19">
        <v>203</v>
      </c>
      <c r="Q200" s="4" t="str">
        <f>HYPERLINK("\\hopi-fs\shares\users\dhar\Stalk mount testing\Type 1 Target Quality Assurance\CRYO-2083-2090 3032","folder")</f>
        <v>folder</v>
      </c>
      <c r="S200" t="s">
        <v>175</v>
      </c>
      <c r="T200" t="s">
        <v>641</v>
      </c>
      <c r="U200" t="s">
        <v>540</v>
      </c>
      <c r="V200" s="29" t="s">
        <v>651</v>
      </c>
      <c r="X200" s="189">
        <v>1</v>
      </c>
      <c r="Y200">
        <v>1</v>
      </c>
    </row>
    <row r="201" spans="1:25">
      <c r="A201" s="95">
        <v>3039</v>
      </c>
      <c r="B201" s="177">
        <f>AVERAGE(17.6, 17.2)</f>
        <v>17.399999999999999</v>
      </c>
      <c r="C201" s="20">
        <v>2.02</v>
      </c>
      <c r="D201" s="174">
        <v>11.9</v>
      </c>
      <c r="E201" s="183">
        <v>1.21</v>
      </c>
      <c r="F201" s="41">
        <v>18.8</v>
      </c>
      <c r="G201" s="176" t="s">
        <v>635</v>
      </c>
      <c r="H201" s="37">
        <v>56</v>
      </c>
      <c r="I201" s="174">
        <v>71</v>
      </c>
      <c r="J201" s="17">
        <v>41169</v>
      </c>
      <c r="K201" t="s">
        <v>130</v>
      </c>
      <c r="L201" s="25">
        <v>33.200000000000003</v>
      </c>
      <c r="M201" s="40">
        <v>3.2000000000000001E-2</v>
      </c>
      <c r="N201" s="19">
        <v>211</v>
      </c>
      <c r="Q201" s="4" t="str">
        <f>HYPERLINK("\\hopi-fs\shares\users\dhar\Stalk mount testing\Type 1 Target Quality Assurance\CRYO-2083-2089 3039","folder")</f>
        <v>folder</v>
      </c>
      <c r="S201" t="s">
        <v>175</v>
      </c>
      <c r="T201" t="s">
        <v>641</v>
      </c>
      <c r="U201" t="s">
        <v>540</v>
      </c>
      <c r="V201" s="29"/>
      <c r="X201" s="189">
        <v>1</v>
      </c>
    </row>
    <row r="202" spans="1:25">
      <c r="A202" s="179">
        <v>3035</v>
      </c>
      <c r="B202" s="177">
        <f>AVERAGE(18, 17)</f>
        <v>17.5</v>
      </c>
      <c r="C202" s="20">
        <v>2.0499999999999998</v>
      </c>
      <c r="D202" s="174">
        <v>12.1</v>
      </c>
      <c r="E202" s="183">
        <v>1.28</v>
      </c>
      <c r="F202" s="41">
        <v>18.8</v>
      </c>
      <c r="G202" s="19" t="s">
        <v>640</v>
      </c>
      <c r="H202" s="37">
        <v>56</v>
      </c>
      <c r="I202" s="174">
        <v>71</v>
      </c>
      <c r="J202" s="17">
        <v>41169</v>
      </c>
      <c r="K202" t="s">
        <v>130</v>
      </c>
      <c r="L202" s="25">
        <v>33.4</v>
      </c>
      <c r="M202" s="40">
        <v>0.47</v>
      </c>
      <c r="N202" s="19">
        <v>190</v>
      </c>
      <c r="Q202" s="4" t="str">
        <f>HYPERLINK("\\hopi-fs\shares\users\dhar\Stalk mount testing\Type 1 Target Quality Assurance\CRYO-2083-2094 3035","folder")</f>
        <v>folder</v>
      </c>
      <c r="S202" t="s">
        <v>175</v>
      </c>
      <c r="T202" t="s">
        <v>641</v>
      </c>
      <c r="U202" t="s">
        <v>540</v>
      </c>
      <c r="V202" s="29" t="s">
        <v>651</v>
      </c>
      <c r="X202" s="189">
        <v>1</v>
      </c>
      <c r="Y202">
        <v>1</v>
      </c>
    </row>
    <row r="203" spans="1:25">
      <c r="A203" s="178">
        <v>3036</v>
      </c>
      <c r="B203" s="46">
        <v>16</v>
      </c>
      <c r="C203" s="20">
        <v>2.0299999999999998</v>
      </c>
      <c r="D203" s="175">
        <v>11.9</v>
      </c>
      <c r="E203" s="183">
        <v>1.1299999999999999</v>
      </c>
      <c r="F203" s="41">
        <v>18.8</v>
      </c>
      <c r="G203" s="19" t="s">
        <v>642</v>
      </c>
      <c r="H203" s="37">
        <v>53</v>
      </c>
      <c r="I203" s="37">
        <v>72</v>
      </c>
      <c r="J203" s="17">
        <v>41170</v>
      </c>
      <c r="K203" t="s">
        <v>130</v>
      </c>
      <c r="L203" s="25">
        <v>33.15</v>
      </c>
      <c r="M203" s="40">
        <v>0.54</v>
      </c>
      <c r="N203" s="19">
        <v>208</v>
      </c>
      <c r="Q203" s="4" t="str">
        <f>HYPERLINK("\\hopi-fs\shares\users\dhar\Stalk mount testing\Type 1 Target Quality Assurance\CRYO-2083-2076 3036","folder")</f>
        <v>folder</v>
      </c>
      <c r="S203" t="s">
        <v>175</v>
      </c>
      <c r="T203" t="s">
        <v>641</v>
      </c>
      <c r="U203" t="s">
        <v>540</v>
      </c>
      <c r="V203" s="29" t="s">
        <v>651</v>
      </c>
      <c r="X203" s="189">
        <v>1</v>
      </c>
      <c r="Y203">
        <v>1</v>
      </c>
    </row>
    <row r="204" spans="1:25">
      <c r="A204" s="178">
        <v>3037</v>
      </c>
      <c r="B204" s="46">
        <v>17</v>
      </c>
      <c r="C204" s="20">
        <v>2.02</v>
      </c>
      <c r="D204" s="175">
        <v>12</v>
      </c>
      <c r="E204" s="183">
        <v>1.27</v>
      </c>
      <c r="F204" s="41">
        <v>18.8</v>
      </c>
      <c r="G204" s="19" t="s">
        <v>643</v>
      </c>
      <c r="H204" s="175">
        <v>53</v>
      </c>
      <c r="I204" s="175">
        <v>72</v>
      </c>
      <c r="J204" s="17">
        <v>41170</v>
      </c>
      <c r="K204" t="s">
        <v>130</v>
      </c>
      <c r="L204" s="25">
        <v>33.200000000000003</v>
      </c>
      <c r="M204" s="40">
        <v>0.83399999999999996</v>
      </c>
      <c r="N204" s="19">
        <v>205</v>
      </c>
      <c r="Q204" s="4" t="str">
        <f>HYPERLINK("\\hopi-fs\shares\users\dhar\Stalk mount testing\Type 1 Target Quality Assurance\CRYO-2083-2084 3037","folder")</f>
        <v>folder</v>
      </c>
      <c r="S204" t="s">
        <v>175</v>
      </c>
      <c r="T204" t="s">
        <v>641</v>
      </c>
      <c r="U204" t="s">
        <v>540</v>
      </c>
      <c r="V204" s="29" t="s">
        <v>651</v>
      </c>
      <c r="X204" s="189">
        <v>1</v>
      </c>
      <c r="Y204">
        <v>1</v>
      </c>
    </row>
    <row r="205" spans="1:25" ht="25.5" customHeight="1">
      <c r="A205" s="183">
        <v>3040</v>
      </c>
      <c r="B205" s="46">
        <v>16.8</v>
      </c>
      <c r="C205" s="20">
        <v>2.08</v>
      </c>
      <c r="D205" s="180">
        <v>12</v>
      </c>
      <c r="E205" s="183">
        <v>1.28</v>
      </c>
      <c r="F205" s="41">
        <v>18.8</v>
      </c>
      <c r="G205" s="186" t="s">
        <v>646</v>
      </c>
      <c r="H205" s="37">
        <v>54</v>
      </c>
      <c r="I205" s="37">
        <v>72</v>
      </c>
      <c r="J205" s="162">
        <v>41186</v>
      </c>
      <c r="K205" t="s">
        <v>626</v>
      </c>
      <c r="L205" s="25">
        <v>33.4</v>
      </c>
      <c r="M205" s="40">
        <v>0.997</v>
      </c>
      <c r="N205" s="40">
        <v>135</v>
      </c>
      <c r="Q205" s="4" t="str">
        <f>HYPERLINK("\\hopi-fs\shares\users\dhar\Stalk mount testing\Type 1 Target Quality Assurance\CRYO-ME-1235-0229","folder")</f>
        <v>folder</v>
      </c>
      <c r="S205" t="s">
        <v>175</v>
      </c>
      <c r="T205" t="s">
        <v>641</v>
      </c>
      <c r="U205" t="s">
        <v>540</v>
      </c>
      <c r="V205" s="29" t="s">
        <v>1077</v>
      </c>
      <c r="X205" s="189"/>
    </row>
    <row r="206" spans="1:25">
      <c r="A206" s="218">
        <v>3041</v>
      </c>
      <c r="B206" s="46">
        <f>AVERAGE(14.6, 14.8)</f>
        <v>14.7</v>
      </c>
      <c r="C206" s="20">
        <v>2</v>
      </c>
      <c r="D206" s="181">
        <v>11.9</v>
      </c>
      <c r="E206" s="183">
        <v>1.29</v>
      </c>
      <c r="F206" s="41">
        <v>18.8</v>
      </c>
      <c r="G206" s="19" t="s">
        <v>648</v>
      </c>
      <c r="H206" s="37" t="s">
        <v>169</v>
      </c>
      <c r="I206" s="37" t="s">
        <v>169</v>
      </c>
      <c r="J206" s="162">
        <v>41264</v>
      </c>
      <c r="K206" t="s">
        <v>130</v>
      </c>
      <c r="L206" s="25">
        <v>33.299999999999997</v>
      </c>
      <c r="M206" s="40">
        <v>0.98</v>
      </c>
      <c r="N206" s="40">
        <v>126</v>
      </c>
      <c r="Q206" s="4" t="str">
        <f>HYPERLINK("\\hopi-fs\shares\users\dhar\Stalk mount testing\Type 1 Target Quality Assurance\CRYO-ME-1238-0230","folder")</f>
        <v>folder</v>
      </c>
      <c r="S206" t="s">
        <v>175</v>
      </c>
      <c r="T206" t="s">
        <v>641</v>
      </c>
      <c r="U206" t="s">
        <v>540</v>
      </c>
      <c r="V206" s="29" t="s">
        <v>1136</v>
      </c>
      <c r="X206" s="189"/>
    </row>
    <row r="207" spans="1:25">
      <c r="A207" s="182">
        <v>3042</v>
      </c>
      <c r="B207" s="46">
        <v>16.600000000000001</v>
      </c>
      <c r="C207" s="20">
        <v>2.06</v>
      </c>
      <c r="D207" s="181">
        <v>12</v>
      </c>
      <c r="E207" s="183">
        <v>1.33</v>
      </c>
      <c r="F207" s="41">
        <v>18.8</v>
      </c>
      <c r="G207" s="186" t="s">
        <v>647</v>
      </c>
      <c r="H207" s="37">
        <v>52</v>
      </c>
      <c r="I207" s="37">
        <v>73</v>
      </c>
      <c r="J207" s="162">
        <v>41186</v>
      </c>
      <c r="K207" t="s">
        <v>626</v>
      </c>
      <c r="L207" s="25">
        <v>33.299999999999997</v>
      </c>
      <c r="M207" s="40">
        <v>0.97</v>
      </c>
      <c r="N207" s="40">
        <v>136</v>
      </c>
      <c r="Q207" s="4" t="str">
        <f>HYPERLINK("\\hopi-fs\shares\users\dhar\Stalk mount testing\Type 1 Target Quality Assurance\CRYO-ME-1239-0231","folder")</f>
        <v>folder</v>
      </c>
      <c r="S207" t="s">
        <v>175</v>
      </c>
      <c r="T207" t="s">
        <v>641</v>
      </c>
      <c r="U207" t="s">
        <v>540</v>
      </c>
      <c r="V207" s="29" t="s">
        <v>652</v>
      </c>
      <c r="X207" s="189"/>
    </row>
    <row r="208" spans="1:25" ht="31.5" customHeight="1">
      <c r="A208" s="183">
        <v>2074</v>
      </c>
      <c r="B208" s="46">
        <v>17</v>
      </c>
      <c r="C208" s="20">
        <v>2.02</v>
      </c>
      <c r="D208" s="183">
        <v>12</v>
      </c>
      <c r="E208" s="183">
        <v>1.79</v>
      </c>
      <c r="F208" s="41">
        <v>19.02</v>
      </c>
      <c r="G208" s="68" t="s">
        <v>653</v>
      </c>
      <c r="H208" s="37">
        <v>33</v>
      </c>
      <c r="I208" s="37">
        <v>72</v>
      </c>
      <c r="J208" s="162">
        <v>41191</v>
      </c>
      <c r="K208" t="s">
        <v>626</v>
      </c>
      <c r="L208" s="25">
        <v>33.5</v>
      </c>
      <c r="M208" s="40">
        <v>0.90500000000000003</v>
      </c>
      <c r="N208" s="40">
        <v>190</v>
      </c>
      <c r="Q208" s="4" t="str">
        <f>HYPERLINK("\\hopi-fs\shares\users\dhar\Stalk mount testing\Type 1 Target Quality Assurance\CRYO-2093-2105 2074","folder")</f>
        <v>folder</v>
      </c>
      <c r="S208" t="s">
        <v>175</v>
      </c>
      <c r="T208" t="s">
        <v>641</v>
      </c>
      <c r="U208" t="s">
        <v>540</v>
      </c>
      <c r="V208" s="29" t="s">
        <v>662</v>
      </c>
      <c r="X208" s="189">
        <v>1</v>
      </c>
      <c r="Y208">
        <v>1</v>
      </c>
    </row>
    <row r="209" spans="1:25">
      <c r="A209" s="183">
        <v>2097</v>
      </c>
      <c r="B209" s="46">
        <v>13.4</v>
      </c>
      <c r="C209" s="20">
        <v>2.02</v>
      </c>
      <c r="D209" s="183">
        <v>12.1</v>
      </c>
      <c r="E209" s="183">
        <v>3.65</v>
      </c>
      <c r="F209" s="41">
        <v>19.03</v>
      </c>
      <c r="G209" s="188" t="s">
        <v>654</v>
      </c>
      <c r="H209" s="37">
        <v>32</v>
      </c>
      <c r="I209" s="37">
        <v>72</v>
      </c>
      <c r="J209" s="162">
        <v>41191</v>
      </c>
      <c r="K209" t="s">
        <v>626</v>
      </c>
      <c r="L209" s="25">
        <v>33.700000000000003</v>
      </c>
      <c r="M209" s="40">
        <v>0.30199999999999999</v>
      </c>
      <c r="Q209" s="4"/>
      <c r="S209" t="s">
        <v>175</v>
      </c>
      <c r="T209" t="s">
        <v>641</v>
      </c>
      <c r="U209" t="s">
        <v>540</v>
      </c>
      <c r="X209" s="189">
        <v>1</v>
      </c>
    </row>
    <row r="210" spans="1:25">
      <c r="A210" s="185">
        <v>2097</v>
      </c>
      <c r="B210" s="185">
        <v>13.4</v>
      </c>
      <c r="C210" s="185">
        <v>2.02</v>
      </c>
      <c r="D210" s="185">
        <v>12.1</v>
      </c>
      <c r="E210" s="185">
        <v>3.65</v>
      </c>
      <c r="F210" s="185">
        <v>19.03</v>
      </c>
      <c r="G210" s="68" t="s">
        <v>659</v>
      </c>
      <c r="H210" s="185">
        <v>26</v>
      </c>
      <c r="I210" s="185">
        <v>70</v>
      </c>
      <c r="J210" s="162">
        <v>41193</v>
      </c>
      <c r="K210" t="s">
        <v>626</v>
      </c>
      <c r="L210" s="185">
        <v>33.6</v>
      </c>
      <c r="M210" s="185">
        <v>0.874</v>
      </c>
      <c r="N210" s="185">
        <v>165</v>
      </c>
      <c r="O210" s="185"/>
      <c r="Q210" s="4" t="str">
        <f>HYPERLINK("\\hopi-fs\shares\users\dhar\Stalk mount testing\Type 1 Target Quality Assurance\CRYO-2093-2103 2097","folder")</f>
        <v>folder</v>
      </c>
      <c r="S210" t="s">
        <v>175</v>
      </c>
      <c r="T210" t="s">
        <v>641</v>
      </c>
      <c r="U210" t="s">
        <v>540</v>
      </c>
      <c r="V210" s="29" t="s">
        <v>662</v>
      </c>
      <c r="X210" s="189">
        <v>1</v>
      </c>
      <c r="Y210">
        <v>1</v>
      </c>
    </row>
    <row r="211" spans="1:25">
      <c r="A211" s="183">
        <v>2344</v>
      </c>
      <c r="B211" s="46">
        <v>17</v>
      </c>
      <c r="C211" s="20">
        <v>2</v>
      </c>
      <c r="D211" s="183">
        <v>11.9</v>
      </c>
      <c r="E211" s="183">
        <v>1.21</v>
      </c>
      <c r="F211" s="41">
        <v>19</v>
      </c>
      <c r="G211" s="68" t="s">
        <v>655</v>
      </c>
      <c r="H211" s="183">
        <v>32</v>
      </c>
      <c r="I211" s="183">
        <v>72</v>
      </c>
      <c r="J211" s="162">
        <v>41191</v>
      </c>
      <c r="K211" t="s">
        <v>626</v>
      </c>
      <c r="L211" s="25">
        <v>33.4</v>
      </c>
      <c r="M211" s="40">
        <v>0.67</v>
      </c>
      <c r="N211" s="40">
        <v>190</v>
      </c>
      <c r="Q211" s="4" t="str">
        <f>HYPERLINK("\\hopi-fs\shares\users\dhar\Stalk mount testing\Type 1 Target Quality Assurance\CRYO-2094-2112 2344","folder")</f>
        <v>folder</v>
      </c>
      <c r="S211" t="s">
        <v>175</v>
      </c>
      <c r="T211" t="s">
        <v>641</v>
      </c>
      <c r="U211" t="s">
        <v>540</v>
      </c>
      <c r="V211" s="29" t="s">
        <v>662</v>
      </c>
      <c r="X211" s="189">
        <v>1</v>
      </c>
      <c r="Y211">
        <v>1</v>
      </c>
    </row>
    <row r="212" spans="1:25">
      <c r="A212" s="183">
        <v>2573</v>
      </c>
      <c r="B212" s="46">
        <v>17</v>
      </c>
      <c r="C212" s="20">
        <v>1.99</v>
      </c>
      <c r="D212" s="183">
        <v>11.9</v>
      </c>
      <c r="E212" s="183">
        <v>1.21</v>
      </c>
      <c r="F212" s="41">
        <v>18.8</v>
      </c>
      <c r="G212" s="68" t="s">
        <v>656</v>
      </c>
      <c r="H212" s="37">
        <v>37</v>
      </c>
      <c r="I212" s="37">
        <v>71</v>
      </c>
      <c r="J212" s="162">
        <v>41192</v>
      </c>
      <c r="K212" t="s">
        <v>626</v>
      </c>
      <c r="L212" s="25">
        <v>33.200000000000003</v>
      </c>
      <c r="M212" s="40">
        <v>0.36699999999999999</v>
      </c>
      <c r="N212" s="40">
        <v>196</v>
      </c>
      <c r="P212" t="s">
        <v>1228</v>
      </c>
      <c r="Q212" s="4" t="str">
        <f>HYPERLINK("\\hopi-fs\shares\users\dhar\Stalk mount testing\Type 1 Target Quality Assurance\CRYO-2094-2114 2573","folder")</f>
        <v>folder</v>
      </c>
      <c r="S212" t="s">
        <v>175</v>
      </c>
      <c r="T212" t="s">
        <v>641</v>
      </c>
      <c r="U212" t="s">
        <v>540</v>
      </c>
      <c r="X212" s="189">
        <v>1</v>
      </c>
    </row>
    <row r="213" spans="1:25">
      <c r="A213" s="183">
        <v>3002</v>
      </c>
      <c r="B213" s="46">
        <v>16</v>
      </c>
      <c r="C213" s="20">
        <v>1.96</v>
      </c>
      <c r="D213" s="183">
        <v>12.1</v>
      </c>
      <c r="E213" s="183">
        <v>3.87</v>
      </c>
      <c r="F213" s="41">
        <v>18.87</v>
      </c>
      <c r="G213" s="244" t="s">
        <v>657</v>
      </c>
      <c r="H213" s="37">
        <v>37</v>
      </c>
      <c r="I213" s="37">
        <v>71</v>
      </c>
      <c r="J213" s="162">
        <v>41192</v>
      </c>
      <c r="K213" t="s">
        <v>626</v>
      </c>
      <c r="L213" s="25">
        <v>33.5</v>
      </c>
      <c r="M213" s="40">
        <v>0.73</v>
      </c>
      <c r="N213" s="40">
        <v>190</v>
      </c>
      <c r="Q213" s="4" t="str">
        <f>HYPERLINK("\\hopi-fs\shares\users\dhar\Stalk mount testing\Type 1 Target Quality Assurance\CRYO-2094-2115 3002","folder")</f>
        <v>folder</v>
      </c>
      <c r="S213" t="s">
        <v>175</v>
      </c>
      <c r="T213" t="s">
        <v>641</v>
      </c>
      <c r="U213" t="s">
        <v>540</v>
      </c>
      <c r="X213" s="189">
        <v>1</v>
      </c>
    </row>
    <row r="214" spans="1:25">
      <c r="A214" s="183">
        <v>3003</v>
      </c>
      <c r="B214" s="46">
        <v>17.8</v>
      </c>
      <c r="C214" s="20">
        <v>1.98</v>
      </c>
      <c r="D214" s="183">
        <v>12</v>
      </c>
      <c r="E214" s="183">
        <v>2.78</v>
      </c>
      <c r="F214" s="41">
        <v>18.850000000000001</v>
      </c>
      <c r="G214" s="68" t="s">
        <v>658</v>
      </c>
      <c r="H214" s="37">
        <v>36</v>
      </c>
      <c r="I214" s="37">
        <v>71</v>
      </c>
      <c r="J214" s="162">
        <v>41192</v>
      </c>
      <c r="K214" t="s">
        <v>626</v>
      </c>
      <c r="L214" s="25">
        <v>33.4</v>
      </c>
      <c r="M214" s="40">
        <v>0.20399999999999999</v>
      </c>
      <c r="N214" s="40">
        <v>189</v>
      </c>
      <c r="Q214" s="4" t="str">
        <f>HYPERLINK("\\hopi-fs\shares\users\dhar\Stalk mount testing\Type 1 Target Quality Assurance\CRYO-2093-2116 3003","folder")</f>
        <v>folder</v>
      </c>
      <c r="S214" t="s">
        <v>175</v>
      </c>
      <c r="T214" t="s">
        <v>641</v>
      </c>
      <c r="U214" t="s">
        <v>540</v>
      </c>
      <c r="V214" s="29" t="s">
        <v>662</v>
      </c>
      <c r="X214" s="189">
        <v>1</v>
      </c>
      <c r="Y214">
        <v>1</v>
      </c>
    </row>
    <row r="215" spans="1:25">
      <c r="A215" s="187">
        <v>3010</v>
      </c>
      <c r="B215" s="176">
        <v>19.2</v>
      </c>
      <c r="C215" s="20">
        <v>1.97</v>
      </c>
      <c r="D215" s="183">
        <v>12.1</v>
      </c>
      <c r="E215" s="183">
        <v>3.31</v>
      </c>
      <c r="F215" s="41">
        <v>18.850000000000001</v>
      </c>
      <c r="G215" s="213" t="s">
        <v>660</v>
      </c>
      <c r="H215" s="37">
        <v>25</v>
      </c>
      <c r="I215" s="37">
        <v>71</v>
      </c>
      <c r="J215" s="162">
        <v>41193</v>
      </c>
      <c r="K215" t="s">
        <v>626</v>
      </c>
      <c r="L215" s="25">
        <v>33.4</v>
      </c>
      <c r="M215" s="40">
        <v>0.57499999999999996</v>
      </c>
      <c r="N215" s="40">
        <v>199</v>
      </c>
      <c r="P215" t="s">
        <v>1079</v>
      </c>
      <c r="Q215" s="4" t="str">
        <f>HYPERLINK("\\hopi-fs\shares\users\dhar\Stalk mount testing\Type 1 Target Quality Assurance\CRYO-2094-2104","folder")</f>
        <v>folder</v>
      </c>
      <c r="R215">
        <v>2</v>
      </c>
      <c r="S215" t="s">
        <v>175</v>
      </c>
      <c r="T215" t="s">
        <v>641</v>
      </c>
      <c r="U215" t="s">
        <v>540</v>
      </c>
      <c r="V215" s="29" t="s">
        <v>662</v>
      </c>
      <c r="X215" s="189">
        <v>1</v>
      </c>
      <c r="Y215">
        <v>1</v>
      </c>
    </row>
    <row r="216" spans="1:25" ht="32.25" customHeight="1">
      <c r="A216" s="176">
        <v>3006</v>
      </c>
      <c r="B216" s="46">
        <v>16.399999999999999</v>
      </c>
      <c r="C216" s="176">
        <v>1.94</v>
      </c>
      <c r="D216" s="183">
        <v>12.2</v>
      </c>
      <c r="E216" s="183">
        <v>3.29</v>
      </c>
      <c r="F216" s="41">
        <v>19.02</v>
      </c>
    </row>
    <row r="217" spans="1:25">
      <c r="A217" s="224">
        <v>3059</v>
      </c>
      <c r="B217" s="46">
        <v>16</v>
      </c>
      <c r="C217" s="20">
        <v>2.04</v>
      </c>
      <c r="D217" s="216">
        <v>12</v>
      </c>
      <c r="E217" s="216">
        <v>1</v>
      </c>
      <c r="F217" s="41">
        <v>19.2</v>
      </c>
      <c r="G217" s="216" t="s">
        <v>1123</v>
      </c>
      <c r="H217" s="37" t="s">
        <v>169</v>
      </c>
      <c r="I217" s="37" t="s">
        <v>169</v>
      </c>
      <c r="J217" s="162">
        <v>41264</v>
      </c>
      <c r="K217" t="s">
        <v>130</v>
      </c>
      <c r="L217" s="25">
        <v>33.799999999999997</v>
      </c>
      <c r="M217" s="40" t="s">
        <v>1124</v>
      </c>
      <c r="N217" s="40">
        <v>139</v>
      </c>
      <c r="Q217" s="4" t="str">
        <f>HYPERLINK("\\Hopi-fs\shares\users\dhar\Stalk mount testing\Type 1 Target Quality Assurance\CRYO-ME-1237-0236 3059 In","folder")</f>
        <v>folder</v>
      </c>
      <c r="V217" t="s">
        <v>1145</v>
      </c>
    </row>
    <row r="218" spans="1:25">
      <c r="A218" s="11">
        <v>2036</v>
      </c>
      <c r="B218" s="184">
        <v>17.399999999999999</v>
      </c>
      <c r="C218" s="20">
        <v>2.0699999999999998</v>
      </c>
      <c r="D218" s="184">
        <v>11.97</v>
      </c>
      <c r="E218" s="184">
        <v>1.42</v>
      </c>
      <c r="F218" s="209">
        <v>18.850000000000001</v>
      </c>
      <c r="G218" s="205" t="s">
        <v>1125</v>
      </c>
      <c r="H218" s="184" t="s">
        <v>169</v>
      </c>
      <c r="I218" s="184" t="s">
        <v>169</v>
      </c>
      <c r="J218" s="208">
        <v>41284</v>
      </c>
      <c r="K218" s="207" t="s">
        <v>130</v>
      </c>
      <c r="L218" s="184">
        <v>33.299999999999997</v>
      </c>
      <c r="M218" s="184">
        <v>0.70399999999999996</v>
      </c>
      <c r="N218" s="40">
        <v>190</v>
      </c>
      <c r="Q218" s="4" t="str">
        <f>HYPERLINK("\\Hopi-fs\shares\users\dhar\Stalk mount testing\Type 1 Target Quality Assurance\CRYO-2084-2130 2036","FOLDER")</f>
        <v>FOLDER</v>
      </c>
      <c r="R218">
        <v>2</v>
      </c>
      <c r="S218" t="s">
        <v>175</v>
      </c>
      <c r="T218" t="s">
        <v>641</v>
      </c>
      <c r="U218" t="s">
        <v>540</v>
      </c>
      <c r="V218" t="s">
        <v>1146</v>
      </c>
    </row>
    <row r="219" spans="1:25">
      <c r="A219" s="11">
        <v>2379</v>
      </c>
      <c r="B219" s="184">
        <v>16.399999999999999</v>
      </c>
      <c r="C219" s="20">
        <v>2.02</v>
      </c>
      <c r="D219" s="184">
        <v>12.03</v>
      </c>
      <c r="E219" s="184">
        <v>1.45</v>
      </c>
      <c r="F219" s="209">
        <v>18.93</v>
      </c>
      <c r="G219" s="205" t="s">
        <v>1126</v>
      </c>
      <c r="H219" s="184" t="s">
        <v>169</v>
      </c>
      <c r="I219" s="184" t="s">
        <v>169</v>
      </c>
      <c r="J219" s="208">
        <v>41284</v>
      </c>
      <c r="K219" s="207" t="s">
        <v>130</v>
      </c>
      <c r="L219" s="184">
        <v>33.4</v>
      </c>
      <c r="M219" s="184">
        <v>0.17899999999999999</v>
      </c>
      <c r="N219" s="40">
        <v>181</v>
      </c>
      <c r="Q219" s="4" t="str">
        <f>HYPERLINK("\\Hopi-fs\shares\users\dhar\Stalk mount testing\Type 1 Target Quality Assurance\CRYO-2085-2132 2379","FOLDER")</f>
        <v>FOLDER</v>
      </c>
      <c r="S219" t="s">
        <v>175</v>
      </c>
      <c r="T219" t="s">
        <v>641</v>
      </c>
      <c r="U219" t="s">
        <v>540</v>
      </c>
      <c r="V219" t="s">
        <v>1645</v>
      </c>
    </row>
    <row r="220" spans="1:25">
      <c r="A220" s="11">
        <v>3001</v>
      </c>
      <c r="B220" s="184">
        <v>17.2</v>
      </c>
      <c r="C220" s="20">
        <v>2.0299999999999998</v>
      </c>
      <c r="D220" s="184">
        <v>12.1</v>
      </c>
      <c r="E220" s="184">
        <v>1.38</v>
      </c>
      <c r="F220" s="209">
        <v>18.850000000000001</v>
      </c>
      <c r="G220" s="205" t="s">
        <v>1127</v>
      </c>
      <c r="H220" s="184" t="s">
        <v>169</v>
      </c>
      <c r="I220" s="184" t="s">
        <v>169</v>
      </c>
      <c r="J220" s="208">
        <v>41284</v>
      </c>
      <c r="K220" s="207" t="s">
        <v>130</v>
      </c>
      <c r="L220" s="184">
        <v>33.4</v>
      </c>
      <c r="M220" s="184">
        <v>0.17599999999999999</v>
      </c>
      <c r="N220" s="40">
        <v>199</v>
      </c>
      <c r="Q220" s="4" t="str">
        <f>HYPERLINK("\\Hopi-fs\shares\users\dhar\Stalk mount testing\Type 1 Target Quality Assurance\CRYO-2085-2133 3001","FOLDER")</f>
        <v>FOLDER</v>
      </c>
      <c r="S220" t="s">
        <v>175</v>
      </c>
      <c r="T220" t="s">
        <v>641</v>
      </c>
      <c r="U220" t="s">
        <v>540</v>
      </c>
      <c r="V220" t="s">
        <v>1146</v>
      </c>
    </row>
    <row r="221" spans="1:25">
      <c r="A221" s="11">
        <v>3004</v>
      </c>
      <c r="B221" s="184">
        <v>19.399999999999999</v>
      </c>
      <c r="C221" s="20">
        <v>2.0299999999999998</v>
      </c>
      <c r="D221" s="184">
        <v>12</v>
      </c>
      <c r="E221" s="184">
        <v>1.35</v>
      </c>
      <c r="F221" s="209">
        <v>18.829999999999998</v>
      </c>
      <c r="G221" s="223" t="s">
        <v>1128</v>
      </c>
      <c r="H221" s="184" t="s">
        <v>169</v>
      </c>
      <c r="I221" s="184" t="s">
        <v>169</v>
      </c>
      <c r="J221" s="208">
        <v>41284</v>
      </c>
      <c r="K221" s="207" t="s">
        <v>130</v>
      </c>
      <c r="L221" s="184">
        <v>33.299999999999997</v>
      </c>
      <c r="M221" s="184">
        <v>0.748</v>
      </c>
      <c r="N221" s="40">
        <v>208</v>
      </c>
      <c r="Q221" s="4" t="str">
        <f>HYPERLINK("\\Hopi-fs\shares\users\dhar\Stalk mount testing\Type 1 Target Quality Assurance\CRYO-2085-2140 3004","FOLDER")</f>
        <v>FOLDER</v>
      </c>
      <c r="S221" t="s">
        <v>175</v>
      </c>
      <c r="T221" t="s">
        <v>641</v>
      </c>
      <c r="U221" t="s">
        <v>540</v>
      </c>
      <c r="V221" t="s">
        <v>1146</v>
      </c>
    </row>
    <row r="222" spans="1:25">
      <c r="A222" s="179">
        <v>3005</v>
      </c>
      <c r="B222" s="209">
        <v>16.2</v>
      </c>
      <c r="C222" s="20">
        <v>2.02</v>
      </c>
      <c r="D222" s="184">
        <v>12.07</v>
      </c>
      <c r="E222" s="184">
        <v>1.34</v>
      </c>
      <c r="F222" s="209">
        <v>18.809999999999999</v>
      </c>
      <c r="G222" s="184" t="s">
        <v>1129</v>
      </c>
      <c r="H222" s="184" t="s">
        <v>169</v>
      </c>
      <c r="I222" s="184" t="s">
        <v>169</v>
      </c>
      <c r="J222" s="206">
        <v>41284</v>
      </c>
      <c r="K222" s="207" t="s">
        <v>130</v>
      </c>
      <c r="L222" s="184">
        <v>33.4</v>
      </c>
      <c r="M222" s="184">
        <v>0.40899999999999997</v>
      </c>
      <c r="N222" s="40">
        <v>194</v>
      </c>
      <c r="Q222" s="4" t="str">
        <f>HYPERLINK("\\Hopi-fs\shares\users\dhar\Stalk mount testing\Type 1 Target Quality Assurance\CRYO-2084-2141 3005","FOLDER")</f>
        <v>FOLDER</v>
      </c>
      <c r="S222" t="s">
        <v>175</v>
      </c>
      <c r="T222" t="s">
        <v>641</v>
      </c>
      <c r="U222" t="s">
        <v>540</v>
      </c>
      <c r="V222" t="s">
        <v>1146</v>
      </c>
    </row>
    <row r="223" spans="1:25" ht="21.75" customHeight="1">
      <c r="A223" s="178">
        <v>2573</v>
      </c>
      <c r="B223" s="209">
        <v>20</v>
      </c>
      <c r="C223" s="20">
        <v>1.98</v>
      </c>
      <c r="D223" s="184">
        <v>11.92</v>
      </c>
      <c r="E223" s="184">
        <v>1.43</v>
      </c>
      <c r="F223" s="209">
        <v>18.809999999999999</v>
      </c>
      <c r="G223" s="184" t="s">
        <v>1140</v>
      </c>
      <c r="H223" s="184" t="s">
        <v>169</v>
      </c>
      <c r="I223" s="184" t="s">
        <v>169</v>
      </c>
      <c r="J223" s="206">
        <v>41290</v>
      </c>
      <c r="K223" s="184" t="s">
        <v>130</v>
      </c>
      <c r="L223" s="184">
        <v>33.14</v>
      </c>
      <c r="M223" s="184">
        <v>0.46899999999999997</v>
      </c>
      <c r="N223" s="40">
        <v>150</v>
      </c>
      <c r="Q223" s="4" t="str">
        <f>HYPERLINK("\\hopi-fs\shares\users\dhar\Stalk mount testing\Type 1 Target Quality Assurance\CRYO-ME-1240-0239 2573","folder")</f>
        <v>folder</v>
      </c>
      <c r="S223" t="s">
        <v>175</v>
      </c>
      <c r="T223" t="s">
        <v>641</v>
      </c>
      <c r="U223" t="s">
        <v>540</v>
      </c>
      <c r="V223" s="29" t="s">
        <v>1254</v>
      </c>
    </row>
    <row r="224" spans="1:25">
      <c r="A224" s="179">
        <v>3006</v>
      </c>
      <c r="B224" s="209">
        <v>19.2</v>
      </c>
      <c r="C224" s="20">
        <v>2.04</v>
      </c>
      <c r="D224" s="184">
        <v>12.2</v>
      </c>
      <c r="E224" s="184">
        <v>1.35</v>
      </c>
      <c r="F224" s="209">
        <v>18.95</v>
      </c>
      <c r="G224" s="184" t="s">
        <v>1141</v>
      </c>
      <c r="H224" s="184" t="s">
        <v>169</v>
      </c>
      <c r="I224" s="184" t="s">
        <v>169</v>
      </c>
      <c r="J224" s="206">
        <v>41290</v>
      </c>
      <c r="K224" s="184" t="s">
        <v>130</v>
      </c>
      <c r="L224" s="184">
        <v>33.619999999999997</v>
      </c>
      <c r="M224" s="184">
        <v>0.29399999999999998</v>
      </c>
      <c r="N224" s="40">
        <v>143</v>
      </c>
      <c r="Q224" s="4" t="str">
        <f>HYPERLINK("\\hopi-fs\shares\users\dhar\Stalk mount testing\Type 1 Target Quality Assurance\CRYO-ME-1240-0240 3006","folder")</f>
        <v>folder</v>
      </c>
      <c r="S224" t="s">
        <v>175</v>
      </c>
      <c r="T224" t="s">
        <v>641</v>
      </c>
      <c r="U224" t="s">
        <v>540</v>
      </c>
      <c r="V224" s="29" t="s">
        <v>1254</v>
      </c>
    </row>
    <row r="225" spans="1:22" ht="24.75" customHeight="1">
      <c r="A225" s="179">
        <v>3051</v>
      </c>
      <c r="B225" s="209">
        <v>17.399999999999999</v>
      </c>
      <c r="C225" s="20">
        <v>2</v>
      </c>
      <c r="D225" s="184">
        <v>11.95</v>
      </c>
      <c r="E225" s="184">
        <v>1.41</v>
      </c>
      <c r="F225" s="209">
        <v>18.829999999999998</v>
      </c>
      <c r="G225" s="222" t="s">
        <v>1151</v>
      </c>
      <c r="H225" s="184" t="s">
        <v>169</v>
      </c>
      <c r="I225" s="184" t="s">
        <v>169</v>
      </c>
      <c r="J225" s="206">
        <v>41299</v>
      </c>
      <c r="K225" s="207" t="s">
        <v>130</v>
      </c>
      <c r="L225" s="184">
        <v>33.19</v>
      </c>
      <c r="M225" s="184">
        <v>0.122</v>
      </c>
      <c r="Q225" s="4" t="str">
        <f>HYPERLINK("\\hopi-fs\shares\users\dhar\Stalk mount testing\Type 1 Target Quality Assurance\CRYO-2083-2156 3051","folder")</f>
        <v>folder</v>
      </c>
      <c r="S225" t="s">
        <v>175</v>
      </c>
      <c r="T225" t="s">
        <v>641</v>
      </c>
      <c r="U225" t="s">
        <v>540</v>
      </c>
      <c r="V225" s="29"/>
    </row>
    <row r="226" spans="1:22">
      <c r="A226" s="179">
        <v>3051</v>
      </c>
      <c r="B226" s="209">
        <v>16</v>
      </c>
      <c r="C226" s="221">
        <v>2</v>
      </c>
      <c r="D226" s="184">
        <v>11.96</v>
      </c>
      <c r="E226" s="184">
        <v>1.4</v>
      </c>
      <c r="F226" s="209">
        <v>18.82</v>
      </c>
      <c r="G226" s="184" t="s">
        <v>1155</v>
      </c>
      <c r="H226" s="184">
        <v>17</v>
      </c>
      <c r="I226" s="184">
        <v>70</v>
      </c>
      <c r="J226" s="206">
        <v>41305</v>
      </c>
      <c r="K226" s="207" t="s">
        <v>130</v>
      </c>
      <c r="L226" s="184">
        <v>33.200000000000003</v>
      </c>
      <c r="M226" s="184">
        <v>0.50700000000000001</v>
      </c>
      <c r="N226" s="221">
        <v>205</v>
      </c>
      <c r="O226" s="221"/>
      <c r="Q226" s="4" t="str">
        <f>HYPERLINK("\\hopi-fs\shares\users\dhar\Stalk mount testing\Type 1 Target Quality Assurance\CRYO-2084-2151  3051","folder")</f>
        <v>folder</v>
      </c>
      <c r="S226" t="s">
        <v>175</v>
      </c>
      <c r="T226" t="s">
        <v>641</v>
      </c>
      <c r="U226" t="s">
        <v>540</v>
      </c>
      <c r="V226" s="29" t="s">
        <v>1160</v>
      </c>
    </row>
    <row r="227" spans="1:22">
      <c r="A227" s="178">
        <v>3052</v>
      </c>
      <c r="B227" s="184">
        <v>18</v>
      </c>
      <c r="C227" s="20">
        <v>2.04</v>
      </c>
      <c r="D227" s="184">
        <v>11.98</v>
      </c>
      <c r="E227" s="184">
        <v>1.4</v>
      </c>
      <c r="F227" s="209">
        <v>18.82</v>
      </c>
      <c r="G227" s="222" t="s">
        <v>1152</v>
      </c>
      <c r="H227" s="184" t="s">
        <v>169</v>
      </c>
      <c r="I227" s="184" t="s">
        <v>169</v>
      </c>
      <c r="J227" s="206">
        <v>41299</v>
      </c>
      <c r="K227" s="207" t="s">
        <v>130</v>
      </c>
      <c r="L227" s="184">
        <v>33.25</v>
      </c>
      <c r="M227" s="184">
        <v>0.63400000000000001</v>
      </c>
      <c r="Q227" s="4" t="str">
        <f>HYPERLINK("\\hopi-fs\shares\users\dhar\Stalk mount testing\Type 1 Target Quality Assurance\CRYO-2084-2157","folder")</f>
        <v>folder</v>
      </c>
      <c r="S227" t="s">
        <v>175</v>
      </c>
      <c r="T227" t="s">
        <v>641</v>
      </c>
      <c r="U227" t="s">
        <v>540</v>
      </c>
      <c r="V227" s="29"/>
    </row>
    <row r="228" spans="1:22">
      <c r="A228" s="178">
        <v>3052</v>
      </c>
      <c r="B228" s="184">
        <v>16.2</v>
      </c>
      <c r="C228" s="221">
        <v>2.02</v>
      </c>
      <c r="D228" s="184">
        <v>11.99</v>
      </c>
      <c r="E228" s="184">
        <v>1.44</v>
      </c>
      <c r="F228" s="209">
        <v>18.82</v>
      </c>
      <c r="G228" s="184" t="s">
        <v>1156</v>
      </c>
      <c r="H228" s="184">
        <v>17</v>
      </c>
      <c r="I228" s="184">
        <v>70</v>
      </c>
      <c r="J228" s="206">
        <v>41305</v>
      </c>
      <c r="K228" s="207" t="s">
        <v>130</v>
      </c>
      <c r="L228" s="184">
        <v>33.25</v>
      </c>
      <c r="M228" s="184">
        <v>0.47899999999999998</v>
      </c>
      <c r="N228" s="221">
        <v>195</v>
      </c>
      <c r="O228" s="221"/>
      <c r="Q228" s="4" t="str">
        <f>HYPERLINK("\\hopi-fs\shares\users\dhar\Stalk mount testing\Type 1 Target Quality Assurance\CRYO-2083-2145  3052","folder")</f>
        <v>folder</v>
      </c>
      <c r="S228" t="s">
        <v>175</v>
      </c>
      <c r="T228" t="s">
        <v>641</v>
      </c>
      <c r="U228" t="s">
        <v>540</v>
      </c>
      <c r="V228" s="29" t="s">
        <v>1160</v>
      </c>
    </row>
    <row r="229" spans="1:22">
      <c r="A229" s="178">
        <v>3062</v>
      </c>
      <c r="B229" s="184">
        <v>17</v>
      </c>
      <c r="C229" s="20">
        <v>2.06</v>
      </c>
      <c r="D229" s="184">
        <v>12.03</v>
      </c>
      <c r="E229" s="184">
        <v>1.36</v>
      </c>
      <c r="F229" s="209">
        <v>18.829999999999998</v>
      </c>
      <c r="G229" s="222" t="s">
        <v>1153</v>
      </c>
      <c r="H229" s="184" t="s">
        <v>169</v>
      </c>
      <c r="I229" s="184" t="s">
        <v>169</v>
      </c>
      <c r="J229" s="206">
        <v>41299</v>
      </c>
      <c r="K229" s="207" t="s">
        <v>130</v>
      </c>
      <c r="L229" s="184">
        <v>33.36</v>
      </c>
      <c r="M229" s="184">
        <v>0.47599999999999998</v>
      </c>
      <c r="Q229" s="4" t="str">
        <f>HYPERLINK("\\hopi-fs\shares\users\dhar\Stalk mount testing\Type 1 Target Quality Assurance\CRYO-2084-2159","folder")</f>
        <v>folder</v>
      </c>
      <c r="S229" t="s">
        <v>175</v>
      </c>
      <c r="T229" t="s">
        <v>641</v>
      </c>
      <c r="U229" t="s">
        <v>540</v>
      </c>
      <c r="V229" s="29"/>
    </row>
    <row r="230" spans="1:22">
      <c r="A230" s="178">
        <v>3062</v>
      </c>
      <c r="B230" s="184">
        <v>16.2</v>
      </c>
      <c r="C230" s="221">
        <v>2.0299999999999998</v>
      </c>
      <c r="D230" s="184">
        <v>12.02</v>
      </c>
      <c r="E230" s="184">
        <v>1.38</v>
      </c>
      <c r="F230" s="209">
        <v>18.84</v>
      </c>
      <c r="G230" s="184" t="s">
        <v>1157</v>
      </c>
      <c r="H230" s="184">
        <v>17</v>
      </c>
      <c r="I230" s="184">
        <v>70</v>
      </c>
      <c r="J230" s="206">
        <v>41305</v>
      </c>
      <c r="K230" s="207" t="s">
        <v>130</v>
      </c>
      <c r="L230" s="184">
        <v>33.33</v>
      </c>
      <c r="M230" s="184">
        <v>0.51200000000000001</v>
      </c>
      <c r="N230" s="221">
        <v>198</v>
      </c>
      <c r="O230" s="221"/>
      <c r="Q230" s="4" t="str">
        <f>HYPERLINK("\\hopi-fs\shares\users\dhar\Stalk mount testing\Type 1 Target Quality Assurance\CRYO-2083-2155  3062","folder")</f>
        <v>folder</v>
      </c>
      <c r="S230" t="s">
        <v>175</v>
      </c>
      <c r="T230" t="s">
        <v>641</v>
      </c>
      <c r="U230" t="s">
        <v>540</v>
      </c>
      <c r="V230" s="29"/>
    </row>
    <row r="231" spans="1:22">
      <c r="A231" s="204">
        <v>3063</v>
      </c>
      <c r="B231" s="184">
        <v>17.399999999999999</v>
      </c>
      <c r="C231" s="20">
        <v>2.02</v>
      </c>
      <c r="D231" s="184">
        <v>12.05</v>
      </c>
      <c r="E231" s="184">
        <v>1.35</v>
      </c>
      <c r="F231" s="209">
        <v>18.809999999999999</v>
      </c>
      <c r="G231" s="223" t="s">
        <v>1154</v>
      </c>
      <c r="H231" s="184" t="s">
        <v>169</v>
      </c>
      <c r="I231" s="184" t="s">
        <v>169</v>
      </c>
      <c r="J231" s="206">
        <v>41299</v>
      </c>
      <c r="K231" s="207" t="s">
        <v>130</v>
      </c>
      <c r="L231" s="184">
        <v>33.32</v>
      </c>
      <c r="M231" s="184">
        <v>0.32100000000000001</v>
      </c>
      <c r="N231" s="40">
        <v>199</v>
      </c>
      <c r="Q231" s="4" t="str">
        <f>HYPERLINK("\\hopi-fs\shares\users\dhar\Stalk mount testing\Type 1 Target Quality Assurance\CRYO-2083-2160  3063","folder")</f>
        <v>folder</v>
      </c>
      <c r="S231" t="s">
        <v>175</v>
      </c>
      <c r="T231" t="s">
        <v>641</v>
      </c>
      <c r="U231" t="s">
        <v>540</v>
      </c>
      <c r="V231" s="29" t="s">
        <v>1160</v>
      </c>
    </row>
    <row r="232" spans="1:22" ht="30" customHeight="1">
      <c r="A232" s="228">
        <v>3070</v>
      </c>
      <c r="B232" s="184">
        <v>16.399999999999999</v>
      </c>
      <c r="C232" s="20">
        <v>2.02</v>
      </c>
      <c r="D232" s="184">
        <v>12.04</v>
      </c>
      <c r="E232" s="184">
        <v>1.36</v>
      </c>
      <c r="F232" s="209">
        <v>18.850000000000001</v>
      </c>
      <c r="G232" s="205" t="s">
        <v>1179</v>
      </c>
      <c r="H232" s="184">
        <v>20</v>
      </c>
      <c r="I232" s="184">
        <v>71</v>
      </c>
      <c r="J232" s="208">
        <v>41318</v>
      </c>
      <c r="K232" s="207" t="s">
        <v>130</v>
      </c>
      <c r="L232" s="184">
        <v>33.340000000000003</v>
      </c>
      <c r="M232" s="184">
        <v>0.56499999999999995</v>
      </c>
      <c r="N232" s="40">
        <v>205</v>
      </c>
      <c r="Q232" s="4" t="str">
        <f>HYPERLINK("\\hopi-fs\shares\users\dhar\Stalk mount testing\Type 1 Target Quality Assurance\CRYO-2082-2174 3070","folder")</f>
        <v>folder</v>
      </c>
      <c r="S232" t="s">
        <v>175</v>
      </c>
      <c r="T232" t="s">
        <v>641</v>
      </c>
      <c r="U232" t="s">
        <v>540</v>
      </c>
      <c r="V232" t="s">
        <v>1180</v>
      </c>
    </row>
    <row r="233" spans="1:22">
      <c r="A233" s="204">
        <v>3071</v>
      </c>
      <c r="B233" s="184">
        <v>16</v>
      </c>
      <c r="C233" s="20">
        <v>2.04</v>
      </c>
      <c r="D233" s="184">
        <v>12.34</v>
      </c>
      <c r="E233" s="184">
        <v>1.37</v>
      </c>
      <c r="F233" s="209">
        <v>18.829999999999998</v>
      </c>
      <c r="G233" s="205" t="s">
        <v>1168</v>
      </c>
      <c r="H233" s="184">
        <v>20</v>
      </c>
      <c r="I233" s="184">
        <v>71</v>
      </c>
      <c r="J233" s="208">
        <v>41318</v>
      </c>
      <c r="K233" s="207" t="s">
        <v>130</v>
      </c>
      <c r="L233" s="184">
        <v>33.630000000000003</v>
      </c>
      <c r="M233" s="184">
        <v>0.59299999999999997</v>
      </c>
      <c r="N233" s="40">
        <v>190</v>
      </c>
      <c r="Q233" s="4" t="str">
        <f>HYPERLINK("\\hopi-fs\shares\users\dhar\Stalk mount testing\Type 1 Target Quality Assurance\CRYO-2083-2175 3071","folder")</f>
        <v>folder</v>
      </c>
      <c r="S233" t="s">
        <v>175</v>
      </c>
      <c r="T233" t="s">
        <v>641</v>
      </c>
      <c r="U233" t="s">
        <v>540</v>
      </c>
      <c r="V233" t="s">
        <v>1178</v>
      </c>
    </row>
    <row r="234" spans="1:22">
      <c r="A234" s="204">
        <v>3072</v>
      </c>
      <c r="B234" s="184">
        <v>17</v>
      </c>
      <c r="C234" s="20">
        <v>2.08</v>
      </c>
      <c r="D234" s="184">
        <v>12.11</v>
      </c>
      <c r="E234" s="184">
        <v>1.36</v>
      </c>
      <c r="F234" s="209">
        <v>18.850000000000001</v>
      </c>
      <c r="G234" s="205" t="s">
        <v>1169</v>
      </c>
      <c r="H234" s="184">
        <v>20</v>
      </c>
      <c r="I234" s="184">
        <v>71</v>
      </c>
      <c r="J234" s="208">
        <v>41318</v>
      </c>
      <c r="K234" s="207" t="s">
        <v>130</v>
      </c>
      <c r="L234" s="184">
        <v>33.479999999999997</v>
      </c>
      <c r="M234" s="184">
        <v>0.35</v>
      </c>
      <c r="N234" s="40">
        <v>181</v>
      </c>
      <c r="Q234" s="4" t="str">
        <f>HYPERLINK("\\hopi-fs\shares\users\dhar\Stalk mount testing\Type 1 Target Quality Assurance\CRYO-2082-2176 3072","folder")</f>
        <v>folder</v>
      </c>
      <c r="S234" t="s">
        <v>175</v>
      </c>
      <c r="T234" t="s">
        <v>641</v>
      </c>
      <c r="U234" t="s">
        <v>540</v>
      </c>
      <c r="V234" s="29"/>
    </row>
    <row r="235" spans="1:22" ht="34.5" customHeight="1">
      <c r="A235" s="204">
        <v>2062</v>
      </c>
      <c r="B235" s="184">
        <v>17.600000000000001</v>
      </c>
      <c r="C235" s="20">
        <v>2.0699999999999998</v>
      </c>
      <c r="D235" s="184">
        <v>12.09</v>
      </c>
      <c r="E235" s="184">
        <v>1.73</v>
      </c>
      <c r="F235" s="209">
        <v>18.98</v>
      </c>
      <c r="G235" s="68" t="s">
        <v>1176</v>
      </c>
      <c r="H235" s="184">
        <v>13</v>
      </c>
      <c r="I235" s="184">
        <v>72</v>
      </c>
      <c r="J235" s="208">
        <v>41323</v>
      </c>
      <c r="K235" s="207" t="s">
        <v>130</v>
      </c>
      <c r="L235" s="184">
        <v>33.549999999999997</v>
      </c>
      <c r="M235" s="184">
        <v>0.60799999999999998</v>
      </c>
      <c r="N235" s="40">
        <v>140</v>
      </c>
      <c r="Q235" s="4" t="str">
        <f>HYPERLINK("\\hopi-fs\shares\users\dhar\Stalk mount testing\Type 1 Target Quality Assurance\CRYO-ME-1240-0241  2062","folder")</f>
        <v>folder</v>
      </c>
      <c r="S235" t="s">
        <v>175</v>
      </c>
      <c r="T235" t="s">
        <v>641</v>
      </c>
      <c r="U235" t="s">
        <v>540</v>
      </c>
      <c r="V235" s="29" t="s">
        <v>1315</v>
      </c>
    </row>
    <row r="236" spans="1:22">
      <c r="A236" s="204">
        <v>3069</v>
      </c>
      <c r="B236" s="184">
        <v>19.8</v>
      </c>
      <c r="C236" s="20">
        <v>2.0099999999999998</v>
      </c>
      <c r="D236" s="184">
        <v>12.13</v>
      </c>
      <c r="E236" s="184">
        <v>1.39</v>
      </c>
      <c r="F236" s="209">
        <v>18.829999999999998</v>
      </c>
      <c r="G236" s="245" t="s">
        <v>1177</v>
      </c>
      <c r="H236" s="184">
        <v>13</v>
      </c>
      <c r="I236" s="184">
        <v>72</v>
      </c>
      <c r="J236" s="208">
        <v>41323</v>
      </c>
      <c r="K236" s="207" t="s">
        <v>130</v>
      </c>
      <c r="L236" s="184">
        <v>33.4</v>
      </c>
      <c r="M236" s="184">
        <v>0.34599999999999997</v>
      </c>
      <c r="N236" s="40">
        <v>145</v>
      </c>
      <c r="Q236" s="4" t="str">
        <f>HYPERLINK("\\hopi-fs\shares\users\dhar\Stalk mount testing\Type 1 Target Quality Assurance\CRYO-ME-1242-0242  3069","folder")</f>
        <v>folder</v>
      </c>
      <c r="S236" t="s">
        <v>175</v>
      </c>
      <c r="T236" t="s">
        <v>641</v>
      </c>
      <c r="U236" t="s">
        <v>540</v>
      </c>
      <c r="V236" s="29" t="s">
        <v>1307</v>
      </c>
    </row>
    <row r="237" spans="1:22" ht="39.75" customHeight="1">
      <c r="A237" s="231">
        <v>3075</v>
      </c>
      <c r="B237" s="184">
        <v>16</v>
      </c>
      <c r="C237" s="20">
        <v>2.04</v>
      </c>
      <c r="D237" s="184">
        <v>11.97</v>
      </c>
      <c r="E237" s="184">
        <v>1.37</v>
      </c>
      <c r="F237" s="209">
        <v>19</v>
      </c>
      <c r="G237" s="233" t="s">
        <v>1185</v>
      </c>
      <c r="H237" s="184">
        <v>14</v>
      </c>
      <c r="I237" s="184">
        <v>72</v>
      </c>
      <c r="J237" s="208">
        <v>41326</v>
      </c>
      <c r="K237" s="207" t="s">
        <v>130</v>
      </c>
      <c r="L237" s="184">
        <v>33.85</v>
      </c>
      <c r="M237" s="184">
        <v>0.217</v>
      </c>
      <c r="N237" s="40">
        <v>194</v>
      </c>
      <c r="Q237" s="4" t="str">
        <f>HYPERLINK("\\hopi-fs\shares\users\dhar\Stalk mount testing\Type 1 Target Quality Assurance\CRYO-2083-2185  3075 Indium fiducial","folder")</f>
        <v>folder</v>
      </c>
      <c r="S237" t="s">
        <v>175</v>
      </c>
      <c r="T237" t="s">
        <v>641</v>
      </c>
      <c r="U237" t="s">
        <v>540</v>
      </c>
      <c r="V237" s="29" t="s">
        <v>1203</v>
      </c>
    </row>
    <row r="238" spans="1:22">
      <c r="A238" s="231">
        <v>3080</v>
      </c>
      <c r="B238" s="46">
        <v>16</v>
      </c>
      <c r="C238" s="20">
        <v>2.0299999999999998</v>
      </c>
      <c r="D238" s="184">
        <v>12</v>
      </c>
      <c r="E238" s="184">
        <v>1.46</v>
      </c>
      <c r="F238" s="41">
        <v>19.100000000000001</v>
      </c>
      <c r="G238" s="232" t="s">
        <v>1188</v>
      </c>
      <c r="H238" s="37">
        <v>27</v>
      </c>
      <c r="I238" s="37">
        <v>72</v>
      </c>
      <c r="J238" s="162">
        <v>41332</v>
      </c>
      <c r="K238" s="207" t="s">
        <v>130</v>
      </c>
      <c r="L238" s="25">
        <v>33.590000000000003</v>
      </c>
      <c r="M238" s="40">
        <v>0.51700000000000002</v>
      </c>
      <c r="N238" s="40">
        <v>200</v>
      </c>
      <c r="Q238" s="4" t="str">
        <f>HYPERLINK("\\Hopi-fs\shares\users\dhar\Stalk mount testing\Type 1 Target Quality Assurance\CRYO-2074-2195  3080 Indium fiducial","folder")</f>
        <v>folder</v>
      </c>
      <c r="S238" t="s">
        <v>175</v>
      </c>
      <c r="T238" t="s">
        <v>641</v>
      </c>
      <c r="U238" t="s">
        <v>540</v>
      </c>
    </row>
    <row r="239" spans="1:22" ht="40.5" customHeight="1">
      <c r="A239" s="247">
        <v>2029</v>
      </c>
      <c r="G239" s="15" t="s">
        <v>1191</v>
      </c>
      <c r="V239" t="s">
        <v>1216</v>
      </c>
    </row>
    <row r="240" spans="1:22">
      <c r="A240" s="247">
        <v>2058</v>
      </c>
      <c r="G240" s="15" t="s">
        <v>1192</v>
      </c>
      <c r="V240" t="s">
        <v>1249</v>
      </c>
    </row>
    <row r="241" spans="1:22">
      <c r="A241" s="247">
        <v>2254</v>
      </c>
      <c r="G241" s="19" t="s">
        <v>1193</v>
      </c>
      <c r="V241" t="s">
        <v>1356</v>
      </c>
    </row>
    <row r="242" spans="1:22">
      <c r="A242" s="247">
        <v>2099</v>
      </c>
      <c r="G242" s="19" t="s">
        <v>1194</v>
      </c>
      <c r="V242" t="s">
        <v>1356</v>
      </c>
    </row>
    <row r="243" spans="1:22">
      <c r="A243" s="247" t="s">
        <v>1196</v>
      </c>
      <c r="G243" s="19" t="s">
        <v>1195</v>
      </c>
      <c r="V243" t="s">
        <v>1357</v>
      </c>
    </row>
    <row r="244" spans="1:22">
      <c r="A244" s="247">
        <v>2113</v>
      </c>
      <c r="G244" s="45" t="s">
        <v>1197</v>
      </c>
    </row>
    <row r="245" spans="1:22">
      <c r="A245" s="247">
        <v>2114</v>
      </c>
      <c r="G245" s="45" t="s">
        <v>1198</v>
      </c>
    </row>
    <row r="246" spans="1:22">
      <c r="A246" s="247">
        <v>2227</v>
      </c>
      <c r="G246" s="19" t="s">
        <v>1199</v>
      </c>
      <c r="V246" t="s">
        <v>1819</v>
      </c>
    </row>
    <row r="247" spans="1:22" ht="15.75" customHeight="1">
      <c r="A247" s="247">
        <v>2252</v>
      </c>
      <c r="G247" s="19" t="s">
        <v>1908</v>
      </c>
      <c r="V247" t="s">
        <v>1732</v>
      </c>
    </row>
    <row r="248" spans="1:22" ht="17.25" customHeight="1">
      <c r="A248" s="257">
        <v>2099</v>
      </c>
      <c r="B248" s="255">
        <v>18</v>
      </c>
      <c r="C248" s="255">
        <v>2</v>
      </c>
      <c r="D248" s="258">
        <v>12.1</v>
      </c>
      <c r="E248" s="258">
        <v>2.4</v>
      </c>
      <c r="F248" s="255">
        <v>18.84</v>
      </c>
      <c r="G248" s="267" t="s">
        <v>1370</v>
      </c>
      <c r="H248" s="255">
        <v>55</v>
      </c>
      <c r="I248" s="255">
        <v>73</v>
      </c>
      <c r="J248" s="162">
        <v>41516</v>
      </c>
      <c r="K248" t="s">
        <v>130</v>
      </c>
      <c r="L248" s="255">
        <v>33.340000000000003</v>
      </c>
      <c r="M248" s="255">
        <v>0.38800000000000001</v>
      </c>
      <c r="N248" s="255" t="s">
        <v>169</v>
      </c>
      <c r="O248" s="255"/>
      <c r="P248" t="s">
        <v>1427</v>
      </c>
      <c r="Q248" s="4" t="str">
        <f>HYPERLINK("\\Hopi-fs\shares\users\dhar\Stalk mount testing\Type 1 Target Quality Assurance\2099 SCD sample 1","folder")</f>
        <v>folder</v>
      </c>
      <c r="U248" t="s">
        <v>1412</v>
      </c>
      <c r="V248" t="s">
        <v>1361</v>
      </c>
    </row>
    <row r="249" spans="1:22">
      <c r="A249" s="257">
        <v>2291</v>
      </c>
      <c r="B249" s="255">
        <v>16</v>
      </c>
      <c r="C249" s="255">
        <v>2</v>
      </c>
      <c r="D249" s="258">
        <v>11.56</v>
      </c>
      <c r="E249" s="258">
        <v>0.46500000000000002</v>
      </c>
      <c r="F249" s="255">
        <v>18.28</v>
      </c>
      <c r="G249" s="267" t="s">
        <v>1371</v>
      </c>
      <c r="H249" s="255">
        <v>55</v>
      </c>
      <c r="I249" s="255">
        <v>73</v>
      </c>
      <c r="J249" s="162">
        <v>41516</v>
      </c>
      <c r="K249" t="s">
        <v>130</v>
      </c>
      <c r="L249" s="255">
        <v>32.24</v>
      </c>
      <c r="M249" s="255">
        <v>0.30199999999999999</v>
      </c>
      <c r="N249" s="255" t="s">
        <v>169</v>
      </c>
      <c r="O249" s="255"/>
      <c r="Q249" s="4" t="str">
        <f>HYPERLINK("\\Hopi-fs\shares\users\dhar\Stalk mount testing\Type 1 Target Quality Assurance\2291 SCD sample 2","folder")</f>
        <v>folder</v>
      </c>
      <c r="U249" t="s">
        <v>1413</v>
      </c>
      <c r="V249" t="s">
        <v>1361</v>
      </c>
    </row>
    <row r="250" spans="1:22">
      <c r="A250" s="257">
        <v>3028</v>
      </c>
      <c r="B250" s="255">
        <v>17</v>
      </c>
      <c r="C250" s="255">
        <v>1.97</v>
      </c>
      <c r="D250" s="258">
        <v>12</v>
      </c>
      <c r="E250" s="258">
        <v>3.3</v>
      </c>
      <c r="F250" s="255">
        <v>18.71</v>
      </c>
      <c r="G250" s="267" t="s">
        <v>1372</v>
      </c>
      <c r="H250" s="255">
        <v>55</v>
      </c>
      <c r="I250" s="255">
        <v>73</v>
      </c>
      <c r="J250" s="162">
        <v>41516</v>
      </c>
      <c r="K250" t="s">
        <v>130</v>
      </c>
      <c r="L250" s="255">
        <v>33.1</v>
      </c>
      <c r="M250" s="255">
        <v>0.55000000000000004</v>
      </c>
      <c r="N250" s="264" t="s">
        <v>169</v>
      </c>
      <c r="O250" s="255"/>
      <c r="Q250" s="4" t="str">
        <f>HYPERLINK("\\Hopi-fs\shares\users\dhar\Stalk mount testing\Type 1 Target Quality Assurance\3028 SCD sample 3","folder")</f>
        <v>folder</v>
      </c>
      <c r="U250" t="s">
        <v>1414</v>
      </c>
      <c r="V250" t="s">
        <v>1374</v>
      </c>
    </row>
    <row r="251" spans="1:22">
      <c r="A251" s="257">
        <v>3038</v>
      </c>
      <c r="B251" s="255">
        <v>16</v>
      </c>
      <c r="C251" s="255">
        <v>2.02</v>
      </c>
      <c r="D251" s="258">
        <v>11.88</v>
      </c>
      <c r="E251" s="258">
        <v>2.79</v>
      </c>
      <c r="F251" s="255">
        <v>18.57</v>
      </c>
      <c r="G251" s="265" t="s">
        <v>1375</v>
      </c>
      <c r="H251" s="44"/>
      <c r="I251" s="44"/>
      <c r="J251" s="162">
        <v>41526</v>
      </c>
      <c r="K251" t="s">
        <v>130</v>
      </c>
      <c r="L251" s="255">
        <v>32.86</v>
      </c>
      <c r="M251" s="255">
        <v>0.42099999999999999</v>
      </c>
      <c r="N251" s="264" t="s">
        <v>169</v>
      </c>
      <c r="O251" s="255"/>
      <c r="P251" t="s">
        <v>1427</v>
      </c>
      <c r="Q251" s="4" t="str">
        <f>HYPERLINK("\\Hopi-fs\shares\users\dhar\Stalk mount testing\Type 1 Target Quality Assurance\3038 SCD sample 4","folder")</f>
        <v>folder</v>
      </c>
      <c r="U251" t="s">
        <v>1415</v>
      </c>
      <c r="V251" s="13" t="s">
        <v>1410</v>
      </c>
    </row>
    <row r="252" spans="1:22">
      <c r="A252" s="187">
        <v>2060</v>
      </c>
      <c r="B252" s="46">
        <v>18.2</v>
      </c>
      <c r="C252" s="20">
        <v>1.98</v>
      </c>
      <c r="D252" s="254">
        <v>12</v>
      </c>
      <c r="E252" s="254">
        <v>2.8</v>
      </c>
      <c r="F252" s="41">
        <v>18.829999999999998</v>
      </c>
      <c r="G252" s="265" t="s">
        <v>1376</v>
      </c>
      <c r="H252" s="37">
        <v>55</v>
      </c>
      <c r="I252" s="37">
        <v>73</v>
      </c>
      <c r="J252" s="162">
        <v>41516</v>
      </c>
      <c r="K252" t="s">
        <v>130</v>
      </c>
      <c r="L252" s="25">
        <v>33.26</v>
      </c>
      <c r="M252" s="40">
        <v>0.59299999999999997</v>
      </c>
      <c r="N252" s="264" t="s">
        <v>169</v>
      </c>
      <c r="Q252" s="4" t="str">
        <f>HYPERLINK("\\Hopi-fs\shares\users\dhar\Stalk mount testing\Type 1 Target Quality Assurance\2060 SCD sample 6","folder")</f>
        <v>folder</v>
      </c>
      <c r="U252" t="s">
        <v>1378</v>
      </c>
      <c r="V252" s="3" t="s">
        <v>1428</v>
      </c>
    </row>
    <row r="253" spans="1:22">
      <c r="A253" s="247">
        <v>2076</v>
      </c>
      <c r="B253" s="46">
        <v>20.8</v>
      </c>
      <c r="C253" s="20">
        <v>2</v>
      </c>
      <c r="D253" s="254">
        <v>12.12</v>
      </c>
      <c r="E253" s="254">
        <v>1.33</v>
      </c>
      <c r="F253" s="41">
        <v>18.8</v>
      </c>
      <c r="G253" s="267" t="s">
        <v>1373</v>
      </c>
      <c r="H253" s="254">
        <v>55</v>
      </c>
      <c r="I253" s="254">
        <v>73</v>
      </c>
      <c r="J253" s="162">
        <v>41516</v>
      </c>
      <c r="K253" t="s">
        <v>130</v>
      </c>
      <c r="L253" s="25">
        <v>33.36</v>
      </c>
      <c r="M253" s="40">
        <v>0.755</v>
      </c>
      <c r="N253" s="264" t="s">
        <v>169</v>
      </c>
      <c r="Q253" s="4" t="str">
        <f>HYPERLINK("\\Hopi-fs\shares\users\dhar\Stalk mount testing\Type 1 Target Quality Assurance\2076 SCD sample 7","folder")</f>
        <v>folder</v>
      </c>
      <c r="U253" t="s">
        <v>1377</v>
      </c>
      <c r="V253" t="s">
        <v>1374</v>
      </c>
    </row>
    <row r="254" spans="1:22">
      <c r="A254" s="266">
        <v>2098</v>
      </c>
      <c r="B254" s="46">
        <v>18</v>
      </c>
      <c r="C254" s="20">
        <v>2.04</v>
      </c>
      <c r="D254" s="259">
        <v>12.13</v>
      </c>
      <c r="E254" s="259">
        <v>1.36</v>
      </c>
      <c r="F254" s="41">
        <v>18.93</v>
      </c>
      <c r="G254" s="19" t="s">
        <v>1411</v>
      </c>
      <c r="H254" s="37">
        <v>32</v>
      </c>
      <c r="I254" s="37">
        <v>73</v>
      </c>
      <c r="J254" s="162">
        <v>41540</v>
      </c>
      <c r="K254" t="s">
        <v>130</v>
      </c>
      <c r="L254" s="25">
        <v>33.53</v>
      </c>
      <c r="M254" s="40">
        <v>0.13500000000000001</v>
      </c>
      <c r="N254" s="264" t="s">
        <v>169</v>
      </c>
      <c r="Q254" s="4" t="str">
        <f>HYPERLINK("\\hopi-fs\shares\users\dhar\Stalk mount testing\Type 1 Target Quality Assurance\SCDSAMPLE080813-5","FOLDER")</f>
        <v>FOLDER</v>
      </c>
      <c r="U254" t="s">
        <v>1416</v>
      </c>
      <c r="V254" s="3" t="s">
        <v>1428</v>
      </c>
    </row>
    <row r="255" spans="1:22">
      <c r="A255" s="257">
        <v>3002</v>
      </c>
      <c r="B255" s="46">
        <v>17</v>
      </c>
      <c r="C255" s="20">
        <v>2.0099999999999998</v>
      </c>
      <c r="D255" s="261">
        <v>12.07</v>
      </c>
      <c r="E255" s="261">
        <v>1.41</v>
      </c>
      <c r="F255" s="41">
        <v>18.809999999999999</v>
      </c>
      <c r="G255" s="19" t="s">
        <v>1380</v>
      </c>
      <c r="H255" s="37">
        <v>37</v>
      </c>
      <c r="I255" s="37">
        <v>72.400000000000006</v>
      </c>
      <c r="J255" s="162">
        <v>41542</v>
      </c>
      <c r="K255" t="s">
        <v>130</v>
      </c>
      <c r="L255" s="25">
        <v>33.33</v>
      </c>
      <c r="M255" s="40">
        <v>0.309</v>
      </c>
      <c r="N255" s="264" t="s">
        <v>169</v>
      </c>
      <c r="Q255" s="4" t="str">
        <f>HYPERLINK("\\hopi-fs\shares\users\dhar\Stalk mount testing\Type 1 Target Quality Assurance\SCD Samples 8-8-13 8  3002 Type 1","folder")</f>
        <v>folder</v>
      </c>
      <c r="U255" t="s">
        <v>1382</v>
      </c>
      <c r="V255" s="3" t="s">
        <v>1428</v>
      </c>
    </row>
    <row r="256" spans="1:22">
      <c r="A256" s="257">
        <v>3039</v>
      </c>
      <c r="B256" s="46">
        <v>16.2</v>
      </c>
      <c r="C256" s="20">
        <v>2.0299999999999998</v>
      </c>
      <c r="D256" s="261">
        <v>11.82</v>
      </c>
      <c r="E256" s="261">
        <v>1.4</v>
      </c>
      <c r="F256" s="41">
        <v>18.84</v>
      </c>
      <c r="G256" s="45" t="s">
        <v>1381</v>
      </c>
      <c r="H256" s="260">
        <v>37</v>
      </c>
      <c r="I256" s="260">
        <v>72.400000000000006</v>
      </c>
      <c r="J256" s="162">
        <v>41542</v>
      </c>
      <c r="K256" t="s">
        <v>130</v>
      </c>
      <c r="L256" s="25">
        <v>33.17</v>
      </c>
      <c r="M256" s="40">
        <v>0.38300000000000001</v>
      </c>
      <c r="N256" s="264" t="s">
        <v>169</v>
      </c>
      <c r="Q256" s="4" t="str">
        <f>HYPERLINK("\\hopi-fs\shares\users\dhar\Stalk mount testing\Type 1 Target Quality Assurance\SCD Samples 8-8-13 9  3039 Type 1","folder")</f>
        <v>folder</v>
      </c>
      <c r="U256" t="s">
        <v>1382</v>
      </c>
    </row>
    <row r="257" spans="1:22">
      <c r="A257" s="318">
        <v>2249</v>
      </c>
      <c r="B257" s="46">
        <v>16.399999999999999</v>
      </c>
      <c r="C257" s="20">
        <v>2.04</v>
      </c>
      <c r="D257" s="318">
        <v>12</v>
      </c>
      <c r="E257" s="318">
        <v>1.32</v>
      </c>
      <c r="F257" s="41">
        <v>18.57</v>
      </c>
      <c r="G257" s="19" t="s">
        <v>1886</v>
      </c>
      <c r="H257" s="37">
        <v>61</v>
      </c>
      <c r="I257" s="37">
        <v>68.599999999999994</v>
      </c>
      <c r="J257" s="162">
        <v>42272</v>
      </c>
      <c r="K257" t="s">
        <v>130</v>
      </c>
      <c r="L257" s="25">
        <v>33.14</v>
      </c>
      <c r="M257" s="40">
        <v>0.34799999999999998</v>
      </c>
      <c r="Q257" s="4" t="str">
        <f>HYPERLINK("\\hopi-fs\shares\users\dhar\Stalk mount testing\Type 1 Target Quality Assurance\SCD Samples 890x42um-4","folder")</f>
        <v>folder</v>
      </c>
      <c r="U257" t="s">
        <v>2299</v>
      </c>
      <c r="V257" s="3" t="s">
        <v>2300</v>
      </c>
    </row>
    <row r="258" spans="1:22">
      <c r="A258" s="318">
        <v>2100</v>
      </c>
      <c r="B258" s="46">
        <v>16.600000000000001</v>
      </c>
      <c r="C258" s="20">
        <v>2</v>
      </c>
      <c r="D258" s="318">
        <v>12.03</v>
      </c>
      <c r="E258" s="318">
        <v>1.38</v>
      </c>
      <c r="F258" s="41">
        <v>18.850000000000001</v>
      </c>
      <c r="G258" s="19" t="s">
        <v>1887</v>
      </c>
      <c r="H258" s="318">
        <v>61</v>
      </c>
      <c r="I258" s="318">
        <v>68.599999999999994</v>
      </c>
      <c r="J258" s="162">
        <v>42272</v>
      </c>
      <c r="K258" t="s">
        <v>130</v>
      </c>
      <c r="L258" s="25">
        <v>33.340000000000003</v>
      </c>
      <c r="M258" s="40">
        <v>0.44900000000000001</v>
      </c>
      <c r="Q258" s="4" t="str">
        <f>HYPERLINK("\\hopi-fs\shares\users\dhar\Stalk mount testing\Type 1 Target Quality Assurance\SCD Samples 890x42um-5","folder")</f>
        <v>folder</v>
      </c>
      <c r="U258" t="s">
        <v>2298</v>
      </c>
      <c r="V258" s="3" t="s">
        <v>2300</v>
      </c>
    </row>
    <row r="259" spans="1:22">
      <c r="A259" s="318">
        <v>3038</v>
      </c>
      <c r="B259" s="46">
        <v>15</v>
      </c>
      <c r="C259" s="20">
        <v>2.0299999999999998</v>
      </c>
      <c r="D259" s="318">
        <v>12.05</v>
      </c>
      <c r="E259" s="318">
        <v>1.37</v>
      </c>
      <c r="F259" s="41">
        <v>18.829999999999998</v>
      </c>
      <c r="G259" s="19" t="s">
        <v>1888</v>
      </c>
      <c r="H259" s="318">
        <v>61</v>
      </c>
      <c r="I259" s="318">
        <v>68.599999999999994</v>
      </c>
      <c r="J259" s="162">
        <v>42272</v>
      </c>
      <c r="K259" t="s">
        <v>130</v>
      </c>
      <c r="L259" s="25">
        <v>33.369999999999997</v>
      </c>
      <c r="M259" s="40">
        <v>0.64200000000000002</v>
      </c>
      <c r="Q259" s="4" t="str">
        <f>HYPERLINK("\\hopi-fs\shares\users\dhar\Stalk mount testing\Type 1 Target Quality Assurance\SCD Samples 890x42um-6","folder")</f>
        <v>folder</v>
      </c>
      <c r="V259" s="3" t="s">
        <v>2300</v>
      </c>
    </row>
    <row r="260" spans="1:22">
      <c r="A260" s="318">
        <v>2082</v>
      </c>
      <c r="B260" s="46">
        <v>18</v>
      </c>
      <c r="C260" s="20">
        <v>2</v>
      </c>
      <c r="D260" s="318">
        <v>12.03</v>
      </c>
      <c r="E260" s="318">
        <v>1.38</v>
      </c>
      <c r="F260" s="41">
        <v>18.8</v>
      </c>
      <c r="G260" s="19" t="s">
        <v>1889</v>
      </c>
      <c r="H260" s="318">
        <v>61</v>
      </c>
      <c r="I260" s="318">
        <v>68.599999999999994</v>
      </c>
      <c r="J260" s="162">
        <v>42272</v>
      </c>
      <c r="K260" t="s">
        <v>130</v>
      </c>
      <c r="L260" s="25">
        <v>33.29</v>
      </c>
      <c r="M260" s="40">
        <v>0.22900000000000001</v>
      </c>
      <c r="Q260" s="4" t="str">
        <f>HYPERLINK("\\hopi-fs\shares\users\dhar\Stalk mount testing\Type 1 Target Quality Assurance\SCD Samples 890x42um-7","folder")</f>
        <v>folder</v>
      </c>
      <c r="V260" s="3" t="s">
        <v>2300</v>
      </c>
    </row>
    <row r="262" spans="1:22" ht="18.75">
      <c r="D262" s="262"/>
    </row>
  </sheetData>
  <mergeCells count="1">
    <mergeCell ref="B4:C4"/>
  </mergeCells>
  <hyperlinks>
    <hyperlink ref="B1" r:id="rId1" display="http://www.lle.rochester.edu/pdm?form=PDM::DocDetail&amp;Project=CTHS&amp;Docid=D-TR-B-182&amp;CType=L&amp;Revision=D" xr:uid="{00000000-0004-0000-0100-000000000000}"/>
  </hyperlinks>
  <pageMargins left="0.7" right="0.7" top="0.75" bottom="0.75" header="0.3" footer="0.3"/>
  <pageSetup orientation="portrait" horizontalDpi="1200" verticalDpi="1200" r:id="rId2"/>
  <drawing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3"/>
  <sheetViews>
    <sheetView topLeftCell="A4" workbookViewId="0">
      <selection activeCell="E1" sqref="E1:E1048576"/>
    </sheetView>
  </sheetViews>
  <sheetFormatPr defaultRowHeight="15"/>
  <cols>
    <col min="5" max="5" width="22.85546875" customWidth="1"/>
    <col min="8" max="8" width="12.42578125" customWidth="1"/>
    <col min="9" max="9" width="11.5703125" customWidth="1"/>
    <col min="13" max="13" width="7.42578125" bestFit="1" customWidth="1"/>
  </cols>
  <sheetData>
    <row r="1" spans="1:23">
      <c r="A1" t="s">
        <v>1255</v>
      </c>
    </row>
    <row r="2" spans="1:23">
      <c r="A2" s="6"/>
      <c r="B2" s="6"/>
      <c r="C2" s="6" t="s">
        <v>1257</v>
      </c>
      <c r="D2" s="4"/>
      <c r="V2">
        <f>SUM(V7:V34)</f>
        <v>0</v>
      </c>
      <c r="W2" t="s">
        <v>665</v>
      </c>
    </row>
    <row r="3" spans="1:23">
      <c r="D3" s="35" t="s">
        <v>509</v>
      </c>
      <c r="V3">
        <f>SUM(W7:W331)</f>
        <v>0</v>
      </c>
      <c r="W3" t="s">
        <v>664</v>
      </c>
    </row>
    <row r="4" spans="1:23">
      <c r="F4" s="4"/>
      <c r="V4" t="e">
        <f>V3/V2</f>
        <v>#DIV/0!</v>
      </c>
    </row>
    <row r="5" spans="1:23">
      <c r="C5" s="240"/>
      <c r="D5" s="240"/>
    </row>
    <row r="6" spans="1:23" s="7" customFormat="1" ht="75">
      <c r="A6" s="56" t="s">
        <v>1256</v>
      </c>
      <c r="B6" s="56" t="s">
        <v>1260</v>
      </c>
      <c r="C6" s="56" t="s">
        <v>1259</v>
      </c>
      <c r="D6" s="56" t="s">
        <v>1258</v>
      </c>
      <c r="E6" s="56" t="s">
        <v>259</v>
      </c>
      <c r="F6" s="22" t="s">
        <v>131</v>
      </c>
      <c r="G6" s="22" t="s">
        <v>132</v>
      </c>
      <c r="H6" s="22" t="s">
        <v>133</v>
      </c>
      <c r="I6" s="22" t="s">
        <v>134</v>
      </c>
      <c r="J6" s="22" t="s">
        <v>105</v>
      </c>
      <c r="K6" s="22" t="s">
        <v>157</v>
      </c>
      <c r="L6" s="22" t="s">
        <v>163</v>
      </c>
      <c r="M6" s="22" t="s">
        <v>1267</v>
      </c>
      <c r="N6" s="22" t="s">
        <v>226</v>
      </c>
      <c r="O6" s="22" t="s">
        <v>141</v>
      </c>
      <c r="P6" s="22" t="s">
        <v>239</v>
      </c>
      <c r="Q6" s="22" t="s">
        <v>210</v>
      </c>
      <c r="R6" s="22" t="s">
        <v>260</v>
      </c>
      <c r="S6" s="22" t="s">
        <v>145</v>
      </c>
      <c r="T6" s="18" t="s">
        <v>183</v>
      </c>
      <c r="V6" s="22" t="s">
        <v>666</v>
      </c>
      <c r="W6" s="57" t="s">
        <v>667</v>
      </c>
    </row>
    <row r="7" spans="1:23">
      <c r="A7">
        <v>1</v>
      </c>
      <c r="B7">
        <v>18</v>
      </c>
      <c r="C7">
        <v>1.5</v>
      </c>
      <c r="D7" s="62">
        <v>2.38</v>
      </c>
      <c r="E7" s="241">
        <v>8</v>
      </c>
      <c r="F7">
        <v>52</v>
      </c>
      <c r="G7" s="62">
        <v>72</v>
      </c>
      <c r="H7" s="162">
        <v>41404</v>
      </c>
      <c r="I7" t="s">
        <v>130</v>
      </c>
      <c r="J7">
        <v>33.4</v>
      </c>
      <c r="K7">
        <v>0.22900000000000001</v>
      </c>
      <c r="L7" t="s">
        <v>1261</v>
      </c>
      <c r="M7">
        <v>0.19670000000000001</v>
      </c>
      <c r="P7" s="4" t="str">
        <f>HYPERLINK("\\hopi-fs\shares\users\dhar\Stalk mount testing\Type10\CRYO-ME-1Q13-01-08","folder")</f>
        <v>folder</v>
      </c>
      <c r="T7" t="s">
        <v>1293</v>
      </c>
    </row>
    <row r="8" spans="1:23">
      <c r="A8">
        <v>2</v>
      </c>
      <c r="B8">
        <v>18</v>
      </c>
      <c r="C8">
        <v>1.51</v>
      </c>
      <c r="D8" s="62">
        <v>2</v>
      </c>
      <c r="E8" s="241">
        <v>12</v>
      </c>
      <c r="F8">
        <v>44.9</v>
      </c>
      <c r="G8" s="62">
        <v>72.3</v>
      </c>
      <c r="H8" s="162">
        <v>41401</v>
      </c>
      <c r="I8" t="s">
        <v>130</v>
      </c>
      <c r="J8">
        <v>33.450000000000003</v>
      </c>
      <c r="K8">
        <v>0.17499999999999999</v>
      </c>
      <c r="L8" t="s">
        <v>1262</v>
      </c>
      <c r="M8">
        <v>0.19570000000000001</v>
      </c>
      <c r="P8" s="4" t="str">
        <f>HYPERLINK("\\hopi-fs\shares\users\dhar\Stalk mount testing\Type10\CRYO-ME-1Q13-01-12","folder")</f>
        <v>folder</v>
      </c>
      <c r="T8" t="s">
        <v>1293</v>
      </c>
    </row>
    <row r="9" spans="1:23">
      <c r="A9">
        <v>3</v>
      </c>
      <c r="B9">
        <v>17</v>
      </c>
      <c r="C9">
        <v>1.5</v>
      </c>
      <c r="D9" s="62">
        <v>1.9</v>
      </c>
      <c r="E9" s="241">
        <v>15</v>
      </c>
      <c r="F9">
        <v>44.9</v>
      </c>
      <c r="G9" s="62">
        <v>72.3</v>
      </c>
      <c r="H9" s="162">
        <v>41401</v>
      </c>
      <c r="I9" t="s">
        <v>130</v>
      </c>
      <c r="J9">
        <v>33.49</v>
      </c>
      <c r="K9">
        <v>0.44800000000000001</v>
      </c>
      <c r="L9" t="s">
        <v>1265</v>
      </c>
      <c r="M9">
        <v>0.1976</v>
      </c>
      <c r="P9" s="4" t="str">
        <f>HYPERLINK("\\hopi-fs\shares\users\dhar\Stalk mount testing\Type10\CRYO-ME-1Q13-01-15","folder")</f>
        <v>folder</v>
      </c>
      <c r="T9" t="s">
        <v>1293</v>
      </c>
    </row>
    <row r="10" spans="1:23">
      <c r="A10">
        <v>4</v>
      </c>
      <c r="B10">
        <v>18</v>
      </c>
      <c r="C10">
        <v>1.49</v>
      </c>
      <c r="D10" s="63">
        <v>1.93</v>
      </c>
      <c r="E10" s="241">
        <v>21</v>
      </c>
      <c r="F10">
        <v>44.9</v>
      </c>
      <c r="G10" s="62">
        <v>72.3</v>
      </c>
      <c r="H10" s="162">
        <v>41401</v>
      </c>
      <c r="I10" t="s">
        <v>130</v>
      </c>
      <c r="J10">
        <v>33.46</v>
      </c>
      <c r="K10">
        <v>0.437</v>
      </c>
      <c r="L10" t="s">
        <v>1266</v>
      </c>
      <c r="M10">
        <v>0.1956</v>
      </c>
      <c r="P10" s="4" t="str">
        <f>HYPERLINK("\\hopi-fs\shares\users\dhar\Stalk mount testing\Type10\CRYO-ME-1Q13-01-21","folder")</f>
        <v>folder</v>
      </c>
      <c r="T10" t="s">
        <v>1293</v>
      </c>
    </row>
    <row r="11" spans="1:23">
      <c r="D11" s="62"/>
      <c r="E11" s="241"/>
      <c r="F11" s="62"/>
    </row>
    <row r="12" spans="1:23">
      <c r="E12" s="241"/>
    </row>
    <row r="13" spans="1:23">
      <c r="E13" s="241"/>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4"/>
  <sheetViews>
    <sheetView workbookViewId="0">
      <selection activeCell="P25" sqref="P25"/>
    </sheetView>
  </sheetViews>
  <sheetFormatPr defaultRowHeight="15"/>
  <sheetData>
    <row r="2" spans="1:1">
      <c r="A2" t="s">
        <v>3578</v>
      </c>
    </row>
    <row r="3" spans="1:1">
      <c r="A3" s="4">
        <v>2400</v>
      </c>
    </row>
    <row r="4" spans="1:1">
      <c r="A4" s="4">
        <v>2412</v>
      </c>
    </row>
  </sheetData>
  <hyperlinks>
    <hyperlink ref="A3" r:id="rId1" display="search-ms:displayname=Search Results in Stalk mount testing&amp;crumb=location:%5C%5CHOPI-FS%5Cshares%5Cusers%5Cdhar%5CStalk mount testing\Type 20" xr:uid="{00000000-0004-0000-1400-000000000000}"/>
    <hyperlink ref="A4" r:id="rId2" display="search-ms:displayname=Search Results in Stalk mount testing&amp;crumb=location:%5C%5CHOPI-FS%5Cshares%5Cusers%5Cdhar%5CStalk mount testing\Type 20"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U6"/>
  <sheetViews>
    <sheetView workbookViewId="0">
      <selection activeCell="B11" sqref="B11"/>
    </sheetView>
  </sheetViews>
  <sheetFormatPr defaultRowHeight="15"/>
  <cols>
    <col min="6" max="6" width="15.5703125" bestFit="1" customWidth="1"/>
  </cols>
  <sheetData>
    <row r="2" spans="1:21">
      <c r="A2" t="s">
        <v>3579</v>
      </c>
    </row>
    <row r="3" spans="1:21">
      <c r="A3" s="4" t="s">
        <v>3335</v>
      </c>
    </row>
    <row r="4" spans="1:21" ht="90">
      <c r="A4" s="362" t="s">
        <v>4</v>
      </c>
      <c r="B4" s="237" t="s">
        <v>1202</v>
      </c>
      <c r="C4" s="23" t="s">
        <v>402</v>
      </c>
      <c r="D4" s="23" t="s">
        <v>403</v>
      </c>
      <c r="E4" s="23" t="s">
        <v>416</v>
      </c>
      <c r="F4" s="22" t="s">
        <v>135</v>
      </c>
      <c r="G4" s="22" t="s">
        <v>131</v>
      </c>
      <c r="H4" s="22" t="s">
        <v>132</v>
      </c>
      <c r="I4" s="22" t="s">
        <v>133</v>
      </c>
      <c r="J4" s="22" t="s">
        <v>1250</v>
      </c>
      <c r="K4" s="22" t="s">
        <v>105</v>
      </c>
      <c r="L4" s="22" t="s">
        <v>157</v>
      </c>
      <c r="M4" s="219" t="s">
        <v>2400</v>
      </c>
      <c r="N4" s="242" t="s">
        <v>1267</v>
      </c>
      <c r="O4" s="22" t="s">
        <v>226</v>
      </c>
      <c r="P4" s="18" t="s">
        <v>141</v>
      </c>
      <c r="Q4" s="18" t="s">
        <v>239</v>
      </c>
      <c r="R4" s="18" t="s">
        <v>210</v>
      </c>
      <c r="S4" s="18" t="s">
        <v>146</v>
      </c>
      <c r="T4" s="18" t="s">
        <v>145</v>
      </c>
      <c r="U4" s="18" t="s">
        <v>183</v>
      </c>
    </row>
    <row r="6" spans="1:21">
      <c r="A6" s="134">
        <v>2410</v>
      </c>
      <c r="B6" s="134">
        <v>11.2</v>
      </c>
      <c r="C6" s="478">
        <v>1.5</v>
      </c>
      <c r="D6" s="478">
        <v>7.1</v>
      </c>
      <c r="E6" s="478">
        <v>24.53</v>
      </c>
      <c r="F6" s="492" t="s">
        <v>3389</v>
      </c>
      <c r="G6" s="478">
        <v>46</v>
      </c>
      <c r="H6" s="478">
        <v>75.400000000000006</v>
      </c>
      <c r="I6" s="217">
        <v>44014</v>
      </c>
      <c r="J6" s="478" t="s">
        <v>3074</v>
      </c>
      <c r="K6" s="478"/>
      <c r="L6" s="478"/>
      <c r="M6" s="478"/>
      <c r="N6" s="478"/>
      <c r="O6" s="478"/>
      <c r="P6" s="478"/>
      <c r="Q6" s="4" t="s">
        <v>3076</v>
      </c>
      <c r="R6" s="478"/>
      <c r="S6" s="478"/>
      <c r="T6" s="478" t="s">
        <v>3109</v>
      </c>
      <c r="U6" s="478" t="s">
        <v>3390</v>
      </c>
    </row>
  </sheetData>
  <hyperlinks>
    <hyperlink ref="A3" r:id="rId1" xr:uid="{00000000-0004-0000-1500-000000000000}"/>
    <hyperlink ref="Q6" r:id="rId2" xr:uid="{00000000-0004-0000-1500-000001000000}"/>
  </hyperlinks>
  <pageMargins left="0.7" right="0.7" top="0.75" bottom="0.75" header="0.3" footer="0.3"/>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7"/>
  <sheetViews>
    <sheetView workbookViewId="0">
      <selection activeCell="M13" sqref="M13"/>
    </sheetView>
  </sheetViews>
  <sheetFormatPr defaultRowHeight="15"/>
  <cols>
    <col min="2" max="2" width="12" customWidth="1"/>
    <col min="3" max="3" width="14.7109375" bestFit="1" customWidth="1"/>
    <col min="4" max="4" width="16.28515625" bestFit="1" customWidth="1"/>
    <col min="5" max="5" width="16.85546875" bestFit="1" customWidth="1"/>
    <col min="6" max="6" width="19.140625" bestFit="1" customWidth="1"/>
  </cols>
  <sheetData>
    <row r="1" spans="1:20">
      <c r="A1" t="s">
        <v>350</v>
      </c>
      <c r="B1" s="5"/>
      <c r="C1" s="29" t="s">
        <v>352</v>
      </c>
      <c r="E1" s="89"/>
      <c r="F1" s="89"/>
      <c r="G1" s="89"/>
      <c r="H1" s="89"/>
      <c r="K1" s="89"/>
      <c r="L1" s="89"/>
      <c r="M1" s="89"/>
      <c r="N1" s="89"/>
      <c r="S1" t="s">
        <v>258</v>
      </c>
    </row>
    <row r="2" spans="1:20">
      <c r="A2" s="13"/>
      <c r="B2" s="45" t="s">
        <v>166</v>
      </c>
      <c r="C2" s="89"/>
      <c r="E2" s="89"/>
      <c r="F2" s="89"/>
      <c r="G2" s="89"/>
      <c r="H2" s="89"/>
      <c r="K2" s="89"/>
      <c r="L2" s="89"/>
      <c r="M2" s="89"/>
      <c r="N2" s="89"/>
    </row>
    <row r="3" spans="1:20">
      <c r="B3" s="89"/>
      <c r="C3" s="89"/>
      <c r="E3" s="5"/>
      <c r="F3" s="89"/>
      <c r="G3" s="89"/>
      <c r="H3" s="89"/>
      <c r="K3" s="89"/>
      <c r="L3" s="89"/>
      <c r="M3" s="89"/>
      <c r="N3" s="89"/>
    </row>
    <row r="4" spans="1:20">
      <c r="A4" s="89"/>
      <c r="B4" s="604" t="s">
        <v>5</v>
      </c>
      <c r="C4" s="604"/>
      <c r="D4" s="89" t="s">
        <v>7</v>
      </c>
      <c r="E4" s="89" t="s">
        <v>8</v>
      </c>
      <c r="F4" s="89"/>
      <c r="G4" s="89"/>
      <c r="H4" s="89"/>
      <c r="K4" s="89"/>
      <c r="L4" s="89"/>
      <c r="M4" s="89"/>
      <c r="N4" s="89"/>
    </row>
    <row r="5" spans="1:20" ht="90">
      <c r="A5" s="2" t="s">
        <v>4</v>
      </c>
      <c r="B5" s="2" t="s">
        <v>11</v>
      </c>
      <c r="C5" s="2" t="s">
        <v>6</v>
      </c>
      <c r="D5" s="2" t="s">
        <v>9</v>
      </c>
      <c r="E5" s="23" t="s">
        <v>353</v>
      </c>
      <c r="F5" s="18" t="s">
        <v>135</v>
      </c>
      <c r="G5" s="18" t="s">
        <v>131</v>
      </c>
      <c r="H5" s="18" t="s">
        <v>132</v>
      </c>
      <c r="I5" s="18" t="s">
        <v>133</v>
      </c>
      <c r="J5" s="18" t="s">
        <v>134</v>
      </c>
      <c r="K5" s="18" t="s">
        <v>105</v>
      </c>
      <c r="L5" s="18" t="s">
        <v>157</v>
      </c>
      <c r="M5" s="18" t="s">
        <v>163</v>
      </c>
      <c r="N5" s="22" t="s">
        <v>226</v>
      </c>
      <c r="O5" s="18" t="s">
        <v>141</v>
      </c>
      <c r="P5" s="18" t="s">
        <v>239</v>
      </c>
      <c r="Q5" s="18" t="s">
        <v>210</v>
      </c>
      <c r="R5" s="18" t="s">
        <v>146</v>
      </c>
      <c r="S5" s="18" t="s">
        <v>145</v>
      </c>
      <c r="T5" s="18" t="s">
        <v>183</v>
      </c>
    </row>
    <row r="6" spans="1:20">
      <c r="A6">
        <v>2281</v>
      </c>
      <c r="B6">
        <v>16</v>
      </c>
      <c r="C6">
        <v>1.8</v>
      </c>
      <c r="D6">
        <v>12</v>
      </c>
      <c r="E6" s="62">
        <v>18.75</v>
      </c>
      <c r="F6" s="90" t="s">
        <v>348</v>
      </c>
      <c r="I6" t="s">
        <v>341</v>
      </c>
      <c r="J6" t="s">
        <v>130</v>
      </c>
      <c r="K6">
        <v>33.1</v>
      </c>
      <c r="L6">
        <v>0.28499999999999998</v>
      </c>
      <c r="M6">
        <v>188</v>
      </c>
      <c r="P6" s="4" t="str">
        <f>HYPERLINK("\\hopi-fs\shares\users\dhar\Stalk mount testing\Type 12\CRYO-ME-1241-0206 2281","folder")</f>
        <v>folder</v>
      </c>
      <c r="T6" t="s">
        <v>364</v>
      </c>
    </row>
    <row r="7" spans="1:20">
      <c r="A7">
        <v>2302</v>
      </c>
      <c r="B7">
        <v>16</v>
      </c>
      <c r="C7">
        <v>1.98</v>
      </c>
      <c r="D7">
        <v>12.1</v>
      </c>
      <c r="E7">
        <v>18.47</v>
      </c>
      <c r="F7" s="13" t="s">
        <v>351</v>
      </c>
      <c r="I7" t="s">
        <v>341</v>
      </c>
      <c r="J7" t="s">
        <v>130</v>
      </c>
      <c r="K7">
        <v>33</v>
      </c>
      <c r="L7">
        <v>0.53500000000000003</v>
      </c>
      <c r="M7">
        <v>171</v>
      </c>
      <c r="P7" s="4" t="str">
        <f>HYPERLINK("\\hopi-fs\shares\users\dhar\Stalk mount testing\Type 12\CRYO-ME-1239-0207 2302","folder")</f>
        <v>folder</v>
      </c>
      <c r="T7" t="s">
        <v>364</v>
      </c>
    </row>
  </sheetData>
  <mergeCells count="1">
    <mergeCell ref="B4:C4"/>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18"/>
  <sheetViews>
    <sheetView zoomScale="85" zoomScaleNormal="85" workbookViewId="0">
      <pane ySplit="3" topLeftCell="A4" activePane="bottomLeft" state="frozen"/>
      <selection pane="bottomLeft" activeCell="H15" sqref="H15"/>
    </sheetView>
  </sheetViews>
  <sheetFormatPr defaultRowHeight="15"/>
  <cols>
    <col min="1" max="1" width="8.28515625" style="214" customWidth="1"/>
    <col min="2" max="2" width="11" style="214" customWidth="1"/>
    <col min="3" max="3" width="11.140625" bestFit="1" customWidth="1"/>
    <col min="4" max="4" width="13.85546875" customWidth="1"/>
    <col min="5" max="5" width="11.5703125" style="214" customWidth="1"/>
    <col min="6" max="6" width="13.85546875" style="214" customWidth="1"/>
    <col min="7" max="7" width="18.85546875" style="214" customWidth="1"/>
    <col min="8" max="8" width="25.140625" style="214" customWidth="1"/>
    <col min="11" max="11" width="11.42578125" customWidth="1"/>
    <col min="12" max="12" width="11.42578125" style="214" customWidth="1"/>
    <col min="13" max="13" width="8" style="214" customWidth="1"/>
    <col min="14" max="14" width="10.42578125" customWidth="1"/>
    <col min="17" max="17" width="12.5703125" customWidth="1"/>
    <col min="18" max="18" width="11.85546875" bestFit="1" customWidth="1"/>
  </cols>
  <sheetData>
    <row r="1" spans="1:22">
      <c r="A1" s="216" t="s">
        <v>1111</v>
      </c>
      <c r="B1" s="216"/>
      <c r="D1" s="4" t="str">
        <f>HYPERLINK("http://www.lle.rochester.edu/04_resources/04_07_PDM/pdmdocs/release/D/D-TR/D-TR-B-375/A/D-TR-B-375_REVA.PDF","D-TR-B-375")</f>
        <v>D-TR-B-375</v>
      </c>
      <c r="E1" s="216"/>
      <c r="F1" s="216"/>
      <c r="G1" s="216"/>
      <c r="H1" s="216"/>
      <c r="L1" s="216"/>
      <c r="M1" s="216"/>
    </row>
    <row r="2" spans="1:22" ht="41.25" customHeight="1">
      <c r="B2" s="238" t="s">
        <v>1092</v>
      </c>
      <c r="C2" s="238" t="s">
        <v>591</v>
      </c>
      <c r="D2" s="216"/>
      <c r="E2" s="604" t="s">
        <v>1112</v>
      </c>
      <c r="F2" s="604"/>
      <c r="G2" s="214" t="s">
        <v>8</v>
      </c>
      <c r="I2" s="214"/>
      <c r="J2" s="214"/>
      <c r="N2" s="214"/>
      <c r="O2" s="214"/>
      <c r="P2" s="214"/>
    </row>
    <row r="3" spans="1:22" ht="75">
      <c r="A3" s="23" t="s">
        <v>4</v>
      </c>
      <c r="B3" s="23" t="s">
        <v>11</v>
      </c>
      <c r="C3" s="23" t="s">
        <v>62</v>
      </c>
      <c r="D3" s="23" t="s">
        <v>1114</v>
      </c>
      <c r="E3" s="23" t="s">
        <v>11</v>
      </c>
      <c r="F3" s="23" t="s">
        <v>1113</v>
      </c>
      <c r="G3" s="23" t="s">
        <v>1088</v>
      </c>
      <c r="H3" s="22" t="s">
        <v>135</v>
      </c>
      <c r="I3" s="22" t="s">
        <v>1122</v>
      </c>
      <c r="J3" s="22" t="s">
        <v>132</v>
      </c>
      <c r="K3" s="22" t="s">
        <v>133</v>
      </c>
      <c r="L3" s="22" t="s">
        <v>134</v>
      </c>
      <c r="M3" s="22" t="s">
        <v>105</v>
      </c>
      <c r="N3" s="22" t="s">
        <v>157</v>
      </c>
      <c r="O3" s="22" t="s">
        <v>163</v>
      </c>
      <c r="P3" s="22" t="s">
        <v>226</v>
      </c>
      <c r="Q3" s="22" t="s">
        <v>141</v>
      </c>
      <c r="R3" s="22" t="s">
        <v>239</v>
      </c>
      <c r="S3" s="22" t="s">
        <v>210</v>
      </c>
      <c r="T3" s="22" t="s">
        <v>146</v>
      </c>
      <c r="U3" s="22" t="s">
        <v>145</v>
      </c>
      <c r="V3" s="22" t="s">
        <v>183</v>
      </c>
    </row>
    <row r="4" spans="1:22">
      <c r="A4" s="214">
        <v>3039</v>
      </c>
      <c r="B4" s="214">
        <v>12.8</v>
      </c>
      <c r="C4" s="214" t="s">
        <v>1089</v>
      </c>
      <c r="D4" s="227">
        <v>1.5</v>
      </c>
      <c r="E4" s="214" t="s">
        <v>1091</v>
      </c>
      <c r="F4" s="214" t="s">
        <v>1090</v>
      </c>
      <c r="G4" s="214" t="s">
        <v>88</v>
      </c>
      <c r="H4" s="19" t="s">
        <v>1115</v>
      </c>
      <c r="I4" s="216" t="s">
        <v>169</v>
      </c>
      <c r="J4" s="216" t="s">
        <v>169</v>
      </c>
      <c r="K4" s="162">
        <v>41234</v>
      </c>
      <c r="L4" s="214" t="s">
        <v>130</v>
      </c>
      <c r="M4" s="214" t="s">
        <v>1093</v>
      </c>
      <c r="N4" t="s">
        <v>1094</v>
      </c>
      <c r="O4" s="220">
        <v>181</v>
      </c>
      <c r="R4" s="4" t="str">
        <f>HYPERLINK("\\Hopi-fs\shares\users\dhar\Stalk mount testing\Type 13\3039","folder")</f>
        <v>folder</v>
      </c>
      <c r="V4" t="s">
        <v>1145</v>
      </c>
    </row>
    <row r="5" spans="1:22">
      <c r="A5" s="214">
        <v>3040</v>
      </c>
      <c r="B5" s="214">
        <v>12.4</v>
      </c>
      <c r="C5" s="214" t="s">
        <v>1095</v>
      </c>
      <c r="D5" s="227">
        <v>1.35</v>
      </c>
      <c r="E5" s="214" t="s">
        <v>1097</v>
      </c>
      <c r="F5" s="214" t="s">
        <v>1096</v>
      </c>
      <c r="G5" s="214" t="s">
        <v>1098</v>
      </c>
      <c r="H5" s="19" t="s">
        <v>1116</v>
      </c>
      <c r="I5" s="216" t="s">
        <v>169</v>
      </c>
      <c r="J5" s="216" t="s">
        <v>169</v>
      </c>
      <c r="K5" s="162">
        <v>41234</v>
      </c>
      <c r="L5" s="214" t="s">
        <v>130</v>
      </c>
      <c r="M5" s="214" t="s">
        <v>1099</v>
      </c>
      <c r="N5" t="s">
        <v>1100</v>
      </c>
      <c r="O5" s="220">
        <v>178</v>
      </c>
      <c r="R5" s="4" t="str">
        <f>HYPERLINK("\\Hopi-fs\shares\users\dhar\Stalk mount testing\Type 13\3040","folder")</f>
        <v>folder</v>
      </c>
      <c r="V5" t="s">
        <v>1145</v>
      </c>
    </row>
    <row r="6" spans="1:22">
      <c r="A6" s="214">
        <v>3049</v>
      </c>
      <c r="B6" s="214">
        <f>AVERAGE(12, 11.8)</f>
        <v>11.9</v>
      </c>
      <c r="C6" s="214">
        <v>1.5</v>
      </c>
      <c r="D6" s="227">
        <v>2.1</v>
      </c>
      <c r="E6" s="214" t="s">
        <v>1105</v>
      </c>
      <c r="F6" s="214" t="s">
        <v>1106</v>
      </c>
      <c r="G6" s="214" t="s">
        <v>1107</v>
      </c>
      <c r="H6" s="19" t="s">
        <v>1117</v>
      </c>
      <c r="I6" s="216" t="s">
        <v>169</v>
      </c>
      <c r="J6" s="216" t="s">
        <v>169</v>
      </c>
      <c r="K6" s="162">
        <v>41234</v>
      </c>
      <c r="L6" s="214" t="s">
        <v>130</v>
      </c>
      <c r="M6" s="214" t="s">
        <v>1171</v>
      </c>
      <c r="N6" s="3">
        <v>1.2</v>
      </c>
      <c r="O6" s="220">
        <v>170</v>
      </c>
      <c r="R6" s="4" t="str">
        <f>HYPERLINK("\\Hopi-fs\shares\users\dhar\Stalk mount testing\Type 13\3049","folder")</f>
        <v>folder</v>
      </c>
      <c r="V6" t="s">
        <v>1145</v>
      </c>
    </row>
    <row r="7" spans="1:22" ht="30" customHeight="1">
      <c r="A7" s="214">
        <v>2104</v>
      </c>
      <c r="B7" s="214">
        <v>11.2</v>
      </c>
      <c r="C7" s="182">
        <v>1.51</v>
      </c>
      <c r="D7" s="227">
        <v>2.19</v>
      </c>
      <c r="E7" s="214">
        <v>82.6</v>
      </c>
      <c r="F7" s="214">
        <v>10</v>
      </c>
      <c r="G7" s="214">
        <v>21.2</v>
      </c>
      <c r="H7" s="169" t="s">
        <v>1172</v>
      </c>
      <c r="I7" s="227">
        <v>21</v>
      </c>
      <c r="J7" s="227">
        <v>71</v>
      </c>
      <c r="K7" s="162">
        <v>41319</v>
      </c>
      <c r="L7" s="214" t="s">
        <v>130</v>
      </c>
      <c r="M7" s="214">
        <v>33.19</v>
      </c>
      <c r="N7">
        <v>0.63200000000000001</v>
      </c>
      <c r="O7" t="s">
        <v>1174</v>
      </c>
      <c r="R7" s="4" t="str">
        <f>HYPERLINK("\\hopi-fs\shares\users\dhar\Stalk mount testing\Type 13\2104 CRYO-2084-2169","folder")</f>
        <v>folder</v>
      </c>
    </row>
    <row r="8" spans="1:22">
      <c r="A8" s="214">
        <v>2104</v>
      </c>
      <c r="B8" s="214">
        <v>14</v>
      </c>
      <c r="C8">
        <v>1.52</v>
      </c>
      <c r="D8" s="229">
        <v>1.5</v>
      </c>
      <c r="E8" s="214">
        <v>84</v>
      </c>
      <c r="F8" s="214">
        <v>10</v>
      </c>
      <c r="G8" s="214">
        <v>21.2</v>
      </c>
      <c r="H8" s="230" t="s">
        <v>1175</v>
      </c>
      <c r="I8" s="229">
        <v>13</v>
      </c>
      <c r="J8" s="229">
        <v>72</v>
      </c>
      <c r="K8" s="162">
        <v>41323</v>
      </c>
      <c r="L8" s="214" t="s">
        <v>130</v>
      </c>
      <c r="M8" s="214">
        <v>33.200000000000003</v>
      </c>
      <c r="N8" s="229">
        <v>0.52</v>
      </c>
      <c r="O8" s="229">
        <v>346</v>
      </c>
      <c r="R8" s="4" t="str">
        <f>HYPERLINK("\\hopi-fs\shares\users\dhar\Stalk mount testing\Type 13\2104 CRYO-2084-2168","folder")</f>
        <v>folder</v>
      </c>
      <c r="V8" t="s">
        <v>1178</v>
      </c>
    </row>
    <row r="9" spans="1:22">
      <c r="A9" s="214">
        <v>3043</v>
      </c>
      <c r="B9" s="214">
        <v>12</v>
      </c>
      <c r="C9" s="236">
        <v>1.47</v>
      </c>
      <c r="D9" s="236">
        <v>2.7</v>
      </c>
      <c r="E9" s="214">
        <v>82</v>
      </c>
      <c r="F9" s="214">
        <v>10</v>
      </c>
      <c r="G9" s="214">
        <v>21.2</v>
      </c>
      <c r="H9" s="243" t="s">
        <v>1218</v>
      </c>
      <c r="I9" s="236" t="s">
        <v>158</v>
      </c>
      <c r="J9" s="236" t="s">
        <v>169</v>
      </c>
      <c r="K9" s="162">
        <v>41361</v>
      </c>
      <c r="L9" s="214" t="s">
        <v>130</v>
      </c>
      <c r="M9" s="214">
        <v>33.1</v>
      </c>
      <c r="N9">
        <v>0.15</v>
      </c>
      <c r="O9" s="235">
        <v>191</v>
      </c>
      <c r="R9" s="4" t="str">
        <f>HYPERLINK("\\Hopi-fs\shares\users\dhar\Stalk mount testing\Type 13\CRYO-ME-1Q13-01-05 3043","FOLDER")</f>
        <v>FOLDER</v>
      </c>
      <c r="V9" t="s">
        <v>1294</v>
      </c>
    </row>
    <row r="10" spans="1:22" ht="38.25" customHeight="1">
      <c r="A10" s="214">
        <v>2023</v>
      </c>
      <c r="B10" s="253">
        <v>18</v>
      </c>
      <c r="C10" s="252">
        <v>1.5</v>
      </c>
      <c r="D10" s="252">
        <v>1.47</v>
      </c>
      <c r="E10" s="214">
        <v>81.8</v>
      </c>
      <c r="F10" s="214">
        <v>9.93</v>
      </c>
      <c r="G10" s="214">
        <v>21.23</v>
      </c>
      <c r="H10" s="19" t="s">
        <v>1354</v>
      </c>
      <c r="I10" s="252">
        <v>62</v>
      </c>
      <c r="J10" s="252">
        <v>69</v>
      </c>
      <c r="K10" s="162">
        <v>41513</v>
      </c>
      <c r="L10" s="214" t="s">
        <v>130</v>
      </c>
      <c r="M10" s="214">
        <v>33.08</v>
      </c>
      <c r="N10" s="252">
        <v>0.435</v>
      </c>
      <c r="O10" s="29" t="s">
        <v>1358</v>
      </c>
      <c r="R10" s="4" t="str">
        <f>HYPERLINK("\\Hopi-fs\shares\users\dhar\Stalk mount testing\Type 13\CRYO-ME-1Q13-01-80  2023","folder")</f>
        <v>folder</v>
      </c>
      <c r="V10" t="s">
        <v>1442</v>
      </c>
    </row>
    <row r="11" spans="1:22">
      <c r="A11" s="214">
        <v>2559</v>
      </c>
      <c r="B11" s="214">
        <v>17.399999999999999</v>
      </c>
      <c r="C11" s="252">
        <v>1.51</v>
      </c>
      <c r="D11" s="252">
        <v>1.44</v>
      </c>
      <c r="E11" s="214">
        <v>82</v>
      </c>
      <c r="F11" s="214">
        <v>9.8800000000000008</v>
      </c>
      <c r="G11" s="214">
        <v>21.4</v>
      </c>
      <c r="H11" s="19" t="s">
        <v>1355</v>
      </c>
      <c r="I11" s="252">
        <v>62</v>
      </c>
      <c r="J11" s="252">
        <v>69</v>
      </c>
      <c r="K11" s="162">
        <v>41513</v>
      </c>
      <c r="L11" s="252" t="s">
        <v>130</v>
      </c>
      <c r="M11" s="214">
        <v>33.200000000000003</v>
      </c>
      <c r="N11" s="252">
        <v>0.38700000000000001</v>
      </c>
      <c r="O11" s="256">
        <v>228</v>
      </c>
      <c r="R11" s="4" t="str">
        <f>HYPERLINK("\\Hopi-fs\shares\users\dhar\Stalk mount testing\Type 13\CRYO-ME-1Q13-01-81  2559","folder")</f>
        <v>folder</v>
      </c>
      <c r="V11" t="s">
        <v>1442</v>
      </c>
    </row>
    <row r="17" spans="2:3">
      <c r="B17" s="268"/>
      <c r="C17" s="269"/>
    </row>
    <row r="18" spans="2:3">
      <c r="B18" s="268"/>
      <c r="C18" s="269"/>
    </row>
  </sheetData>
  <mergeCells count="1">
    <mergeCell ref="E2:F2"/>
  </mergeCells>
  <pageMargins left="0.7" right="0.7" top="0.75" bottom="0.75" header="0.3" footer="0.3"/>
  <pageSetup orientation="portrait" horizontalDpi="1200" verticalDpi="120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4"/>
  <sheetViews>
    <sheetView workbookViewId="0">
      <selection activeCell="D8" sqref="D8"/>
    </sheetView>
  </sheetViews>
  <sheetFormatPr defaultRowHeight="15"/>
  <cols>
    <col min="1" max="1" width="9.140625" style="214"/>
    <col min="2" max="2" width="12.7109375" style="214" customWidth="1"/>
    <col min="3" max="3" width="14.85546875" style="214" customWidth="1"/>
    <col min="4" max="4" width="16.140625" style="216" customWidth="1"/>
    <col min="5" max="5" width="15.140625" style="214" customWidth="1"/>
    <col min="6" max="6" width="17.140625" customWidth="1"/>
    <col min="7" max="7" width="18.85546875" bestFit="1" customWidth="1"/>
    <col min="10" max="11" width="11.28515625" style="215" customWidth="1"/>
    <col min="16" max="16" width="14" customWidth="1"/>
    <col min="17" max="17" width="12.5703125" customWidth="1"/>
  </cols>
  <sheetData>
    <row r="1" spans="1:21">
      <c r="A1" s="216" t="s">
        <v>1119</v>
      </c>
      <c r="B1" s="216"/>
      <c r="C1" s="5" t="str">
        <f>HYPERLINK("http://www.lle.rochester.edu/04_resources/04_07_PDM/pdmdocs/release/D/D-TR/D-TR-B-376/A/D-TR-B-376_REVA.PDF","D-TR-B-376")</f>
        <v>D-TR-B-376</v>
      </c>
      <c r="E1" s="216"/>
      <c r="J1" s="216"/>
      <c r="K1" s="216"/>
    </row>
    <row r="2" spans="1:21" ht="28.5" customHeight="1">
      <c r="B2" s="604" t="s">
        <v>1101</v>
      </c>
      <c r="C2" s="604"/>
      <c r="E2" s="214" t="s">
        <v>1102</v>
      </c>
      <c r="F2" s="214" t="s">
        <v>8</v>
      </c>
      <c r="G2" s="214"/>
      <c r="H2" s="214"/>
      <c r="I2" s="214"/>
      <c r="L2" s="214"/>
      <c r="M2" s="214"/>
      <c r="N2" s="214"/>
      <c r="O2" s="214"/>
    </row>
    <row r="3" spans="1:21" s="57" customFormat="1" ht="91.5" customHeight="1">
      <c r="A3" s="23" t="s">
        <v>4</v>
      </c>
      <c r="B3" s="23" t="s">
        <v>11</v>
      </c>
      <c r="C3" s="23" t="s">
        <v>1120</v>
      </c>
      <c r="D3" s="23" t="s">
        <v>1121</v>
      </c>
      <c r="E3" s="23" t="s">
        <v>1104</v>
      </c>
      <c r="F3" s="23" t="s">
        <v>1103</v>
      </c>
      <c r="G3" s="22" t="s">
        <v>135</v>
      </c>
      <c r="H3" s="22" t="s">
        <v>131</v>
      </c>
      <c r="I3" s="22" t="s">
        <v>132</v>
      </c>
      <c r="J3" s="22" t="s">
        <v>133</v>
      </c>
      <c r="K3" s="22" t="s">
        <v>134</v>
      </c>
      <c r="L3" s="22" t="s">
        <v>105</v>
      </c>
      <c r="M3" s="22" t="s">
        <v>157</v>
      </c>
      <c r="N3" s="22" t="s">
        <v>163</v>
      </c>
      <c r="O3" s="22" t="s">
        <v>226</v>
      </c>
      <c r="P3" s="22" t="s">
        <v>141</v>
      </c>
      <c r="Q3" s="22" t="s">
        <v>239</v>
      </c>
      <c r="R3" s="22" t="s">
        <v>210</v>
      </c>
      <c r="S3" s="22" t="s">
        <v>146</v>
      </c>
      <c r="T3" s="22" t="s">
        <v>145</v>
      </c>
      <c r="U3" s="22" t="s">
        <v>183</v>
      </c>
    </row>
    <row r="4" spans="1:21">
      <c r="A4" s="214">
        <v>3042</v>
      </c>
      <c r="B4" s="214">
        <v>12.4</v>
      </c>
      <c r="C4" s="214">
        <v>1.5</v>
      </c>
      <c r="D4" s="216">
        <v>1.01</v>
      </c>
      <c r="E4" s="214" t="s">
        <v>1108</v>
      </c>
      <c r="F4" s="214" t="s">
        <v>1107</v>
      </c>
      <c r="G4" s="19" t="s">
        <v>1118</v>
      </c>
      <c r="H4" s="216" t="s">
        <v>169</v>
      </c>
      <c r="I4" s="216" t="s">
        <v>169</v>
      </c>
      <c r="J4" s="217">
        <v>41234</v>
      </c>
      <c r="K4" s="215" t="s">
        <v>130</v>
      </c>
      <c r="L4" t="s">
        <v>1109</v>
      </c>
      <c r="M4" t="s">
        <v>1110</v>
      </c>
      <c r="N4" t="s">
        <v>1448</v>
      </c>
      <c r="Q4" s="4" t="str">
        <f>HYPERLINK("\\Hopi-fs\shares\users\dhar\Stalk mount testing\Type 14\3042","folder")</f>
        <v>folder</v>
      </c>
      <c r="U4" t="s">
        <v>2505</v>
      </c>
    </row>
  </sheetData>
  <mergeCells count="1">
    <mergeCell ref="B2:C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Y5"/>
  <sheetViews>
    <sheetView workbookViewId="0">
      <selection activeCell="B8" sqref="B8"/>
    </sheetView>
  </sheetViews>
  <sheetFormatPr defaultRowHeight="15"/>
  <cols>
    <col min="1" max="1" width="16.140625" customWidth="1"/>
    <col min="2" max="2" width="10.28515625" customWidth="1"/>
    <col min="5" max="5" width="27.42578125" customWidth="1"/>
  </cols>
  <sheetData>
    <row r="1" spans="1:25">
      <c r="A1" s="6" t="s">
        <v>2035</v>
      </c>
      <c r="C1" t="s">
        <v>2038</v>
      </c>
    </row>
    <row r="2" spans="1:25" ht="42" customHeight="1">
      <c r="A2" s="326"/>
      <c r="B2" s="604" t="s">
        <v>5</v>
      </c>
      <c r="C2" s="604"/>
      <c r="D2" s="101" t="s">
        <v>14</v>
      </c>
    </row>
    <row r="3" spans="1:25" ht="75">
      <c r="A3" s="23" t="s">
        <v>4</v>
      </c>
      <c r="B3" s="237" t="s">
        <v>1202</v>
      </c>
      <c r="C3" s="23" t="s">
        <v>402</v>
      </c>
      <c r="D3" s="23" t="s">
        <v>403</v>
      </c>
      <c r="E3" s="22" t="s">
        <v>135</v>
      </c>
      <c r="F3" s="22" t="s">
        <v>131</v>
      </c>
      <c r="G3" s="22" t="s">
        <v>132</v>
      </c>
      <c r="H3" s="22" t="s">
        <v>133</v>
      </c>
      <c r="I3" s="22" t="s">
        <v>1250</v>
      </c>
      <c r="J3" s="22" t="s">
        <v>105</v>
      </c>
      <c r="K3" s="22" t="s">
        <v>157</v>
      </c>
      <c r="L3" s="219" t="s">
        <v>1352</v>
      </c>
      <c r="M3" s="242" t="s">
        <v>1267</v>
      </c>
      <c r="N3" s="22" t="s">
        <v>226</v>
      </c>
      <c r="O3" s="18" t="s">
        <v>141</v>
      </c>
      <c r="P3" s="18" t="s">
        <v>239</v>
      </c>
      <c r="Q3" s="18" t="s">
        <v>210</v>
      </c>
      <c r="R3" s="18" t="s">
        <v>146</v>
      </c>
      <c r="S3" s="18" t="s">
        <v>145</v>
      </c>
      <c r="T3" s="18" t="s">
        <v>183</v>
      </c>
      <c r="X3" s="22" t="s">
        <v>666</v>
      </c>
      <c r="Y3" s="57" t="s">
        <v>667</v>
      </c>
    </row>
    <row r="4" spans="1:25">
      <c r="A4" s="326">
        <v>1</v>
      </c>
      <c r="B4">
        <v>16.399999999999999</v>
      </c>
      <c r="C4">
        <v>1.5</v>
      </c>
      <c r="D4">
        <v>7.07</v>
      </c>
      <c r="E4" s="326" t="s">
        <v>2036</v>
      </c>
      <c r="F4">
        <v>46</v>
      </c>
      <c r="G4">
        <v>69.400000000000006</v>
      </c>
      <c r="H4" s="162">
        <v>42437</v>
      </c>
      <c r="I4" s="326" t="s">
        <v>130</v>
      </c>
      <c r="J4">
        <v>33.4</v>
      </c>
      <c r="K4">
        <v>0.17699999999999999</v>
      </c>
      <c r="L4">
        <v>271</v>
      </c>
    </row>
    <row r="5" spans="1:25">
      <c r="A5" s="326">
        <v>2</v>
      </c>
      <c r="B5">
        <v>19.600000000000001</v>
      </c>
      <c r="C5">
        <v>1.51</v>
      </c>
      <c r="D5">
        <v>7.05</v>
      </c>
      <c r="E5" s="326" t="s">
        <v>2037</v>
      </c>
      <c r="F5">
        <v>46</v>
      </c>
      <c r="G5">
        <v>69.400000000000006</v>
      </c>
      <c r="H5" s="162">
        <v>42437</v>
      </c>
      <c r="I5" s="326" t="s">
        <v>130</v>
      </c>
      <c r="J5">
        <v>33.32</v>
      </c>
      <c r="K5">
        <v>0.72</v>
      </c>
      <c r="L5">
        <v>310</v>
      </c>
    </row>
  </sheetData>
  <mergeCells count="1">
    <mergeCell ref="B2:C2"/>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6"/>
  <sheetViews>
    <sheetView workbookViewId="0">
      <selection activeCell="G6" sqref="G6"/>
    </sheetView>
  </sheetViews>
  <sheetFormatPr defaultRowHeight="15"/>
  <cols>
    <col min="1" max="1" width="10.7109375" bestFit="1" customWidth="1"/>
    <col min="2" max="2" width="7" bestFit="1" customWidth="1"/>
    <col min="3" max="3" width="9.85546875" bestFit="1" customWidth="1"/>
    <col min="4" max="4" width="9" bestFit="1" customWidth="1"/>
    <col min="5" max="5" width="9.85546875" bestFit="1" customWidth="1"/>
    <col min="6" max="6" width="10" bestFit="1" customWidth="1"/>
    <col min="7" max="7" width="14.5703125" customWidth="1"/>
    <col min="11" max="11" width="12" customWidth="1"/>
  </cols>
  <sheetData>
    <row r="1" spans="1:20">
      <c r="A1" t="s">
        <v>1757</v>
      </c>
    </row>
    <row r="2" spans="1:20">
      <c r="A2" t="s">
        <v>1758</v>
      </c>
    </row>
    <row r="4" spans="1:20" ht="30">
      <c r="B4" t="s">
        <v>1751</v>
      </c>
      <c r="C4" t="s">
        <v>1754</v>
      </c>
      <c r="D4" t="s">
        <v>1755</v>
      </c>
      <c r="E4" t="s">
        <v>1754</v>
      </c>
      <c r="F4" s="57" t="s">
        <v>1761</v>
      </c>
    </row>
    <row r="5" spans="1:20" ht="45">
      <c r="A5" s="56" t="s">
        <v>18</v>
      </c>
      <c r="B5" s="56" t="s">
        <v>1752</v>
      </c>
      <c r="C5" s="56" t="s">
        <v>1753</v>
      </c>
      <c r="D5" s="56" t="s">
        <v>1756</v>
      </c>
      <c r="E5" s="56" t="s">
        <v>1759</v>
      </c>
      <c r="F5" s="56" t="s">
        <v>1760</v>
      </c>
      <c r="G5" s="56" t="s">
        <v>259</v>
      </c>
      <c r="H5" s="22" t="s">
        <v>131</v>
      </c>
      <c r="I5" s="22" t="s">
        <v>132</v>
      </c>
      <c r="J5" s="22" t="s">
        <v>133</v>
      </c>
      <c r="K5" s="22" t="s">
        <v>134</v>
      </c>
      <c r="L5" s="22" t="s">
        <v>105</v>
      </c>
      <c r="M5" s="22" t="s">
        <v>157</v>
      </c>
      <c r="N5" s="22" t="s">
        <v>163</v>
      </c>
      <c r="O5" s="22" t="s">
        <v>226</v>
      </c>
      <c r="P5" s="22" t="s">
        <v>141</v>
      </c>
      <c r="Q5" s="22" t="s">
        <v>239</v>
      </c>
      <c r="R5" s="22" t="s">
        <v>210</v>
      </c>
      <c r="S5" s="22" t="s">
        <v>145</v>
      </c>
      <c r="T5" s="18" t="s">
        <v>183</v>
      </c>
    </row>
    <row r="6" spans="1:20">
      <c r="A6">
        <v>1651</v>
      </c>
      <c r="B6">
        <v>0.36</v>
      </c>
      <c r="C6">
        <v>0.12</v>
      </c>
      <c r="D6">
        <v>1</v>
      </c>
      <c r="E6">
        <v>2.7</v>
      </c>
      <c r="F6">
        <v>7.1</v>
      </c>
      <c r="G6" t="s">
        <v>1762</v>
      </c>
      <c r="K6" t="s">
        <v>130</v>
      </c>
      <c r="L6">
        <v>33.299999999999997</v>
      </c>
      <c r="N6">
        <v>187</v>
      </c>
      <c r="Q6" s="4" t="str">
        <f>HYPERLINK("\\HOPI-FS\shares\users\dhar\Stalk mount testing\Type16\prototype","folder")</f>
        <v>folder</v>
      </c>
    </row>
  </sheetData>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26"/>
  <sheetViews>
    <sheetView zoomScale="70" zoomScaleNormal="70" workbookViewId="0">
      <selection activeCell="P31" sqref="P31"/>
    </sheetView>
  </sheetViews>
  <sheetFormatPr defaultRowHeight="15"/>
  <cols>
    <col min="3" max="3" width="17.28515625" customWidth="1"/>
    <col min="4" max="5" width="13.28515625" customWidth="1"/>
    <col min="7" max="7" width="23.42578125" customWidth="1"/>
    <col min="16" max="16" width="42.85546875" customWidth="1"/>
  </cols>
  <sheetData>
    <row r="1" spans="1:21" ht="15.75">
      <c r="A1" s="107" t="s">
        <v>303</v>
      </c>
      <c r="B1" s="107"/>
      <c r="C1" s="107"/>
      <c r="D1" s="107"/>
      <c r="E1" s="107"/>
      <c r="F1" s="107"/>
      <c r="G1" s="107"/>
      <c r="H1" s="107"/>
      <c r="I1" s="107"/>
      <c r="J1" s="107"/>
      <c r="K1" s="107"/>
      <c r="L1" s="107"/>
      <c r="M1" s="107"/>
      <c r="N1" s="107"/>
      <c r="O1" s="107"/>
      <c r="P1" s="107"/>
      <c r="Q1" s="107"/>
      <c r="R1" s="107"/>
      <c r="S1" s="107"/>
      <c r="T1" s="107"/>
      <c r="U1" s="107"/>
    </row>
    <row r="2" spans="1:21" ht="15.75">
      <c r="A2" s="107" t="s">
        <v>4</v>
      </c>
      <c r="B2" s="107" t="s">
        <v>105</v>
      </c>
      <c r="C2" s="107" t="s">
        <v>163</v>
      </c>
      <c r="D2" s="107"/>
      <c r="E2" s="107"/>
      <c r="F2" s="107" t="s">
        <v>304</v>
      </c>
      <c r="G2" s="107"/>
      <c r="H2" s="107"/>
      <c r="I2" s="107"/>
      <c r="J2" s="107"/>
      <c r="K2" s="107"/>
      <c r="L2" s="107"/>
      <c r="M2" s="107"/>
      <c r="N2" s="107"/>
      <c r="O2" s="107"/>
      <c r="P2" s="107"/>
      <c r="Q2" s="107"/>
      <c r="R2" s="107"/>
      <c r="S2" s="107"/>
      <c r="T2" s="107"/>
      <c r="U2" s="107"/>
    </row>
    <row r="3" spans="1:21" ht="15.75">
      <c r="A3" s="107">
        <v>2681</v>
      </c>
      <c r="B3" s="107">
        <v>33.1</v>
      </c>
      <c r="C3" s="107" t="s">
        <v>305</v>
      </c>
      <c r="D3" s="107"/>
      <c r="E3" s="107"/>
      <c r="F3" s="108" t="str">
        <f>HYPERLINK("\\Hopi-fs\shares\users\dhar\Stalk mount testing\Developmental targets\2681","folder")</f>
        <v>folder</v>
      </c>
      <c r="G3" s="107"/>
      <c r="H3" s="107"/>
      <c r="I3" s="107"/>
      <c r="J3" s="107"/>
      <c r="K3" s="107"/>
      <c r="L3" s="107"/>
      <c r="M3" s="107"/>
      <c r="N3" s="107"/>
      <c r="O3" s="107"/>
      <c r="P3" s="107"/>
      <c r="Q3" s="107"/>
      <c r="R3" s="107"/>
      <c r="S3" s="107"/>
      <c r="T3" s="107"/>
      <c r="U3" s="107"/>
    </row>
    <row r="4" spans="1:21" ht="15.75">
      <c r="A4" s="107">
        <v>2416</v>
      </c>
      <c r="B4" s="107">
        <v>32.299999999999997</v>
      </c>
      <c r="C4" s="107" t="s">
        <v>169</v>
      </c>
      <c r="D4" s="107"/>
      <c r="E4" s="107"/>
      <c r="F4" s="108" t="str">
        <f>HYPERLINK("\\Hopi-fs\shares\users\dhar\Stalk mount testing\Developmental targets\2416","folder")</f>
        <v>folder</v>
      </c>
      <c r="G4" s="107" t="s">
        <v>306</v>
      </c>
      <c r="H4" s="107"/>
      <c r="I4" s="107"/>
      <c r="J4" s="107"/>
      <c r="K4" s="107"/>
      <c r="L4" s="107"/>
      <c r="M4" s="107"/>
      <c r="N4" s="107"/>
      <c r="O4" s="107"/>
      <c r="P4" s="107"/>
      <c r="Q4" s="107"/>
      <c r="R4" s="107"/>
      <c r="S4" s="107"/>
      <c r="T4" s="107"/>
      <c r="U4" s="107"/>
    </row>
    <row r="5" spans="1:21" ht="15.75">
      <c r="A5" s="107">
        <v>2379</v>
      </c>
      <c r="B5" s="107">
        <v>33.380000000000003</v>
      </c>
      <c r="C5" s="107"/>
      <c r="D5" s="107"/>
      <c r="E5" s="107"/>
      <c r="F5" s="108" t="str">
        <f>HYPERLINK("\\hopi-fs\shares\users\dhar\Stalk mount testing\Developmental targets\2379","folder")</f>
        <v>folder</v>
      </c>
      <c r="G5" s="107" t="s">
        <v>371</v>
      </c>
      <c r="H5" s="107"/>
      <c r="I5" s="107"/>
      <c r="J5" s="107"/>
      <c r="K5" s="107"/>
      <c r="L5" s="107"/>
      <c r="M5" s="107"/>
      <c r="N5" s="107"/>
      <c r="O5" s="107"/>
      <c r="P5" s="107"/>
      <c r="Q5" s="107"/>
      <c r="R5" s="107"/>
      <c r="S5" s="107"/>
      <c r="T5" s="107"/>
      <c r="U5" s="107"/>
    </row>
    <row r="6" spans="1:21" ht="15.75">
      <c r="A6" s="107"/>
      <c r="B6" s="107"/>
      <c r="C6" s="107"/>
      <c r="D6" s="107"/>
      <c r="E6" s="107"/>
      <c r="F6" s="107"/>
      <c r="G6" s="107"/>
      <c r="H6" s="107"/>
      <c r="I6" s="107"/>
      <c r="J6" s="107"/>
      <c r="K6" s="107"/>
      <c r="L6" s="107"/>
      <c r="M6" s="107"/>
      <c r="N6" s="107"/>
      <c r="O6" s="107"/>
      <c r="P6" s="107"/>
      <c r="Q6" s="107"/>
      <c r="R6" s="107"/>
      <c r="S6" s="107"/>
      <c r="T6" s="107"/>
      <c r="U6" s="107"/>
    </row>
    <row r="7" spans="1:21" ht="15.75">
      <c r="A7" s="109"/>
      <c r="B7" s="605" t="s">
        <v>5</v>
      </c>
      <c r="C7" s="605"/>
      <c r="D7" s="109" t="s">
        <v>7</v>
      </c>
      <c r="E7" s="109"/>
      <c r="F7" s="109" t="s">
        <v>8</v>
      </c>
      <c r="G7" s="109"/>
      <c r="H7" s="109"/>
      <c r="I7" s="109"/>
      <c r="J7" s="107"/>
      <c r="K7" s="107"/>
      <c r="L7" s="109"/>
      <c r="M7" s="109"/>
      <c r="N7" s="109"/>
      <c r="O7" s="109"/>
      <c r="P7" s="107"/>
      <c r="Q7" s="107"/>
      <c r="R7" s="107"/>
      <c r="S7" s="107"/>
      <c r="T7" s="107"/>
      <c r="U7" s="107"/>
    </row>
    <row r="8" spans="1:21" ht="78.75">
      <c r="A8" s="110" t="s">
        <v>4</v>
      </c>
      <c r="B8" s="110" t="s">
        <v>11</v>
      </c>
      <c r="C8" s="110" t="s">
        <v>6</v>
      </c>
      <c r="D8" s="110" t="s">
        <v>9</v>
      </c>
      <c r="E8" s="110"/>
      <c r="F8" s="111" t="s">
        <v>68</v>
      </c>
      <c r="G8" s="112" t="s">
        <v>135</v>
      </c>
      <c r="H8" s="112" t="s">
        <v>131</v>
      </c>
      <c r="I8" s="112" t="s">
        <v>132</v>
      </c>
      <c r="J8" s="112" t="s">
        <v>133</v>
      </c>
      <c r="K8" s="112" t="s">
        <v>134</v>
      </c>
      <c r="L8" s="112" t="s">
        <v>105</v>
      </c>
      <c r="M8" s="112" t="s">
        <v>157</v>
      </c>
      <c r="N8" s="112" t="s">
        <v>163</v>
      </c>
      <c r="O8" s="113" t="s">
        <v>226</v>
      </c>
      <c r="P8" s="112" t="s">
        <v>141</v>
      </c>
      <c r="Q8" s="112" t="s">
        <v>239</v>
      </c>
      <c r="R8" s="112" t="s">
        <v>210</v>
      </c>
      <c r="S8" s="112" t="s">
        <v>146</v>
      </c>
      <c r="T8" s="112" t="s">
        <v>145</v>
      </c>
      <c r="U8" s="112" t="s">
        <v>183</v>
      </c>
    </row>
    <row r="9" spans="1:21" ht="15.75">
      <c r="A9" s="107">
        <v>2379</v>
      </c>
      <c r="B9" s="107">
        <v>17</v>
      </c>
      <c r="C9" s="107">
        <v>1.98</v>
      </c>
      <c r="D9" s="107">
        <v>12</v>
      </c>
      <c r="E9" s="107"/>
      <c r="F9" s="107">
        <v>18.899999999999999</v>
      </c>
      <c r="G9" s="114" t="s">
        <v>372</v>
      </c>
      <c r="H9" s="107" t="s">
        <v>169</v>
      </c>
      <c r="I9" s="107" t="s">
        <v>158</v>
      </c>
      <c r="J9" s="115">
        <v>40969</v>
      </c>
      <c r="K9" s="107" t="s">
        <v>130</v>
      </c>
      <c r="L9" s="107">
        <v>33.4</v>
      </c>
      <c r="M9" s="107"/>
      <c r="N9" s="123">
        <v>143</v>
      </c>
      <c r="O9" s="107"/>
      <c r="P9" s="116"/>
      <c r="Q9" s="107"/>
      <c r="R9" s="107"/>
      <c r="S9" s="107"/>
      <c r="T9" s="107"/>
      <c r="U9" s="107"/>
    </row>
    <row r="10" spans="1:21" ht="15.75">
      <c r="A10" s="107">
        <v>2023</v>
      </c>
      <c r="B10" s="107"/>
      <c r="C10" s="107"/>
      <c r="D10" s="107"/>
      <c r="E10" s="107"/>
      <c r="F10" s="107"/>
      <c r="G10" s="107" t="s">
        <v>398</v>
      </c>
      <c r="H10" s="107"/>
      <c r="I10" s="107"/>
      <c r="J10" s="107"/>
      <c r="K10" s="107"/>
      <c r="L10" s="107"/>
      <c r="M10" s="107"/>
      <c r="N10" s="119" t="s">
        <v>405</v>
      </c>
      <c r="O10" s="107"/>
      <c r="P10" s="116" t="s">
        <v>413</v>
      </c>
      <c r="Q10" s="108" t="str">
        <f>HYPERLINK("\\hopi-fs\shares\users\dhar\Stalk mount testing\Developmental targets\NOA61 post processed, Zylon, CD shells\2023","folder")</f>
        <v>folder</v>
      </c>
      <c r="R10" s="107"/>
      <c r="S10" s="107"/>
      <c r="T10" s="107"/>
      <c r="U10" s="107"/>
    </row>
    <row r="11" spans="1:21" ht="15.75">
      <c r="A11" s="107">
        <v>2104</v>
      </c>
      <c r="B11" s="107"/>
      <c r="C11" s="107"/>
      <c r="D11" s="107"/>
      <c r="E11" s="107"/>
      <c r="F11" s="107"/>
      <c r="G11" s="107" t="s">
        <v>398</v>
      </c>
      <c r="H11" s="107"/>
      <c r="I11" s="107"/>
      <c r="J11" s="107"/>
      <c r="K11" s="107"/>
      <c r="L11" s="107"/>
      <c r="M11" s="107"/>
      <c r="N11" s="119" t="s">
        <v>448</v>
      </c>
      <c r="O11" s="107"/>
      <c r="P11" s="116" t="s">
        <v>412</v>
      </c>
      <c r="Q11" s="108" t="str">
        <f>HYPERLINK("\\hopi-fs\shares\users\dhar\Stalk mount testing\Developmental targets\NOA61 post processed, Zylon, CD shells\2104","folder")</f>
        <v>folder</v>
      </c>
      <c r="R11" s="107"/>
      <c r="S11" s="107"/>
      <c r="T11" s="107"/>
      <c r="U11" s="107"/>
    </row>
    <row r="12" spans="1:21" ht="15.75">
      <c r="A12" s="107">
        <v>2559</v>
      </c>
      <c r="B12" s="107"/>
      <c r="C12" s="107"/>
      <c r="D12" s="107"/>
      <c r="E12" s="107"/>
      <c r="F12" s="107"/>
      <c r="G12" s="107" t="s">
        <v>398</v>
      </c>
      <c r="H12" s="107"/>
      <c r="I12" s="107"/>
      <c r="J12" s="107"/>
      <c r="K12" s="107"/>
      <c r="L12" s="107"/>
      <c r="M12" s="107"/>
      <c r="N12" s="119" t="s">
        <v>448</v>
      </c>
      <c r="O12" s="107"/>
      <c r="P12" s="116" t="s">
        <v>406</v>
      </c>
      <c r="Q12" s="108" t="str">
        <f>HYPERLINK("\\hopi-fs\shares\users\dhar\Stalk mount testing\Developmental targets\NOA61 post processed, Zylon, CD shells\2559","folder")</f>
        <v>folder</v>
      </c>
      <c r="R12" s="107"/>
      <c r="S12" s="107"/>
      <c r="T12" s="107"/>
      <c r="U12" s="107"/>
    </row>
    <row r="13" spans="1:21" ht="47.25">
      <c r="A13" s="107">
        <v>2103</v>
      </c>
      <c r="B13" s="107"/>
      <c r="C13" s="107"/>
      <c r="D13" s="107"/>
      <c r="E13" s="107"/>
      <c r="F13" s="107"/>
      <c r="G13" s="107" t="s">
        <v>398</v>
      </c>
      <c r="H13" s="107"/>
      <c r="I13" s="107"/>
      <c r="J13" s="107"/>
      <c r="K13" s="107"/>
      <c r="L13" s="107"/>
      <c r="M13" s="107"/>
      <c r="N13" s="124">
        <v>855</v>
      </c>
      <c r="O13" s="107"/>
      <c r="P13" s="116" t="s">
        <v>460</v>
      </c>
      <c r="Q13" s="108" t="str">
        <f>HYPERLINK("\\hopi-fs\shares\users\dhar\Stalk mount testing\Developmental targets\NOA61 post processed, Zylon, CD shells\2103","folder")</f>
        <v>folder</v>
      </c>
      <c r="R13" s="107"/>
      <c r="S13" s="107"/>
      <c r="T13" s="107"/>
      <c r="U13" s="107"/>
    </row>
    <row r="14" spans="1:21" ht="15.75">
      <c r="A14" s="107">
        <v>2657</v>
      </c>
      <c r="B14" s="107"/>
      <c r="C14" s="107"/>
      <c r="D14" s="107"/>
      <c r="E14" s="107"/>
      <c r="F14" s="107"/>
      <c r="G14" s="107" t="s">
        <v>398</v>
      </c>
      <c r="H14" s="107"/>
      <c r="I14" s="107"/>
      <c r="J14" s="107"/>
      <c r="K14" s="107"/>
      <c r="L14" s="107"/>
      <c r="M14" s="107"/>
      <c r="N14" s="119" t="s">
        <v>407</v>
      </c>
      <c r="O14" s="107"/>
      <c r="P14" s="116" t="s">
        <v>413</v>
      </c>
      <c r="Q14" s="108" t="str">
        <f>HYPERLINK("\\hopi-fs\shares\users\dhar\Stalk mount testing\Developmental targets\NOA61 post processed, Zylon, CD shells\2657","folder")</f>
        <v>folder</v>
      </c>
      <c r="R14" s="107"/>
      <c r="S14" s="107"/>
      <c r="T14" s="107"/>
      <c r="U14" s="107"/>
    </row>
    <row r="15" spans="1:21" ht="15.75">
      <c r="A15" s="107">
        <v>2019</v>
      </c>
      <c r="B15" s="107" t="s">
        <v>463</v>
      </c>
      <c r="C15" s="107" t="s">
        <v>464</v>
      </c>
      <c r="D15" s="107"/>
      <c r="E15" s="107"/>
      <c r="F15" s="107"/>
      <c r="G15" s="107"/>
      <c r="H15" s="107"/>
      <c r="I15" s="107"/>
      <c r="J15" s="107"/>
      <c r="K15" s="107"/>
      <c r="L15" s="107"/>
      <c r="M15" s="107"/>
      <c r="N15" s="107"/>
      <c r="O15" s="107"/>
      <c r="P15" s="116"/>
      <c r="Q15" s="4" t="str">
        <f>HYPERLINK("\\hopi-fs\shares\users\dhar\Stalk mount testing\Developmental targets\drawn glass tube","folder")</f>
        <v>folder</v>
      </c>
      <c r="R15" s="107"/>
      <c r="S15" s="107"/>
      <c r="T15" s="107"/>
      <c r="U15" s="107"/>
    </row>
    <row r="16" spans="1:21" ht="47.25">
      <c r="A16" s="107"/>
      <c r="B16" s="117" t="s">
        <v>55</v>
      </c>
      <c r="C16" s="117" t="s">
        <v>438</v>
      </c>
      <c r="D16" s="117" t="s">
        <v>255</v>
      </c>
      <c r="E16" s="117" t="s">
        <v>256</v>
      </c>
      <c r="F16" s="117" t="s">
        <v>257</v>
      </c>
      <c r="G16" s="107"/>
      <c r="H16" s="107"/>
      <c r="I16" s="107"/>
      <c r="J16" s="107"/>
      <c r="K16" s="107"/>
      <c r="L16" s="107"/>
      <c r="M16" s="107"/>
      <c r="N16" s="107"/>
      <c r="O16" s="107"/>
      <c r="P16" s="116"/>
      <c r="Q16" s="107"/>
      <c r="R16" s="107"/>
      <c r="S16" s="107"/>
      <c r="T16" s="107"/>
      <c r="U16" s="107"/>
    </row>
    <row r="17" spans="1:21" ht="15.75">
      <c r="A17" s="107">
        <v>2023</v>
      </c>
      <c r="B17" s="107">
        <v>0.47699999999999998</v>
      </c>
      <c r="C17" s="107">
        <v>0.99299999999999999</v>
      </c>
      <c r="D17" s="107">
        <v>2.032</v>
      </c>
      <c r="E17" s="107">
        <v>9.0009999999999994</v>
      </c>
      <c r="F17" s="107">
        <v>21.248999999999999</v>
      </c>
      <c r="G17" s="107" t="s">
        <v>433</v>
      </c>
      <c r="H17" s="107">
        <v>38.1</v>
      </c>
      <c r="I17" s="107">
        <v>73.260000000000005</v>
      </c>
      <c r="J17" s="118">
        <v>41019</v>
      </c>
      <c r="K17" s="107" t="s">
        <v>130</v>
      </c>
      <c r="L17" s="107">
        <v>34.176000000000002</v>
      </c>
      <c r="M17" s="107" t="s">
        <v>169</v>
      </c>
      <c r="N17" s="119" t="s">
        <v>459</v>
      </c>
      <c r="O17" s="107"/>
      <c r="P17" s="116"/>
      <c r="Q17" s="108" t="str">
        <f>HYPERLINK("\\hopi-fs\shares\users\dhar\Stalk mount testing\Type 6 Target Quality Assurance\SCD Samples\2023","folder")</f>
        <v>folder</v>
      </c>
      <c r="R17" s="107"/>
      <c r="S17" s="107"/>
      <c r="T17" s="107"/>
      <c r="U17" s="107"/>
    </row>
    <row r="18" spans="1:21" ht="15.75">
      <c r="A18" s="107">
        <v>2104</v>
      </c>
      <c r="B18" s="107">
        <v>0.48799999999999999</v>
      </c>
      <c r="C18" s="107">
        <v>1.038</v>
      </c>
      <c r="D18" s="107">
        <v>2.0760000000000001</v>
      </c>
      <c r="E18" s="107">
        <v>8.8559999999999999</v>
      </c>
      <c r="F18" s="107">
        <v>21.224</v>
      </c>
      <c r="G18" s="107" t="s">
        <v>437</v>
      </c>
      <c r="H18" s="107">
        <v>38.1</v>
      </c>
      <c r="I18" s="107">
        <v>73.260000000000005</v>
      </c>
      <c r="J18" s="118">
        <v>41019</v>
      </c>
      <c r="K18" s="107" t="s">
        <v>130</v>
      </c>
      <c r="L18" s="107">
        <v>34.119999999999997</v>
      </c>
      <c r="M18" s="107" t="s">
        <v>169</v>
      </c>
      <c r="N18" s="119" t="s">
        <v>448</v>
      </c>
      <c r="O18" s="107" t="s">
        <v>451</v>
      </c>
      <c r="P18" s="116" t="s">
        <v>442</v>
      </c>
      <c r="Q18" s="108" t="str">
        <f>HYPERLINK("\\hopi-fs\shares\users\dhar\Stalk mount testing\Type 6 Target Quality Assurance\SCD Samples\2104","folder")</f>
        <v>folder</v>
      </c>
      <c r="R18" s="107"/>
      <c r="S18" s="107"/>
      <c r="T18" s="107"/>
      <c r="U18" s="107"/>
    </row>
    <row r="19" spans="1:21" ht="16.5" customHeight="1">
      <c r="A19" s="107">
        <v>2559</v>
      </c>
      <c r="B19" s="107">
        <v>0.51400000000000001</v>
      </c>
      <c r="C19" s="107">
        <v>1.0069999999999999</v>
      </c>
      <c r="D19" s="107">
        <v>2.0249999999999999</v>
      </c>
      <c r="E19" s="107">
        <v>9.02</v>
      </c>
      <c r="F19" s="107">
        <v>21.341999999999999</v>
      </c>
      <c r="G19" s="107" t="s">
        <v>435</v>
      </c>
      <c r="H19" s="107">
        <v>38.1</v>
      </c>
      <c r="I19" s="107">
        <v>73.260000000000005</v>
      </c>
      <c r="J19" s="118">
        <v>41019</v>
      </c>
      <c r="K19" s="107" t="s">
        <v>130</v>
      </c>
      <c r="L19" s="107">
        <v>34.35</v>
      </c>
      <c r="M19" s="107" t="s">
        <v>169</v>
      </c>
      <c r="N19" s="119"/>
      <c r="O19" s="107"/>
      <c r="P19" s="116" t="s">
        <v>450</v>
      </c>
      <c r="Q19" s="108" t="str">
        <f>HYPERLINK("\\hopi-fs\shares\users\dhar\Stalk mount testing\Type 6 Target Quality Assurance\SCD Samples\2559","folder")</f>
        <v>folder</v>
      </c>
      <c r="R19" s="107"/>
      <c r="S19" s="107"/>
      <c r="T19" s="107"/>
      <c r="U19" s="107"/>
    </row>
    <row r="20" spans="1:21" ht="28.5" customHeight="1">
      <c r="A20" s="107">
        <v>2559</v>
      </c>
      <c r="B20" s="107">
        <v>0.46899999999999997</v>
      </c>
      <c r="C20" s="107">
        <v>1.0189999999999999</v>
      </c>
      <c r="D20" s="107">
        <v>2.04</v>
      </c>
      <c r="E20" s="107">
        <v>8.9779999999999998</v>
      </c>
      <c r="F20" s="107">
        <v>21.39</v>
      </c>
      <c r="G20" s="107" t="s">
        <v>435</v>
      </c>
      <c r="H20" s="107">
        <v>32</v>
      </c>
      <c r="I20" s="107">
        <v>71.8</v>
      </c>
      <c r="J20" s="118">
        <v>41023</v>
      </c>
      <c r="K20" s="107" t="s">
        <v>130</v>
      </c>
      <c r="L20" s="107">
        <v>34.32</v>
      </c>
      <c r="M20" s="107" t="s">
        <v>169</v>
      </c>
      <c r="N20" s="119"/>
      <c r="O20" s="107"/>
      <c r="P20" s="116" t="s">
        <v>458</v>
      </c>
      <c r="Q20" s="108" t="str">
        <f>HYPERLINK("\\hopi-fs\shares\users\dhar\Stalk mount testing\Type 6 Target Quality Assurance\SCD Samples\2559","folder")</f>
        <v>folder</v>
      </c>
      <c r="R20" s="107"/>
      <c r="S20" s="107"/>
      <c r="T20" s="107"/>
      <c r="U20" s="107"/>
    </row>
    <row r="21" spans="1:21" ht="15.75" customHeight="1">
      <c r="A21" s="120">
        <v>2559</v>
      </c>
      <c r="B21" s="120"/>
      <c r="C21" s="120"/>
      <c r="D21" s="120"/>
      <c r="E21" s="120"/>
      <c r="F21" s="120"/>
      <c r="G21" s="120" t="s">
        <v>461</v>
      </c>
      <c r="H21" s="120">
        <v>32.799999999999997</v>
      </c>
      <c r="I21" s="120">
        <v>71.31</v>
      </c>
      <c r="J21" s="121">
        <v>41024</v>
      </c>
      <c r="K21" s="120" t="s">
        <v>130</v>
      </c>
      <c r="L21" s="120"/>
      <c r="M21" s="120" t="s">
        <v>169</v>
      </c>
      <c r="N21" s="120"/>
      <c r="O21" s="120"/>
      <c r="P21" s="122"/>
      <c r="Q21" s="108" t="str">
        <f>HYPERLINK("\\hopi-fs\shares\users\dhar\Stalk mount testing\Type 6 Target Quality Assurance\SCD Samples\2559","folder")</f>
        <v>folder</v>
      </c>
      <c r="R21" s="107"/>
      <c r="S21" s="107"/>
      <c r="T21" s="107"/>
      <c r="U21" s="107"/>
    </row>
    <row r="22" spans="1:21" ht="15.75">
      <c r="A22" s="107">
        <v>2103</v>
      </c>
      <c r="B22" s="107">
        <v>0.44500000000000001</v>
      </c>
      <c r="C22" s="107">
        <v>1.0006999999999999</v>
      </c>
      <c r="D22" s="107">
        <v>2.0710000000000002</v>
      </c>
      <c r="E22" s="107">
        <v>8.9540000000000006</v>
      </c>
      <c r="F22" s="107">
        <v>21.234999999999999</v>
      </c>
      <c r="G22" s="107" t="s">
        <v>434</v>
      </c>
      <c r="H22" s="107">
        <v>38.1</v>
      </c>
      <c r="I22" s="107">
        <v>73.260000000000005</v>
      </c>
      <c r="J22" s="118">
        <v>41019</v>
      </c>
      <c r="K22" s="107" t="s">
        <v>130</v>
      </c>
      <c r="L22" s="123"/>
      <c r="M22" s="107" t="s">
        <v>169</v>
      </c>
      <c r="N22" s="119" t="s">
        <v>448</v>
      </c>
      <c r="O22" s="107" t="s">
        <v>452</v>
      </c>
      <c r="P22" s="116" t="s">
        <v>449</v>
      </c>
      <c r="Q22" s="108" t="str">
        <f>HYPERLINK("\\hopi-fs\shares\users\dhar\Stalk mount testing\Type 6 Target Quality Assurance\SCD Samples\2103","folder")</f>
        <v>folder</v>
      </c>
      <c r="R22" s="107"/>
      <c r="S22" s="107"/>
      <c r="T22" s="107"/>
      <c r="U22" s="107"/>
    </row>
    <row r="23" spans="1:21" ht="15.75">
      <c r="A23" s="107">
        <v>2657</v>
      </c>
      <c r="B23" s="107">
        <v>0.48499999999999999</v>
      </c>
      <c r="C23" s="107">
        <v>1.0169999999999999</v>
      </c>
      <c r="D23" s="107">
        <v>2.048</v>
      </c>
      <c r="E23" s="107">
        <v>8.8279999999999994</v>
      </c>
      <c r="F23" s="107">
        <v>21.245999999999999</v>
      </c>
      <c r="G23" s="107" t="s">
        <v>436</v>
      </c>
      <c r="H23" s="107">
        <v>38.1</v>
      </c>
      <c r="I23" s="107">
        <v>73.260000000000005</v>
      </c>
      <c r="J23" s="118">
        <v>41019</v>
      </c>
      <c r="K23" s="107" t="s">
        <v>130</v>
      </c>
      <c r="L23" s="107">
        <v>34.052</v>
      </c>
      <c r="M23" s="107" t="s">
        <v>169</v>
      </c>
      <c r="N23" s="119"/>
      <c r="O23" s="107"/>
      <c r="P23" s="116" t="s">
        <v>450</v>
      </c>
      <c r="Q23" s="108" t="str">
        <f>HYPERLINK("\\hopi-fs\shares\users\dhar\Stalk mount testing\Type 6 Target Quality Assurance\SCD Samples\2657","folder")</f>
        <v>folder</v>
      </c>
      <c r="R23" s="107"/>
      <c r="S23" s="107"/>
      <c r="T23" s="107"/>
      <c r="U23" s="107"/>
    </row>
    <row r="24" spans="1:21" ht="30" customHeight="1">
      <c r="A24" s="107">
        <v>2657</v>
      </c>
      <c r="B24" s="107">
        <v>0.47299999999999998</v>
      </c>
      <c r="C24" s="107">
        <v>1.0289999999999999</v>
      </c>
      <c r="D24" s="107">
        <v>2.0510000000000002</v>
      </c>
      <c r="E24" s="107">
        <v>8.8379999999999992</v>
      </c>
      <c r="F24" s="107">
        <v>21.244</v>
      </c>
      <c r="G24" s="107" t="s">
        <v>436</v>
      </c>
      <c r="H24" s="107">
        <v>32</v>
      </c>
      <c r="I24" s="107">
        <v>71.8</v>
      </c>
      <c r="J24" s="118">
        <v>41023</v>
      </c>
      <c r="K24" s="107" t="s">
        <v>130</v>
      </c>
      <c r="L24" s="107">
        <v>34.069000000000003</v>
      </c>
      <c r="M24" s="107" t="s">
        <v>169</v>
      </c>
      <c r="N24" s="119"/>
      <c r="O24" s="107"/>
      <c r="P24" s="116" t="s">
        <v>457</v>
      </c>
      <c r="Q24" s="108" t="str">
        <f>HYPERLINK("\\hopi-fs\shares\users\dhar\Stalk mount testing\Type 6 Target Quality Assurance\SCD Samples\2657","folder")</f>
        <v>folder</v>
      </c>
      <c r="R24" s="107"/>
      <c r="S24" s="107"/>
      <c r="T24" s="107"/>
      <c r="U24" s="107"/>
    </row>
    <row r="25" spans="1:21" ht="15.75">
      <c r="A25" s="107">
        <v>2657</v>
      </c>
      <c r="B25" s="107">
        <v>0.47099999999999997</v>
      </c>
      <c r="C25" s="107">
        <v>1.0109999999999999</v>
      </c>
      <c r="D25" s="107">
        <v>2.0550000000000002</v>
      </c>
      <c r="E25" s="107">
        <v>8.8510000000000009</v>
      </c>
      <c r="F25" s="107">
        <v>21.242000000000001</v>
      </c>
      <c r="G25" s="123" t="s">
        <v>462</v>
      </c>
      <c r="H25" s="107">
        <v>32.799999999999997</v>
      </c>
      <c r="I25" s="107">
        <v>71.31</v>
      </c>
      <c r="J25" s="118">
        <v>41024</v>
      </c>
      <c r="K25" s="107" t="s">
        <v>130</v>
      </c>
      <c r="L25" s="107">
        <v>34.04</v>
      </c>
      <c r="M25" s="107" t="s">
        <v>169</v>
      </c>
      <c r="N25" s="119" t="s">
        <v>465</v>
      </c>
      <c r="O25" s="107"/>
      <c r="P25" s="107"/>
      <c r="Q25" s="108" t="str">
        <f>HYPERLINK("\\hopi-fs\shares\users\dhar\Stalk mount testing\Type 6 Target Quality Assurance\SCD Samples\2657","folder")</f>
        <v>folder</v>
      </c>
      <c r="R25" s="107"/>
      <c r="S25" s="107"/>
      <c r="T25" s="107"/>
      <c r="U25" s="107"/>
    </row>
    <row r="26" spans="1:21" ht="15.75">
      <c r="A26" s="107"/>
      <c r="B26" s="107"/>
      <c r="C26" s="107"/>
      <c r="D26" s="107"/>
      <c r="E26" s="107"/>
      <c r="F26" s="107"/>
      <c r="G26" s="107"/>
      <c r="H26" s="107"/>
      <c r="I26" s="107"/>
      <c r="J26" s="107"/>
      <c r="K26" s="107"/>
      <c r="L26" s="107"/>
      <c r="M26" s="107"/>
      <c r="N26" s="107"/>
      <c r="O26" s="107"/>
      <c r="P26" s="107"/>
      <c r="Q26" s="107"/>
      <c r="R26" s="107"/>
      <c r="S26" s="107"/>
      <c r="T26" s="107"/>
      <c r="U26" s="107"/>
    </row>
  </sheetData>
  <mergeCells count="1">
    <mergeCell ref="B7:C7"/>
  </mergeCell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S30"/>
  <sheetViews>
    <sheetView topLeftCell="C1" zoomScale="130" zoomScaleNormal="130" workbookViewId="0">
      <selection activeCell="S17" sqref="S17"/>
    </sheetView>
  </sheetViews>
  <sheetFormatPr defaultRowHeight="15"/>
  <cols>
    <col min="1" max="1" width="12.5703125" customWidth="1"/>
    <col min="2" max="2" width="19.140625" bestFit="1" customWidth="1"/>
    <col min="3" max="3" width="10.28515625" customWidth="1"/>
    <col min="4" max="4" width="8" customWidth="1"/>
    <col min="5" max="5" width="8.140625" bestFit="1" customWidth="1"/>
    <col min="6" max="6" width="8.5703125" bestFit="1" customWidth="1"/>
    <col min="7" max="9" width="7.28515625" bestFit="1" customWidth="1"/>
    <col min="17" max="17" width="48.85546875" bestFit="1" customWidth="1"/>
  </cols>
  <sheetData>
    <row r="1" spans="1:19">
      <c r="A1" s="62" t="s">
        <v>671</v>
      </c>
      <c r="B1" s="62"/>
      <c r="C1" s="62"/>
      <c r="D1" s="62"/>
      <c r="E1" s="62"/>
      <c r="F1" s="62"/>
    </row>
    <row r="2" spans="1:19">
      <c r="A2" t="s">
        <v>1078</v>
      </c>
      <c r="D2" s="62"/>
      <c r="E2" s="62"/>
      <c r="F2" s="62"/>
    </row>
    <row r="3" spans="1:19">
      <c r="D3" s="10"/>
      <c r="E3" s="62"/>
      <c r="F3" s="62"/>
    </row>
    <row r="4" spans="1:19" ht="60">
      <c r="A4" s="62"/>
      <c r="B4" s="192" t="s">
        <v>1085</v>
      </c>
      <c r="C4" s="192" t="s">
        <v>672</v>
      </c>
      <c r="E4" s="62"/>
      <c r="F4" s="62"/>
    </row>
    <row r="5" spans="1:19">
      <c r="A5" s="62" t="s">
        <v>17</v>
      </c>
      <c r="B5" s="190">
        <v>71</v>
      </c>
      <c r="C5" s="190">
        <v>117</v>
      </c>
      <c r="D5" s="191">
        <f t="shared" ref="D5:D10" si="0">B5/C5</f>
        <v>0.60683760683760679</v>
      </c>
      <c r="E5" s="62"/>
      <c r="F5" s="62"/>
      <c r="Q5" s="6" t="s">
        <v>2124</v>
      </c>
    </row>
    <row r="6" spans="1:19">
      <c r="A6" s="62" t="s">
        <v>401</v>
      </c>
      <c r="B6" s="190">
        <v>3</v>
      </c>
      <c r="C6" s="190">
        <v>8</v>
      </c>
      <c r="D6" s="191">
        <f t="shared" si="0"/>
        <v>0.375</v>
      </c>
      <c r="E6" s="62"/>
      <c r="F6" s="62"/>
      <c r="Q6" s="343">
        <v>42562</v>
      </c>
      <c r="R6" s="337" t="s">
        <v>2117</v>
      </c>
      <c r="S6" s="337" t="s">
        <v>2115</v>
      </c>
    </row>
    <row r="7" spans="1:19">
      <c r="A7" s="63" t="s">
        <v>417</v>
      </c>
      <c r="B7" s="137">
        <v>4</v>
      </c>
      <c r="C7" s="190">
        <v>10</v>
      </c>
      <c r="D7" s="191">
        <f t="shared" si="0"/>
        <v>0.4</v>
      </c>
      <c r="E7" s="62"/>
      <c r="F7" s="62"/>
      <c r="Q7" s="6" t="s">
        <v>2118</v>
      </c>
      <c r="R7" s="338">
        <v>326</v>
      </c>
      <c r="S7" s="338"/>
    </row>
    <row r="8" spans="1:19">
      <c r="A8" s="63" t="s">
        <v>3</v>
      </c>
      <c r="B8" s="137">
        <v>1</v>
      </c>
      <c r="C8" s="190">
        <v>8</v>
      </c>
      <c r="D8" s="191">
        <f t="shared" si="0"/>
        <v>0.125</v>
      </c>
      <c r="E8" s="62"/>
      <c r="F8" s="62"/>
      <c r="Q8" s="6" t="s">
        <v>2120</v>
      </c>
      <c r="R8" s="338">
        <v>9</v>
      </c>
      <c r="S8" s="339">
        <f>R8/R7</f>
        <v>2.7607361963190184E-2</v>
      </c>
    </row>
    <row r="9" spans="1:19">
      <c r="A9" s="63" t="s">
        <v>668</v>
      </c>
      <c r="B9" s="135">
        <v>2</v>
      </c>
      <c r="C9" s="190">
        <v>5</v>
      </c>
      <c r="D9" s="191">
        <f t="shared" si="0"/>
        <v>0.4</v>
      </c>
      <c r="E9" s="62"/>
      <c r="F9" s="62"/>
      <c r="Q9" s="6"/>
      <c r="R9" s="62"/>
      <c r="S9" s="342"/>
    </row>
    <row r="10" spans="1:19">
      <c r="A10" s="63" t="s">
        <v>669</v>
      </c>
      <c r="B10" s="160">
        <v>4</v>
      </c>
      <c r="C10" s="190">
        <v>17</v>
      </c>
      <c r="D10" s="191">
        <f t="shared" si="0"/>
        <v>0.23529411764705882</v>
      </c>
      <c r="Q10" s="6" t="s">
        <v>2121</v>
      </c>
    </row>
    <row r="11" spans="1:19">
      <c r="A11" s="63" t="s">
        <v>673</v>
      </c>
      <c r="B11" s="190">
        <f>SUM(B5:B10)</f>
        <v>85</v>
      </c>
      <c r="C11" s="190">
        <f>SUM(C5:C10)</f>
        <v>165</v>
      </c>
      <c r="D11" s="161"/>
      <c r="Q11" s="6" t="s">
        <v>2116</v>
      </c>
      <c r="R11" s="340">
        <v>5</v>
      </c>
      <c r="S11" s="339">
        <f>R11/R7</f>
        <v>1.5337423312883436E-2</v>
      </c>
    </row>
    <row r="12" spans="1:19">
      <c r="B12" s="134"/>
      <c r="C12" s="32"/>
      <c r="D12" s="159"/>
      <c r="Q12" s="6" t="s">
        <v>2123</v>
      </c>
      <c r="R12" s="338">
        <v>1</v>
      </c>
      <c r="S12" s="339">
        <f>R12/R7</f>
        <v>3.0674846625766872E-3</v>
      </c>
    </row>
    <row r="13" spans="1:19">
      <c r="A13" s="63" t="s">
        <v>670</v>
      </c>
      <c r="B13" s="134">
        <v>30</v>
      </c>
      <c r="Q13" s="6" t="s">
        <v>2122</v>
      </c>
      <c r="R13" s="338">
        <v>3</v>
      </c>
      <c r="S13" s="339">
        <f>R13/R7</f>
        <v>9.202453987730062E-3</v>
      </c>
    </row>
    <row r="15" spans="1:19">
      <c r="A15" t="s">
        <v>676</v>
      </c>
      <c r="B15" t="s">
        <v>674</v>
      </c>
      <c r="C15" t="s">
        <v>677</v>
      </c>
      <c r="D15" s="10" t="s">
        <v>17</v>
      </c>
      <c r="E15" s="10" t="s">
        <v>401</v>
      </c>
      <c r="F15" s="11" t="s">
        <v>417</v>
      </c>
      <c r="G15" s="11" t="s">
        <v>3</v>
      </c>
      <c r="H15" s="11" t="s">
        <v>668</v>
      </c>
      <c r="I15" s="11" t="s">
        <v>669</v>
      </c>
      <c r="J15" s="193" t="s">
        <v>680</v>
      </c>
      <c r="Q15" s="341" t="s">
        <v>2119</v>
      </c>
    </row>
    <row r="16" spans="1:19">
      <c r="A16" s="17">
        <v>40920</v>
      </c>
      <c r="B16" s="162">
        <v>40906</v>
      </c>
      <c r="C16">
        <f>A16-B16</f>
        <v>14</v>
      </c>
      <c r="D16">
        <v>6</v>
      </c>
      <c r="J16">
        <v>8</v>
      </c>
    </row>
    <row r="17" spans="1:12">
      <c r="A17" s="17">
        <v>40948</v>
      </c>
      <c r="B17" s="162">
        <v>40931</v>
      </c>
      <c r="C17">
        <f t="shared" ref="C17:C29" si="1">A17-B17</f>
        <v>17</v>
      </c>
      <c r="D17">
        <v>6</v>
      </c>
    </row>
    <row r="18" spans="1:12">
      <c r="A18" s="17">
        <v>40976</v>
      </c>
      <c r="B18" s="162">
        <v>40956</v>
      </c>
      <c r="C18">
        <f t="shared" si="1"/>
        <v>20</v>
      </c>
      <c r="D18">
        <v>6</v>
      </c>
      <c r="J18">
        <v>14</v>
      </c>
      <c r="L18" t="s">
        <v>679</v>
      </c>
    </row>
    <row r="19" spans="1:12">
      <c r="A19" s="17">
        <v>41002</v>
      </c>
      <c r="B19" s="162">
        <v>40980</v>
      </c>
      <c r="C19">
        <f t="shared" si="1"/>
        <v>22</v>
      </c>
      <c r="D19">
        <v>5</v>
      </c>
      <c r="G19">
        <v>1</v>
      </c>
      <c r="J19">
        <v>10</v>
      </c>
    </row>
    <row r="20" spans="1:12">
      <c r="A20" s="17">
        <v>41025</v>
      </c>
      <c r="B20" s="162">
        <v>40997</v>
      </c>
      <c r="C20">
        <f t="shared" si="1"/>
        <v>28</v>
      </c>
      <c r="D20">
        <v>6</v>
      </c>
      <c r="J20">
        <v>15</v>
      </c>
    </row>
    <row r="21" spans="1:12">
      <c r="A21" s="17">
        <v>41044</v>
      </c>
      <c r="B21" s="162">
        <v>41017</v>
      </c>
      <c r="C21">
        <f t="shared" si="1"/>
        <v>27</v>
      </c>
      <c r="D21" s="146">
        <v>5</v>
      </c>
      <c r="F21" s="146">
        <v>2</v>
      </c>
      <c r="J21">
        <v>15</v>
      </c>
    </row>
    <row r="22" spans="1:12">
      <c r="A22" s="17">
        <v>41065</v>
      </c>
      <c r="B22" s="162">
        <v>41044</v>
      </c>
      <c r="C22">
        <f t="shared" si="1"/>
        <v>21</v>
      </c>
      <c r="D22">
        <v>5</v>
      </c>
      <c r="F22">
        <v>1</v>
      </c>
      <c r="J22">
        <v>13</v>
      </c>
    </row>
    <row r="23" spans="1:12">
      <c r="A23" s="17">
        <v>41086</v>
      </c>
      <c r="B23" s="162">
        <v>41047</v>
      </c>
      <c r="C23">
        <f t="shared" si="1"/>
        <v>39</v>
      </c>
      <c r="D23">
        <v>5</v>
      </c>
      <c r="F23">
        <v>1</v>
      </c>
      <c r="J23">
        <v>11</v>
      </c>
    </row>
    <row r="24" spans="1:12">
      <c r="A24" s="17">
        <v>41107</v>
      </c>
      <c r="B24" s="162">
        <v>41081</v>
      </c>
      <c r="C24">
        <f t="shared" si="1"/>
        <v>26</v>
      </c>
      <c r="D24">
        <v>4</v>
      </c>
      <c r="E24">
        <v>1</v>
      </c>
      <c r="H24">
        <v>1</v>
      </c>
      <c r="J24">
        <v>12</v>
      </c>
    </row>
    <row r="25" spans="1:12">
      <c r="A25" s="17">
        <v>41122</v>
      </c>
      <c r="B25" s="162">
        <v>41093</v>
      </c>
      <c r="C25">
        <f t="shared" si="1"/>
        <v>29</v>
      </c>
      <c r="D25">
        <v>4</v>
      </c>
      <c r="E25">
        <v>1</v>
      </c>
      <c r="H25">
        <v>1</v>
      </c>
      <c r="J25">
        <v>14</v>
      </c>
    </row>
    <row r="26" spans="1:12">
      <c r="A26" s="17">
        <v>41149</v>
      </c>
      <c r="B26" s="162">
        <v>41117</v>
      </c>
      <c r="C26">
        <f t="shared" si="1"/>
        <v>32</v>
      </c>
      <c r="D26">
        <v>4</v>
      </c>
      <c r="I26">
        <v>2</v>
      </c>
      <c r="J26">
        <v>17</v>
      </c>
      <c r="L26" t="s">
        <v>681</v>
      </c>
    </row>
    <row r="27" spans="1:12">
      <c r="A27" s="17">
        <v>41184</v>
      </c>
      <c r="B27" s="162">
        <v>41150</v>
      </c>
      <c r="C27">
        <f t="shared" si="1"/>
        <v>34</v>
      </c>
      <c r="D27">
        <v>4</v>
      </c>
      <c r="I27">
        <v>2</v>
      </c>
      <c r="J27">
        <v>16</v>
      </c>
    </row>
    <row r="28" spans="1:12">
      <c r="A28" s="17">
        <v>41205</v>
      </c>
      <c r="B28" s="162">
        <v>41177</v>
      </c>
      <c r="C28">
        <f t="shared" si="1"/>
        <v>28</v>
      </c>
      <c r="D28">
        <v>6</v>
      </c>
      <c r="J28">
        <v>10</v>
      </c>
    </row>
    <row r="29" spans="1:12">
      <c r="A29" s="17">
        <v>41226</v>
      </c>
      <c r="B29" s="162">
        <v>41197</v>
      </c>
      <c r="C29">
        <f t="shared" si="1"/>
        <v>29</v>
      </c>
      <c r="D29">
        <v>5</v>
      </c>
      <c r="E29">
        <v>1</v>
      </c>
      <c r="J29">
        <v>9</v>
      </c>
    </row>
    <row r="30" spans="1:12">
      <c r="B30" s="189" t="s">
        <v>678</v>
      </c>
      <c r="C30">
        <f>SUM(D30:I30)</f>
        <v>85</v>
      </c>
      <c r="D30">
        <f t="shared" ref="D30:J30" si="2">SUM(D16:D29)</f>
        <v>71</v>
      </c>
      <c r="E30">
        <f t="shared" si="2"/>
        <v>3</v>
      </c>
      <c r="F30">
        <f t="shared" si="2"/>
        <v>4</v>
      </c>
      <c r="G30">
        <f t="shared" si="2"/>
        <v>1</v>
      </c>
      <c r="H30">
        <f t="shared" si="2"/>
        <v>2</v>
      </c>
      <c r="I30">
        <f t="shared" si="2"/>
        <v>4</v>
      </c>
      <c r="J30">
        <f t="shared" si="2"/>
        <v>164</v>
      </c>
    </row>
  </sheetData>
  <pageMargins left="0.7" right="0.7" top="0.75" bottom="0.75" header="0.3" footer="0.3"/>
  <pageSetup scale="56"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
  <sheetViews>
    <sheetView workbookViewId="0">
      <selection activeCell="B18" sqref="B18"/>
    </sheetView>
  </sheetViews>
  <sheetFormatPr defaultRowHeight="15"/>
  <cols>
    <col min="1" max="1" width="11.5703125" customWidth="1"/>
    <col min="2" max="2" width="17" bestFit="1" customWidth="1"/>
    <col min="3" max="3" width="14.7109375" bestFit="1" customWidth="1"/>
    <col min="4" max="4" width="31.7109375" bestFit="1" customWidth="1"/>
    <col min="5" max="5" width="31.85546875" bestFit="1" customWidth="1"/>
    <col min="6" max="6" width="22.28515625" customWidth="1"/>
  </cols>
  <sheetData>
    <row r="1" spans="1:20">
      <c r="A1" t="s">
        <v>0</v>
      </c>
      <c r="B1" s="4" t="s">
        <v>29</v>
      </c>
    </row>
    <row r="2" spans="1:20">
      <c r="A2" s="3">
        <v>3</v>
      </c>
      <c r="B2" t="s">
        <v>10</v>
      </c>
    </row>
    <row r="3" spans="1:20">
      <c r="E3" s="1" t="s">
        <v>27</v>
      </c>
    </row>
    <row r="4" spans="1:20">
      <c r="A4" s="1"/>
      <c r="B4" s="604" t="s">
        <v>5</v>
      </c>
      <c r="C4" s="604"/>
      <c r="D4" s="1" t="s">
        <v>14</v>
      </c>
      <c r="E4" s="1" t="s">
        <v>8</v>
      </c>
    </row>
    <row r="5" spans="1:20" ht="45">
      <c r="A5" s="2" t="s">
        <v>4</v>
      </c>
      <c r="B5" s="2" t="s">
        <v>11</v>
      </c>
      <c r="C5" s="2" t="s">
        <v>12</v>
      </c>
      <c r="D5" s="2" t="s">
        <v>13</v>
      </c>
      <c r="E5" s="2" t="s">
        <v>15</v>
      </c>
      <c r="F5" s="18" t="s">
        <v>135</v>
      </c>
      <c r="G5" s="18" t="s">
        <v>131</v>
      </c>
      <c r="H5" s="18" t="s">
        <v>132</v>
      </c>
      <c r="I5" s="18" t="s">
        <v>133</v>
      </c>
      <c r="J5" s="18" t="s">
        <v>134</v>
      </c>
      <c r="K5" s="18" t="s">
        <v>105</v>
      </c>
      <c r="L5" s="18" t="s">
        <v>157</v>
      </c>
      <c r="M5" s="18" t="s">
        <v>163</v>
      </c>
      <c r="N5" s="22" t="s">
        <v>226</v>
      </c>
      <c r="O5" s="18" t="s">
        <v>141</v>
      </c>
      <c r="P5" s="18" t="s">
        <v>239</v>
      </c>
      <c r="Q5" s="18" t="s">
        <v>210</v>
      </c>
      <c r="R5" s="18" t="s">
        <v>146</v>
      </c>
      <c r="S5" s="18" t="s">
        <v>145</v>
      </c>
      <c r="T5" s="18" t="s">
        <v>183</v>
      </c>
    </row>
    <row r="6" spans="1:20">
      <c r="A6" s="78">
        <v>2592</v>
      </c>
      <c r="B6">
        <v>16</v>
      </c>
      <c r="C6">
        <v>1.02</v>
      </c>
      <c r="D6">
        <v>7.8</v>
      </c>
      <c r="E6">
        <v>24.4</v>
      </c>
      <c r="F6" t="s">
        <v>169</v>
      </c>
      <c r="G6" t="s">
        <v>169</v>
      </c>
      <c r="H6" t="s">
        <v>169</v>
      </c>
      <c r="I6" t="s">
        <v>169</v>
      </c>
      <c r="J6" t="s">
        <v>130</v>
      </c>
      <c r="K6">
        <v>33.700000000000003</v>
      </c>
      <c r="T6" t="s">
        <v>317</v>
      </c>
    </row>
    <row r="7" spans="1:20">
      <c r="A7" s="35">
        <v>2591</v>
      </c>
    </row>
  </sheetData>
  <mergeCells count="1">
    <mergeCell ref="B4:C4"/>
  </mergeCells>
  <hyperlinks>
    <hyperlink ref="B1" r:id="rId1" display="http://www.lle.rochester.edu/pdm?form=PDM::DocDetail&amp;Project=CTHS&amp;Docid=D-TR-B-207&amp;CType=L&amp;Revision=A" xr:uid="{00000000-0004-0000-0200-000000000000}"/>
  </hyperlinks>
  <pageMargins left="0.7" right="0.7" top="0.75" bottom="0.75" header="0.3" footer="0.3"/>
  <pageSetup orientation="portrait" horizontalDpi="1200" verticalDpi="12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434"/>
  <sheetViews>
    <sheetView topLeftCell="A357" workbookViewId="0">
      <selection activeCell="C359" sqref="C359"/>
    </sheetView>
  </sheetViews>
  <sheetFormatPr defaultRowHeight="15"/>
  <cols>
    <col min="1" max="1" width="12.42578125" bestFit="1" customWidth="1"/>
    <col min="2" max="2" width="20.5703125" customWidth="1"/>
    <col min="3" max="3" width="18.28515625" bestFit="1" customWidth="1"/>
    <col min="4" max="4" width="18.5703125" customWidth="1"/>
    <col min="5" max="5" width="14.42578125" customWidth="1"/>
    <col min="6" max="6" width="13.42578125" bestFit="1" customWidth="1"/>
  </cols>
  <sheetData>
    <row r="1" spans="1:1">
      <c r="A1" t="s">
        <v>682</v>
      </c>
    </row>
    <row r="2" spans="1:1">
      <c r="A2" t="s">
        <v>1076</v>
      </c>
    </row>
    <row r="3" spans="1:1">
      <c r="A3" s="6" t="s">
        <v>716</v>
      </c>
    </row>
    <row r="4" spans="1:1">
      <c r="A4" s="4" t="s">
        <v>683</v>
      </c>
    </row>
    <row r="6" spans="1:1">
      <c r="A6" t="s">
        <v>684</v>
      </c>
    </row>
    <row r="7" spans="1:1">
      <c r="A7" t="s">
        <v>685</v>
      </c>
    </row>
    <row r="9" spans="1:1">
      <c r="A9" t="s">
        <v>696</v>
      </c>
    </row>
    <row r="10" spans="1:1">
      <c r="A10" t="s">
        <v>697</v>
      </c>
    </row>
    <row r="12" spans="1:1">
      <c r="A12" t="s">
        <v>698</v>
      </c>
    </row>
    <row r="14" spans="1:1">
      <c r="A14" t="s">
        <v>690</v>
      </c>
    </row>
    <row r="15" spans="1:1">
      <c r="A15" t="s">
        <v>699</v>
      </c>
    </row>
    <row r="16" spans="1:1">
      <c r="A16" t="s">
        <v>700</v>
      </c>
    </row>
    <row r="17" spans="1:10">
      <c r="A17" t="s">
        <v>701</v>
      </c>
    </row>
    <row r="18" spans="1:10">
      <c r="A18" t="s">
        <v>702</v>
      </c>
    </row>
    <row r="19" spans="1:10">
      <c r="A19" t="s">
        <v>703</v>
      </c>
    </row>
    <row r="20" spans="1:10" ht="17.25">
      <c r="F20" t="s">
        <v>704</v>
      </c>
    </row>
    <row r="21" spans="1:10" ht="17.25">
      <c r="F21" t="s">
        <v>704</v>
      </c>
    </row>
    <row r="22" spans="1:10" ht="17.25">
      <c r="F22" t="s">
        <v>704</v>
      </c>
    </row>
    <row r="23" spans="1:10">
      <c r="F23" t="s">
        <v>705</v>
      </c>
    </row>
    <row r="25" spans="1:10">
      <c r="F25" t="s">
        <v>706</v>
      </c>
      <c r="G25" t="s">
        <v>707</v>
      </c>
      <c r="H25" t="s">
        <v>708</v>
      </c>
      <c r="I25" t="s">
        <v>709</v>
      </c>
      <c r="J25" t="s">
        <v>710</v>
      </c>
    </row>
    <row r="26" spans="1:10">
      <c r="A26" t="s">
        <v>690</v>
      </c>
    </row>
    <row r="27" spans="1:10">
      <c r="A27" t="s">
        <v>691</v>
      </c>
    </row>
    <row r="28" spans="1:10">
      <c r="A28" t="s">
        <v>692</v>
      </c>
    </row>
    <row r="29" spans="1:10">
      <c r="A29" t="s">
        <v>693</v>
      </c>
    </row>
    <row r="30" spans="1:10">
      <c r="A30" t="s">
        <v>694</v>
      </c>
    </row>
    <row r="33" spans="1:7">
      <c r="A33" t="s">
        <v>711</v>
      </c>
    </row>
    <row r="34" spans="1:7">
      <c r="A34" t="s">
        <v>712</v>
      </c>
    </row>
    <row r="36" spans="1:7">
      <c r="A36" t="s">
        <v>713</v>
      </c>
    </row>
    <row r="37" spans="1:7">
      <c r="A37" t="s">
        <v>714</v>
      </c>
    </row>
    <row r="39" spans="1:7">
      <c r="A39" t="s">
        <v>715</v>
      </c>
    </row>
    <row r="42" spans="1:7">
      <c r="A42" t="s">
        <v>695</v>
      </c>
      <c r="D42" t="s">
        <v>687</v>
      </c>
      <c r="E42" t="s">
        <v>688</v>
      </c>
      <c r="F42" t="s">
        <v>686</v>
      </c>
      <c r="G42" t="s">
        <v>689</v>
      </c>
    </row>
    <row r="43" spans="1:7">
      <c r="A43" s="194" t="s">
        <v>717</v>
      </c>
      <c r="B43" s="195" t="s">
        <v>718</v>
      </c>
      <c r="C43" s="194" t="s">
        <v>259</v>
      </c>
      <c r="D43" s="194" t="s">
        <v>719</v>
      </c>
      <c r="E43" s="194" t="s">
        <v>720</v>
      </c>
    </row>
    <row r="44" spans="1:7">
      <c r="A44" s="196">
        <v>20443</v>
      </c>
      <c r="B44" s="197">
        <v>36721.498541666668</v>
      </c>
      <c r="C44" s="198" t="s">
        <v>721</v>
      </c>
      <c r="D44" s="198" t="s">
        <v>722</v>
      </c>
      <c r="E44" s="199">
        <v>350000000</v>
      </c>
    </row>
    <row r="45" spans="1:7">
      <c r="A45" s="196">
        <v>21270</v>
      </c>
      <c r="B45" s="197">
        <v>36808.489212962966</v>
      </c>
      <c r="C45" s="198" t="s">
        <v>723</v>
      </c>
      <c r="D45" s="198" t="s">
        <v>722</v>
      </c>
      <c r="E45" s="199">
        <v>1830000000</v>
      </c>
    </row>
    <row r="46" spans="1:7">
      <c r="A46" s="196">
        <v>21311</v>
      </c>
      <c r="B46" s="197">
        <v>36810.426319444443</v>
      </c>
      <c r="C46" s="198" t="s">
        <v>724</v>
      </c>
      <c r="D46" s="198" t="s">
        <v>722</v>
      </c>
      <c r="E46" s="199">
        <v>871000000</v>
      </c>
    </row>
    <row r="47" spans="1:7">
      <c r="A47" s="196">
        <v>21345</v>
      </c>
      <c r="B47" s="197">
        <v>36812.501168981478</v>
      </c>
      <c r="C47" s="198" t="s">
        <v>725</v>
      </c>
      <c r="D47" s="198" t="s">
        <v>722</v>
      </c>
      <c r="E47" s="199">
        <v>87000000</v>
      </c>
    </row>
    <row r="48" spans="1:7">
      <c r="A48" s="196">
        <v>24000</v>
      </c>
      <c r="B48" s="197">
        <v>37096.497372685182</v>
      </c>
      <c r="C48" s="198" t="s">
        <v>726</v>
      </c>
      <c r="D48" s="198" t="s">
        <v>722</v>
      </c>
      <c r="E48" s="199">
        <v>14700000000</v>
      </c>
    </row>
    <row r="49" spans="1:5">
      <c r="A49" s="196">
        <v>24089</v>
      </c>
      <c r="B49" s="197">
        <v>37102.489074074074</v>
      </c>
      <c r="C49" s="198" t="s">
        <v>727</v>
      </c>
      <c r="D49" s="198" t="s">
        <v>722</v>
      </c>
      <c r="E49" s="199">
        <v>12600000000</v>
      </c>
    </row>
    <row r="50" spans="1:5">
      <c r="A50" s="196">
        <v>24096</v>
      </c>
      <c r="B50" s="197">
        <v>37103.454247685186</v>
      </c>
      <c r="C50" s="198" t="s">
        <v>728</v>
      </c>
      <c r="D50" s="198" t="s">
        <v>722</v>
      </c>
      <c r="E50" s="199">
        <v>30500000000</v>
      </c>
    </row>
    <row r="51" spans="1:5">
      <c r="A51" s="196">
        <v>24114</v>
      </c>
      <c r="B51" s="197">
        <v>37104.464548611111</v>
      </c>
      <c r="C51" s="198" t="s">
        <v>729</v>
      </c>
      <c r="D51" s="198" t="s">
        <v>722</v>
      </c>
      <c r="E51" s="199">
        <v>15700000000</v>
      </c>
    </row>
    <row r="52" spans="1:5">
      <c r="A52" s="196">
        <v>25656</v>
      </c>
      <c r="B52" s="197">
        <v>37242.631041666667</v>
      </c>
      <c r="C52" s="198" t="s">
        <v>730</v>
      </c>
      <c r="D52" s="198" t="s">
        <v>722</v>
      </c>
      <c r="E52" s="199">
        <v>38500000000</v>
      </c>
    </row>
    <row r="53" spans="1:5">
      <c r="A53" s="196">
        <v>25682</v>
      </c>
      <c r="B53" s="197">
        <v>37244.47284722222</v>
      </c>
      <c r="C53" s="198" t="s">
        <v>731</v>
      </c>
      <c r="D53" s="198" t="s">
        <v>722</v>
      </c>
      <c r="E53" s="199">
        <v>57600000000</v>
      </c>
    </row>
    <row r="54" spans="1:5">
      <c r="A54" s="196">
        <v>25717</v>
      </c>
      <c r="B54" s="197">
        <v>37246.470092592594</v>
      </c>
      <c r="C54" s="198" t="s">
        <v>732</v>
      </c>
      <c r="D54" s="198" t="s">
        <v>722</v>
      </c>
      <c r="E54" s="199">
        <v>66600000000</v>
      </c>
    </row>
    <row r="55" spans="1:5">
      <c r="A55" s="196">
        <v>26072</v>
      </c>
      <c r="B55" s="197">
        <v>37285.744201388887</v>
      </c>
      <c r="C55" s="198" t="s">
        <v>733</v>
      </c>
      <c r="D55" s="198" t="s">
        <v>722</v>
      </c>
      <c r="E55" s="199">
        <v>22500000000</v>
      </c>
    </row>
    <row r="56" spans="1:5">
      <c r="A56" s="196">
        <v>26130</v>
      </c>
      <c r="B56" s="197">
        <v>37291.520289351851</v>
      </c>
      <c r="C56" s="198" t="s">
        <v>734</v>
      </c>
      <c r="D56" s="198" t="s">
        <v>722</v>
      </c>
      <c r="E56" s="199">
        <v>26100000000</v>
      </c>
    </row>
    <row r="57" spans="1:5">
      <c r="A57" s="196">
        <v>26477</v>
      </c>
      <c r="B57" s="197">
        <v>37320.72042824074</v>
      </c>
      <c r="C57" s="198" t="s">
        <v>735</v>
      </c>
      <c r="D57" s="198" t="s">
        <v>722</v>
      </c>
      <c r="E57" s="199">
        <v>31700000000</v>
      </c>
    </row>
    <row r="58" spans="1:5">
      <c r="A58" s="196">
        <v>26593</v>
      </c>
      <c r="B58" s="197">
        <v>37327.69840277778</v>
      </c>
      <c r="C58" s="198" t="s">
        <v>733</v>
      </c>
      <c r="D58" s="198" t="s">
        <v>722</v>
      </c>
      <c r="E58" s="199">
        <v>2040000000</v>
      </c>
    </row>
    <row r="59" spans="1:5">
      <c r="A59" s="196">
        <v>27143</v>
      </c>
      <c r="B59" s="197">
        <v>37376.521643518521</v>
      </c>
      <c r="C59" s="198" t="s">
        <v>736</v>
      </c>
      <c r="D59" s="198" t="s">
        <v>722</v>
      </c>
      <c r="E59" s="199">
        <v>1720000000</v>
      </c>
    </row>
    <row r="60" spans="1:5">
      <c r="A60" s="196">
        <v>27232</v>
      </c>
      <c r="B60" s="197">
        <v>37383.564328703702</v>
      </c>
      <c r="C60" s="198" t="s">
        <v>736</v>
      </c>
      <c r="D60" s="198" t="s">
        <v>722</v>
      </c>
      <c r="E60" s="199">
        <v>15100000000</v>
      </c>
    </row>
    <row r="61" spans="1:5">
      <c r="A61" s="196">
        <v>27432</v>
      </c>
      <c r="B61" s="197">
        <v>37397.732986111114</v>
      </c>
      <c r="C61" s="198" t="s">
        <v>736</v>
      </c>
      <c r="D61" s="198" t="s">
        <v>722</v>
      </c>
      <c r="E61" s="199">
        <v>5310000000</v>
      </c>
    </row>
    <row r="62" spans="1:5">
      <c r="A62" s="196">
        <v>27452</v>
      </c>
      <c r="B62" s="197">
        <v>37398.713587962964</v>
      </c>
      <c r="C62" s="198" t="s">
        <v>736</v>
      </c>
      <c r="D62" s="198" t="s">
        <v>722</v>
      </c>
      <c r="E62" s="199">
        <v>15500000000</v>
      </c>
    </row>
    <row r="63" spans="1:5">
      <c r="A63" s="196">
        <v>27829</v>
      </c>
      <c r="B63" s="197">
        <v>37435.443055555559</v>
      </c>
      <c r="C63" s="198" t="s">
        <v>736</v>
      </c>
      <c r="D63" s="198" t="s">
        <v>722</v>
      </c>
      <c r="E63" s="199">
        <v>12900000000</v>
      </c>
    </row>
    <row r="64" spans="1:5">
      <c r="A64" s="196">
        <v>28172</v>
      </c>
      <c r="B64" s="197">
        <v>37468.546631944446</v>
      </c>
      <c r="C64" s="198" t="s">
        <v>737</v>
      </c>
      <c r="D64" s="198" t="s">
        <v>722</v>
      </c>
      <c r="E64" s="199">
        <v>30800000000</v>
      </c>
    </row>
    <row r="65" spans="1:5">
      <c r="A65" s="196">
        <v>28199</v>
      </c>
      <c r="B65" s="197">
        <v>37469.730104166665</v>
      </c>
      <c r="C65" s="198" t="s">
        <v>738</v>
      </c>
      <c r="D65" s="198" t="s">
        <v>722</v>
      </c>
      <c r="E65" s="199">
        <v>10800000000</v>
      </c>
    </row>
    <row r="66" spans="1:5">
      <c r="A66" s="196">
        <v>28208</v>
      </c>
      <c r="B66" s="197">
        <v>37470.483900462961</v>
      </c>
      <c r="C66" s="198" t="s">
        <v>739</v>
      </c>
      <c r="D66" s="198" t="s">
        <v>722</v>
      </c>
      <c r="E66" s="199">
        <v>21300000000</v>
      </c>
    </row>
    <row r="67" spans="1:5">
      <c r="A67" s="196">
        <v>28412</v>
      </c>
      <c r="B67" s="197">
        <v>37488.787222222221</v>
      </c>
      <c r="C67" s="198" t="s">
        <v>740</v>
      </c>
      <c r="D67" s="198" t="s">
        <v>722</v>
      </c>
      <c r="E67" s="200"/>
    </row>
    <row r="68" spans="1:5">
      <c r="A68" s="196">
        <v>28429</v>
      </c>
      <c r="B68" s="197">
        <v>37490.44872685185</v>
      </c>
      <c r="C68" s="198" t="s">
        <v>741</v>
      </c>
      <c r="D68" s="198" t="s">
        <v>722</v>
      </c>
      <c r="E68" s="199">
        <v>4300000000</v>
      </c>
    </row>
    <row r="69" spans="1:5">
      <c r="A69" s="196">
        <v>28430</v>
      </c>
      <c r="B69" s="197">
        <v>37490.535543981481</v>
      </c>
      <c r="C69" s="198" t="s">
        <v>742</v>
      </c>
      <c r="D69" s="198" t="s">
        <v>722</v>
      </c>
      <c r="E69" s="199">
        <v>3850000000</v>
      </c>
    </row>
    <row r="70" spans="1:5">
      <c r="A70" s="196">
        <v>28900</v>
      </c>
      <c r="B70" s="197">
        <v>37523.575023148151</v>
      </c>
      <c r="C70" s="198" t="s">
        <v>743</v>
      </c>
      <c r="D70" s="198" t="s">
        <v>722</v>
      </c>
      <c r="E70" s="199">
        <v>124000000000</v>
      </c>
    </row>
    <row r="71" spans="1:5">
      <c r="A71" s="196">
        <v>28933</v>
      </c>
      <c r="B71" s="197">
        <v>37524.764340277776</v>
      </c>
      <c r="C71" s="198" t="s">
        <v>744</v>
      </c>
      <c r="D71" s="198" t="s">
        <v>722</v>
      </c>
      <c r="E71" s="199">
        <v>2150000000</v>
      </c>
    </row>
    <row r="72" spans="1:5">
      <c r="A72" s="196">
        <v>28969</v>
      </c>
      <c r="B72" s="197">
        <v>37526.435960648145</v>
      </c>
      <c r="C72" s="198" t="s">
        <v>745</v>
      </c>
      <c r="D72" s="198" t="s">
        <v>722</v>
      </c>
      <c r="E72" s="199">
        <v>5950000000</v>
      </c>
    </row>
    <row r="73" spans="1:5">
      <c r="A73" s="196">
        <v>29211</v>
      </c>
      <c r="B73" s="197">
        <v>37544.51090277778</v>
      </c>
      <c r="C73" s="198" t="s">
        <v>746</v>
      </c>
      <c r="D73" s="198" t="s">
        <v>722</v>
      </c>
      <c r="E73" s="200"/>
    </row>
    <row r="74" spans="1:5">
      <c r="A74" s="196">
        <v>29441</v>
      </c>
      <c r="B74" s="197">
        <v>37561.564039351855</v>
      </c>
      <c r="C74" s="198" t="s">
        <v>747</v>
      </c>
      <c r="D74" s="198" t="s">
        <v>722</v>
      </c>
      <c r="E74" s="199">
        <v>20700000000</v>
      </c>
    </row>
    <row r="75" spans="1:5">
      <c r="A75" s="196">
        <v>30025</v>
      </c>
      <c r="B75" s="197">
        <v>37610.469270833331</v>
      </c>
      <c r="C75" s="198" t="s">
        <v>748</v>
      </c>
      <c r="D75" s="198" t="s">
        <v>722</v>
      </c>
      <c r="E75" s="199">
        <v>21800000000</v>
      </c>
    </row>
    <row r="76" spans="1:5">
      <c r="A76" s="196">
        <v>30414</v>
      </c>
      <c r="B76" s="197">
        <v>37650.49622685185</v>
      </c>
      <c r="C76" s="198" t="s">
        <v>749</v>
      </c>
      <c r="D76" s="198" t="s">
        <v>722</v>
      </c>
      <c r="E76" s="200"/>
    </row>
    <row r="77" spans="1:5">
      <c r="A77" s="196">
        <v>30421</v>
      </c>
      <c r="B77" s="197">
        <v>37650.728217592594</v>
      </c>
      <c r="C77" s="198" t="s">
        <v>750</v>
      </c>
      <c r="D77" s="198" t="s">
        <v>722</v>
      </c>
      <c r="E77" s="199">
        <v>345000000</v>
      </c>
    </row>
    <row r="78" spans="1:5">
      <c r="A78" s="196">
        <v>31279</v>
      </c>
      <c r="B78" s="197">
        <v>37719.639594907407</v>
      </c>
      <c r="C78" s="198" t="s">
        <v>751</v>
      </c>
      <c r="D78" s="198" t="s">
        <v>722</v>
      </c>
      <c r="E78" s="199">
        <v>10700000000</v>
      </c>
    </row>
    <row r="79" spans="1:5">
      <c r="A79" s="196">
        <v>31281</v>
      </c>
      <c r="B79" s="197">
        <v>37719.740567129629</v>
      </c>
      <c r="C79" s="198" t="s">
        <v>752</v>
      </c>
      <c r="D79" s="198" t="s">
        <v>722</v>
      </c>
      <c r="E79" s="199">
        <v>20900000000</v>
      </c>
    </row>
    <row r="80" spans="1:5">
      <c r="A80" s="196">
        <v>31927</v>
      </c>
      <c r="B80" s="197">
        <v>37770.556342592594</v>
      </c>
      <c r="C80" s="198" t="s">
        <v>753</v>
      </c>
      <c r="D80" s="198" t="s">
        <v>722</v>
      </c>
      <c r="E80" s="199">
        <v>24400000000</v>
      </c>
    </row>
    <row r="81" spans="1:5">
      <c r="A81" s="196">
        <v>31929</v>
      </c>
      <c r="B81" s="197">
        <v>37770.636365740742</v>
      </c>
      <c r="C81" s="198" t="s">
        <v>754</v>
      </c>
      <c r="D81" s="198" t="s">
        <v>722</v>
      </c>
      <c r="E81" s="199">
        <v>35500000000</v>
      </c>
    </row>
    <row r="82" spans="1:5" ht="30">
      <c r="A82" s="196">
        <v>32127</v>
      </c>
      <c r="B82" s="197">
        <v>37791.723067129627</v>
      </c>
      <c r="C82" s="198" t="s">
        <v>755</v>
      </c>
      <c r="D82" s="198" t="s">
        <v>722</v>
      </c>
      <c r="E82" s="200"/>
    </row>
    <row r="83" spans="1:5">
      <c r="A83" s="196">
        <v>32129</v>
      </c>
      <c r="B83" s="197">
        <v>37791.797326388885</v>
      </c>
      <c r="C83" s="198" t="s">
        <v>756</v>
      </c>
      <c r="D83" s="198" t="s">
        <v>722</v>
      </c>
      <c r="E83" s="199">
        <v>62000000000</v>
      </c>
    </row>
    <row r="84" spans="1:5">
      <c r="A84" s="196">
        <v>32223</v>
      </c>
      <c r="B84" s="197">
        <v>37798.485856481479</v>
      </c>
      <c r="C84" s="198" t="s">
        <v>757</v>
      </c>
      <c r="D84" s="198" t="s">
        <v>722</v>
      </c>
      <c r="E84" s="199">
        <v>119000000000</v>
      </c>
    </row>
    <row r="85" spans="1:5">
      <c r="A85" s="196">
        <v>32225</v>
      </c>
      <c r="B85" s="197">
        <v>37798.644745370373</v>
      </c>
      <c r="C85" s="198" t="s">
        <v>758</v>
      </c>
      <c r="D85" s="198" t="s">
        <v>722</v>
      </c>
      <c r="E85" s="199">
        <v>32400000000</v>
      </c>
    </row>
    <row r="86" spans="1:5">
      <c r="A86" s="196">
        <v>32272</v>
      </c>
      <c r="B86" s="197">
        <v>37804.649247685185</v>
      </c>
      <c r="C86" s="198" t="s">
        <v>759</v>
      </c>
      <c r="D86" s="198" t="s">
        <v>722</v>
      </c>
      <c r="E86" s="199">
        <v>27700000000</v>
      </c>
    </row>
    <row r="87" spans="1:5">
      <c r="A87" s="196">
        <v>32273</v>
      </c>
      <c r="B87" s="197">
        <v>37804.756331018521</v>
      </c>
      <c r="C87" s="198" t="s">
        <v>760</v>
      </c>
      <c r="D87" s="198" t="s">
        <v>722</v>
      </c>
      <c r="E87" s="199">
        <v>28400000000</v>
      </c>
    </row>
    <row r="88" spans="1:5">
      <c r="A88" s="196">
        <v>32416</v>
      </c>
      <c r="B88" s="197">
        <v>37819.452245370368</v>
      </c>
      <c r="C88" s="198" t="s">
        <v>761</v>
      </c>
      <c r="D88" s="198" t="s">
        <v>722</v>
      </c>
      <c r="E88" s="199">
        <v>41100000000</v>
      </c>
    </row>
    <row r="89" spans="1:5">
      <c r="A89" s="196">
        <v>32845</v>
      </c>
      <c r="B89" s="197">
        <v>37846.502824074072</v>
      </c>
      <c r="C89" s="198" t="s">
        <v>762</v>
      </c>
      <c r="D89" s="198" t="s">
        <v>722</v>
      </c>
      <c r="E89" s="199">
        <v>87600000000</v>
      </c>
    </row>
    <row r="90" spans="1:5">
      <c r="A90" s="196">
        <v>33029</v>
      </c>
      <c r="B90" s="197">
        <v>37861.464317129627</v>
      </c>
      <c r="C90" s="198" t="s">
        <v>763</v>
      </c>
      <c r="D90" s="198" t="s">
        <v>722</v>
      </c>
      <c r="E90" s="199">
        <v>0</v>
      </c>
    </row>
    <row r="91" spans="1:5" ht="30">
      <c r="A91" s="196">
        <v>33220</v>
      </c>
      <c r="B91" s="197">
        <v>37882.51971064815</v>
      </c>
      <c r="C91" s="198" t="s">
        <v>764</v>
      </c>
      <c r="D91" s="198" t="s">
        <v>722</v>
      </c>
      <c r="E91" s="199">
        <v>174000000000</v>
      </c>
    </row>
    <row r="92" spans="1:5">
      <c r="A92" s="196">
        <v>33223</v>
      </c>
      <c r="B92" s="197">
        <v>37882.63208333333</v>
      </c>
      <c r="C92" s="198" t="s">
        <v>765</v>
      </c>
      <c r="D92" s="198" t="s">
        <v>722</v>
      </c>
      <c r="E92" s="199">
        <v>27000000000</v>
      </c>
    </row>
    <row r="93" spans="1:5">
      <c r="A93" s="196">
        <v>33412</v>
      </c>
      <c r="B93" s="197">
        <v>37896.559930555559</v>
      </c>
      <c r="C93" s="198" t="s">
        <v>766</v>
      </c>
      <c r="D93" s="198" t="s">
        <v>722</v>
      </c>
      <c r="E93" s="199">
        <v>32600000000</v>
      </c>
    </row>
    <row r="94" spans="1:5">
      <c r="A94" s="196">
        <v>33413</v>
      </c>
      <c r="B94" s="197">
        <v>37896.63925925926</v>
      </c>
      <c r="C94" s="198" t="s">
        <v>767</v>
      </c>
      <c r="D94" s="198" t="s">
        <v>722</v>
      </c>
      <c r="E94" s="199">
        <v>67400000000</v>
      </c>
    </row>
    <row r="95" spans="1:5">
      <c r="A95" s="196">
        <v>33415</v>
      </c>
      <c r="B95" s="197">
        <v>37896.706388888888</v>
      </c>
      <c r="C95" s="198" t="s">
        <v>768</v>
      </c>
      <c r="D95" s="198" t="s">
        <v>722</v>
      </c>
      <c r="E95" s="199">
        <v>42300000000</v>
      </c>
    </row>
    <row r="96" spans="1:5">
      <c r="A96" s="196">
        <v>33599</v>
      </c>
      <c r="B96" s="197">
        <v>37911.486122685186</v>
      </c>
      <c r="C96" s="198" t="s">
        <v>769</v>
      </c>
      <c r="D96" s="198" t="s">
        <v>722</v>
      </c>
      <c r="E96" s="199">
        <v>64900000000</v>
      </c>
    </row>
    <row r="97" spans="1:5">
      <c r="A97" s="196">
        <v>33600</v>
      </c>
      <c r="B97" s="197">
        <v>37911.585717592592</v>
      </c>
      <c r="C97" s="198" t="s">
        <v>770</v>
      </c>
      <c r="D97" s="198" t="s">
        <v>722</v>
      </c>
      <c r="E97" s="199">
        <v>4300000000</v>
      </c>
    </row>
    <row r="98" spans="1:5">
      <c r="A98" s="196">
        <v>33603</v>
      </c>
      <c r="B98" s="197">
        <v>37911.670567129629</v>
      </c>
      <c r="C98" s="198" t="s">
        <v>771</v>
      </c>
      <c r="D98" s="198" t="s">
        <v>722</v>
      </c>
      <c r="E98" s="199">
        <v>38700000000</v>
      </c>
    </row>
    <row r="99" spans="1:5">
      <c r="A99" s="196">
        <v>33687</v>
      </c>
      <c r="B99" s="197">
        <v>37918.601111111115</v>
      </c>
      <c r="C99" s="198" t="s">
        <v>772</v>
      </c>
      <c r="D99" s="198" t="s">
        <v>722</v>
      </c>
      <c r="E99" s="199">
        <v>4610000000</v>
      </c>
    </row>
    <row r="100" spans="1:5">
      <c r="A100" s="196">
        <v>33688</v>
      </c>
      <c r="B100" s="197">
        <v>37918.670532407406</v>
      </c>
      <c r="C100" s="198" t="s">
        <v>773</v>
      </c>
      <c r="D100" s="198" t="s">
        <v>722</v>
      </c>
      <c r="E100" s="199">
        <v>47400000000</v>
      </c>
    </row>
    <row r="101" spans="1:5">
      <c r="A101" s="196">
        <v>33689</v>
      </c>
      <c r="B101" s="197">
        <v>37918.726493055554</v>
      </c>
      <c r="C101" s="198" t="s">
        <v>774</v>
      </c>
      <c r="D101" s="198" t="s">
        <v>722</v>
      </c>
      <c r="E101" s="199">
        <v>5250000000</v>
      </c>
    </row>
    <row r="102" spans="1:5">
      <c r="A102" s="196">
        <v>33945</v>
      </c>
      <c r="B102" s="197">
        <v>37938.466134259259</v>
      </c>
      <c r="C102" s="198" t="s">
        <v>775</v>
      </c>
      <c r="D102" s="198" t="s">
        <v>722</v>
      </c>
      <c r="E102" s="199">
        <v>4780000000</v>
      </c>
    </row>
    <row r="103" spans="1:5">
      <c r="A103" s="196">
        <v>33955</v>
      </c>
      <c r="B103" s="197">
        <v>37938.769733796296</v>
      </c>
      <c r="C103" s="198" t="s">
        <v>776</v>
      </c>
      <c r="D103" s="198" t="s">
        <v>722</v>
      </c>
      <c r="E103" s="199">
        <v>5240000000</v>
      </c>
    </row>
    <row r="104" spans="1:5">
      <c r="A104" s="196">
        <v>34395</v>
      </c>
      <c r="B104" s="197">
        <v>37973.470439814817</v>
      </c>
      <c r="C104" s="198" t="s">
        <v>777</v>
      </c>
      <c r="D104" s="198" t="s">
        <v>722</v>
      </c>
      <c r="E104" s="200"/>
    </row>
    <row r="105" spans="1:5">
      <c r="A105" s="196">
        <v>34404</v>
      </c>
      <c r="B105" s="197">
        <v>37973.71130787037</v>
      </c>
      <c r="C105" s="198" t="s">
        <v>777</v>
      </c>
      <c r="D105" s="198" t="s">
        <v>722</v>
      </c>
      <c r="E105" s="200"/>
    </row>
    <row r="106" spans="1:5">
      <c r="A106" s="196">
        <v>34995</v>
      </c>
      <c r="B106" s="197">
        <v>38029.425636574073</v>
      </c>
      <c r="C106" s="198" t="s">
        <v>778</v>
      </c>
      <c r="D106" s="198" t="s">
        <v>722</v>
      </c>
      <c r="E106" s="200"/>
    </row>
    <row r="107" spans="1:5">
      <c r="A107" s="196">
        <v>34996</v>
      </c>
      <c r="B107" s="197">
        <v>38029.509108796294</v>
      </c>
      <c r="C107" s="198" t="s">
        <v>779</v>
      </c>
      <c r="D107" s="198" t="s">
        <v>722</v>
      </c>
      <c r="E107" s="200"/>
    </row>
    <row r="108" spans="1:5">
      <c r="A108" s="196">
        <v>34998</v>
      </c>
      <c r="B108" s="197">
        <v>38029.592928240738</v>
      </c>
      <c r="C108" s="198" t="s">
        <v>780</v>
      </c>
      <c r="D108" s="198" t="s">
        <v>722</v>
      </c>
      <c r="E108" s="199">
        <v>11500000000</v>
      </c>
    </row>
    <row r="109" spans="1:5">
      <c r="A109" s="196">
        <v>35652</v>
      </c>
      <c r="B109" s="197">
        <v>38082.506539351853</v>
      </c>
      <c r="C109" s="198" t="s">
        <v>781</v>
      </c>
      <c r="D109" s="198" t="s">
        <v>722</v>
      </c>
      <c r="E109" s="199">
        <v>9190000000</v>
      </c>
    </row>
    <row r="110" spans="1:5">
      <c r="A110" s="196">
        <v>35653</v>
      </c>
      <c r="B110" s="197">
        <v>38082.574120370373</v>
      </c>
      <c r="C110" s="198" t="s">
        <v>782</v>
      </c>
      <c r="D110" s="198" t="s">
        <v>722</v>
      </c>
      <c r="E110" s="199">
        <v>9390000000</v>
      </c>
    </row>
    <row r="111" spans="1:5">
      <c r="A111" s="196">
        <v>35654</v>
      </c>
      <c r="B111" s="197">
        <v>38082.632951388892</v>
      </c>
      <c r="C111" s="198" t="s">
        <v>783</v>
      </c>
      <c r="D111" s="198" t="s">
        <v>722</v>
      </c>
      <c r="E111" s="199">
        <v>4430000000</v>
      </c>
    </row>
    <row r="112" spans="1:5">
      <c r="A112" s="196">
        <v>35655</v>
      </c>
      <c r="B112" s="197">
        <v>38082.706863425927</v>
      </c>
      <c r="C112" s="198" t="s">
        <v>784</v>
      </c>
      <c r="D112" s="198" t="s">
        <v>722</v>
      </c>
      <c r="E112" s="199">
        <v>9730000000</v>
      </c>
    </row>
    <row r="113" spans="1:5">
      <c r="A113" s="196">
        <v>35711</v>
      </c>
      <c r="B113" s="197">
        <v>38085.482418981483</v>
      </c>
      <c r="C113" s="198" t="s">
        <v>785</v>
      </c>
      <c r="D113" s="198" t="s">
        <v>722</v>
      </c>
      <c r="E113" s="199">
        <v>35900000000</v>
      </c>
    </row>
    <row r="114" spans="1:5">
      <c r="A114" s="196">
        <v>35712</v>
      </c>
      <c r="B114" s="197">
        <v>38085.596863425926</v>
      </c>
      <c r="C114" s="198" t="s">
        <v>786</v>
      </c>
      <c r="D114" s="198" t="s">
        <v>722</v>
      </c>
      <c r="E114" s="199">
        <v>5180000000</v>
      </c>
    </row>
    <row r="115" spans="1:5">
      <c r="A115" s="196">
        <v>35713</v>
      </c>
      <c r="B115" s="197">
        <v>38085.654432870368</v>
      </c>
      <c r="C115" s="198" t="s">
        <v>787</v>
      </c>
      <c r="D115" s="198" t="s">
        <v>722</v>
      </c>
      <c r="E115" s="199">
        <v>16100000000</v>
      </c>
    </row>
    <row r="116" spans="1:5">
      <c r="A116" s="196">
        <v>35714</v>
      </c>
      <c r="B116" s="197">
        <v>38085.718101851853</v>
      </c>
      <c r="C116" s="198" t="s">
        <v>788</v>
      </c>
      <c r="D116" s="198" t="s">
        <v>722</v>
      </c>
      <c r="E116" s="199">
        <v>9970000000</v>
      </c>
    </row>
    <row r="117" spans="1:5">
      <c r="A117" s="196">
        <v>35968</v>
      </c>
      <c r="B117" s="197">
        <v>38107.509085648147</v>
      </c>
      <c r="C117" s="198" t="s">
        <v>789</v>
      </c>
      <c r="D117" s="198" t="s">
        <v>722</v>
      </c>
      <c r="E117" s="199">
        <v>211000000000</v>
      </c>
    </row>
    <row r="118" spans="1:5">
      <c r="A118" s="196">
        <v>35969</v>
      </c>
      <c r="B118" s="197">
        <v>38107.57402777778</v>
      </c>
      <c r="C118" s="198" t="s">
        <v>790</v>
      </c>
      <c r="D118" s="198" t="s">
        <v>722</v>
      </c>
      <c r="E118" s="199">
        <v>115000000000</v>
      </c>
    </row>
    <row r="119" spans="1:5">
      <c r="A119" s="196">
        <v>35970</v>
      </c>
      <c r="B119" s="197">
        <v>38107.640115740738</v>
      </c>
      <c r="C119" s="198" t="s">
        <v>791</v>
      </c>
      <c r="D119" s="198" t="s">
        <v>722</v>
      </c>
      <c r="E119" s="199">
        <v>39400000000</v>
      </c>
    </row>
    <row r="120" spans="1:5">
      <c r="A120" s="196">
        <v>36352</v>
      </c>
      <c r="B120" s="197">
        <v>38141.493738425925</v>
      </c>
      <c r="C120" s="198" t="s">
        <v>792</v>
      </c>
      <c r="D120" s="198" t="s">
        <v>722</v>
      </c>
      <c r="E120" s="199">
        <v>5470000000</v>
      </c>
    </row>
    <row r="121" spans="1:5">
      <c r="A121" s="196">
        <v>36499</v>
      </c>
      <c r="B121" s="197">
        <v>38155.574490740742</v>
      </c>
      <c r="C121" s="198" t="s">
        <v>793</v>
      </c>
      <c r="D121" s="198" t="s">
        <v>722</v>
      </c>
      <c r="E121" s="199">
        <v>9450000000</v>
      </c>
    </row>
    <row r="122" spans="1:5">
      <c r="A122" s="196">
        <v>36719</v>
      </c>
      <c r="B122" s="197">
        <v>38176.483657407407</v>
      </c>
      <c r="C122" s="198" t="s">
        <v>794</v>
      </c>
      <c r="D122" s="198" t="s">
        <v>722</v>
      </c>
      <c r="E122" s="200"/>
    </row>
    <row r="123" spans="1:5">
      <c r="A123" s="196">
        <v>36721</v>
      </c>
      <c r="B123" s="197">
        <v>38176.577025462961</v>
      </c>
      <c r="C123" s="198" t="s">
        <v>795</v>
      </c>
      <c r="D123" s="198" t="s">
        <v>722</v>
      </c>
      <c r="E123" s="199">
        <v>6760000000</v>
      </c>
    </row>
    <row r="124" spans="1:5">
      <c r="A124" s="196">
        <v>36861</v>
      </c>
      <c r="B124" s="197">
        <v>38188.506643518522</v>
      </c>
      <c r="C124" s="198" t="s">
        <v>796</v>
      </c>
      <c r="D124" s="198" t="s">
        <v>722</v>
      </c>
      <c r="E124" s="199">
        <v>7530000000</v>
      </c>
    </row>
    <row r="125" spans="1:5">
      <c r="A125" s="196">
        <v>37130</v>
      </c>
      <c r="B125" s="197">
        <v>38211.712766203702</v>
      </c>
      <c r="C125" s="198" t="s">
        <v>797</v>
      </c>
      <c r="D125" s="198" t="s">
        <v>722</v>
      </c>
      <c r="E125" s="199">
        <v>11200000000</v>
      </c>
    </row>
    <row r="126" spans="1:5">
      <c r="A126" s="196">
        <v>37132</v>
      </c>
      <c r="B126" s="197">
        <v>38211.763194444444</v>
      </c>
      <c r="C126" s="198" t="s">
        <v>798</v>
      </c>
      <c r="D126" s="198" t="s">
        <v>722</v>
      </c>
      <c r="E126" s="199">
        <v>12100000000</v>
      </c>
    </row>
    <row r="127" spans="1:5">
      <c r="A127" s="196">
        <v>37228</v>
      </c>
      <c r="B127" s="197">
        <v>38218.617511574077</v>
      </c>
      <c r="C127" s="198" t="s">
        <v>799</v>
      </c>
      <c r="D127" s="198" t="s">
        <v>722</v>
      </c>
      <c r="E127" s="199">
        <v>15000000000</v>
      </c>
    </row>
    <row r="128" spans="1:5">
      <c r="A128" s="196">
        <v>37658</v>
      </c>
      <c r="B128" s="197">
        <v>38267.591238425928</v>
      </c>
      <c r="C128" s="198" t="s">
        <v>800</v>
      </c>
      <c r="D128" s="198" t="s">
        <v>722</v>
      </c>
      <c r="E128" s="199">
        <v>4710000000</v>
      </c>
    </row>
    <row r="129" spans="1:5">
      <c r="A129" s="196">
        <v>37823</v>
      </c>
      <c r="B129" s="197">
        <v>38282.611724537041</v>
      </c>
      <c r="C129" s="198" t="s">
        <v>801</v>
      </c>
      <c r="D129" s="198" t="s">
        <v>722</v>
      </c>
      <c r="E129" s="199">
        <v>8650000000</v>
      </c>
    </row>
    <row r="130" spans="1:5">
      <c r="A130" s="196">
        <v>37967</v>
      </c>
      <c r="B130" s="197">
        <v>38295.604583333334</v>
      </c>
      <c r="C130" s="198" t="s">
        <v>802</v>
      </c>
      <c r="D130" s="198" t="s">
        <v>722</v>
      </c>
      <c r="E130" s="199">
        <v>29800000000</v>
      </c>
    </row>
    <row r="131" spans="1:5">
      <c r="A131" s="196">
        <v>37968</v>
      </c>
      <c r="B131" s="197">
        <v>38295.663298611114</v>
      </c>
      <c r="C131" s="198" t="s">
        <v>803</v>
      </c>
      <c r="D131" s="198" t="s">
        <v>722</v>
      </c>
      <c r="E131" s="199">
        <v>39000000000</v>
      </c>
    </row>
    <row r="132" spans="1:5">
      <c r="A132" s="196">
        <v>38026</v>
      </c>
      <c r="B132" s="197">
        <v>38302.494942129626</v>
      </c>
      <c r="C132" s="198" t="s">
        <v>804</v>
      </c>
      <c r="D132" s="198" t="s">
        <v>722</v>
      </c>
      <c r="E132" s="199">
        <v>23700000000</v>
      </c>
    </row>
    <row r="133" spans="1:5">
      <c r="A133" s="196">
        <v>39517</v>
      </c>
      <c r="B133" s="197">
        <v>38456.593726851854</v>
      </c>
      <c r="C133" s="198" t="s">
        <v>805</v>
      </c>
      <c r="D133" s="198" t="s">
        <v>722</v>
      </c>
      <c r="E133" s="199">
        <v>5570000000</v>
      </c>
    </row>
    <row r="134" spans="1:5">
      <c r="A134" s="196">
        <v>39593</v>
      </c>
      <c r="B134" s="197">
        <v>38463.58390046296</v>
      </c>
      <c r="C134" s="198" t="s">
        <v>806</v>
      </c>
      <c r="D134" s="198" t="s">
        <v>722</v>
      </c>
      <c r="E134" s="199">
        <v>9370000000</v>
      </c>
    </row>
    <row r="135" spans="1:5">
      <c r="A135" s="196">
        <v>39597</v>
      </c>
      <c r="B135" s="197">
        <v>38463.832013888888</v>
      </c>
      <c r="C135" s="198" t="s">
        <v>807</v>
      </c>
      <c r="D135" s="198" t="s">
        <v>722</v>
      </c>
      <c r="E135" s="199">
        <v>56100000000</v>
      </c>
    </row>
    <row r="136" spans="1:5">
      <c r="A136" s="196">
        <v>39825</v>
      </c>
      <c r="B136" s="197">
        <v>38484.453576388885</v>
      </c>
      <c r="C136" s="198" t="s">
        <v>808</v>
      </c>
      <c r="D136" s="198" t="s">
        <v>722</v>
      </c>
      <c r="E136" s="199">
        <v>97600000000</v>
      </c>
    </row>
    <row r="137" spans="1:5">
      <c r="A137" s="196">
        <v>39826</v>
      </c>
      <c r="B137" s="197">
        <v>38484.587129629632</v>
      </c>
      <c r="C137" s="198" t="s">
        <v>809</v>
      </c>
      <c r="D137" s="198" t="s">
        <v>722</v>
      </c>
      <c r="E137" s="199">
        <v>414000000000</v>
      </c>
    </row>
    <row r="138" spans="1:5">
      <c r="A138" s="196">
        <v>39827</v>
      </c>
      <c r="B138" s="197">
        <v>38484.700196759259</v>
      </c>
      <c r="C138" s="198" t="s">
        <v>810</v>
      </c>
      <c r="D138" s="198" t="s">
        <v>722</v>
      </c>
      <c r="E138" s="199">
        <v>109000000000</v>
      </c>
    </row>
    <row r="139" spans="1:5" ht="30">
      <c r="A139" s="196">
        <v>39890</v>
      </c>
      <c r="B139" s="197">
        <v>38491.565682870372</v>
      </c>
      <c r="C139" s="198" t="s">
        <v>811</v>
      </c>
      <c r="D139" s="198" t="s">
        <v>722</v>
      </c>
      <c r="E139" s="200"/>
    </row>
    <row r="140" spans="1:5">
      <c r="A140" s="196">
        <v>39891</v>
      </c>
      <c r="B140" s="197">
        <v>38491.638796296298</v>
      </c>
      <c r="C140" s="198" t="s">
        <v>812</v>
      </c>
      <c r="D140" s="198" t="s">
        <v>722</v>
      </c>
      <c r="E140" s="199">
        <v>74700000000</v>
      </c>
    </row>
    <row r="141" spans="1:5">
      <c r="A141" s="196">
        <v>40062</v>
      </c>
      <c r="B141" s="197">
        <v>38512.50708333333</v>
      </c>
      <c r="C141" s="198" t="s">
        <v>813</v>
      </c>
      <c r="D141" s="198" t="s">
        <v>814</v>
      </c>
      <c r="E141" s="200"/>
    </row>
    <row r="142" spans="1:5">
      <c r="A142" s="196">
        <v>40164</v>
      </c>
      <c r="B142" s="197">
        <v>38519.476307870369</v>
      </c>
      <c r="C142" s="198" t="s">
        <v>815</v>
      </c>
      <c r="D142" s="198" t="s">
        <v>722</v>
      </c>
      <c r="E142" s="200"/>
    </row>
    <row r="143" spans="1:5">
      <c r="A143" s="196">
        <v>40616</v>
      </c>
      <c r="B143" s="197">
        <v>38568.400335648148</v>
      </c>
      <c r="C143" s="198" t="s">
        <v>816</v>
      </c>
      <c r="D143" s="198" t="s">
        <v>722</v>
      </c>
      <c r="E143" s="200"/>
    </row>
    <row r="144" spans="1:5">
      <c r="A144" s="196">
        <v>40618</v>
      </c>
      <c r="B144" s="197">
        <v>38568.501423611109</v>
      </c>
      <c r="C144" s="198" t="s">
        <v>817</v>
      </c>
      <c r="D144" s="198" t="s">
        <v>722</v>
      </c>
      <c r="E144" s="199">
        <v>1020000000</v>
      </c>
    </row>
    <row r="145" spans="1:5">
      <c r="A145" s="196">
        <v>40852</v>
      </c>
      <c r="B145" s="197">
        <v>38589.47314814815</v>
      </c>
      <c r="C145" s="198" t="s">
        <v>818</v>
      </c>
      <c r="D145" s="198" t="s">
        <v>722</v>
      </c>
      <c r="E145" s="200"/>
    </row>
    <row r="146" spans="1:5">
      <c r="A146" s="196">
        <v>40853</v>
      </c>
      <c r="B146" s="197">
        <v>38589.54960648148</v>
      </c>
      <c r="C146" s="198" t="s">
        <v>819</v>
      </c>
      <c r="D146" s="198" t="s">
        <v>722</v>
      </c>
      <c r="E146" s="199">
        <v>442000000</v>
      </c>
    </row>
    <row r="147" spans="1:5">
      <c r="A147" s="196">
        <v>40854</v>
      </c>
      <c r="B147" s="197">
        <v>38589.641365740739</v>
      </c>
      <c r="C147" s="198" t="s">
        <v>820</v>
      </c>
      <c r="D147" s="198" t="s">
        <v>722</v>
      </c>
      <c r="E147" s="199">
        <v>6170000000</v>
      </c>
    </row>
    <row r="148" spans="1:5">
      <c r="A148" s="196">
        <v>41039</v>
      </c>
      <c r="B148" s="197">
        <v>38603.543194444443</v>
      </c>
      <c r="C148" s="198" t="s">
        <v>821</v>
      </c>
      <c r="D148" s="198" t="s">
        <v>722</v>
      </c>
      <c r="E148" s="200"/>
    </row>
    <row r="149" spans="1:5">
      <c r="A149" s="196">
        <v>41095</v>
      </c>
      <c r="B149" s="197">
        <v>38610.78528935185</v>
      </c>
      <c r="C149" s="198" t="s">
        <v>822</v>
      </c>
      <c r="D149" s="198" t="s">
        <v>722</v>
      </c>
      <c r="E149" s="199">
        <v>34500000000</v>
      </c>
    </row>
    <row r="150" spans="1:5">
      <c r="A150" s="196">
        <v>41261</v>
      </c>
      <c r="B150" s="197">
        <v>38629.685011574074</v>
      </c>
      <c r="C150" s="198" t="s">
        <v>823</v>
      </c>
      <c r="D150" s="198" t="s">
        <v>722</v>
      </c>
      <c r="E150" s="199">
        <v>10500000000</v>
      </c>
    </row>
    <row r="151" spans="1:5">
      <c r="A151" s="196">
        <v>41265</v>
      </c>
      <c r="B151" s="197">
        <v>38629.791851851849</v>
      </c>
      <c r="C151" s="198" t="s">
        <v>824</v>
      </c>
      <c r="D151" s="198" t="s">
        <v>722</v>
      </c>
      <c r="E151" s="199">
        <v>7610000000</v>
      </c>
    </row>
    <row r="152" spans="1:5">
      <c r="A152" s="196">
        <v>41357</v>
      </c>
      <c r="B152" s="197">
        <v>38638.603587962964</v>
      </c>
      <c r="C152" s="198" t="s">
        <v>825</v>
      </c>
      <c r="D152" s="198" t="s">
        <v>722</v>
      </c>
      <c r="E152" s="199">
        <v>17400000000</v>
      </c>
    </row>
    <row r="153" spans="1:5">
      <c r="A153" s="196">
        <v>41863</v>
      </c>
      <c r="B153" s="197">
        <v>38685.743564814817</v>
      </c>
      <c r="C153" s="198" t="s">
        <v>826</v>
      </c>
      <c r="D153" s="198" t="s">
        <v>722</v>
      </c>
      <c r="E153" s="199">
        <v>10800000000</v>
      </c>
    </row>
    <row r="154" spans="1:5">
      <c r="A154" s="196">
        <v>42131</v>
      </c>
      <c r="B154" s="197">
        <v>38708.523321759261</v>
      </c>
      <c r="C154" s="198" t="s">
        <v>827</v>
      </c>
      <c r="D154" s="198" t="s">
        <v>722</v>
      </c>
      <c r="E154" s="199">
        <v>8980000000</v>
      </c>
    </row>
    <row r="155" spans="1:5">
      <c r="A155" s="196">
        <v>42132</v>
      </c>
      <c r="B155" s="197">
        <v>38708.590567129628</v>
      </c>
      <c r="C155" s="198" t="s">
        <v>828</v>
      </c>
      <c r="D155" s="198" t="s">
        <v>722</v>
      </c>
      <c r="E155" s="199">
        <v>3630000000</v>
      </c>
    </row>
    <row r="156" spans="1:5">
      <c r="A156" s="196">
        <v>42300</v>
      </c>
      <c r="B156" s="197">
        <v>38734.702199074076</v>
      </c>
      <c r="C156" s="198" t="s">
        <v>829</v>
      </c>
      <c r="D156" s="198" t="s">
        <v>722</v>
      </c>
      <c r="E156" s="199">
        <v>8780000000</v>
      </c>
    </row>
    <row r="157" spans="1:5">
      <c r="A157" s="196">
        <v>42606</v>
      </c>
      <c r="B157" s="197">
        <v>38758.685243055559</v>
      </c>
      <c r="C157" s="198" t="s">
        <v>830</v>
      </c>
      <c r="D157" s="198" t="s">
        <v>722</v>
      </c>
      <c r="E157" s="200"/>
    </row>
    <row r="158" spans="1:5">
      <c r="A158" s="196">
        <v>42857</v>
      </c>
      <c r="B158" s="197">
        <v>38783.583715277775</v>
      </c>
      <c r="C158" s="198" t="s">
        <v>831</v>
      </c>
      <c r="D158" s="198" t="s">
        <v>722</v>
      </c>
      <c r="E158" s="199">
        <v>34400000000</v>
      </c>
    </row>
    <row r="159" spans="1:5">
      <c r="A159" s="196">
        <v>42861</v>
      </c>
      <c r="B159" s="197">
        <v>38783.738692129627</v>
      </c>
      <c r="C159" s="198" t="s">
        <v>832</v>
      </c>
      <c r="D159" s="198" t="s">
        <v>722</v>
      </c>
      <c r="E159" s="199">
        <v>93400000000</v>
      </c>
    </row>
    <row r="160" spans="1:5">
      <c r="A160" s="196">
        <v>42968</v>
      </c>
      <c r="B160" s="197">
        <v>38792.698518518519</v>
      </c>
      <c r="C160" s="198" t="s">
        <v>833</v>
      </c>
      <c r="D160" s="198" t="s">
        <v>722</v>
      </c>
      <c r="E160" s="199">
        <v>4360000000</v>
      </c>
    </row>
    <row r="161" spans="1:5">
      <c r="A161" s="196">
        <v>43070</v>
      </c>
      <c r="B161" s="197">
        <v>38804.515833333331</v>
      </c>
      <c r="C161" s="198" t="s">
        <v>834</v>
      </c>
      <c r="D161" s="198" t="s">
        <v>722</v>
      </c>
      <c r="E161" s="200"/>
    </row>
    <row r="162" spans="1:5">
      <c r="A162" s="196">
        <v>43104</v>
      </c>
      <c r="B162" s="197">
        <v>38806.470856481479</v>
      </c>
      <c r="C162" s="198" t="s">
        <v>835</v>
      </c>
      <c r="D162" s="198" t="s">
        <v>722</v>
      </c>
      <c r="E162" s="199">
        <v>413000000000</v>
      </c>
    </row>
    <row r="163" spans="1:5">
      <c r="A163" s="196">
        <v>43882</v>
      </c>
      <c r="B163" s="197">
        <v>38874.817395833335</v>
      </c>
      <c r="C163" s="198" t="s">
        <v>836</v>
      </c>
      <c r="D163" s="198" t="s">
        <v>722</v>
      </c>
      <c r="E163" s="199">
        <v>1290000000000</v>
      </c>
    </row>
    <row r="164" spans="1:5">
      <c r="A164" s="196">
        <v>43945</v>
      </c>
      <c r="B164" s="197">
        <v>38881.782789351855</v>
      </c>
      <c r="C164" s="198" t="s">
        <v>837</v>
      </c>
      <c r="D164" s="198" t="s">
        <v>722</v>
      </c>
      <c r="E164" s="199">
        <v>2710000000000</v>
      </c>
    </row>
    <row r="165" spans="1:5">
      <c r="A165" s="196">
        <v>43950</v>
      </c>
      <c r="B165" s="197">
        <v>38881.889409722222</v>
      </c>
      <c r="C165" s="198" t="s">
        <v>838</v>
      </c>
      <c r="D165" s="198" t="s">
        <v>722</v>
      </c>
      <c r="E165" s="199">
        <v>38100000000</v>
      </c>
    </row>
    <row r="166" spans="1:5">
      <c r="A166" s="196">
        <v>44182</v>
      </c>
      <c r="B166" s="197">
        <v>38915.76971064815</v>
      </c>
      <c r="C166" s="198" t="s">
        <v>839</v>
      </c>
      <c r="D166" s="198" t="s">
        <v>722</v>
      </c>
      <c r="E166" s="199">
        <v>1270000000000</v>
      </c>
    </row>
    <row r="167" spans="1:5">
      <c r="A167" s="196">
        <v>44240</v>
      </c>
      <c r="B167" s="197">
        <v>38918.971608796295</v>
      </c>
      <c r="C167" s="198" t="s">
        <v>840</v>
      </c>
      <c r="D167" s="198" t="s">
        <v>722</v>
      </c>
      <c r="E167" s="199">
        <v>2430000000000</v>
      </c>
    </row>
    <row r="168" spans="1:5">
      <c r="A168" s="196">
        <v>44532</v>
      </c>
      <c r="B168" s="197">
        <v>38944.67386574074</v>
      </c>
      <c r="C168" s="198" t="s">
        <v>841</v>
      </c>
      <c r="D168" s="198" t="s">
        <v>722</v>
      </c>
      <c r="E168" s="199">
        <v>1360000000000</v>
      </c>
    </row>
    <row r="169" spans="1:5">
      <c r="A169" s="196">
        <v>44533</v>
      </c>
      <c r="B169" s="197">
        <v>38944.764131944445</v>
      </c>
      <c r="C169" s="198" t="s">
        <v>842</v>
      </c>
      <c r="D169" s="198" t="s">
        <v>722</v>
      </c>
      <c r="E169" s="199">
        <v>1350000000000</v>
      </c>
    </row>
    <row r="170" spans="1:5">
      <c r="A170" s="196">
        <v>44602</v>
      </c>
      <c r="B170" s="197">
        <v>38951.704942129632</v>
      </c>
      <c r="C170" s="198" t="s">
        <v>843</v>
      </c>
      <c r="D170" s="198" t="s">
        <v>722</v>
      </c>
      <c r="E170" s="199">
        <v>1930000000000</v>
      </c>
    </row>
    <row r="171" spans="1:5">
      <c r="A171" s="196">
        <v>44846</v>
      </c>
      <c r="B171" s="197">
        <v>38972.65625</v>
      </c>
      <c r="C171" s="198" t="s">
        <v>844</v>
      </c>
      <c r="D171" s="198" t="s">
        <v>722</v>
      </c>
      <c r="E171" s="199">
        <v>571000000000</v>
      </c>
    </row>
    <row r="172" spans="1:5">
      <c r="A172" s="196">
        <v>44848</v>
      </c>
      <c r="B172" s="197">
        <v>38972.760439814818</v>
      </c>
      <c r="C172" s="198" t="s">
        <v>845</v>
      </c>
      <c r="D172" s="198" t="s">
        <v>722</v>
      </c>
      <c r="E172" s="199">
        <v>500000000000</v>
      </c>
    </row>
    <row r="173" spans="1:5">
      <c r="A173" s="196">
        <v>44945</v>
      </c>
      <c r="B173" s="197">
        <v>38980.605844907404</v>
      </c>
      <c r="C173" s="198" t="s">
        <v>846</v>
      </c>
      <c r="D173" s="198" t="s">
        <v>722</v>
      </c>
      <c r="E173" s="199">
        <v>27700000000</v>
      </c>
    </row>
    <row r="174" spans="1:5">
      <c r="A174" s="196">
        <v>44948</v>
      </c>
      <c r="B174" s="197">
        <v>38980.819421296299</v>
      </c>
      <c r="C174" s="198" t="s">
        <v>847</v>
      </c>
      <c r="D174" s="198" t="s">
        <v>722</v>
      </c>
      <c r="E174" s="199">
        <v>207000000</v>
      </c>
    </row>
    <row r="175" spans="1:5">
      <c r="A175" s="196">
        <v>45009</v>
      </c>
      <c r="B175" s="197">
        <v>38989.583472222221</v>
      </c>
      <c r="C175" s="198" t="s">
        <v>848</v>
      </c>
      <c r="D175" s="198" t="s">
        <v>722</v>
      </c>
      <c r="E175" s="199">
        <v>3940000000</v>
      </c>
    </row>
    <row r="176" spans="1:5">
      <c r="A176" s="196">
        <v>45013</v>
      </c>
      <c r="B176" s="197">
        <v>38989.686979166669</v>
      </c>
      <c r="C176" s="198" t="s">
        <v>849</v>
      </c>
      <c r="D176" s="198" t="s">
        <v>722</v>
      </c>
      <c r="E176" s="199">
        <v>386000000000</v>
      </c>
    </row>
    <row r="177" spans="1:5">
      <c r="A177" s="196">
        <v>45030</v>
      </c>
      <c r="B177" s="197">
        <v>38993.808113425926</v>
      </c>
      <c r="C177" s="198" t="s">
        <v>850</v>
      </c>
      <c r="D177" s="198" t="s">
        <v>722</v>
      </c>
      <c r="E177" s="199">
        <v>132000000</v>
      </c>
    </row>
    <row r="178" spans="1:5">
      <c r="A178" s="196">
        <v>45031</v>
      </c>
      <c r="B178" s="197">
        <v>38993.906666666669</v>
      </c>
      <c r="C178" s="198" t="s">
        <v>851</v>
      </c>
      <c r="D178" s="198" t="s">
        <v>722</v>
      </c>
      <c r="E178" s="199">
        <v>253000000</v>
      </c>
    </row>
    <row r="179" spans="1:5">
      <c r="A179" s="196">
        <v>45096</v>
      </c>
      <c r="B179" s="197">
        <v>39000.554664351854</v>
      </c>
      <c r="C179" s="198" t="s">
        <v>852</v>
      </c>
      <c r="D179" s="198" t="s">
        <v>722</v>
      </c>
      <c r="E179" s="199">
        <v>1130000000</v>
      </c>
    </row>
    <row r="180" spans="1:5">
      <c r="A180" s="196">
        <v>45097</v>
      </c>
      <c r="B180" s="197">
        <v>39000.629965277774</v>
      </c>
      <c r="C180" s="198" t="s">
        <v>853</v>
      </c>
      <c r="D180" s="198" t="s">
        <v>722</v>
      </c>
      <c r="E180" s="199">
        <v>3900000000</v>
      </c>
    </row>
    <row r="181" spans="1:5">
      <c r="A181" s="196">
        <v>45100</v>
      </c>
      <c r="B181" s="197">
        <v>39000.759953703702</v>
      </c>
      <c r="C181" s="198" t="s">
        <v>854</v>
      </c>
      <c r="D181" s="198" t="s">
        <v>722</v>
      </c>
      <c r="E181" s="199">
        <v>2780000000</v>
      </c>
    </row>
    <row r="182" spans="1:5">
      <c r="A182" s="196">
        <v>45661</v>
      </c>
      <c r="B182" s="197">
        <v>39050.500428240739</v>
      </c>
      <c r="C182" s="198" t="s">
        <v>855</v>
      </c>
      <c r="D182" s="198" t="s">
        <v>722</v>
      </c>
      <c r="E182" s="199">
        <v>6560000000</v>
      </c>
    </row>
    <row r="183" spans="1:5">
      <c r="A183" s="196">
        <v>45780</v>
      </c>
      <c r="B183" s="197">
        <v>39058.671307870369</v>
      </c>
      <c r="C183" s="198" t="s">
        <v>856</v>
      </c>
      <c r="D183" s="198" t="s">
        <v>722</v>
      </c>
      <c r="E183" s="199">
        <v>19400000000</v>
      </c>
    </row>
    <row r="184" spans="1:5">
      <c r="A184" s="196">
        <v>45781</v>
      </c>
      <c r="B184" s="197">
        <v>39058.758923611109</v>
      </c>
      <c r="C184" s="198" t="s">
        <v>857</v>
      </c>
      <c r="D184" s="198" t="s">
        <v>722</v>
      </c>
      <c r="E184" s="199">
        <v>19900000000</v>
      </c>
    </row>
    <row r="185" spans="1:5">
      <c r="A185" s="196">
        <v>46056</v>
      </c>
      <c r="B185" s="197">
        <v>39091.54010416667</v>
      </c>
      <c r="C185" s="198" t="s">
        <v>858</v>
      </c>
      <c r="D185" s="198" t="s">
        <v>722</v>
      </c>
      <c r="E185" s="199">
        <v>1570000000</v>
      </c>
    </row>
    <row r="186" spans="1:5">
      <c r="A186" s="196">
        <v>46139</v>
      </c>
      <c r="B186" s="197">
        <v>39098.551469907405</v>
      </c>
      <c r="C186" s="198" t="s">
        <v>859</v>
      </c>
      <c r="D186" s="198" t="s">
        <v>722</v>
      </c>
      <c r="E186" s="199">
        <v>10200000000</v>
      </c>
    </row>
    <row r="187" spans="1:5">
      <c r="A187" s="196">
        <v>46141</v>
      </c>
      <c r="B187" s="197">
        <v>39098.619398148148</v>
      </c>
      <c r="C187" s="198" t="s">
        <v>860</v>
      </c>
      <c r="D187" s="198" t="s">
        <v>722</v>
      </c>
      <c r="E187" s="199">
        <v>9420000000</v>
      </c>
    </row>
    <row r="188" spans="1:5">
      <c r="A188" s="196">
        <v>46520</v>
      </c>
      <c r="B188" s="197">
        <v>39126.598067129627</v>
      </c>
      <c r="C188" s="198" t="s">
        <v>861</v>
      </c>
      <c r="D188" s="198" t="s">
        <v>814</v>
      </c>
      <c r="E188" s="199">
        <v>16300000000</v>
      </c>
    </row>
    <row r="189" spans="1:5">
      <c r="A189" s="196">
        <v>46523</v>
      </c>
      <c r="B189" s="197">
        <v>39126.826041666667</v>
      </c>
      <c r="C189" s="198" t="s">
        <v>862</v>
      </c>
      <c r="D189" s="198" t="s">
        <v>814</v>
      </c>
      <c r="E189" s="199">
        <v>551000000000</v>
      </c>
    </row>
    <row r="190" spans="1:5">
      <c r="A190" s="196">
        <v>46567</v>
      </c>
      <c r="B190" s="197">
        <v>39129.549432870372</v>
      </c>
      <c r="C190" s="198" t="s">
        <v>863</v>
      </c>
      <c r="D190" s="198" t="s">
        <v>814</v>
      </c>
      <c r="E190" s="199">
        <v>18100000000</v>
      </c>
    </row>
    <row r="191" spans="1:5">
      <c r="A191" s="196">
        <v>46784</v>
      </c>
      <c r="B191" s="197">
        <v>39147.630428240744</v>
      </c>
      <c r="C191" s="198" t="s">
        <v>864</v>
      </c>
      <c r="D191" s="198" t="s">
        <v>722</v>
      </c>
      <c r="E191" s="199">
        <v>8600000000</v>
      </c>
    </row>
    <row r="192" spans="1:5">
      <c r="A192" s="196">
        <v>46786</v>
      </c>
      <c r="B192" s="197">
        <v>39147.717245370368</v>
      </c>
      <c r="C192" s="198" t="s">
        <v>865</v>
      </c>
      <c r="D192" s="198" t="s">
        <v>722</v>
      </c>
      <c r="E192" s="199">
        <v>10800000000</v>
      </c>
    </row>
    <row r="193" spans="1:5">
      <c r="A193" s="196">
        <v>46788</v>
      </c>
      <c r="B193" s="197">
        <v>39147.795416666668</v>
      </c>
      <c r="C193" s="198" t="s">
        <v>866</v>
      </c>
      <c r="D193" s="198" t="s">
        <v>722</v>
      </c>
      <c r="E193" s="199">
        <v>17500000000</v>
      </c>
    </row>
    <row r="194" spans="1:5">
      <c r="A194" s="196">
        <v>46857</v>
      </c>
      <c r="B194" s="197">
        <v>39154.548518518517</v>
      </c>
      <c r="C194" s="198" t="s">
        <v>867</v>
      </c>
      <c r="D194" s="198" t="s">
        <v>722</v>
      </c>
      <c r="E194" s="199">
        <v>4470000000</v>
      </c>
    </row>
    <row r="195" spans="1:5">
      <c r="A195" s="196">
        <v>46864</v>
      </c>
      <c r="B195" s="197">
        <v>39154.742407407408</v>
      </c>
      <c r="C195" s="198" t="s">
        <v>868</v>
      </c>
      <c r="D195" s="198" t="s">
        <v>722</v>
      </c>
      <c r="E195" s="199">
        <v>4430000000</v>
      </c>
    </row>
    <row r="196" spans="1:5">
      <c r="A196" s="196">
        <v>46865</v>
      </c>
      <c r="B196" s="197">
        <v>39154.827835648146</v>
      </c>
      <c r="C196" s="198" t="s">
        <v>869</v>
      </c>
      <c r="D196" s="198" t="s">
        <v>722</v>
      </c>
      <c r="E196" s="199">
        <v>99300000000</v>
      </c>
    </row>
    <row r="197" spans="1:5">
      <c r="A197" s="196">
        <v>47101</v>
      </c>
      <c r="B197" s="197">
        <v>39182.611076388886</v>
      </c>
      <c r="C197" s="198" t="s">
        <v>870</v>
      </c>
      <c r="D197" s="198" t="s">
        <v>722</v>
      </c>
      <c r="E197" s="199">
        <v>2690000000</v>
      </c>
    </row>
    <row r="198" spans="1:5">
      <c r="A198" s="196">
        <v>47102</v>
      </c>
      <c r="B198" s="197">
        <v>39182.6871875</v>
      </c>
      <c r="C198" s="198" t="s">
        <v>871</v>
      </c>
      <c r="D198" s="198" t="s">
        <v>722</v>
      </c>
      <c r="E198" s="199">
        <v>1070000000</v>
      </c>
    </row>
    <row r="199" spans="1:5">
      <c r="A199" s="196">
        <v>47105</v>
      </c>
      <c r="B199" s="197">
        <v>39182.790578703702</v>
      </c>
      <c r="C199" s="198" t="s">
        <v>872</v>
      </c>
      <c r="D199" s="198" t="s">
        <v>722</v>
      </c>
      <c r="E199" s="199">
        <v>163000000000</v>
      </c>
    </row>
    <row r="200" spans="1:5">
      <c r="A200" s="196">
        <v>47108</v>
      </c>
      <c r="B200" s="197">
        <v>39182.872210648151</v>
      </c>
      <c r="C200" s="198" t="s">
        <v>873</v>
      </c>
      <c r="D200" s="198" t="s">
        <v>722</v>
      </c>
      <c r="E200" s="199">
        <v>27900000000</v>
      </c>
    </row>
    <row r="201" spans="1:5">
      <c r="A201" s="196">
        <v>47206</v>
      </c>
      <c r="B201" s="197">
        <v>39189.61173611111</v>
      </c>
      <c r="C201" s="198" t="s">
        <v>874</v>
      </c>
      <c r="D201" s="198" t="s">
        <v>722</v>
      </c>
      <c r="E201" s="199">
        <v>7720000000</v>
      </c>
    </row>
    <row r="202" spans="1:5">
      <c r="A202" s="196">
        <v>47210</v>
      </c>
      <c r="B202" s="197">
        <v>39189.697511574072</v>
      </c>
      <c r="C202" s="198" t="s">
        <v>875</v>
      </c>
      <c r="D202" s="198" t="s">
        <v>722</v>
      </c>
      <c r="E202" s="199">
        <v>11200000000</v>
      </c>
    </row>
    <row r="203" spans="1:5">
      <c r="A203" s="196">
        <v>47213</v>
      </c>
      <c r="B203" s="197">
        <v>39189.807696759257</v>
      </c>
      <c r="C203" s="198" t="s">
        <v>876</v>
      </c>
      <c r="D203" s="198" t="s">
        <v>722</v>
      </c>
      <c r="E203" s="199">
        <v>24700000000</v>
      </c>
    </row>
    <row r="204" spans="1:5">
      <c r="A204" s="196">
        <v>47461</v>
      </c>
      <c r="B204" s="197">
        <v>39210.596087962964</v>
      </c>
      <c r="C204" s="198" t="s">
        <v>877</v>
      </c>
      <c r="D204" s="198" t="s">
        <v>722</v>
      </c>
      <c r="E204" s="199">
        <v>2110000000</v>
      </c>
    </row>
    <row r="205" spans="1:5">
      <c r="A205" s="196">
        <v>47462</v>
      </c>
      <c r="B205" s="197">
        <v>39210.673692129632</v>
      </c>
      <c r="C205" s="198" t="s">
        <v>878</v>
      </c>
      <c r="D205" s="198" t="s">
        <v>722</v>
      </c>
      <c r="E205" s="199">
        <v>2480000000</v>
      </c>
    </row>
    <row r="206" spans="1:5">
      <c r="A206" s="196">
        <v>47464</v>
      </c>
      <c r="B206" s="197">
        <v>39210.767638888887</v>
      </c>
      <c r="C206" s="198" t="s">
        <v>879</v>
      </c>
      <c r="D206" s="198" t="s">
        <v>722</v>
      </c>
      <c r="E206" s="199">
        <v>54300000000</v>
      </c>
    </row>
    <row r="207" spans="1:5">
      <c r="A207" s="196">
        <v>47566</v>
      </c>
      <c r="B207" s="197">
        <v>39219.734664351854</v>
      </c>
      <c r="C207" s="198" t="s">
        <v>880</v>
      </c>
      <c r="D207" s="198" t="s">
        <v>722</v>
      </c>
      <c r="E207" s="199">
        <v>13300000000</v>
      </c>
    </row>
    <row r="208" spans="1:5">
      <c r="A208" s="196">
        <v>47568</v>
      </c>
      <c r="B208" s="197">
        <v>39219.798680555556</v>
      </c>
      <c r="C208" s="198" t="s">
        <v>881</v>
      </c>
      <c r="D208" s="198" t="s">
        <v>722</v>
      </c>
      <c r="E208" s="199">
        <v>21500000000</v>
      </c>
    </row>
    <row r="209" spans="1:5">
      <c r="A209" s="196">
        <v>47575</v>
      </c>
      <c r="B209" s="197">
        <v>39219.885717592595</v>
      </c>
      <c r="C209" s="198" t="s">
        <v>882</v>
      </c>
      <c r="D209" s="198" t="s">
        <v>722</v>
      </c>
      <c r="E209" s="199">
        <v>1090000000000</v>
      </c>
    </row>
    <row r="210" spans="1:5">
      <c r="A210" s="196">
        <v>47799</v>
      </c>
      <c r="B210" s="197">
        <v>39239.56354166667</v>
      </c>
      <c r="C210" s="198" t="s">
        <v>883</v>
      </c>
      <c r="D210" s="198" t="s">
        <v>722</v>
      </c>
      <c r="E210" s="199">
        <v>23400000000</v>
      </c>
    </row>
    <row r="211" spans="1:5">
      <c r="A211" s="196">
        <v>47895</v>
      </c>
      <c r="B211" s="197">
        <v>39247.593495370369</v>
      </c>
      <c r="C211" s="198" t="s">
        <v>884</v>
      </c>
      <c r="D211" s="198" t="s">
        <v>722</v>
      </c>
      <c r="E211" s="199">
        <v>268000000000</v>
      </c>
    </row>
    <row r="212" spans="1:5">
      <c r="A212" s="196">
        <v>48030</v>
      </c>
      <c r="B212" s="197">
        <v>39268.591550925928</v>
      </c>
      <c r="C212" s="198" t="s">
        <v>885</v>
      </c>
      <c r="D212" s="198" t="s">
        <v>722</v>
      </c>
      <c r="E212" s="199">
        <v>179000000000</v>
      </c>
    </row>
    <row r="213" spans="1:5">
      <c r="A213" s="196">
        <v>48031</v>
      </c>
      <c r="B213" s="197">
        <v>39268.675023148149</v>
      </c>
      <c r="C213" s="198" t="s">
        <v>886</v>
      </c>
      <c r="D213" s="198" t="s">
        <v>722</v>
      </c>
      <c r="E213" s="199">
        <v>217000000000</v>
      </c>
    </row>
    <row r="214" spans="1:5">
      <c r="A214" s="196">
        <v>48060</v>
      </c>
      <c r="B214" s="197">
        <v>39273.527372685188</v>
      </c>
      <c r="C214" s="198" t="s">
        <v>887</v>
      </c>
      <c r="D214" s="198" t="s">
        <v>888</v>
      </c>
      <c r="E214" s="199">
        <v>349000000000</v>
      </c>
    </row>
    <row r="215" spans="1:5">
      <c r="A215" s="196">
        <v>48301</v>
      </c>
      <c r="B215" s="197">
        <v>39294.700567129628</v>
      </c>
      <c r="C215" s="198" t="s">
        <v>889</v>
      </c>
      <c r="D215" s="198" t="s">
        <v>890</v>
      </c>
      <c r="E215" s="199">
        <v>2300000000</v>
      </c>
    </row>
    <row r="216" spans="1:5">
      <c r="A216" s="196">
        <v>48303</v>
      </c>
      <c r="B216" s="197">
        <v>39294.787141203706</v>
      </c>
      <c r="C216" s="198" t="s">
        <v>891</v>
      </c>
      <c r="D216" s="198" t="s">
        <v>892</v>
      </c>
      <c r="E216" s="199">
        <v>3590000000</v>
      </c>
    </row>
    <row r="217" spans="1:5">
      <c r="A217" s="196">
        <v>48304</v>
      </c>
      <c r="B217" s="197">
        <v>39294.855300925927</v>
      </c>
      <c r="C217" s="198" t="s">
        <v>893</v>
      </c>
      <c r="D217" s="198" t="s">
        <v>888</v>
      </c>
      <c r="E217" s="199">
        <v>1600000000000</v>
      </c>
    </row>
    <row r="218" spans="1:5">
      <c r="A218" s="196">
        <v>48385</v>
      </c>
      <c r="B218" s="197">
        <v>39301.607546296298</v>
      </c>
      <c r="C218" s="198" t="s">
        <v>894</v>
      </c>
      <c r="D218" s="198" t="s">
        <v>892</v>
      </c>
      <c r="E218" s="199">
        <v>1510000000</v>
      </c>
    </row>
    <row r="219" spans="1:5">
      <c r="A219" s="196">
        <v>48386</v>
      </c>
      <c r="B219" s="197">
        <v>39301.677777777775</v>
      </c>
      <c r="C219" s="198" t="s">
        <v>895</v>
      </c>
      <c r="D219" s="198" t="s">
        <v>896</v>
      </c>
      <c r="E219" s="199">
        <v>3380000000</v>
      </c>
    </row>
    <row r="220" spans="1:5">
      <c r="A220" s="196">
        <v>48388</v>
      </c>
      <c r="B220" s="197">
        <v>39301.770462962966</v>
      </c>
      <c r="C220" s="198" t="s">
        <v>897</v>
      </c>
      <c r="D220" s="198" t="s">
        <v>890</v>
      </c>
      <c r="E220" s="199">
        <v>1120000000</v>
      </c>
    </row>
    <row r="221" spans="1:5">
      <c r="A221" s="196">
        <v>48390</v>
      </c>
      <c r="B221" s="197">
        <v>39301.871886574074</v>
      </c>
      <c r="C221" s="198" t="s">
        <v>898</v>
      </c>
      <c r="D221" s="198" t="s">
        <v>888</v>
      </c>
      <c r="E221" s="199">
        <v>240000000000</v>
      </c>
    </row>
    <row r="222" spans="1:5">
      <c r="A222" s="196">
        <v>48657</v>
      </c>
      <c r="B222" s="197">
        <v>39322.610347222224</v>
      </c>
      <c r="C222" s="198" t="s">
        <v>899</v>
      </c>
      <c r="D222" s="198" t="s">
        <v>892</v>
      </c>
      <c r="E222" s="199">
        <v>4110000000</v>
      </c>
    </row>
    <row r="223" spans="1:5">
      <c r="A223" s="196">
        <v>48660</v>
      </c>
      <c r="B223" s="197">
        <v>39322.707060185188</v>
      </c>
      <c r="C223" s="198" t="s">
        <v>900</v>
      </c>
      <c r="D223" s="198" t="s">
        <v>890</v>
      </c>
      <c r="E223" s="199">
        <v>2410000000</v>
      </c>
    </row>
    <row r="224" spans="1:5">
      <c r="A224" s="196">
        <v>48662</v>
      </c>
      <c r="B224" s="197">
        <v>39322.795486111114</v>
      </c>
      <c r="C224" s="198" t="s">
        <v>901</v>
      </c>
      <c r="D224" s="198" t="s">
        <v>888</v>
      </c>
      <c r="E224" s="199">
        <v>139000000000</v>
      </c>
    </row>
    <row r="225" spans="1:5">
      <c r="A225" s="196">
        <v>48730</v>
      </c>
      <c r="B225" s="197">
        <v>39330.566979166666</v>
      </c>
      <c r="C225" s="198" t="s">
        <v>902</v>
      </c>
      <c r="D225" s="198" t="s">
        <v>896</v>
      </c>
      <c r="E225" s="199">
        <v>812000000</v>
      </c>
    </row>
    <row r="226" spans="1:5">
      <c r="A226" s="196">
        <v>48731</v>
      </c>
      <c r="B226" s="197">
        <v>39330.622245370374</v>
      </c>
      <c r="C226" s="198" t="s">
        <v>903</v>
      </c>
      <c r="D226" s="198" t="s">
        <v>890</v>
      </c>
      <c r="E226" s="199">
        <v>565000000</v>
      </c>
    </row>
    <row r="227" spans="1:5">
      <c r="A227" s="196">
        <v>48732</v>
      </c>
      <c r="B227" s="197">
        <v>39330.703993055555</v>
      </c>
      <c r="C227" s="198" t="s">
        <v>904</v>
      </c>
      <c r="D227" s="198" t="s">
        <v>892</v>
      </c>
      <c r="E227" s="199">
        <v>1410000000</v>
      </c>
    </row>
    <row r="228" spans="1:5">
      <c r="A228" s="196">
        <v>48734</v>
      </c>
      <c r="B228" s="197">
        <v>39330.813020833331</v>
      </c>
      <c r="C228" s="198" t="s">
        <v>905</v>
      </c>
      <c r="D228" s="198" t="s">
        <v>888</v>
      </c>
      <c r="E228" s="199">
        <v>1430000000000</v>
      </c>
    </row>
    <row r="229" spans="1:5">
      <c r="A229" s="196">
        <v>49035</v>
      </c>
      <c r="B229" s="197">
        <v>39358.566620370373</v>
      </c>
      <c r="C229" s="198" t="s">
        <v>906</v>
      </c>
      <c r="D229" s="198" t="s">
        <v>888</v>
      </c>
      <c r="E229" s="199">
        <v>401000000000</v>
      </c>
    </row>
    <row r="230" spans="1:5">
      <c r="A230" s="196">
        <v>49101</v>
      </c>
      <c r="B230" s="197">
        <v>39365.708310185182</v>
      </c>
      <c r="C230" s="198" t="s">
        <v>907</v>
      </c>
      <c r="D230" s="198" t="s">
        <v>892</v>
      </c>
      <c r="E230" s="199">
        <v>2810000000</v>
      </c>
    </row>
    <row r="231" spans="1:5">
      <c r="A231" s="196">
        <v>49103</v>
      </c>
      <c r="B231" s="197">
        <v>39365.778541666667</v>
      </c>
      <c r="C231" s="198" t="s">
        <v>908</v>
      </c>
      <c r="D231" s="198" t="s">
        <v>890</v>
      </c>
      <c r="E231" s="199">
        <v>1620000000</v>
      </c>
    </row>
    <row r="232" spans="1:5">
      <c r="A232" s="196">
        <v>49152</v>
      </c>
      <c r="B232" s="197">
        <v>39372.607303240744</v>
      </c>
      <c r="C232" s="198" t="s">
        <v>909</v>
      </c>
      <c r="D232" s="198" t="s">
        <v>890</v>
      </c>
      <c r="E232" s="199">
        <v>5160000000</v>
      </c>
    </row>
    <row r="233" spans="1:5">
      <c r="A233" s="196">
        <v>49156</v>
      </c>
      <c r="B233" s="197">
        <v>39372.829513888886</v>
      </c>
      <c r="C233" s="198" t="s">
        <v>910</v>
      </c>
      <c r="D233" s="198" t="s">
        <v>888</v>
      </c>
      <c r="E233" s="199">
        <v>171000000000</v>
      </c>
    </row>
    <row r="234" spans="1:5">
      <c r="A234" s="196">
        <v>49314</v>
      </c>
      <c r="B234" s="197">
        <v>39385.571250000001</v>
      </c>
      <c r="C234" s="198" t="s">
        <v>911</v>
      </c>
      <c r="D234" s="198" t="s">
        <v>890</v>
      </c>
      <c r="E234" s="199">
        <v>2290000000</v>
      </c>
    </row>
    <row r="235" spans="1:5">
      <c r="A235" s="196">
        <v>49316</v>
      </c>
      <c r="B235" s="197">
        <v>39385.635729166665</v>
      </c>
      <c r="C235" s="198" t="s">
        <v>912</v>
      </c>
      <c r="D235" s="198" t="s">
        <v>896</v>
      </c>
      <c r="E235" s="199">
        <v>5340000000</v>
      </c>
    </row>
    <row r="236" spans="1:5">
      <c r="A236" s="196">
        <v>49318</v>
      </c>
      <c r="B236" s="197">
        <v>39385.70952546296</v>
      </c>
      <c r="C236" s="198" t="s">
        <v>913</v>
      </c>
      <c r="D236" s="198" t="s">
        <v>892</v>
      </c>
      <c r="E236" s="199">
        <v>8470000000</v>
      </c>
    </row>
    <row r="237" spans="1:5">
      <c r="A237" s="196">
        <v>49425</v>
      </c>
      <c r="B237" s="197">
        <v>39393.643252314818</v>
      </c>
      <c r="C237" s="198" t="s">
        <v>914</v>
      </c>
      <c r="D237" s="198" t="s">
        <v>892</v>
      </c>
      <c r="E237" s="200"/>
    </row>
    <row r="238" spans="1:5">
      <c r="A238" s="196">
        <v>49431</v>
      </c>
      <c r="B238" s="197">
        <v>39393.751018518517</v>
      </c>
      <c r="C238" s="198" t="s">
        <v>915</v>
      </c>
      <c r="D238" s="198" t="s">
        <v>890</v>
      </c>
      <c r="E238" s="199">
        <v>1770000000</v>
      </c>
    </row>
    <row r="239" spans="1:5">
      <c r="A239" s="196">
        <v>49434</v>
      </c>
      <c r="B239" s="197">
        <v>39393.815023148149</v>
      </c>
      <c r="C239" s="198" t="s">
        <v>916</v>
      </c>
      <c r="D239" s="198" t="s">
        <v>896</v>
      </c>
      <c r="E239" s="199">
        <v>2320000000</v>
      </c>
    </row>
    <row r="240" spans="1:5">
      <c r="A240" s="196">
        <v>49598</v>
      </c>
      <c r="B240" s="197">
        <v>39413.633159722223</v>
      </c>
      <c r="C240" s="198" t="s">
        <v>917</v>
      </c>
      <c r="D240" s="198" t="s">
        <v>890</v>
      </c>
      <c r="E240" s="199">
        <v>6870000000</v>
      </c>
    </row>
    <row r="241" spans="1:5">
      <c r="A241" s="196">
        <v>49599</v>
      </c>
      <c r="B241" s="197">
        <v>39413.723657407405</v>
      </c>
      <c r="C241" s="198" t="s">
        <v>918</v>
      </c>
      <c r="D241" s="198" t="s">
        <v>896</v>
      </c>
      <c r="E241" s="199">
        <v>8820000000</v>
      </c>
    </row>
    <row r="242" spans="1:5">
      <c r="A242" s="196">
        <v>49682</v>
      </c>
      <c r="B242" s="197">
        <v>39420.621840277781</v>
      </c>
      <c r="C242" s="198" t="s">
        <v>919</v>
      </c>
      <c r="D242" s="198" t="s">
        <v>890</v>
      </c>
      <c r="E242" s="199">
        <v>11700000000</v>
      </c>
    </row>
    <row r="243" spans="1:5">
      <c r="A243" s="196">
        <v>49683</v>
      </c>
      <c r="B243" s="197">
        <v>39420.747106481482</v>
      </c>
      <c r="C243" s="198" t="s">
        <v>920</v>
      </c>
      <c r="D243" s="198" t="s">
        <v>892</v>
      </c>
      <c r="E243" s="199">
        <v>17900000000</v>
      </c>
    </row>
    <row r="244" spans="1:5">
      <c r="A244" s="196">
        <v>49684</v>
      </c>
      <c r="B244" s="197">
        <v>39420.804907407408</v>
      </c>
      <c r="C244" s="198" t="s">
        <v>921</v>
      </c>
      <c r="D244" s="198" t="s">
        <v>896</v>
      </c>
      <c r="E244" s="199">
        <v>7220000000</v>
      </c>
    </row>
    <row r="245" spans="1:5">
      <c r="A245" s="196">
        <v>49936</v>
      </c>
      <c r="B245" s="197">
        <v>39455.770532407405</v>
      </c>
      <c r="C245" s="198" t="s">
        <v>922</v>
      </c>
      <c r="D245" s="198" t="s">
        <v>890</v>
      </c>
      <c r="E245" s="199">
        <v>18600000000</v>
      </c>
    </row>
    <row r="246" spans="1:5">
      <c r="A246" s="196">
        <v>49937</v>
      </c>
      <c r="B246" s="197">
        <v>39455.824074074073</v>
      </c>
      <c r="C246" s="198" t="s">
        <v>923</v>
      </c>
      <c r="D246" s="198" t="s">
        <v>892</v>
      </c>
      <c r="E246" s="199">
        <v>55600000000</v>
      </c>
    </row>
    <row r="247" spans="1:5">
      <c r="A247" s="196">
        <v>50016</v>
      </c>
      <c r="B247" s="197">
        <v>39462.50476851852</v>
      </c>
      <c r="C247" s="198" t="s">
        <v>924</v>
      </c>
      <c r="D247" s="198" t="s">
        <v>888</v>
      </c>
      <c r="E247" s="200"/>
    </row>
    <row r="248" spans="1:5">
      <c r="A248" s="196">
        <v>50020</v>
      </c>
      <c r="B248" s="197">
        <v>39462.68241898148</v>
      </c>
      <c r="C248" s="198" t="s">
        <v>925</v>
      </c>
      <c r="D248" s="198" t="s">
        <v>892</v>
      </c>
      <c r="E248" s="199">
        <v>5300000000</v>
      </c>
    </row>
    <row r="249" spans="1:5">
      <c r="A249" s="196">
        <v>50022</v>
      </c>
      <c r="B249" s="197">
        <v>39462.753229166665</v>
      </c>
      <c r="C249" s="198" t="s">
        <v>926</v>
      </c>
      <c r="D249" s="198" t="s">
        <v>890</v>
      </c>
      <c r="E249" s="199">
        <v>9050000000</v>
      </c>
    </row>
    <row r="250" spans="1:5">
      <c r="A250" s="196">
        <v>50024</v>
      </c>
      <c r="B250" s="197">
        <v>39462.83520833333</v>
      </c>
      <c r="C250" s="198" t="s">
        <v>927</v>
      </c>
      <c r="D250" s="198" t="s">
        <v>896</v>
      </c>
      <c r="E250" s="199">
        <v>5630000000</v>
      </c>
    </row>
    <row r="251" spans="1:5">
      <c r="A251" s="196">
        <v>50266</v>
      </c>
      <c r="B251" s="197">
        <v>39483.635567129626</v>
      </c>
      <c r="C251" s="198" t="s">
        <v>928</v>
      </c>
      <c r="D251" s="198" t="s">
        <v>892</v>
      </c>
      <c r="E251" s="199">
        <v>2080000000</v>
      </c>
    </row>
    <row r="252" spans="1:5">
      <c r="A252" s="196">
        <v>50267</v>
      </c>
      <c r="B252" s="197">
        <v>39483.768553240741</v>
      </c>
      <c r="C252" s="198" t="s">
        <v>929</v>
      </c>
      <c r="D252" s="198" t="s">
        <v>890</v>
      </c>
      <c r="E252" s="199">
        <v>2490000000</v>
      </c>
    </row>
    <row r="253" spans="1:5">
      <c r="A253" s="196">
        <v>50268</v>
      </c>
      <c r="B253" s="197">
        <v>39483.830034722225</v>
      </c>
      <c r="C253" s="198" t="s">
        <v>930</v>
      </c>
      <c r="D253" s="198" t="s">
        <v>896</v>
      </c>
      <c r="E253" s="199">
        <v>965000000</v>
      </c>
    </row>
    <row r="254" spans="1:5">
      <c r="A254" s="196">
        <v>50343</v>
      </c>
      <c r="B254" s="197">
        <v>39490.601574074077</v>
      </c>
      <c r="C254" s="198" t="s">
        <v>931</v>
      </c>
      <c r="D254" s="198" t="s">
        <v>896</v>
      </c>
      <c r="E254" s="199">
        <v>6940000000</v>
      </c>
    </row>
    <row r="255" spans="1:5">
      <c r="A255" s="196">
        <v>50344</v>
      </c>
      <c r="B255" s="197">
        <v>39490.705879629626</v>
      </c>
      <c r="C255" s="198" t="s">
        <v>932</v>
      </c>
      <c r="D255" s="198" t="s">
        <v>890</v>
      </c>
      <c r="E255" s="199">
        <v>1990000000</v>
      </c>
    </row>
    <row r="256" spans="1:5">
      <c r="A256" s="196">
        <v>50512</v>
      </c>
      <c r="B256" s="197">
        <v>39511.519270833334</v>
      </c>
      <c r="C256" s="198" t="s">
        <v>933</v>
      </c>
      <c r="D256" s="198" t="s">
        <v>890</v>
      </c>
      <c r="E256" s="199">
        <v>11900000000</v>
      </c>
    </row>
    <row r="257" spans="1:5">
      <c r="A257" s="196">
        <v>50514</v>
      </c>
      <c r="B257" s="197">
        <v>39511.744016203702</v>
      </c>
      <c r="C257" s="198" t="s">
        <v>934</v>
      </c>
      <c r="D257" s="198" t="s">
        <v>896</v>
      </c>
      <c r="E257" s="199">
        <v>7630000000</v>
      </c>
    </row>
    <row r="258" spans="1:5">
      <c r="A258" s="196">
        <v>50515</v>
      </c>
      <c r="B258" s="197">
        <v>39511.805034722223</v>
      </c>
      <c r="C258" s="198" t="s">
        <v>935</v>
      </c>
      <c r="D258" s="198" t="s">
        <v>888</v>
      </c>
      <c r="E258" s="199">
        <v>228000000000</v>
      </c>
    </row>
    <row r="259" spans="1:5">
      <c r="A259" s="196">
        <v>50575</v>
      </c>
      <c r="B259" s="197">
        <v>39518.673634259256</v>
      </c>
      <c r="C259" s="198" t="s">
        <v>936</v>
      </c>
      <c r="D259" s="198" t="s">
        <v>890</v>
      </c>
      <c r="E259" s="199">
        <v>32500000000</v>
      </c>
    </row>
    <row r="260" spans="1:5">
      <c r="A260" s="196">
        <v>50577</v>
      </c>
      <c r="B260" s="197">
        <v>39518.799131944441</v>
      </c>
      <c r="C260" s="198" t="s">
        <v>937</v>
      </c>
      <c r="D260" s="198" t="s">
        <v>892</v>
      </c>
      <c r="E260" s="199">
        <v>12900000</v>
      </c>
    </row>
    <row r="261" spans="1:5">
      <c r="A261" s="196">
        <v>50856</v>
      </c>
      <c r="B261" s="197">
        <v>39548.452800925923</v>
      </c>
      <c r="C261" s="198" t="s">
        <v>938</v>
      </c>
      <c r="D261" s="198" t="s">
        <v>892</v>
      </c>
      <c r="E261" s="199">
        <v>3410000000</v>
      </c>
    </row>
    <row r="262" spans="1:5">
      <c r="A262" s="196">
        <v>50859</v>
      </c>
      <c r="B262" s="197">
        <v>39548.591770833336</v>
      </c>
      <c r="C262" s="198" t="s">
        <v>939</v>
      </c>
      <c r="D262" s="198" t="s">
        <v>890</v>
      </c>
      <c r="E262" s="199">
        <v>3780000000</v>
      </c>
    </row>
    <row r="263" spans="1:5">
      <c r="A263" s="196">
        <v>50860</v>
      </c>
      <c r="B263" s="197">
        <v>39548.662002314813</v>
      </c>
      <c r="C263" s="198" t="s">
        <v>940</v>
      </c>
      <c r="D263" s="198" t="s">
        <v>896</v>
      </c>
      <c r="E263" s="199">
        <v>2140000000</v>
      </c>
    </row>
    <row r="264" spans="1:5">
      <c r="A264" s="196">
        <v>51045</v>
      </c>
      <c r="B264" s="197">
        <v>39567.48400462963</v>
      </c>
      <c r="C264" s="198" t="s">
        <v>941</v>
      </c>
      <c r="D264" s="198" t="s">
        <v>890</v>
      </c>
      <c r="E264" s="199">
        <v>5650000000</v>
      </c>
    </row>
    <row r="265" spans="1:5">
      <c r="A265" s="196">
        <v>51048</v>
      </c>
      <c r="B265" s="197">
        <v>39567.750428240739</v>
      </c>
      <c r="C265" s="198" t="s">
        <v>942</v>
      </c>
      <c r="D265" s="198" t="s">
        <v>888</v>
      </c>
      <c r="E265" s="199">
        <v>31000000000</v>
      </c>
    </row>
    <row r="266" spans="1:5">
      <c r="A266" s="196">
        <v>51226</v>
      </c>
      <c r="B266" s="197">
        <v>39581.541863425926</v>
      </c>
      <c r="C266" s="198" t="s">
        <v>943</v>
      </c>
      <c r="D266" s="198" t="s">
        <v>890</v>
      </c>
      <c r="E266" s="199">
        <v>11600000000</v>
      </c>
    </row>
    <row r="267" spans="1:5">
      <c r="A267" s="196">
        <v>51227</v>
      </c>
      <c r="B267" s="197">
        <v>39581.638229166667</v>
      </c>
      <c r="C267" s="198" t="s">
        <v>944</v>
      </c>
      <c r="D267" s="198" t="s">
        <v>896</v>
      </c>
      <c r="E267" s="199">
        <v>7870000000</v>
      </c>
    </row>
    <row r="268" spans="1:5">
      <c r="A268" s="196">
        <v>51228</v>
      </c>
      <c r="B268" s="197">
        <v>39581.695567129631</v>
      </c>
      <c r="C268" s="198" t="s">
        <v>945</v>
      </c>
      <c r="D268" s="198" t="s">
        <v>892</v>
      </c>
      <c r="E268" s="199">
        <v>12700000000</v>
      </c>
    </row>
    <row r="269" spans="1:5">
      <c r="A269" s="196">
        <v>51230</v>
      </c>
      <c r="B269" s="197">
        <v>39581.83556712963</v>
      </c>
      <c r="C269" s="198" t="s">
        <v>946</v>
      </c>
      <c r="D269" s="198" t="s">
        <v>888</v>
      </c>
      <c r="E269" s="199">
        <v>17200000000</v>
      </c>
    </row>
    <row r="270" spans="1:5">
      <c r="A270" s="196">
        <v>51280</v>
      </c>
      <c r="B270" s="197">
        <v>39588.536527777775</v>
      </c>
      <c r="C270" s="198" t="s">
        <v>947</v>
      </c>
      <c r="D270" s="198" t="s">
        <v>892</v>
      </c>
      <c r="E270" s="199">
        <v>38800000000</v>
      </c>
    </row>
    <row r="271" spans="1:5">
      <c r="A271" s="196">
        <v>51283</v>
      </c>
      <c r="B271" s="197">
        <v>39588.634502314817</v>
      </c>
      <c r="C271" s="198" t="s">
        <v>948</v>
      </c>
      <c r="D271" s="198" t="s">
        <v>896</v>
      </c>
      <c r="E271" s="199">
        <v>18700000000</v>
      </c>
    </row>
    <row r="272" spans="1:5">
      <c r="A272" s="196">
        <v>51285</v>
      </c>
      <c r="B272" s="197">
        <v>39588.693564814814</v>
      </c>
      <c r="C272" s="198" t="s">
        <v>949</v>
      </c>
      <c r="D272" s="198" t="s">
        <v>890</v>
      </c>
      <c r="E272" s="199">
        <v>2610000000</v>
      </c>
    </row>
    <row r="273" spans="1:5">
      <c r="A273" s="196">
        <v>51289</v>
      </c>
      <c r="B273" s="197">
        <v>39588.786944444444</v>
      </c>
      <c r="C273" s="198" t="s">
        <v>950</v>
      </c>
      <c r="D273" s="198" t="s">
        <v>888</v>
      </c>
      <c r="E273" s="199">
        <v>67000000000</v>
      </c>
    </row>
    <row r="274" spans="1:5">
      <c r="A274" s="196">
        <v>51372</v>
      </c>
      <c r="B274" s="197">
        <v>39597.549502314818</v>
      </c>
      <c r="C274" s="198" t="s">
        <v>951</v>
      </c>
      <c r="D274" s="198" t="s">
        <v>890</v>
      </c>
      <c r="E274" s="199">
        <v>11500000000</v>
      </c>
    </row>
    <row r="275" spans="1:5">
      <c r="A275" s="196">
        <v>51374</v>
      </c>
      <c r="B275" s="197">
        <v>39597.699756944443</v>
      </c>
      <c r="C275" s="198" t="s">
        <v>952</v>
      </c>
      <c r="D275" s="198" t="s">
        <v>896</v>
      </c>
      <c r="E275" s="199">
        <v>20700000000</v>
      </c>
    </row>
    <row r="276" spans="1:5" ht="30">
      <c r="A276" s="196">
        <v>51376</v>
      </c>
      <c r="B276" s="197">
        <v>39597.811782407407</v>
      </c>
      <c r="C276" s="198" t="s">
        <v>953</v>
      </c>
      <c r="D276" s="198" t="s">
        <v>888</v>
      </c>
      <c r="E276" s="199">
        <v>10400000000</v>
      </c>
    </row>
    <row r="277" spans="1:5">
      <c r="A277" s="196">
        <v>51733</v>
      </c>
      <c r="B277" s="197">
        <v>39637.536759259259</v>
      </c>
      <c r="C277" s="198" t="s">
        <v>954</v>
      </c>
      <c r="D277" s="198" t="s">
        <v>896</v>
      </c>
      <c r="E277" s="199">
        <v>414000000</v>
      </c>
    </row>
    <row r="278" spans="1:5">
      <c r="A278" s="196">
        <v>51734</v>
      </c>
      <c r="B278" s="197">
        <v>39637.655578703707</v>
      </c>
      <c r="C278" s="198" t="s">
        <v>955</v>
      </c>
      <c r="D278" s="198" t="s">
        <v>890</v>
      </c>
      <c r="E278" s="199">
        <v>4560000000</v>
      </c>
    </row>
    <row r="279" spans="1:5">
      <c r="A279" s="196">
        <v>51736</v>
      </c>
      <c r="B279" s="197">
        <v>39637.714525462965</v>
      </c>
      <c r="C279" s="198" t="s">
        <v>956</v>
      </c>
      <c r="D279" s="198" t="s">
        <v>892</v>
      </c>
      <c r="E279" s="199">
        <v>3250000000</v>
      </c>
    </row>
    <row r="280" spans="1:5">
      <c r="A280" s="196">
        <v>51739</v>
      </c>
      <c r="B280" s="197">
        <v>39637.777962962966</v>
      </c>
      <c r="C280" s="198" t="s">
        <v>957</v>
      </c>
      <c r="D280" s="198" t="s">
        <v>888</v>
      </c>
      <c r="E280" s="199">
        <v>132000000000</v>
      </c>
    </row>
    <row r="281" spans="1:5">
      <c r="A281" s="196">
        <v>51835</v>
      </c>
      <c r="B281" s="197">
        <v>39644.63181712963</v>
      </c>
      <c r="C281" s="198" t="s">
        <v>958</v>
      </c>
      <c r="D281" s="198" t="s">
        <v>890</v>
      </c>
      <c r="E281" s="199">
        <v>8010000000</v>
      </c>
    </row>
    <row r="282" spans="1:5">
      <c r="A282" s="196">
        <v>52051</v>
      </c>
      <c r="B282" s="197">
        <v>39665.651863425926</v>
      </c>
      <c r="C282" s="198" t="s">
        <v>959</v>
      </c>
      <c r="D282" s="198" t="s">
        <v>890</v>
      </c>
      <c r="E282" s="199">
        <v>7980000000</v>
      </c>
    </row>
    <row r="283" spans="1:5">
      <c r="A283" s="196">
        <v>52052</v>
      </c>
      <c r="B283" s="197">
        <v>39665.720254629632</v>
      </c>
      <c r="C283" s="198" t="s">
        <v>960</v>
      </c>
      <c r="D283" s="198" t="s">
        <v>896</v>
      </c>
      <c r="E283" s="199">
        <v>20100000000</v>
      </c>
    </row>
    <row r="284" spans="1:5" ht="30">
      <c r="A284" s="196">
        <v>52340</v>
      </c>
      <c r="B284" s="197">
        <v>39714.522118055553</v>
      </c>
      <c r="C284" s="198" t="s">
        <v>961</v>
      </c>
      <c r="D284" s="198" t="s">
        <v>888</v>
      </c>
      <c r="E284" s="200"/>
    </row>
    <row r="285" spans="1:5">
      <c r="A285" s="196">
        <v>52343</v>
      </c>
      <c r="B285" s="197">
        <v>39714.697928240741</v>
      </c>
      <c r="C285" s="198" t="s">
        <v>962</v>
      </c>
      <c r="D285" s="198" t="s">
        <v>892</v>
      </c>
      <c r="E285" s="200"/>
    </row>
    <row r="286" spans="1:5">
      <c r="A286" s="196">
        <v>52344</v>
      </c>
      <c r="B286" s="197">
        <v>39714.791759259257</v>
      </c>
      <c r="C286" s="198" t="s">
        <v>963</v>
      </c>
      <c r="D286" s="198" t="s">
        <v>890</v>
      </c>
      <c r="E286" s="200"/>
    </row>
    <row r="287" spans="1:5">
      <c r="A287" s="196">
        <v>52411</v>
      </c>
      <c r="B287" s="197">
        <v>39721.778136574074</v>
      </c>
      <c r="C287" s="198" t="s">
        <v>964</v>
      </c>
      <c r="D287" s="198" t="s">
        <v>896</v>
      </c>
      <c r="E287" s="200"/>
    </row>
    <row r="288" spans="1:5">
      <c r="A288" s="196">
        <v>52412</v>
      </c>
      <c r="B288" s="197">
        <v>39721.840428240743</v>
      </c>
      <c r="C288" s="198" t="s">
        <v>965</v>
      </c>
      <c r="D288" s="198" t="s">
        <v>892</v>
      </c>
      <c r="E288" s="200"/>
    </row>
    <row r="289" spans="1:5">
      <c r="A289" s="196">
        <v>52505</v>
      </c>
      <c r="B289" s="197">
        <v>39730.510914351849</v>
      </c>
      <c r="C289" s="198" t="s">
        <v>966</v>
      </c>
      <c r="D289" s="198" t="s">
        <v>890</v>
      </c>
      <c r="E289" s="199">
        <v>6520000000</v>
      </c>
    </row>
    <row r="290" spans="1:5">
      <c r="A290" s="196">
        <v>52507</v>
      </c>
      <c r="B290" s="197">
        <v>39730.57607638889</v>
      </c>
      <c r="C290" s="198" t="s">
        <v>967</v>
      </c>
      <c r="D290" s="198" t="s">
        <v>896</v>
      </c>
      <c r="E290" s="199">
        <v>20400000000</v>
      </c>
    </row>
    <row r="291" spans="1:5">
      <c r="A291" s="196">
        <v>52509</v>
      </c>
      <c r="B291" s="197">
        <v>39730.747743055559</v>
      </c>
      <c r="C291" s="198" t="s">
        <v>968</v>
      </c>
      <c r="D291" s="198" t="s">
        <v>888</v>
      </c>
      <c r="E291" s="199">
        <v>4400000000000</v>
      </c>
    </row>
    <row r="292" spans="1:5">
      <c r="A292" s="196">
        <v>52646</v>
      </c>
      <c r="B292" s="197">
        <v>39743.505601851852</v>
      </c>
      <c r="C292" s="198" t="s">
        <v>969</v>
      </c>
      <c r="D292" s="198" t="s">
        <v>896</v>
      </c>
      <c r="E292" s="200"/>
    </row>
    <row r="293" spans="1:5">
      <c r="A293" s="196">
        <v>52647</v>
      </c>
      <c r="B293" s="197">
        <v>39743.569386574076</v>
      </c>
      <c r="C293" s="198" t="s">
        <v>970</v>
      </c>
      <c r="D293" s="198" t="s">
        <v>890</v>
      </c>
      <c r="E293" s="200"/>
    </row>
    <row r="294" spans="1:5">
      <c r="A294" s="196">
        <v>52648</v>
      </c>
      <c r="B294" s="197">
        <v>39743.639386574076</v>
      </c>
      <c r="C294" s="198" t="s">
        <v>971</v>
      </c>
      <c r="D294" s="198" t="s">
        <v>892</v>
      </c>
      <c r="E294" s="200"/>
    </row>
    <row r="295" spans="1:5">
      <c r="A295" s="196">
        <v>52650</v>
      </c>
      <c r="B295" s="197">
        <v>39743.85491898148</v>
      </c>
      <c r="C295" s="198" t="s">
        <v>972</v>
      </c>
      <c r="D295" s="198" t="s">
        <v>888</v>
      </c>
      <c r="E295" s="200"/>
    </row>
    <row r="296" spans="1:5">
      <c r="A296" s="196">
        <v>52725</v>
      </c>
      <c r="B296" s="197">
        <v>39751.640567129631</v>
      </c>
      <c r="C296" s="198" t="s">
        <v>973</v>
      </c>
      <c r="D296" s="198" t="s">
        <v>890</v>
      </c>
      <c r="E296" s="200"/>
    </row>
    <row r="297" spans="1:5">
      <c r="A297" s="196">
        <v>52727</v>
      </c>
      <c r="B297" s="197">
        <v>39751.707916666666</v>
      </c>
      <c r="C297" s="198" t="s">
        <v>974</v>
      </c>
      <c r="D297" s="198" t="s">
        <v>896</v>
      </c>
      <c r="E297" s="200"/>
    </row>
    <row r="298" spans="1:5">
      <c r="A298" s="196">
        <v>52729</v>
      </c>
      <c r="B298" s="197">
        <v>39751.808194444442</v>
      </c>
      <c r="C298" s="198" t="s">
        <v>975</v>
      </c>
      <c r="D298" s="198" t="s">
        <v>888</v>
      </c>
      <c r="E298" s="200"/>
    </row>
    <row r="299" spans="1:5">
      <c r="A299" s="196">
        <v>52983</v>
      </c>
      <c r="B299" s="197">
        <v>39777.895914351851</v>
      </c>
      <c r="C299" s="198" t="s">
        <v>976</v>
      </c>
      <c r="D299" s="198" t="s">
        <v>888</v>
      </c>
      <c r="E299" s="199">
        <v>2890000000000</v>
      </c>
    </row>
    <row r="300" spans="1:5">
      <c r="A300" s="196">
        <v>53006</v>
      </c>
      <c r="B300" s="197">
        <v>39784.681840277779</v>
      </c>
      <c r="C300" s="198" t="s">
        <v>977</v>
      </c>
      <c r="D300" s="198" t="s">
        <v>888</v>
      </c>
      <c r="E300" s="199">
        <v>2690000000000</v>
      </c>
    </row>
    <row r="301" spans="1:5">
      <c r="A301" s="196">
        <v>53007</v>
      </c>
      <c r="B301" s="197">
        <v>39784.819189814814</v>
      </c>
      <c r="C301" s="198" t="s">
        <v>978</v>
      </c>
      <c r="D301" s="198" t="s">
        <v>892</v>
      </c>
      <c r="E301" s="199">
        <v>2600000000000</v>
      </c>
    </row>
    <row r="302" spans="1:5">
      <c r="A302" s="196">
        <v>53060</v>
      </c>
      <c r="B302" s="197">
        <v>39791.529247685183</v>
      </c>
      <c r="C302" s="198" t="s">
        <v>979</v>
      </c>
      <c r="D302" s="198" t="s">
        <v>890</v>
      </c>
      <c r="E302" s="199">
        <v>15100000000</v>
      </c>
    </row>
    <row r="303" spans="1:5">
      <c r="A303" s="196">
        <v>53063</v>
      </c>
      <c r="B303" s="197">
        <v>39791.613067129627</v>
      </c>
      <c r="C303" s="198" t="s">
        <v>980</v>
      </c>
      <c r="D303" s="198" t="s">
        <v>892</v>
      </c>
      <c r="E303" s="199">
        <v>3880000000000</v>
      </c>
    </row>
    <row r="304" spans="1:5">
      <c r="A304" s="196">
        <v>53066</v>
      </c>
      <c r="B304" s="197">
        <v>39791.723946759259</v>
      </c>
      <c r="C304" s="198" t="s">
        <v>981</v>
      </c>
      <c r="D304" s="198" t="s">
        <v>888</v>
      </c>
      <c r="E304" s="199">
        <v>5760000000000</v>
      </c>
    </row>
    <row r="305" spans="1:5">
      <c r="A305" s="196">
        <v>53231</v>
      </c>
      <c r="B305" s="197">
        <v>39819.590925925928</v>
      </c>
      <c r="C305" s="198" t="s">
        <v>982</v>
      </c>
      <c r="D305" s="198" t="s">
        <v>896</v>
      </c>
      <c r="E305" s="200"/>
    </row>
    <row r="306" spans="1:5">
      <c r="A306" s="196">
        <v>53312</v>
      </c>
      <c r="B306" s="197">
        <v>39826.614722222221</v>
      </c>
      <c r="C306" s="198" t="s">
        <v>983</v>
      </c>
      <c r="D306" s="198" t="s">
        <v>896</v>
      </c>
      <c r="E306" s="200"/>
    </row>
    <row r="307" spans="1:5">
      <c r="A307" s="196">
        <v>53313</v>
      </c>
      <c r="B307" s="197">
        <v>39826.697731481479</v>
      </c>
      <c r="C307" s="198" t="s">
        <v>984</v>
      </c>
      <c r="D307" s="198" t="s">
        <v>890</v>
      </c>
      <c r="E307" s="200"/>
    </row>
    <row r="308" spans="1:5">
      <c r="A308" s="196">
        <v>53808</v>
      </c>
      <c r="B308" s="197">
        <v>39875.708194444444</v>
      </c>
      <c r="C308" s="198" t="s">
        <v>985</v>
      </c>
      <c r="D308" s="198" t="s">
        <v>892</v>
      </c>
      <c r="E308" s="200"/>
    </row>
    <row r="309" spans="1:5">
      <c r="A309" s="196">
        <v>53810</v>
      </c>
      <c r="B309" s="197">
        <v>39875.78429398148</v>
      </c>
      <c r="C309" s="198" t="s">
        <v>986</v>
      </c>
      <c r="D309" s="198" t="s">
        <v>888</v>
      </c>
      <c r="E309" s="200"/>
    </row>
    <row r="310" spans="1:5">
      <c r="A310" s="196">
        <v>53879</v>
      </c>
      <c r="B310" s="197">
        <v>39882.81417824074</v>
      </c>
      <c r="C310" s="198" t="s">
        <v>987</v>
      </c>
      <c r="D310" s="198" t="s">
        <v>892</v>
      </c>
      <c r="E310" s="200"/>
    </row>
    <row r="311" spans="1:5">
      <c r="A311" s="196">
        <v>53880</v>
      </c>
      <c r="B311" s="197">
        <v>39882.867835648147</v>
      </c>
      <c r="C311" s="198" t="s">
        <v>988</v>
      </c>
      <c r="D311" s="198" t="s">
        <v>888</v>
      </c>
      <c r="E311" s="200"/>
    </row>
    <row r="312" spans="1:5">
      <c r="A312" s="196">
        <v>54048</v>
      </c>
      <c r="B312" s="197">
        <v>39903.586689814816</v>
      </c>
      <c r="C312" s="198" t="s">
        <v>989</v>
      </c>
      <c r="D312" s="198" t="s">
        <v>892</v>
      </c>
      <c r="E312" s="199">
        <v>4660000000000</v>
      </c>
    </row>
    <row r="313" spans="1:5">
      <c r="A313" s="196">
        <v>54395</v>
      </c>
      <c r="B313" s="197">
        <v>39938.719027777777</v>
      </c>
      <c r="C313" s="198" t="s">
        <v>990</v>
      </c>
      <c r="D313" s="198" t="s">
        <v>896</v>
      </c>
      <c r="E313" s="200"/>
    </row>
    <row r="314" spans="1:5" ht="30">
      <c r="A314" s="196">
        <v>54423</v>
      </c>
      <c r="B314" s="197">
        <v>39940.506261574075</v>
      </c>
      <c r="C314" s="198" t="s">
        <v>991</v>
      </c>
      <c r="D314" s="198" t="s">
        <v>896</v>
      </c>
      <c r="E314" s="199">
        <v>466000000000</v>
      </c>
    </row>
    <row r="315" spans="1:5" ht="30">
      <c r="A315" s="196">
        <v>54425</v>
      </c>
      <c r="B315" s="197">
        <v>39940.577881944446</v>
      </c>
      <c r="C315" s="198" t="s">
        <v>992</v>
      </c>
      <c r="D315" s="198" t="s">
        <v>888</v>
      </c>
      <c r="E315" s="200"/>
    </row>
    <row r="316" spans="1:5" ht="30">
      <c r="A316" s="196">
        <v>54427</v>
      </c>
      <c r="B316" s="197">
        <v>39940.65283564815</v>
      </c>
      <c r="C316" s="198" t="s">
        <v>993</v>
      </c>
      <c r="D316" s="198" t="s">
        <v>892</v>
      </c>
      <c r="E316" s="200"/>
    </row>
    <row r="317" spans="1:5" ht="30">
      <c r="A317" s="196">
        <v>54429</v>
      </c>
      <c r="B317" s="197">
        <v>39940.702569444446</v>
      </c>
      <c r="C317" s="198" t="s">
        <v>994</v>
      </c>
      <c r="D317" s="198" t="s">
        <v>890</v>
      </c>
      <c r="E317" s="200"/>
    </row>
    <row r="318" spans="1:5">
      <c r="A318" s="196">
        <v>54651</v>
      </c>
      <c r="B318" s="197">
        <v>39968.750787037039</v>
      </c>
      <c r="C318" s="198" t="s">
        <v>995</v>
      </c>
      <c r="D318" s="198" t="s">
        <v>722</v>
      </c>
      <c r="E318" s="200"/>
    </row>
    <row r="319" spans="1:5">
      <c r="A319" s="196">
        <v>54653</v>
      </c>
      <c r="B319" s="197">
        <v>39968.820092592592</v>
      </c>
      <c r="C319" s="198" t="s">
        <v>996</v>
      </c>
      <c r="D319" s="198" t="s">
        <v>722</v>
      </c>
      <c r="E319" s="200"/>
    </row>
    <row r="320" spans="1:5">
      <c r="A320" s="196">
        <v>54676</v>
      </c>
      <c r="B320" s="197">
        <v>39973.531064814815</v>
      </c>
      <c r="C320" s="198" t="s">
        <v>997</v>
      </c>
      <c r="D320" s="198" t="s">
        <v>892</v>
      </c>
      <c r="E320" s="199">
        <v>2140000000000</v>
      </c>
    </row>
    <row r="321" spans="1:5">
      <c r="A321" s="196">
        <v>54678</v>
      </c>
      <c r="B321" s="197">
        <v>39973.632962962962</v>
      </c>
      <c r="C321" s="198" t="s">
        <v>998</v>
      </c>
      <c r="D321" s="198" t="s">
        <v>888</v>
      </c>
      <c r="E321" s="199">
        <v>3470000000000</v>
      </c>
    </row>
    <row r="322" spans="1:5">
      <c r="A322" s="196">
        <v>54886</v>
      </c>
      <c r="B322" s="197">
        <v>40002.658784722225</v>
      </c>
      <c r="C322" s="198" t="s">
        <v>999</v>
      </c>
      <c r="D322" s="198" t="s">
        <v>892</v>
      </c>
      <c r="E322" s="199">
        <v>5550000000000</v>
      </c>
    </row>
    <row r="323" spans="1:5">
      <c r="A323" s="196">
        <v>54887</v>
      </c>
      <c r="B323" s="197">
        <v>40002.729363425926</v>
      </c>
      <c r="C323" s="198" t="s">
        <v>1000</v>
      </c>
      <c r="D323" s="198" t="s">
        <v>888</v>
      </c>
      <c r="E323" s="199">
        <v>1300000000000</v>
      </c>
    </row>
    <row r="324" spans="1:5">
      <c r="A324" s="196">
        <v>54926</v>
      </c>
      <c r="B324" s="197">
        <v>40008.582696759258</v>
      </c>
      <c r="C324" s="198" t="s">
        <v>1001</v>
      </c>
      <c r="D324" s="198" t="s">
        <v>892</v>
      </c>
      <c r="E324" s="199">
        <v>3930000000000</v>
      </c>
    </row>
    <row r="325" spans="1:5">
      <c r="A325" s="196">
        <v>55133</v>
      </c>
      <c r="B325" s="197">
        <v>40029.729178240741</v>
      </c>
      <c r="C325" s="198" t="s">
        <v>1002</v>
      </c>
      <c r="D325" s="198" t="s">
        <v>896</v>
      </c>
      <c r="E325" s="199">
        <v>856000000</v>
      </c>
    </row>
    <row r="326" spans="1:5">
      <c r="A326" s="196">
        <v>55135</v>
      </c>
      <c r="B326" s="197">
        <v>40029.810347222221</v>
      </c>
      <c r="C326" s="198" t="s">
        <v>1003</v>
      </c>
      <c r="D326" s="198" t="s">
        <v>890</v>
      </c>
      <c r="E326" s="199">
        <v>442000000</v>
      </c>
    </row>
    <row r="327" spans="1:5">
      <c r="A327" s="196">
        <v>55227</v>
      </c>
      <c r="B327" s="197">
        <v>40038.59375</v>
      </c>
      <c r="C327" s="198" t="s">
        <v>1004</v>
      </c>
      <c r="D327" s="198" t="s">
        <v>896</v>
      </c>
      <c r="E327" s="199">
        <v>5210000000</v>
      </c>
    </row>
    <row r="328" spans="1:5">
      <c r="A328" s="196">
        <v>55228</v>
      </c>
      <c r="B328" s="197">
        <v>40038.654537037037</v>
      </c>
      <c r="C328" s="198" t="s">
        <v>1005</v>
      </c>
      <c r="D328" s="198" t="s">
        <v>890</v>
      </c>
      <c r="E328" s="199">
        <v>25800000000</v>
      </c>
    </row>
    <row r="329" spans="1:5">
      <c r="A329" s="196">
        <v>55230</v>
      </c>
      <c r="B329" s="197">
        <v>40038.71671296296</v>
      </c>
      <c r="C329" s="198" t="s">
        <v>1006</v>
      </c>
      <c r="D329" s="198" t="s">
        <v>892</v>
      </c>
      <c r="E329" s="199">
        <v>3660000000000</v>
      </c>
    </row>
    <row r="330" spans="1:5">
      <c r="A330" s="196">
        <v>55231</v>
      </c>
      <c r="B330" s="197">
        <v>40038.777962962966</v>
      </c>
      <c r="C330" s="198" t="s">
        <v>1007</v>
      </c>
      <c r="D330" s="198" t="s">
        <v>888</v>
      </c>
      <c r="E330" s="199">
        <v>3360000000000</v>
      </c>
    </row>
    <row r="331" spans="1:5">
      <c r="A331" s="196">
        <v>55399</v>
      </c>
      <c r="B331" s="197">
        <v>40057.636006944442</v>
      </c>
      <c r="C331" s="198" t="s">
        <v>1008</v>
      </c>
      <c r="D331" s="198" t="s">
        <v>892</v>
      </c>
      <c r="E331" s="199">
        <v>2990000000000</v>
      </c>
    </row>
    <row r="332" spans="1:5">
      <c r="A332" s="196">
        <v>55402</v>
      </c>
      <c r="B332" s="197">
        <v>40057.734212962961</v>
      </c>
      <c r="C332" s="198" t="s">
        <v>1009</v>
      </c>
      <c r="D332" s="198" t="s">
        <v>888</v>
      </c>
      <c r="E332" s="199">
        <v>1650000000000</v>
      </c>
    </row>
    <row r="333" spans="1:5">
      <c r="A333" s="196">
        <v>55468</v>
      </c>
      <c r="B333" s="197">
        <v>40065.657673611109</v>
      </c>
      <c r="C333" s="198" t="s">
        <v>1010</v>
      </c>
      <c r="D333" s="198" t="s">
        <v>722</v>
      </c>
      <c r="E333" s="199">
        <v>2840000000000</v>
      </c>
    </row>
    <row r="334" spans="1:5">
      <c r="A334" s="196">
        <v>55633</v>
      </c>
      <c r="B334" s="197">
        <v>40085.807986111111</v>
      </c>
      <c r="C334" s="198" t="s">
        <v>1011</v>
      </c>
      <c r="D334" s="198" t="s">
        <v>888</v>
      </c>
      <c r="E334" s="199">
        <v>1500000000000</v>
      </c>
    </row>
    <row r="335" spans="1:5">
      <c r="A335" s="196">
        <v>55722</v>
      </c>
      <c r="B335" s="197">
        <v>40093.595821759256</v>
      </c>
      <c r="C335" s="198" t="s">
        <v>1012</v>
      </c>
      <c r="D335" s="198" t="s">
        <v>892</v>
      </c>
      <c r="E335" s="199">
        <v>2010000000000</v>
      </c>
    </row>
    <row r="336" spans="1:5">
      <c r="A336" s="196">
        <v>55723</v>
      </c>
      <c r="B336" s="197">
        <v>40093.682175925926</v>
      </c>
      <c r="C336" s="198" t="s">
        <v>1013</v>
      </c>
      <c r="D336" s="198" t="s">
        <v>888</v>
      </c>
      <c r="E336" s="199">
        <v>1910000000000</v>
      </c>
    </row>
    <row r="337" spans="1:5">
      <c r="A337" s="196">
        <v>55824</v>
      </c>
      <c r="B337" s="197">
        <v>40101.690833333334</v>
      </c>
      <c r="C337" s="198" t="s">
        <v>1014</v>
      </c>
      <c r="D337" s="198" t="s">
        <v>892</v>
      </c>
      <c r="E337" s="199">
        <v>885000000000</v>
      </c>
    </row>
    <row r="338" spans="1:5">
      <c r="A338" s="196">
        <v>55826</v>
      </c>
      <c r="B338" s="197">
        <v>40101.797106481485</v>
      </c>
      <c r="C338" s="198" t="s">
        <v>1015</v>
      </c>
      <c r="D338" s="198" t="s">
        <v>896</v>
      </c>
      <c r="E338" s="199">
        <v>1880000000000</v>
      </c>
    </row>
    <row r="339" spans="1:5">
      <c r="A339" s="196">
        <v>55947</v>
      </c>
      <c r="B339" s="197">
        <v>40113.536249999997</v>
      </c>
      <c r="C339" s="198" t="s">
        <v>1016</v>
      </c>
      <c r="D339" s="198" t="s">
        <v>896</v>
      </c>
      <c r="E339" s="199">
        <v>7570000000000</v>
      </c>
    </row>
    <row r="340" spans="1:5">
      <c r="A340" s="196">
        <v>55950</v>
      </c>
      <c r="B340" s="197">
        <v>40113.648738425924</v>
      </c>
      <c r="C340" s="198" t="s">
        <v>1017</v>
      </c>
      <c r="D340" s="198" t="s">
        <v>888</v>
      </c>
      <c r="E340" s="199">
        <v>4080000000000</v>
      </c>
    </row>
    <row r="341" spans="1:5">
      <c r="A341" s="196">
        <v>55952</v>
      </c>
      <c r="B341" s="197">
        <v>40113.743368055555</v>
      </c>
      <c r="C341" s="198" t="s">
        <v>1018</v>
      </c>
      <c r="D341" s="198" t="s">
        <v>892</v>
      </c>
      <c r="E341" s="199">
        <v>4170000000000</v>
      </c>
    </row>
    <row r="342" spans="1:5">
      <c r="A342" s="196">
        <v>56043</v>
      </c>
      <c r="B342" s="197">
        <v>40127.598935185182</v>
      </c>
      <c r="C342" s="198" t="s">
        <v>1019</v>
      </c>
      <c r="D342" s="198" t="s">
        <v>888</v>
      </c>
      <c r="E342" s="199">
        <v>2790000000000</v>
      </c>
    </row>
    <row r="343" spans="1:5">
      <c r="A343" s="196">
        <v>56044</v>
      </c>
      <c r="B343" s="197">
        <v>40127.678611111114</v>
      </c>
      <c r="C343" s="198" t="s">
        <v>1020</v>
      </c>
      <c r="D343" s="198" t="s">
        <v>892</v>
      </c>
      <c r="E343" s="199">
        <v>1700000000000</v>
      </c>
    </row>
    <row r="344" spans="1:5">
      <c r="A344" s="196">
        <v>56046</v>
      </c>
      <c r="B344" s="197">
        <v>40127.752060185187</v>
      </c>
      <c r="C344" s="198" t="s">
        <v>1021</v>
      </c>
      <c r="D344" s="198" t="s">
        <v>896</v>
      </c>
      <c r="E344" s="199">
        <v>2200000000000</v>
      </c>
    </row>
    <row r="345" spans="1:5">
      <c r="A345" s="196">
        <v>56996</v>
      </c>
      <c r="B345" s="202">
        <v>40226.806898148148</v>
      </c>
      <c r="C345" s="198" t="s">
        <v>1022</v>
      </c>
      <c r="D345" s="198" t="s">
        <v>890</v>
      </c>
      <c r="E345" s="200"/>
    </row>
    <row r="346" spans="1:5">
      <c r="A346" s="196">
        <v>57010</v>
      </c>
      <c r="B346" s="197">
        <v>40227.607881944445</v>
      </c>
      <c r="C346" s="198" t="s">
        <v>1023</v>
      </c>
      <c r="D346" s="198" t="s">
        <v>892</v>
      </c>
      <c r="E346" s="199">
        <v>1650000000000</v>
      </c>
    </row>
    <row r="347" spans="1:5">
      <c r="A347" s="196">
        <v>57012</v>
      </c>
      <c r="B347" s="197">
        <v>40227.703680555554</v>
      </c>
      <c r="C347" s="198" t="s">
        <v>1024</v>
      </c>
      <c r="D347" s="198" t="s">
        <v>888</v>
      </c>
      <c r="E347" s="199">
        <v>896000000000</v>
      </c>
    </row>
    <row r="348" spans="1:5">
      <c r="A348" s="196">
        <v>57028</v>
      </c>
      <c r="B348" s="197">
        <v>40228.635347222225</v>
      </c>
      <c r="C348" s="198" t="s">
        <v>1025</v>
      </c>
      <c r="D348" s="198" t="s">
        <v>890</v>
      </c>
      <c r="E348" s="199">
        <v>911000000000</v>
      </c>
    </row>
    <row r="349" spans="1:5">
      <c r="A349" s="196">
        <v>57480</v>
      </c>
      <c r="B349" s="197">
        <v>40267.674201388887</v>
      </c>
      <c r="C349" s="198" t="s">
        <v>1026</v>
      </c>
      <c r="D349" s="198" t="s">
        <v>890</v>
      </c>
      <c r="E349" s="199">
        <v>598000000000</v>
      </c>
    </row>
    <row r="350" spans="1:5">
      <c r="A350" s="196">
        <v>57482</v>
      </c>
      <c r="B350" s="197">
        <v>40267.768611111111</v>
      </c>
      <c r="C350" s="198" t="s">
        <v>1027</v>
      </c>
      <c r="D350" s="198" t="s">
        <v>896</v>
      </c>
      <c r="E350" s="199">
        <v>2970000000000</v>
      </c>
    </row>
    <row r="351" spans="1:5">
      <c r="A351" s="196">
        <v>57556</v>
      </c>
      <c r="B351" s="197">
        <v>40274.627766203703</v>
      </c>
      <c r="C351" s="198" t="s">
        <v>1028</v>
      </c>
      <c r="D351" s="198" t="s">
        <v>888</v>
      </c>
      <c r="E351" s="199">
        <v>1000000000000</v>
      </c>
    </row>
    <row r="352" spans="1:5">
      <c r="A352" s="196">
        <v>57614</v>
      </c>
      <c r="B352" s="197">
        <v>40277.60423611111</v>
      </c>
      <c r="C352" s="198" t="s">
        <v>1029</v>
      </c>
      <c r="D352" s="198" t="s">
        <v>896</v>
      </c>
      <c r="E352" s="199">
        <v>720000000000</v>
      </c>
    </row>
    <row r="353" spans="1:5">
      <c r="A353" s="196">
        <v>57904</v>
      </c>
      <c r="B353" s="197">
        <v>40302.632118055553</v>
      </c>
      <c r="C353" s="198" t="s">
        <v>1030</v>
      </c>
      <c r="D353" s="198" t="s">
        <v>896</v>
      </c>
      <c r="E353" s="199">
        <v>928000000000</v>
      </c>
    </row>
    <row r="354" spans="1:5">
      <c r="A354" s="196">
        <v>57907</v>
      </c>
      <c r="B354" s="197">
        <v>40302.757268518515</v>
      </c>
      <c r="C354" s="198" t="s">
        <v>1031</v>
      </c>
      <c r="D354" s="198" t="s">
        <v>888</v>
      </c>
      <c r="E354" s="199">
        <v>1040000000000</v>
      </c>
    </row>
    <row r="355" spans="1:5">
      <c r="A355" s="196">
        <v>57910</v>
      </c>
      <c r="B355" s="197">
        <v>40302.83866898148</v>
      </c>
      <c r="C355" s="198" t="s">
        <v>1032</v>
      </c>
      <c r="D355" s="198" t="s">
        <v>890</v>
      </c>
      <c r="E355" s="199">
        <v>857000000000</v>
      </c>
    </row>
    <row r="356" spans="1:5">
      <c r="A356" s="196">
        <v>58012</v>
      </c>
      <c r="B356" s="197">
        <v>40310.715150462966</v>
      </c>
      <c r="C356" s="198" t="s">
        <v>1033</v>
      </c>
      <c r="D356" s="198" t="s">
        <v>888</v>
      </c>
      <c r="E356" s="199">
        <v>1020000000000</v>
      </c>
    </row>
    <row r="357" spans="1:5">
      <c r="A357" s="196">
        <v>58013</v>
      </c>
      <c r="B357" s="197">
        <v>40310.804386574076</v>
      </c>
      <c r="C357" s="198" t="s">
        <v>1034</v>
      </c>
      <c r="D357" s="198" t="s">
        <v>892</v>
      </c>
      <c r="E357" s="199">
        <v>880000000000</v>
      </c>
    </row>
    <row r="358" spans="1:5">
      <c r="A358" s="196">
        <v>58029</v>
      </c>
      <c r="B358" s="197">
        <v>40311.688275462962</v>
      </c>
      <c r="C358" s="198" t="s">
        <v>1035</v>
      </c>
      <c r="D358" s="198" t="s">
        <v>896</v>
      </c>
      <c r="E358" s="199">
        <v>2860000000000</v>
      </c>
    </row>
    <row r="359" spans="1:5">
      <c r="A359" s="196">
        <v>58191</v>
      </c>
      <c r="B359" s="197">
        <v>40324.699687499997</v>
      </c>
      <c r="C359" s="198" t="s">
        <v>1036</v>
      </c>
      <c r="D359" s="198" t="s">
        <v>1037</v>
      </c>
      <c r="E359" s="199">
        <v>2170000000000</v>
      </c>
    </row>
    <row r="360" spans="1:5">
      <c r="A360" s="196">
        <v>58194</v>
      </c>
      <c r="B360" s="197">
        <v>40324.793171296296</v>
      </c>
      <c r="C360" s="198" t="s">
        <v>1038</v>
      </c>
      <c r="D360" s="198" t="s">
        <v>892</v>
      </c>
      <c r="E360" s="199">
        <v>1860000000000</v>
      </c>
    </row>
    <row r="361" spans="1:5">
      <c r="A361" s="196">
        <v>58197</v>
      </c>
      <c r="B361" s="197">
        <v>40324.859375</v>
      </c>
      <c r="C361" s="198" t="s">
        <v>1039</v>
      </c>
      <c r="D361" s="198" t="s">
        <v>888</v>
      </c>
      <c r="E361" s="199">
        <v>2340000000000</v>
      </c>
    </row>
    <row r="362" spans="1:5">
      <c r="A362" s="196">
        <v>58288</v>
      </c>
      <c r="B362" s="197">
        <v>40332.596215277779</v>
      </c>
      <c r="C362" s="198" t="s">
        <v>1040</v>
      </c>
      <c r="D362" s="198" t="s">
        <v>892</v>
      </c>
      <c r="E362" s="199">
        <v>1620000000000</v>
      </c>
    </row>
    <row r="363" spans="1:5">
      <c r="A363" s="196">
        <v>58290</v>
      </c>
      <c r="B363" s="197">
        <v>40332.677731481483</v>
      </c>
      <c r="C363" s="198" t="s">
        <v>1041</v>
      </c>
      <c r="D363" s="198" t="s">
        <v>888</v>
      </c>
      <c r="E363" s="199">
        <v>691000000000</v>
      </c>
    </row>
    <row r="364" spans="1:5">
      <c r="A364" s="196">
        <v>58884</v>
      </c>
      <c r="B364" s="197">
        <v>40386.563506944447</v>
      </c>
      <c r="C364" s="198" t="s">
        <v>1042</v>
      </c>
      <c r="D364" s="198" t="s">
        <v>896</v>
      </c>
      <c r="E364" s="199">
        <v>1040000000000</v>
      </c>
    </row>
    <row r="365" spans="1:5">
      <c r="A365" s="196">
        <v>58888</v>
      </c>
      <c r="B365" s="197">
        <v>40386.694525462961</v>
      </c>
      <c r="C365" s="198" t="s">
        <v>1043</v>
      </c>
      <c r="D365" s="198" t="s">
        <v>1037</v>
      </c>
      <c r="E365" s="199">
        <v>628000000000</v>
      </c>
    </row>
    <row r="366" spans="1:5">
      <c r="A366" s="196">
        <v>58969</v>
      </c>
      <c r="B366" s="197">
        <v>40393.68310185185</v>
      </c>
      <c r="C366" s="198" t="s">
        <v>1044</v>
      </c>
      <c r="D366" s="198" t="s">
        <v>892</v>
      </c>
      <c r="E366" s="199">
        <v>1660000000000</v>
      </c>
    </row>
    <row r="367" spans="1:5">
      <c r="A367" s="196">
        <v>58970</v>
      </c>
      <c r="B367" s="197">
        <v>40393.76253472222</v>
      </c>
      <c r="C367" s="198" t="s">
        <v>1045</v>
      </c>
      <c r="D367" s="198" t="s">
        <v>896</v>
      </c>
      <c r="E367" s="199">
        <v>1850000000000</v>
      </c>
    </row>
    <row r="368" spans="1:5">
      <c r="A368" s="196">
        <v>59111</v>
      </c>
      <c r="B368" s="197">
        <v>40407.7578587963</v>
      </c>
      <c r="C368" s="198" t="s">
        <v>1046</v>
      </c>
      <c r="D368" s="198" t="s">
        <v>892</v>
      </c>
      <c r="E368" s="199">
        <v>2500000000000</v>
      </c>
    </row>
    <row r="369" spans="1:5">
      <c r="A369" s="196">
        <v>59222</v>
      </c>
      <c r="B369" s="197">
        <v>40415.752476851849</v>
      </c>
      <c r="C369" s="198" t="s">
        <v>1047</v>
      </c>
      <c r="D369" s="198" t="s">
        <v>892</v>
      </c>
      <c r="E369" s="199">
        <v>1440000000000</v>
      </c>
    </row>
    <row r="370" spans="1:5">
      <c r="A370" s="196">
        <v>59224</v>
      </c>
      <c r="B370" s="197">
        <v>40415.833645833336</v>
      </c>
      <c r="C370" s="198" t="s">
        <v>1048</v>
      </c>
      <c r="D370" s="198" t="s">
        <v>888</v>
      </c>
      <c r="E370" s="199">
        <v>1710000000000</v>
      </c>
    </row>
    <row r="371" spans="1:5">
      <c r="A371" s="196">
        <v>59326</v>
      </c>
      <c r="B371" s="197">
        <v>40423.821493055555</v>
      </c>
      <c r="C371" s="198" t="s">
        <v>1049</v>
      </c>
      <c r="D371" s="198" t="s">
        <v>892</v>
      </c>
      <c r="E371" s="199">
        <v>663000000000</v>
      </c>
    </row>
    <row r="372" spans="1:5">
      <c r="A372" s="196">
        <v>60299</v>
      </c>
      <c r="B372" s="197">
        <v>40512.543252314812</v>
      </c>
      <c r="C372" s="198" t="s">
        <v>1050</v>
      </c>
      <c r="D372" s="198" t="s">
        <v>1037</v>
      </c>
      <c r="E372" s="200"/>
    </row>
    <row r="373" spans="1:5">
      <c r="A373" s="196">
        <v>60300</v>
      </c>
      <c r="B373" s="197">
        <v>40512.618784722225</v>
      </c>
      <c r="C373" s="198" t="s">
        <v>1051</v>
      </c>
      <c r="D373" s="198" t="s">
        <v>892</v>
      </c>
      <c r="E373" s="200"/>
    </row>
    <row r="374" spans="1:5">
      <c r="A374" s="196">
        <v>61202</v>
      </c>
      <c r="B374" s="197">
        <v>40590.705960648149</v>
      </c>
      <c r="C374" s="198" t="s">
        <v>1052</v>
      </c>
      <c r="D374" s="198" t="s">
        <v>892</v>
      </c>
      <c r="E374" s="199">
        <v>858000000000</v>
      </c>
    </row>
    <row r="375" spans="1:5">
      <c r="A375" s="196">
        <v>61204</v>
      </c>
      <c r="B375" s="197">
        <v>40590.799444444441</v>
      </c>
      <c r="C375" s="198" t="s">
        <v>1053</v>
      </c>
      <c r="D375" s="198" t="s">
        <v>1037</v>
      </c>
      <c r="E375" s="199">
        <v>767000000000</v>
      </c>
    </row>
    <row r="376" spans="1:5">
      <c r="A376" s="196">
        <v>61343</v>
      </c>
      <c r="B376" s="197">
        <v>40603.624537037038</v>
      </c>
      <c r="C376" s="198" t="s">
        <v>1054</v>
      </c>
      <c r="D376" s="198" t="s">
        <v>896</v>
      </c>
      <c r="E376" s="199">
        <v>2500000000000</v>
      </c>
    </row>
    <row r="377" spans="1:5">
      <c r="A377" s="196">
        <v>61344</v>
      </c>
      <c r="B377" s="197">
        <v>40603.686597222222</v>
      </c>
      <c r="C377" s="198" t="s">
        <v>1055</v>
      </c>
      <c r="D377" s="198" t="s">
        <v>892</v>
      </c>
      <c r="E377" s="199">
        <v>3190000000000</v>
      </c>
    </row>
    <row r="378" spans="1:5">
      <c r="A378" s="196">
        <v>61517</v>
      </c>
      <c r="B378" s="197">
        <v>40617.637662037036</v>
      </c>
      <c r="C378" s="198" t="s">
        <v>1056</v>
      </c>
      <c r="D378" s="198" t="s">
        <v>1037</v>
      </c>
      <c r="E378" s="199">
        <v>3220000000000</v>
      </c>
    </row>
    <row r="379" spans="1:5">
      <c r="A379" s="196">
        <v>61519</v>
      </c>
      <c r="B379" s="197">
        <v>40617.70789351852</v>
      </c>
      <c r="C379" s="198" t="s">
        <v>1057</v>
      </c>
      <c r="D379" s="198" t="s">
        <v>892</v>
      </c>
      <c r="E379" s="199">
        <v>1370000000000</v>
      </c>
    </row>
    <row r="380" spans="1:5">
      <c r="A380" s="196">
        <v>61520</v>
      </c>
      <c r="B380" s="197">
        <v>40617.766840277778</v>
      </c>
      <c r="C380" s="198" t="s">
        <v>1058</v>
      </c>
      <c r="D380" s="198" t="s">
        <v>896</v>
      </c>
      <c r="E380" s="199">
        <v>2350000000000</v>
      </c>
    </row>
    <row r="381" spans="1:5">
      <c r="A381" s="196">
        <v>61747</v>
      </c>
      <c r="B381" s="197">
        <v>40634.606562499997</v>
      </c>
      <c r="C381" s="198" t="s">
        <v>1059</v>
      </c>
      <c r="D381" s="198" t="s">
        <v>1037</v>
      </c>
      <c r="E381" s="199">
        <v>2870000000000</v>
      </c>
    </row>
    <row r="382" spans="1:5">
      <c r="A382" s="196">
        <v>61748</v>
      </c>
      <c r="B382" s="197">
        <v>40634.672881944447</v>
      </c>
      <c r="C382" s="198" t="s">
        <v>1060</v>
      </c>
      <c r="D382" s="198" t="s">
        <v>896</v>
      </c>
      <c r="E382" s="199">
        <v>2490000000000</v>
      </c>
    </row>
    <row r="383" spans="1:5">
      <c r="A383" s="196">
        <v>61868</v>
      </c>
      <c r="B383" s="197">
        <v>40645.620127314818</v>
      </c>
      <c r="C383" s="198" t="s">
        <v>1061</v>
      </c>
      <c r="D383" s="198" t="s">
        <v>1037</v>
      </c>
      <c r="E383" s="199">
        <v>1560000000000</v>
      </c>
    </row>
    <row r="384" spans="1:5">
      <c r="A384" s="196">
        <v>61869</v>
      </c>
      <c r="B384" s="197">
        <v>40645.700381944444</v>
      </c>
      <c r="C384" s="198" t="s">
        <v>1062</v>
      </c>
      <c r="D384" s="198" t="s">
        <v>896</v>
      </c>
      <c r="E384" s="199">
        <v>1130000000000</v>
      </c>
    </row>
    <row r="385" spans="1:5">
      <c r="A385" s="196">
        <v>62205</v>
      </c>
      <c r="B385" s="197">
        <v>40673.742604166669</v>
      </c>
      <c r="C385" s="198" t="s">
        <v>1063</v>
      </c>
      <c r="D385" s="198" t="s">
        <v>1037</v>
      </c>
      <c r="E385" s="200"/>
    </row>
    <row r="386" spans="1:5">
      <c r="A386" s="196">
        <v>62206</v>
      </c>
      <c r="B386" s="197">
        <v>40673.80846064815</v>
      </c>
      <c r="C386" s="198" t="s">
        <v>1064</v>
      </c>
      <c r="D386" s="198" t="s">
        <v>896</v>
      </c>
      <c r="E386" s="200"/>
    </row>
    <row r="387" spans="1:5">
      <c r="A387" s="196">
        <v>62390</v>
      </c>
      <c r="B387" s="197">
        <v>40687.578923611109</v>
      </c>
      <c r="C387" s="198" t="s">
        <v>1065</v>
      </c>
      <c r="D387" s="198" t="s">
        <v>896</v>
      </c>
      <c r="E387" s="199">
        <v>5480000000000</v>
      </c>
    </row>
    <row r="388" spans="1:5">
      <c r="A388" s="196">
        <v>62932</v>
      </c>
      <c r="B388" s="197">
        <v>40743.70275462963</v>
      </c>
      <c r="C388" s="198" t="s">
        <v>1066</v>
      </c>
      <c r="D388" s="198" t="s">
        <v>888</v>
      </c>
      <c r="E388" s="200"/>
    </row>
    <row r="389" spans="1:5">
      <c r="A389" s="196">
        <v>62933</v>
      </c>
      <c r="B389" s="197">
        <v>40743.815011574072</v>
      </c>
      <c r="C389" s="198" t="s">
        <v>1067</v>
      </c>
      <c r="D389" s="198" t="s">
        <v>896</v>
      </c>
      <c r="E389" s="200"/>
    </row>
    <row r="390" spans="1:5">
      <c r="A390" s="196">
        <v>63161</v>
      </c>
      <c r="B390" s="197">
        <v>40764.58326388889</v>
      </c>
      <c r="C390" s="198" t="s">
        <v>1068</v>
      </c>
      <c r="D390" s="198" t="s">
        <v>890</v>
      </c>
      <c r="E390" s="200"/>
    </row>
    <row r="391" spans="1:5">
      <c r="A391" s="196">
        <v>63163</v>
      </c>
      <c r="B391" s="197">
        <v>40764.748819444445</v>
      </c>
      <c r="C391" s="198" t="s">
        <v>1069</v>
      </c>
      <c r="D391" s="198" t="s">
        <v>888</v>
      </c>
      <c r="E391" s="200"/>
    </row>
    <row r="392" spans="1:5">
      <c r="A392" s="196">
        <v>63306</v>
      </c>
      <c r="B392" s="197">
        <v>40778.672881944447</v>
      </c>
      <c r="C392" s="198" t="s">
        <v>1070</v>
      </c>
      <c r="D392" s="198" t="s">
        <v>890</v>
      </c>
      <c r="E392" s="199">
        <v>2050000000000</v>
      </c>
    </row>
    <row r="393" spans="1:5">
      <c r="A393" s="196">
        <v>63468</v>
      </c>
      <c r="B393" s="197">
        <v>40793.5700462963</v>
      </c>
      <c r="C393" s="198" t="s">
        <v>120</v>
      </c>
      <c r="D393" s="198" t="s">
        <v>888</v>
      </c>
      <c r="E393" s="199">
        <v>3280000000000</v>
      </c>
    </row>
    <row r="394" spans="1:5">
      <c r="A394" s="196">
        <v>63656</v>
      </c>
      <c r="B394" s="197">
        <v>40814.739884259259</v>
      </c>
      <c r="C394" s="198" t="s">
        <v>1071</v>
      </c>
      <c r="D394" s="198" t="s">
        <v>890</v>
      </c>
      <c r="E394" s="200"/>
    </row>
    <row r="395" spans="1:5">
      <c r="A395" s="196">
        <v>63659</v>
      </c>
      <c r="B395" s="197">
        <v>40814.831643518519</v>
      </c>
      <c r="C395" s="198" t="s">
        <v>1072</v>
      </c>
      <c r="D395" s="198" t="s">
        <v>888</v>
      </c>
      <c r="E395" s="200"/>
    </row>
    <row r="396" spans="1:5">
      <c r="A396" s="196">
        <v>64661</v>
      </c>
      <c r="B396" s="197">
        <v>40920.686689814815</v>
      </c>
      <c r="C396" s="198" t="s">
        <v>246</v>
      </c>
      <c r="D396" s="198" t="s">
        <v>1037</v>
      </c>
      <c r="E396" s="200"/>
    </row>
    <row r="397" spans="1:5">
      <c r="A397" s="196">
        <v>64668</v>
      </c>
      <c r="B397" s="197">
        <v>40920.847303240742</v>
      </c>
      <c r="C397" s="198" t="s">
        <v>242</v>
      </c>
      <c r="D397" s="198" t="s">
        <v>892</v>
      </c>
      <c r="E397" s="200"/>
    </row>
    <row r="398" spans="1:5">
      <c r="A398" s="196">
        <v>64669</v>
      </c>
      <c r="B398" s="197">
        <v>40920.917303240742</v>
      </c>
      <c r="C398" s="198" t="s">
        <v>244</v>
      </c>
      <c r="D398" s="198" t="s">
        <v>888</v>
      </c>
      <c r="E398" s="200"/>
    </row>
    <row r="399" spans="1:5">
      <c r="A399" s="196">
        <v>65294</v>
      </c>
      <c r="B399" s="197">
        <v>40976.623194444444</v>
      </c>
      <c r="C399" s="198" t="s">
        <v>328</v>
      </c>
      <c r="D399" s="198" t="s">
        <v>1037</v>
      </c>
      <c r="E399" s="200"/>
    </row>
    <row r="400" spans="1:5">
      <c r="A400" s="196">
        <v>65298</v>
      </c>
      <c r="B400" s="197">
        <v>40976.701724537037</v>
      </c>
      <c r="C400" s="198" t="s">
        <v>319</v>
      </c>
      <c r="D400" s="198" t="s">
        <v>892</v>
      </c>
      <c r="E400" s="200"/>
    </row>
    <row r="401" spans="1:5">
      <c r="A401" s="196">
        <v>65300</v>
      </c>
      <c r="B401" s="197">
        <v>40976.788298611114</v>
      </c>
      <c r="C401" s="198" t="s">
        <v>332</v>
      </c>
      <c r="D401" s="198" t="s">
        <v>890</v>
      </c>
      <c r="E401" s="200"/>
    </row>
    <row r="402" spans="1:5">
      <c r="A402" s="196">
        <v>65302</v>
      </c>
      <c r="B402" s="197">
        <v>40976.8591087963</v>
      </c>
      <c r="C402" s="198" t="s">
        <v>331</v>
      </c>
      <c r="D402" s="198" t="s">
        <v>888</v>
      </c>
      <c r="E402" s="200"/>
    </row>
    <row r="403" spans="1:5">
      <c r="A403" s="196">
        <v>65576</v>
      </c>
      <c r="B403" s="197">
        <v>41002.606608796297</v>
      </c>
      <c r="C403" s="198" t="s">
        <v>358</v>
      </c>
      <c r="D403" s="198" t="s">
        <v>892</v>
      </c>
      <c r="E403" s="200"/>
    </row>
    <row r="404" spans="1:5">
      <c r="A404" s="196">
        <v>65577</v>
      </c>
      <c r="B404" s="197">
        <v>41002.739363425928</v>
      </c>
      <c r="C404" s="198" t="s">
        <v>366</v>
      </c>
      <c r="D404" s="198" t="s">
        <v>888</v>
      </c>
      <c r="E404" s="200"/>
    </row>
    <row r="405" spans="1:5">
      <c r="A405" s="196">
        <v>65578</v>
      </c>
      <c r="B405" s="197">
        <v>41002.811898148146</v>
      </c>
      <c r="C405" s="198" t="s">
        <v>357</v>
      </c>
      <c r="D405" s="198" t="s">
        <v>1037</v>
      </c>
      <c r="E405" s="200"/>
    </row>
    <row r="406" spans="1:5">
      <c r="A406" s="196">
        <v>65883</v>
      </c>
      <c r="B406" s="197">
        <v>41025.643807870372</v>
      </c>
      <c r="C406" s="198" t="s">
        <v>396</v>
      </c>
      <c r="D406" s="198" t="s">
        <v>890</v>
      </c>
      <c r="E406" s="200"/>
    </row>
    <row r="407" spans="1:5">
      <c r="A407" s="196">
        <v>65884</v>
      </c>
      <c r="B407" s="197">
        <v>41025.708634259259</v>
      </c>
      <c r="C407" s="198" t="s">
        <v>397</v>
      </c>
      <c r="D407" s="198" t="s">
        <v>888</v>
      </c>
      <c r="E407" s="200"/>
    </row>
    <row r="408" spans="1:5">
      <c r="A408" s="196">
        <v>65887</v>
      </c>
      <c r="B408" s="197">
        <v>41025.7815162037</v>
      </c>
      <c r="C408" s="198" t="s">
        <v>392</v>
      </c>
      <c r="D408" s="198" t="s">
        <v>892</v>
      </c>
      <c r="E408" s="200"/>
    </row>
    <row r="409" spans="1:5">
      <c r="A409" s="196">
        <v>65889</v>
      </c>
      <c r="B409" s="197">
        <v>41025.842650462961</v>
      </c>
      <c r="C409" s="198" t="s">
        <v>395</v>
      </c>
      <c r="D409" s="198" t="s">
        <v>896</v>
      </c>
      <c r="E409" s="200"/>
    </row>
    <row r="410" spans="1:5">
      <c r="A410" s="196">
        <v>66113</v>
      </c>
      <c r="B410" s="197">
        <v>41044.575196759259</v>
      </c>
      <c r="C410" s="198" t="s">
        <v>422</v>
      </c>
      <c r="D410" s="198" t="s">
        <v>888</v>
      </c>
      <c r="E410" s="200"/>
    </row>
    <row r="411" spans="1:5">
      <c r="A411" s="196">
        <v>66114</v>
      </c>
      <c r="B411" s="197">
        <v>41044.639664351853</v>
      </c>
      <c r="C411" s="198" t="s">
        <v>420</v>
      </c>
      <c r="D411" s="198" t="s">
        <v>890</v>
      </c>
      <c r="E411" s="200"/>
    </row>
    <row r="412" spans="1:5">
      <c r="A412" s="196">
        <v>66116</v>
      </c>
      <c r="B412" s="197">
        <v>41044.712893518517</v>
      </c>
      <c r="C412" s="198" t="s">
        <v>432</v>
      </c>
      <c r="D412" s="198" t="s">
        <v>1037</v>
      </c>
      <c r="E412" s="200"/>
    </row>
    <row r="413" spans="1:5">
      <c r="A413" s="196">
        <v>66117</v>
      </c>
      <c r="B413" s="197">
        <v>41044.770578703705</v>
      </c>
      <c r="C413" s="198" t="s">
        <v>425</v>
      </c>
      <c r="D413" s="198" t="s">
        <v>892</v>
      </c>
      <c r="E413" s="200"/>
    </row>
    <row r="414" spans="1:5">
      <c r="A414" s="196">
        <v>66118</v>
      </c>
      <c r="B414" s="197">
        <v>41044.881111111114</v>
      </c>
      <c r="C414" s="198" t="s">
        <v>423</v>
      </c>
      <c r="D414" s="198" t="s">
        <v>896</v>
      </c>
      <c r="E414" s="200"/>
    </row>
    <row r="415" spans="1:5">
      <c r="A415" s="196">
        <v>66333</v>
      </c>
      <c r="B415" s="197">
        <v>41065.54791666667</v>
      </c>
      <c r="C415" s="198" t="s">
        <v>472</v>
      </c>
      <c r="D415" s="198" t="s">
        <v>888</v>
      </c>
      <c r="E415" s="200"/>
    </row>
    <row r="416" spans="1:5">
      <c r="A416" s="196">
        <v>66335</v>
      </c>
      <c r="B416" s="197">
        <v>41065.621481481481</v>
      </c>
      <c r="C416" s="198" t="s">
        <v>471</v>
      </c>
      <c r="D416" s="198" t="s">
        <v>890</v>
      </c>
      <c r="E416" s="200"/>
    </row>
    <row r="417" spans="1:5">
      <c r="A417" s="196">
        <v>66336</v>
      </c>
      <c r="B417" s="197">
        <v>41065.68204861111</v>
      </c>
      <c r="C417" s="198" t="s">
        <v>470</v>
      </c>
      <c r="D417" s="198" t="s">
        <v>892</v>
      </c>
      <c r="E417" s="200"/>
    </row>
    <row r="418" spans="1:5">
      <c r="A418" s="196">
        <v>66337</v>
      </c>
      <c r="B418" s="197">
        <v>41065.740648148145</v>
      </c>
      <c r="C418" s="198" t="s">
        <v>467</v>
      </c>
      <c r="D418" s="198" t="s">
        <v>1037</v>
      </c>
      <c r="E418" s="200"/>
    </row>
    <row r="419" spans="1:5">
      <c r="A419" s="196">
        <v>66609</v>
      </c>
      <c r="B419" s="197">
        <v>41086.606064814812</v>
      </c>
      <c r="C419" s="198" t="s">
        <v>494</v>
      </c>
      <c r="D419" s="198" t="s">
        <v>890</v>
      </c>
      <c r="E419" s="200"/>
    </row>
    <row r="420" spans="1:5">
      <c r="A420" s="196">
        <v>66610</v>
      </c>
      <c r="B420" s="197">
        <v>41086.681018518517</v>
      </c>
      <c r="C420" s="198" t="s">
        <v>491</v>
      </c>
      <c r="D420" s="198" t="s">
        <v>892</v>
      </c>
      <c r="E420" s="200"/>
    </row>
    <row r="421" spans="1:5">
      <c r="A421" s="196">
        <v>66612</v>
      </c>
      <c r="B421" s="197">
        <v>41086.74894675926</v>
      </c>
      <c r="C421" s="198" t="s">
        <v>490</v>
      </c>
      <c r="D421" s="198" t="s">
        <v>1037</v>
      </c>
      <c r="E421" s="200"/>
    </row>
    <row r="422" spans="1:5">
      <c r="A422" s="196">
        <v>66613</v>
      </c>
      <c r="B422" s="197">
        <v>41086.821944444448</v>
      </c>
      <c r="C422" s="198" t="s">
        <v>487</v>
      </c>
      <c r="D422" s="198" t="s">
        <v>888</v>
      </c>
      <c r="E422" s="200"/>
    </row>
    <row r="423" spans="1:5">
      <c r="A423" s="196">
        <v>66767</v>
      </c>
      <c r="B423" s="197">
        <v>41107.544351851851</v>
      </c>
      <c r="C423" s="198" t="s">
        <v>536</v>
      </c>
      <c r="D423" s="198" t="s">
        <v>888</v>
      </c>
      <c r="E423" s="200"/>
    </row>
    <row r="424" spans="1:5">
      <c r="A424" s="196">
        <v>66768</v>
      </c>
      <c r="B424" s="197">
        <v>41107.626099537039</v>
      </c>
      <c r="C424" s="198" t="s">
        <v>526</v>
      </c>
      <c r="D424" s="198" t="s">
        <v>1037</v>
      </c>
      <c r="E424" s="200"/>
    </row>
    <row r="425" spans="1:5">
      <c r="A425" s="196">
        <v>66771</v>
      </c>
      <c r="B425" s="197">
        <v>41107.703240740739</v>
      </c>
      <c r="C425" s="198" t="s">
        <v>525</v>
      </c>
      <c r="D425" s="198" t="s">
        <v>892</v>
      </c>
      <c r="E425" s="200"/>
    </row>
    <row r="426" spans="1:5">
      <c r="A426" s="196">
        <v>66999</v>
      </c>
      <c r="B426" s="197">
        <v>41122.631956018522</v>
      </c>
      <c r="C426" s="198" t="s">
        <v>552</v>
      </c>
      <c r="D426" s="198" t="s">
        <v>1037</v>
      </c>
      <c r="E426" s="200"/>
    </row>
    <row r="427" spans="1:5">
      <c r="A427" s="196">
        <v>67000</v>
      </c>
      <c r="B427" s="197">
        <v>41122.693437499998</v>
      </c>
      <c r="C427" s="198" t="s">
        <v>541</v>
      </c>
      <c r="D427" s="198" t="s">
        <v>892</v>
      </c>
      <c r="E427" s="200"/>
    </row>
    <row r="428" spans="1:5">
      <c r="A428" s="196">
        <v>67001</v>
      </c>
      <c r="B428" s="197">
        <v>41122.744444444441</v>
      </c>
      <c r="C428" s="198" t="s">
        <v>542</v>
      </c>
      <c r="D428" s="198" t="s">
        <v>896</v>
      </c>
      <c r="E428" s="200"/>
    </row>
    <row r="429" spans="1:5">
      <c r="A429" s="196">
        <v>67003</v>
      </c>
      <c r="B429" s="197">
        <v>41122.804548611108</v>
      </c>
      <c r="C429" s="198" t="s">
        <v>543</v>
      </c>
      <c r="D429" s="198" t="s">
        <v>890</v>
      </c>
      <c r="E429" s="200"/>
    </row>
    <row r="430" spans="1:5">
      <c r="A430" s="196">
        <v>67004</v>
      </c>
      <c r="B430" s="197">
        <v>41122.856585648151</v>
      </c>
      <c r="C430" s="198" t="s">
        <v>546</v>
      </c>
      <c r="D430" s="198" t="s">
        <v>888</v>
      </c>
      <c r="E430" s="200"/>
    </row>
    <row r="431" spans="1:5">
      <c r="A431" s="196">
        <v>67288</v>
      </c>
      <c r="B431" s="197">
        <v>41149.595601851855</v>
      </c>
      <c r="C431" s="198" t="s">
        <v>569</v>
      </c>
      <c r="D431" s="198" t="s">
        <v>890</v>
      </c>
      <c r="E431" s="200"/>
    </row>
    <row r="432" spans="1:5">
      <c r="A432" s="196">
        <v>67289</v>
      </c>
      <c r="B432" s="197">
        <v>41149.672974537039</v>
      </c>
      <c r="C432" s="198" t="s">
        <v>576</v>
      </c>
      <c r="D432" s="198" t="s">
        <v>888</v>
      </c>
      <c r="E432" s="200"/>
    </row>
    <row r="433" spans="1:5">
      <c r="A433" s="196">
        <v>67290</v>
      </c>
      <c r="B433" s="197">
        <v>41149.737453703703</v>
      </c>
      <c r="C433" s="198" t="s">
        <v>567</v>
      </c>
      <c r="D433" s="198" t="s">
        <v>892</v>
      </c>
      <c r="E433" s="200"/>
    </row>
    <row r="434" spans="1:5">
      <c r="A434" s="196">
        <v>67291</v>
      </c>
      <c r="B434" s="197">
        <v>41149.807916666665</v>
      </c>
      <c r="C434" s="198" t="s">
        <v>558</v>
      </c>
      <c r="D434" s="198" t="s">
        <v>896</v>
      </c>
      <c r="E434" s="200"/>
    </row>
  </sheetData>
  <hyperlinks>
    <hyperlink ref="A4" r:id="rId1" display="http://omegawww/Target_Offset/Target_Offset.php" xr:uid="{00000000-0004-0000-1D00-000000000000}"/>
  </hyperlinks>
  <pageMargins left="0.7" right="0.7" top="0.75" bottom="0.75" header="0.3" footer="0.3"/>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12"/>
  <sheetViews>
    <sheetView workbookViewId="0">
      <selection activeCell="I11" sqref="I11"/>
    </sheetView>
  </sheetViews>
  <sheetFormatPr defaultRowHeight="15"/>
  <cols>
    <col min="2" max="2" width="13.28515625" style="320" customWidth="1"/>
    <col min="3" max="3" width="18.42578125" style="320" customWidth="1"/>
    <col min="4" max="4" width="12.7109375" style="320" customWidth="1"/>
    <col min="5" max="5" width="25.42578125" style="320" customWidth="1"/>
    <col min="6" max="6" width="12.7109375" style="320" customWidth="1"/>
    <col min="7" max="7" width="10.140625" style="320" customWidth="1"/>
    <col min="8" max="8" width="10.42578125" style="320" customWidth="1"/>
    <col min="9" max="9" width="21.28515625" style="320" customWidth="1"/>
    <col min="10" max="11" width="9.140625" style="320"/>
    <col min="12" max="12" width="12.7109375" style="320" customWidth="1"/>
    <col min="13" max="13" width="9.140625" style="320"/>
    <col min="14" max="14" width="18.42578125" customWidth="1"/>
  </cols>
  <sheetData>
    <row r="1" spans="1:22" ht="45">
      <c r="A1" s="23" t="s">
        <v>4</v>
      </c>
      <c r="B1" s="237" t="s">
        <v>11</v>
      </c>
      <c r="C1" s="23" t="s">
        <v>1957</v>
      </c>
      <c r="D1" s="23" t="s">
        <v>1949</v>
      </c>
      <c r="E1" s="23" t="s">
        <v>105</v>
      </c>
      <c r="F1" s="23" t="s">
        <v>157</v>
      </c>
      <c r="G1" s="23" t="s">
        <v>1950</v>
      </c>
      <c r="H1" s="23" t="s">
        <v>1951</v>
      </c>
      <c r="I1" s="22" t="s">
        <v>135</v>
      </c>
      <c r="J1" s="22" t="s">
        <v>131</v>
      </c>
      <c r="K1" s="22" t="s">
        <v>132</v>
      </c>
      <c r="L1" s="22" t="s">
        <v>133</v>
      </c>
      <c r="M1" s="22" t="s">
        <v>1250</v>
      </c>
      <c r="N1" s="219" t="s">
        <v>1352</v>
      </c>
      <c r="O1" s="242" t="s">
        <v>1267</v>
      </c>
      <c r="P1" s="22" t="s">
        <v>226</v>
      </c>
      <c r="Q1" s="18" t="s">
        <v>141</v>
      </c>
      <c r="R1" s="18" t="s">
        <v>239</v>
      </c>
      <c r="S1" s="18" t="s">
        <v>210</v>
      </c>
      <c r="T1" s="18" t="s">
        <v>146</v>
      </c>
      <c r="U1" s="18" t="s">
        <v>145</v>
      </c>
      <c r="V1" s="18" t="s">
        <v>183</v>
      </c>
    </row>
    <row r="2" spans="1:22">
      <c r="A2">
        <v>2060</v>
      </c>
      <c r="B2" s="320">
        <v>11</v>
      </c>
      <c r="C2" s="320" t="s">
        <v>1958</v>
      </c>
      <c r="D2" s="320">
        <v>10.95</v>
      </c>
      <c r="E2" s="320" t="s">
        <v>1960</v>
      </c>
      <c r="F2" s="320">
        <v>0.46899999999999997</v>
      </c>
      <c r="G2" s="320" t="s">
        <v>1952</v>
      </c>
      <c r="H2" s="320" t="s">
        <v>1953</v>
      </c>
      <c r="I2" s="320" t="s">
        <v>1946</v>
      </c>
      <c r="J2" s="320">
        <v>23.5</v>
      </c>
      <c r="K2" s="320">
        <v>69.7</v>
      </c>
      <c r="L2" s="217">
        <v>42376</v>
      </c>
      <c r="M2" s="320" t="s">
        <v>130</v>
      </c>
      <c r="N2" s="322">
        <v>282</v>
      </c>
      <c r="Q2" t="s">
        <v>1972</v>
      </c>
    </row>
    <row r="3" spans="1:22">
      <c r="A3">
        <v>2023</v>
      </c>
      <c r="B3" s="320">
        <v>15.8</v>
      </c>
      <c r="C3" s="320" t="s">
        <v>1959</v>
      </c>
      <c r="D3" s="320">
        <v>11.22</v>
      </c>
      <c r="E3" s="320" t="s">
        <v>1961</v>
      </c>
      <c r="F3" s="320">
        <v>0.41299999999999998</v>
      </c>
      <c r="G3" s="320">
        <v>47.6</v>
      </c>
      <c r="H3" s="320" t="s">
        <v>1954</v>
      </c>
      <c r="I3" s="320" t="s">
        <v>1947</v>
      </c>
      <c r="J3" s="320">
        <v>23.5</v>
      </c>
      <c r="K3" s="320">
        <v>69.7</v>
      </c>
      <c r="L3" s="217">
        <v>42376</v>
      </c>
      <c r="M3" s="320" t="s">
        <v>130</v>
      </c>
      <c r="N3" s="323">
        <v>561</v>
      </c>
      <c r="Q3" t="s">
        <v>1993</v>
      </c>
    </row>
    <row r="4" spans="1:22">
      <c r="A4">
        <v>2024</v>
      </c>
      <c r="B4" s="320">
        <v>11.8</v>
      </c>
      <c r="C4" s="320" t="s">
        <v>1959</v>
      </c>
      <c r="D4" s="320">
        <v>10.78</v>
      </c>
      <c r="E4" s="320" t="s">
        <v>1962</v>
      </c>
      <c r="F4" s="320">
        <v>0.72</v>
      </c>
      <c r="G4" s="320" t="s">
        <v>1955</v>
      </c>
      <c r="H4" s="320" t="s">
        <v>1956</v>
      </c>
      <c r="I4" s="320" t="s">
        <v>1948</v>
      </c>
      <c r="J4" s="320">
        <v>23.5</v>
      </c>
      <c r="K4" s="320">
        <v>69.7</v>
      </c>
      <c r="L4" s="217">
        <v>42376</v>
      </c>
      <c r="M4" s="320" t="s">
        <v>130</v>
      </c>
      <c r="N4" s="320">
        <v>262</v>
      </c>
      <c r="Q4" t="s">
        <v>1994</v>
      </c>
    </row>
    <row r="5" spans="1:22" ht="30.75" customHeight="1">
      <c r="A5">
        <v>2024</v>
      </c>
      <c r="B5" s="320">
        <v>9.4</v>
      </c>
      <c r="C5" s="320" t="s">
        <v>1965</v>
      </c>
      <c r="D5" s="320">
        <v>11.4</v>
      </c>
      <c r="E5" s="320" t="s">
        <v>1966</v>
      </c>
      <c r="F5" s="320">
        <v>0.89700000000000002</v>
      </c>
      <c r="G5" s="320" t="s">
        <v>1967</v>
      </c>
      <c r="H5" s="320" t="s">
        <v>1968</v>
      </c>
      <c r="I5" s="322" t="s">
        <v>1969</v>
      </c>
      <c r="J5" s="320">
        <v>24.1</v>
      </c>
      <c r="K5" s="320">
        <v>69.2</v>
      </c>
      <c r="L5" s="217">
        <v>42377</v>
      </c>
      <c r="M5" s="320" t="s">
        <v>130</v>
      </c>
      <c r="N5" s="324">
        <v>241</v>
      </c>
      <c r="Q5" t="s">
        <v>2002</v>
      </c>
    </row>
    <row r="6" spans="1:22">
      <c r="A6">
        <v>2118</v>
      </c>
      <c r="B6" s="320">
        <v>9.6</v>
      </c>
      <c r="C6" s="320" t="s">
        <v>1976</v>
      </c>
      <c r="D6" s="320">
        <v>9.49</v>
      </c>
      <c r="E6" s="320" t="s">
        <v>1977</v>
      </c>
      <c r="F6" s="320">
        <v>0.24299999999999999</v>
      </c>
      <c r="G6" s="320" t="s">
        <v>1978</v>
      </c>
      <c r="H6" s="320" t="s">
        <v>1979</v>
      </c>
      <c r="I6" s="322" t="s">
        <v>1970</v>
      </c>
      <c r="J6" s="322">
        <v>24.1</v>
      </c>
      <c r="K6" s="322">
        <v>69.2</v>
      </c>
      <c r="L6" s="217">
        <v>42377</v>
      </c>
      <c r="M6" s="322" t="s">
        <v>130</v>
      </c>
      <c r="N6" s="320">
        <v>274</v>
      </c>
      <c r="Q6" t="s">
        <v>2009</v>
      </c>
    </row>
    <row r="7" spans="1:22">
      <c r="A7">
        <v>3062</v>
      </c>
      <c r="B7" s="320">
        <v>10.4</v>
      </c>
      <c r="C7" s="320" t="s">
        <v>1980</v>
      </c>
      <c r="D7" s="320">
        <v>10.53</v>
      </c>
      <c r="E7" s="320" t="s">
        <v>1981</v>
      </c>
      <c r="F7" s="320">
        <v>0.78700000000000003</v>
      </c>
      <c r="G7" s="320" t="s">
        <v>1982</v>
      </c>
      <c r="H7" s="320" t="s">
        <v>1983</v>
      </c>
      <c r="I7" s="322" t="s">
        <v>1971</v>
      </c>
      <c r="J7" s="322">
        <v>24.1</v>
      </c>
      <c r="K7" s="322">
        <v>69.2</v>
      </c>
      <c r="L7" s="217">
        <v>42377</v>
      </c>
      <c r="M7" s="322" t="s">
        <v>130</v>
      </c>
      <c r="N7" s="325">
        <v>321</v>
      </c>
      <c r="Q7" t="s">
        <v>2010</v>
      </c>
    </row>
    <row r="8" spans="1:22" ht="30" customHeight="1">
      <c r="A8">
        <v>2495</v>
      </c>
      <c r="B8" s="320">
        <v>7.2</v>
      </c>
      <c r="C8" s="320" t="s">
        <v>1984</v>
      </c>
      <c r="D8" s="320">
        <v>11.75</v>
      </c>
      <c r="E8" s="320" t="s">
        <v>1985</v>
      </c>
      <c r="F8" s="320">
        <v>0.216</v>
      </c>
      <c r="G8" s="320" t="s">
        <v>1986</v>
      </c>
      <c r="H8" s="320" t="s">
        <v>1987</v>
      </c>
      <c r="I8" s="322" t="s">
        <v>1973</v>
      </c>
      <c r="J8" s="322">
        <v>24.1</v>
      </c>
      <c r="K8" s="322">
        <v>69.2</v>
      </c>
      <c r="L8" s="217">
        <v>42377</v>
      </c>
      <c r="M8" s="322" t="s">
        <v>130</v>
      </c>
      <c r="N8" s="323">
        <v>116</v>
      </c>
      <c r="Q8" t="s">
        <v>1995</v>
      </c>
    </row>
    <row r="9" spans="1:22">
      <c r="A9">
        <v>2702</v>
      </c>
      <c r="B9" s="320">
        <v>7</v>
      </c>
      <c r="C9" s="320" t="s">
        <v>1984</v>
      </c>
      <c r="D9" s="320">
        <v>11.76</v>
      </c>
      <c r="E9" s="320" t="s">
        <v>1988</v>
      </c>
      <c r="F9" s="320">
        <v>0.34499999999999997</v>
      </c>
      <c r="G9" s="320" t="s">
        <v>1989</v>
      </c>
      <c r="H9" s="320" t="s">
        <v>1989</v>
      </c>
      <c r="I9" s="322" t="s">
        <v>1974</v>
      </c>
      <c r="J9" s="322">
        <v>24.1</v>
      </c>
      <c r="K9" s="322">
        <v>69.2</v>
      </c>
      <c r="L9" s="217">
        <v>42377</v>
      </c>
      <c r="M9" s="322" t="s">
        <v>130</v>
      </c>
      <c r="N9" s="324">
        <v>115</v>
      </c>
      <c r="Q9" t="s">
        <v>2000</v>
      </c>
    </row>
    <row r="10" spans="1:22">
      <c r="A10">
        <v>2703</v>
      </c>
      <c r="B10" s="320">
        <v>7</v>
      </c>
      <c r="C10" s="320" t="s">
        <v>1984</v>
      </c>
      <c r="D10" s="320">
        <v>12.13</v>
      </c>
      <c r="E10" s="320" t="s">
        <v>1990</v>
      </c>
      <c r="F10" s="320">
        <v>0.66300000000000003</v>
      </c>
      <c r="G10" s="320" t="s">
        <v>1991</v>
      </c>
      <c r="H10" s="320" t="s">
        <v>1992</v>
      </c>
      <c r="I10" s="322" t="s">
        <v>1975</v>
      </c>
      <c r="J10" s="322">
        <v>24.1</v>
      </c>
      <c r="K10" s="322">
        <v>69.2</v>
      </c>
      <c r="L10" s="217">
        <v>42377</v>
      </c>
      <c r="M10" s="322" t="s">
        <v>130</v>
      </c>
      <c r="N10" s="324">
        <v>98</v>
      </c>
      <c r="Q10" t="s">
        <v>2001</v>
      </c>
    </row>
    <row r="12" spans="1:22">
      <c r="G12" s="320" t="s">
        <v>1678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D7"/>
  <sheetViews>
    <sheetView workbookViewId="0">
      <selection activeCell="I25" sqref="I25"/>
    </sheetView>
  </sheetViews>
  <sheetFormatPr defaultRowHeight="15"/>
  <cols>
    <col min="2" max="2" width="15.42578125" customWidth="1"/>
    <col min="3" max="3" width="21.7109375" customWidth="1"/>
    <col min="4" max="4" width="20.42578125" customWidth="1"/>
  </cols>
  <sheetData>
    <row r="2" spans="2:4">
      <c r="B2" t="s">
        <v>3040</v>
      </c>
      <c r="C2" t="s">
        <v>3038</v>
      </c>
      <c r="D2" t="s">
        <v>3039</v>
      </c>
    </row>
    <row r="3" spans="2:4">
      <c r="B3" s="44">
        <v>2273</v>
      </c>
      <c r="C3" s="45" t="s">
        <v>2933</v>
      </c>
      <c r="D3" s="412" t="s">
        <v>3037</v>
      </c>
    </row>
    <row r="4" spans="2:4">
      <c r="B4" s="44">
        <v>2287</v>
      </c>
      <c r="C4" s="45" t="s">
        <v>2966</v>
      </c>
      <c r="D4" s="412" t="s">
        <v>2983</v>
      </c>
    </row>
    <row r="5" spans="2:4">
      <c r="B5" s="44">
        <v>2301</v>
      </c>
      <c r="C5" s="397" t="s">
        <v>2997</v>
      </c>
      <c r="D5" s="412" t="s">
        <v>3014</v>
      </c>
    </row>
    <row r="6" spans="2:4">
      <c r="B6" s="44">
        <v>2297</v>
      </c>
      <c r="C6" s="397" t="s">
        <v>3007</v>
      </c>
      <c r="D6" s="412" t="s">
        <v>3015</v>
      </c>
    </row>
    <row r="7" spans="2:4">
      <c r="B7" s="44">
        <v>2305</v>
      </c>
      <c r="C7" s="397" t="s">
        <v>3019</v>
      </c>
      <c r="D7" s="412" t="s">
        <v>3029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8"/>
  <sheetViews>
    <sheetView workbookViewId="0">
      <selection activeCell="N19" sqref="N19"/>
    </sheetView>
  </sheetViews>
  <sheetFormatPr defaultRowHeight="15"/>
  <cols>
    <col min="2" max="2" width="13.140625" bestFit="1" customWidth="1"/>
    <col min="3" max="3" width="18.140625" bestFit="1" customWidth="1"/>
    <col min="4" max="4" width="31.7109375" bestFit="1" customWidth="1"/>
    <col min="5" max="5" width="29.5703125" customWidth="1"/>
    <col min="7" max="7" width="11.85546875" bestFit="1" customWidth="1"/>
  </cols>
  <sheetData>
    <row r="1" spans="1:7">
      <c r="A1" t="s">
        <v>40</v>
      </c>
      <c r="B1" s="4" t="s">
        <v>41</v>
      </c>
    </row>
    <row r="3" spans="1:7">
      <c r="E3" s="8" t="s">
        <v>28</v>
      </c>
    </row>
    <row r="4" spans="1:7">
      <c r="A4" s="8"/>
      <c r="B4" s="604" t="s">
        <v>5</v>
      </c>
      <c r="C4" s="604"/>
      <c r="D4" s="8" t="s">
        <v>14</v>
      </c>
      <c r="E4" s="8" t="s">
        <v>8</v>
      </c>
    </row>
    <row r="5" spans="1:7">
      <c r="A5" s="2" t="s">
        <v>4</v>
      </c>
      <c r="B5" s="2" t="s">
        <v>11</v>
      </c>
      <c r="C5" s="2" t="s">
        <v>62</v>
      </c>
      <c r="D5" s="2" t="s">
        <v>43</v>
      </c>
      <c r="E5" s="2" t="s">
        <v>42</v>
      </c>
      <c r="F5" s="11" t="s">
        <v>61</v>
      </c>
    </row>
    <row r="6" spans="1:7">
      <c r="A6">
        <v>2612</v>
      </c>
      <c r="B6" t="s">
        <v>44</v>
      </c>
      <c r="C6">
        <v>1.51</v>
      </c>
      <c r="D6">
        <v>9.9</v>
      </c>
      <c r="E6">
        <v>21.2</v>
      </c>
      <c r="F6">
        <v>33.1</v>
      </c>
    </row>
    <row r="7" spans="1:7">
      <c r="A7">
        <v>2613</v>
      </c>
      <c r="B7" t="s">
        <v>45</v>
      </c>
      <c r="C7">
        <v>1.5</v>
      </c>
      <c r="D7">
        <v>10</v>
      </c>
      <c r="E7">
        <v>21.3</v>
      </c>
      <c r="F7">
        <v>33.1</v>
      </c>
    </row>
    <row r="8" spans="1:7">
      <c r="A8">
        <v>2614</v>
      </c>
      <c r="B8" t="s">
        <v>45</v>
      </c>
      <c r="C8">
        <v>1.51</v>
      </c>
      <c r="D8">
        <v>10</v>
      </c>
      <c r="E8">
        <v>21.25</v>
      </c>
      <c r="F8">
        <v>33.159999999999997</v>
      </c>
      <c r="G8" t="s">
        <v>64</v>
      </c>
    </row>
    <row r="9" spans="1:7">
      <c r="A9">
        <v>2615</v>
      </c>
      <c r="B9" t="s">
        <v>46</v>
      </c>
      <c r="C9">
        <v>1.5</v>
      </c>
      <c r="D9">
        <v>10.1</v>
      </c>
      <c r="E9">
        <v>21.4</v>
      </c>
      <c r="F9">
        <v>33.4</v>
      </c>
    </row>
    <row r="10" spans="1:7">
      <c r="A10">
        <v>2616</v>
      </c>
      <c r="B10" t="s">
        <v>45</v>
      </c>
      <c r="C10">
        <v>1.5</v>
      </c>
      <c r="D10">
        <v>10</v>
      </c>
      <c r="E10">
        <v>21.3</v>
      </c>
      <c r="F10">
        <v>33.299999999999997</v>
      </c>
    </row>
    <row r="11" spans="1:7">
      <c r="A11">
        <v>2617</v>
      </c>
      <c r="B11" t="s">
        <v>47</v>
      </c>
      <c r="C11">
        <v>1.51</v>
      </c>
      <c r="D11" s="13">
        <v>10.1</v>
      </c>
      <c r="E11">
        <v>21.3</v>
      </c>
      <c r="F11">
        <v>33.24</v>
      </c>
      <c r="G11" t="s">
        <v>63</v>
      </c>
    </row>
    <row r="12" spans="1:7">
      <c r="A12">
        <v>2668</v>
      </c>
      <c r="B12">
        <v>20</v>
      </c>
      <c r="C12">
        <v>1.48</v>
      </c>
      <c r="D12">
        <v>9.9</v>
      </c>
      <c r="E12">
        <v>21.29</v>
      </c>
      <c r="F12">
        <v>32.68</v>
      </c>
    </row>
    <row r="13" spans="1:7">
      <c r="A13">
        <v>2669</v>
      </c>
      <c r="B13">
        <v>20</v>
      </c>
      <c r="C13">
        <v>1.5</v>
      </c>
      <c r="D13">
        <v>10</v>
      </c>
      <c r="E13">
        <v>21.3</v>
      </c>
      <c r="F13">
        <v>32.700000000000003</v>
      </c>
    </row>
    <row r="14" spans="1:7">
      <c r="A14">
        <v>2677</v>
      </c>
      <c r="B14" t="s">
        <v>65</v>
      </c>
      <c r="C14">
        <v>1.47</v>
      </c>
      <c r="D14">
        <v>9.9600000000000009</v>
      </c>
      <c r="E14">
        <v>21.3</v>
      </c>
      <c r="F14">
        <v>32.75</v>
      </c>
    </row>
    <row r="15" spans="1:7">
      <c r="A15">
        <v>2678</v>
      </c>
      <c r="B15" t="s">
        <v>47</v>
      </c>
      <c r="C15">
        <v>1.5</v>
      </c>
      <c r="D15">
        <v>9.94</v>
      </c>
      <c r="E15">
        <v>21.5</v>
      </c>
      <c r="F15">
        <v>32.92</v>
      </c>
    </row>
    <row r="16" spans="1:7">
      <c r="A16">
        <v>2679</v>
      </c>
      <c r="B16" t="s">
        <v>66</v>
      </c>
      <c r="C16">
        <v>1.5</v>
      </c>
      <c r="D16">
        <v>9.9</v>
      </c>
      <c r="E16">
        <v>21.27</v>
      </c>
      <c r="F16">
        <v>32.67</v>
      </c>
    </row>
    <row r="17" spans="1:6">
      <c r="A17">
        <v>2680</v>
      </c>
      <c r="B17" t="s">
        <v>67</v>
      </c>
      <c r="C17">
        <v>1.47</v>
      </c>
      <c r="D17">
        <v>9.9</v>
      </c>
      <c r="E17">
        <v>21.3</v>
      </c>
      <c r="F17">
        <v>32.67</v>
      </c>
    </row>
    <row r="25" spans="1:6" ht="32.25" customHeight="1"/>
    <row r="28" spans="1:6" ht="30.75" customHeight="1"/>
  </sheetData>
  <mergeCells count="1">
    <mergeCell ref="B4:C4"/>
  </mergeCells>
  <hyperlinks>
    <hyperlink ref="B1" r:id="rId1" display="http://www.lle.rochester.edu/pdm?form=PDM::DocDetail&amp;Project=CTHS&amp;Docid=D-TR-B-227&amp;CType=L&amp;Revision=A"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1759"/>
  <sheetViews>
    <sheetView tabSelected="1" zoomScale="130" zoomScaleNormal="130" workbookViewId="0">
      <pane ySplit="3" topLeftCell="A1691" activePane="bottomLeft" state="frozen"/>
      <selection pane="bottomLeft" activeCell="A1701" sqref="A1701"/>
    </sheetView>
  </sheetViews>
  <sheetFormatPr defaultRowHeight="15"/>
  <cols>
    <col min="1" max="1" width="8" style="134" customWidth="1"/>
    <col min="2" max="2" width="11.28515625" style="134" customWidth="1"/>
    <col min="3" max="3" width="8.42578125" customWidth="1"/>
    <col min="4" max="4" width="16.5703125" customWidth="1"/>
    <col min="5" max="5" width="12.42578125" customWidth="1"/>
    <col min="6" max="6" width="27" style="375" bestFit="1" customWidth="1"/>
    <col min="7" max="7" width="7" customWidth="1"/>
    <col min="8" max="8" width="6" customWidth="1"/>
    <col min="9" max="9" width="12.140625" style="419" customWidth="1"/>
    <col min="10" max="10" width="5.140625" bestFit="1" customWidth="1"/>
    <col min="11" max="11" width="7.42578125" customWidth="1"/>
    <col min="12" max="12" width="8.140625" customWidth="1"/>
    <col min="13" max="13" width="9" customWidth="1"/>
    <col min="14" max="14" width="7.5703125" hidden="1" customWidth="1"/>
    <col min="15" max="15" width="11.5703125" hidden="1" customWidth="1"/>
    <col min="16" max="16" width="14.140625" hidden="1" customWidth="1"/>
    <col min="17" max="17" width="11" customWidth="1"/>
    <col min="18" max="18" width="9.7109375" hidden="1" customWidth="1"/>
    <col min="19" max="19" width="17.7109375" hidden="1" customWidth="1"/>
    <col min="20" max="20" width="37.42578125" customWidth="1"/>
    <col min="21" max="21" width="21.7109375" customWidth="1"/>
    <col min="22" max="22" width="10" style="407" customWidth="1"/>
    <col min="23" max="23" width="13.7109375" style="29" customWidth="1"/>
    <col min="25" max="25" width="10.140625" customWidth="1"/>
    <col min="26" max="26" width="11.42578125" customWidth="1"/>
    <col min="28" max="28" width="15.42578125" bestFit="1" customWidth="1"/>
  </cols>
  <sheetData>
    <row r="1" spans="1:26">
      <c r="A1" s="303" t="s">
        <v>401</v>
      </c>
      <c r="B1" s="275" t="str">
        <f>HYPERLINK("http://www.lle.rochester.edu/pdm?form=PDM::DocDetail&amp;Project=CTHS&amp;Docid=D-TR-B-262&amp;CType=L&amp;Revision=A","D-TR-B-262")</f>
        <v>D-TR-B-262</v>
      </c>
      <c r="H1" t="s">
        <v>3074</v>
      </c>
      <c r="I1" s="419">
        <f>COUNTIF(J:J, "DW")</f>
        <v>520</v>
      </c>
      <c r="J1" t="s">
        <v>4026</v>
      </c>
      <c r="K1">
        <f>COUNTIF(J:J, "AB")</f>
        <v>115</v>
      </c>
      <c r="Y1">
        <f>SUM(Y4:Y20)</f>
        <v>8</v>
      </c>
      <c r="Z1" t="s">
        <v>665</v>
      </c>
    </row>
    <row r="2" spans="1:26" ht="30">
      <c r="B2" s="604" t="s">
        <v>5</v>
      </c>
      <c r="C2" s="604"/>
      <c r="D2" s="101" t="s">
        <v>14</v>
      </c>
      <c r="E2" s="29" t="s">
        <v>1201</v>
      </c>
      <c r="H2" t="s">
        <v>130</v>
      </c>
      <c r="I2" s="419">
        <f>COUNTIF(J:J, "DT")</f>
        <v>972</v>
      </c>
    </row>
    <row r="3" spans="1:26" ht="73.5" customHeight="1">
      <c r="A3" s="362" t="s">
        <v>4</v>
      </c>
      <c r="B3" s="237" t="s">
        <v>1202</v>
      </c>
      <c r="C3" s="23" t="s">
        <v>402</v>
      </c>
      <c r="D3" s="23" t="s">
        <v>403</v>
      </c>
      <c r="E3" s="23" t="s">
        <v>416</v>
      </c>
      <c r="F3" s="22" t="s">
        <v>135</v>
      </c>
      <c r="G3" s="22" t="s">
        <v>131</v>
      </c>
      <c r="H3" s="22" t="s">
        <v>132</v>
      </c>
      <c r="I3" s="22" t="s">
        <v>133</v>
      </c>
      <c r="J3" s="22" t="s">
        <v>1250</v>
      </c>
      <c r="K3" s="22" t="s">
        <v>105</v>
      </c>
      <c r="L3" s="22" t="s">
        <v>157</v>
      </c>
      <c r="M3" s="219" t="s">
        <v>2400</v>
      </c>
      <c r="N3" s="242" t="s">
        <v>1267</v>
      </c>
      <c r="O3" s="22" t="s">
        <v>226</v>
      </c>
      <c r="P3" s="18" t="s">
        <v>141</v>
      </c>
      <c r="Q3" s="18" t="s">
        <v>239</v>
      </c>
      <c r="R3" s="18" t="s">
        <v>210</v>
      </c>
      <c r="S3" s="18" t="s">
        <v>146</v>
      </c>
      <c r="T3" s="18" t="s">
        <v>145</v>
      </c>
      <c r="U3" s="18" t="s">
        <v>183</v>
      </c>
      <c r="V3" s="467" t="s">
        <v>3523</v>
      </c>
      <c r="W3" s="577" t="s">
        <v>2189</v>
      </c>
      <c r="X3" s="467" t="s">
        <v>3463</v>
      </c>
      <c r="Y3" s="22" t="s">
        <v>666</v>
      </c>
      <c r="Z3" s="57" t="s">
        <v>667</v>
      </c>
    </row>
    <row r="4" spans="1:26">
      <c r="A4" s="134">
        <v>2047</v>
      </c>
      <c r="B4" s="134">
        <v>19.2</v>
      </c>
      <c r="C4">
        <v>1.49</v>
      </c>
      <c r="D4">
        <v>7.18</v>
      </c>
      <c r="E4" s="62">
        <v>24.46</v>
      </c>
      <c r="F4" s="16" t="s">
        <v>408</v>
      </c>
      <c r="G4" s="62">
        <v>32</v>
      </c>
      <c r="H4">
        <v>70</v>
      </c>
      <c r="I4" s="421">
        <v>40997</v>
      </c>
      <c r="J4" t="s">
        <v>130</v>
      </c>
      <c r="K4">
        <v>33.54</v>
      </c>
      <c r="L4">
        <v>5.0999999999999997E-2</v>
      </c>
      <c r="M4">
        <v>283.75</v>
      </c>
      <c r="Q4" s="4" t="str">
        <f>HYPERLINK("\\hopi-fs\shares\users\dhar\Stalk mount testing\Type 1e Quality Assurance\CRYO-ME-1232-0215  2047","folder")</f>
        <v>folder</v>
      </c>
      <c r="T4" t="s">
        <v>140</v>
      </c>
      <c r="U4" t="s">
        <v>418</v>
      </c>
    </row>
    <row r="5" spans="1:26">
      <c r="A5" s="136">
        <v>2048</v>
      </c>
      <c r="B5" s="134">
        <v>16.2</v>
      </c>
      <c r="C5">
        <v>1.56</v>
      </c>
      <c r="D5">
        <v>7.2</v>
      </c>
      <c r="E5" s="62">
        <v>24.42</v>
      </c>
      <c r="F5" s="21" t="s">
        <v>409</v>
      </c>
      <c r="G5" s="62">
        <v>32</v>
      </c>
      <c r="H5">
        <v>70</v>
      </c>
      <c r="I5" s="421">
        <v>40997</v>
      </c>
      <c r="J5" t="s">
        <v>130</v>
      </c>
      <c r="K5">
        <v>33.630000000000003</v>
      </c>
      <c r="L5">
        <v>0.621</v>
      </c>
      <c r="M5">
        <v>187.5</v>
      </c>
      <c r="P5" s="3" t="s">
        <v>1144</v>
      </c>
      <c r="Q5" s="4" t="str">
        <f>HYPERLINK("\\hopi-fs\shares\users\dhar\Stalk mount testing\Type 1e Quality Assurance\CRYO-ME-1232-0216  2048","folder")</f>
        <v>folder</v>
      </c>
      <c r="T5" t="s">
        <v>140</v>
      </c>
      <c r="U5" t="s">
        <v>1137</v>
      </c>
    </row>
    <row r="6" spans="1:26">
      <c r="A6" s="134">
        <v>2049</v>
      </c>
      <c r="B6" s="134">
        <v>16.600000000000001</v>
      </c>
      <c r="C6">
        <v>1.53</v>
      </c>
      <c r="D6">
        <v>7.19</v>
      </c>
      <c r="E6" s="62">
        <v>24.49</v>
      </c>
      <c r="F6" s="21" t="s">
        <v>410</v>
      </c>
      <c r="G6" s="62">
        <v>32</v>
      </c>
      <c r="H6">
        <v>70</v>
      </c>
      <c r="I6" s="421">
        <v>40997</v>
      </c>
      <c r="J6" t="s">
        <v>130</v>
      </c>
      <c r="K6">
        <v>33.65</v>
      </c>
      <c r="L6">
        <v>0.32700000000000001</v>
      </c>
      <c r="M6" t="s">
        <v>419</v>
      </c>
      <c r="Q6" s="4" t="str">
        <f>HYPERLINK("\\hopi-fs\shares\users\dhar\Stalk mount testing\Type 1e Quality Assurance\CRYO-ME-1228-0217  2049","folder")</f>
        <v>folder</v>
      </c>
      <c r="T6" t="s">
        <v>140</v>
      </c>
      <c r="U6" t="s">
        <v>439</v>
      </c>
    </row>
    <row r="7" spans="1:26">
      <c r="A7" s="134">
        <v>2050</v>
      </c>
      <c r="B7" s="134">
        <v>17</v>
      </c>
      <c r="C7">
        <v>1.56</v>
      </c>
      <c r="D7">
        <v>7.17</v>
      </c>
      <c r="E7" s="62">
        <v>24.41</v>
      </c>
      <c r="F7" s="131" t="s">
        <v>411</v>
      </c>
      <c r="G7" s="62">
        <v>32</v>
      </c>
      <c r="H7">
        <v>70</v>
      </c>
      <c r="I7" s="421">
        <v>40997</v>
      </c>
      <c r="J7" t="s">
        <v>130</v>
      </c>
      <c r="K7">
        <v>33.58</v>
      </c>
      <c r="L7">
        <v>0.22900000000000001</v>
      </c>
      <c r="M7">
        <v>232.5</v>
      </c>
      <c r="O7" s="3"/>
      <c r="P7" s="3" t="s">
        <v>1222</v>
      </c>
      <c r="Q7" s="4" t="str">
        <f>HYPERLINK("\\hopi-fs\shares\users\dhar\Stalk mount testing\Type 1e Quality Assurance\CRYO-ME-1229-0218  2050","folder")</f>
        <v>folder</v>
      </c>
      <c r="T7" t="s">
        <v>140</v>
      </c>
    </row>
    <row r="8" spans="1:26">
      <c r="A8" s="134">
        <v>2068</v>
      </c>
      <c r="B8" s="134">
        <v>16</v>
      </c>
      <c r="C8">
        <v>1.53</v>
      </c>
      <c r="D8">
        <v>7.17</v>
      </c>
      <c r="E8" s="62">
        <v>24.41</v>
      </c>
      <c r="F8" s="11" t="s">
        <v>504</v>
      </c>
      <c r="G8" s="62">
        <v>52.5</v>
      </c>
      <c r="H8">
        <v>72.5</v>
      </c>
      <c r="I8" s="421">
        <v>41038</v>
      </c>
      <c r="J8" t="s">
        <v>130</v>
      </c>
      <c r="K8">
        <v>33.53</v>
      </c>
      <c r="L8">
        <v>0.33900000000000002</v>
      </c>
      <c r="M8">
        <v>246</v>
      </c>
      <c r="Q8" s="4" t="str">
        <f>HYPERLINK("\\hopi-fs\shares\users\dhar\Stalk mount testing\Type 1e Quality Assurance\P884 - 12  2068","folder")</f>
        <v>folder</v>
      </c>
      <c r="T8" t="s">
        <v>140</v>
      </c>
      <c r="U8" t="s">
        <v>512</v>
      </c>
    </row>
    <row r="9" spans="1:26">
      <c r="A9" s="134">
        <v>2069</v>
      </c>
      <c r="B9" s="134">
        <v>19</v>
      </c>
      <c r="C9">
        <v>1.53</v>
      </c>
      <c r="D9">
        <v>7.17</v>
      </c>
      <c r="E9" s="62">
        <v>24.42</v>
      </c>
      <c r="F9" s="132" t="s">
        <v>505</v>
      </c>
      <c r="G9" s="62">
        <v>52.5</v>
      </c>
      <c r="H9">
        <v>72.5</v>
      </c>
      <c r="I9" s="421">
        <v>41038</v>
      </c>
      <c r="J9" t="s">
        <v>130</v>
      </c>
      <c r="K9">
        <v>33.549999999999997</v>
      </c>
      <c r="L9">
        <v>0.44900000000000001</v>
      </c>
      <c r="M9">
        <v>270</v>
      </c>
      <c r="Q9" s="4" t="str">
        <f>HYPERLINK("\\hopi-fs\shares\users\dhar\Stalk mount testing\Type 1e Quality Assurance\P884 - 13  2069","folder")</f>
        <v>folder</v>
      </c>
      <c r="T9" t="s">
        <v>140</v>
      </c>
      <c r="U9" t="s">
        <v>512</v>
      </c>
    </row>
    <row r="10" spans="1:26">
      <c r="A10" s="136">
        <v>2070</v>
      </c>
      <c r="B10" s="134">
        <v>18.399999999999999</v>
      </c>
      <c r="C10">
        <v>1.51</v>
      </c>
      <c r="D10">
        <v>7.17</v>
      </c>
      <c r="E10" s="62">
        <v>24.41</v>
      </c>
      <c r="F10" s="21" t="s">
        <v>506</v>
      </c>
      <c r="G10">
        <v>11</v>
      </c>
      <c r="H10">
        <v>72</v>
      </c>
      <c r="I10" s="421" t="s">
        <v>1208</v>
      </c>
      <c r="J10" t="s">
        <v>130</v>
      </c>
      <c r="K10">
        <v>33.51</v>
      </c>
      <c r="L10">
        <v>0.78</v>
      </c>
      <c r="M10">
        <v>276</v>
      </c>
      <c r="Q10" s="4" t="str">
        <f>HYPERLINK("\\hopi-fs\shares\users\dhar\Stalk mount testing\Type 1e Quality Assurance\P884 - 14  2070","folder")</f>
        <v>folder</v>
      </c>
      <c r="T10" t="s">
        <v>140</v>
      </c>
      <c r="U10" t="s">
        <v>1253</v>
      </c>
    </row>
    <row r="11" spans="1:26">
      <c r="A11" s="134">
        <v>2090</v>
      </c>
      <c r="B11" s="134">
        <v>17.399999999999999</v>
      </c>
      <c r="C11">
        <v>1.51</v>
      </c>
      <c r="D11">
        <v>7</v>
      </c>
      <c r="E11" s="63">
        <v>24.34</v>
      </c>
      <c r="F11" s="105" t="s">
        <v>531</v>
      </c>
      <c r="G11" s="63">
        <v>54</v>
      </c>
      <c r="H11">
        <v>71</v>
      </c>
      <c r="I11" s="421">
        <v>41075</v>
      </c>
      <c r="J11" t="s">
        <v>130</v>
      </c>
      <c r="K11">
        <v>33.299999999999997</v>
      </c>
      <c r="L11">
        <v>0.2</v>
      </c>
      <c r="Q11" s="4" t="str">
        <f>HYPERLINK("\\hopi-fs\shares\users\dhar\Stalk mount testing\Type 1e Quality Assurance\CRYO-2092-1995 2090","folder")</f>
        <v>folder</v>
      </c>
      <c r="T11" t="s">
        <v>140</v>
      </c>
      <c r="U11" t="s">
        <v>533</v>
      </c>
      <c r="Y11">
        <v>1</v>
      </c>
    </row>
    <row r="12" spans="1:26">
      <c r="A12" s="134">
        <v>2090</v>
      </c>
      <c r="B12" s="134">
        <v>16.399999999999999</v>
      </c>
      <c r="C12">
        <v>1.52</v>
      </c>
      <c r="D12">
        <v>7</v>
      </c>
      <c r="E12" s="63">
        <v>24.4</v>
      </c>
      <c r="F12" s="21" t="s">
        <v>536</v>
      </c>
      <c r="G12" s="63">
        <v>52.6</v>
      </c>
      <c r="H12">
        <v>72.7</v>
      </c>
      <c r="I12" s="421">
        <v>41080</v>
      </c>
      <c r="J12" t="s">
        <v>130</v>
      </c>
      <c r="K12">
        <v>33.4</v>
      </c>
      <c r="L12">
        <v>0.94</v>
      </c>
      <c r="M12">
        <v>369</v>
      </c>
      <c r="Q12" s="4" t="str">
        <f>HYPERLINK("\\hopi-fs\shares\users\dhar\Stalk mount testing\Type 1e Quality Assurance\CRYO-2093-2001 2090","folder")</f>
        <v>folder</v>
      </c>
      <c r="T12" t="s">
        <v>140</v>
      </c>
      <c r="U12" t="s">
        <v>537</v>
      </c>
      <c r="Y12">
        <v>1</v>
      </c>
      <c r="Z12">
        <v>1</v>
      </c>
    </row>
    <row r="13" spans="1:26">
      <c r="A13" s="136">
        <v>2091</v>
      </c>
      <c r="B13" s="134">
        <v>17.399999999999999</v>
      </c>
      <c r="C13">
        <v>1.52</v>
      </c>
      <c r="D13">
        <v>7.15</v>
      </c>
      <c r="E13" s="63">
        <v>24.36</v>
      </c>
      <c r="F13" s="21" t="s">
        <v>532</v>
      </c>
      <c r="G13" s="63">
        <v>54</v>
      </c>
      <c r="H13">
        <v>71</v>
      </c>
      <c r="I13" s="421">
        <v>41075</v>
      </c>
      <c r="J13" t="s">
        <v>130</v>
      </c>
      <c r="K13">
        <v>33.47</v>
      </c>
      <c r="L13">
        <v>0.50800000000000001</v>
      </c>
      <c r="M13" t="s">
        <v>1264</v>
      </c>
      <c r="Q13" s="4" t="str">
        <f>HYPERLINK("\\hopi-fs\shares\users\dhar\Stalk mount testing\Type 1e Quality Assurance\CRYO-2093-1997 2091","folder")</f>
        <v>folder</v>
      </c>
      <c r="T13" t="s">
        <v>140</v>
      </c>
      <c r="U13" t="s">
        <v>1278</v>
      </c>
      <c r="Y13">
        <v>1</v>
      </c>
    </row>
    <row r="14" spans="1:26">
      <c r="A14" s="134">
        <v>2089</v>
      </c>
      <c r="B14" s="134">
        <v>17.399999999999999</v>
      </c>
      <c r="C14">
        <v>1.56</v>
      </c>
      <c r="D14">
        <v>7.15</v>
      </c>
      <c r="E14" s="63">
        <v>24.46</v>
      </c>
      <c r="F14" s="176" t="s">
        <v>544</v>
      </c>
      <c r="G14" s="63">
        <v>46</v>
      </c>
      <c r="H14">
        <v>71</v>
      </c>
      <c r="I14" s="421">
        <v>41087</v>
      </c>
      <c r="J14" t="s">
        <v>130</v>
      </c>
      <c r="K14">
        <v>33.6</v>
      </c>
      <c r="L14">
        <v>0.20399999999999999</v>
      </c>
      <c r="Q14" s="4" t="str">
        <f>HYPERLINK("\\hopi-fs\shares\users\dhar\Stalk mount testing\Type 1e Quality Assurance\CRYO-47139-161 2089","folder")</f>
        <v>folder</v>
      </c>
      <c r="T14" t="s">
        <v>140</v>
      </c>
      <c r="U14" t="s">
        <v>533</v>
      </c>
      <c r="Y14">
        <v>1</v>
      </c>
    </row>
    <row r="15" spans="1:26">
      <c r="A15" s="134">
        <v>2089</v>
      </c>
      <c r="B15" s="136">
        <v>13.8</v>
      </c>
      <c r="C15">
        <v>1.51</v>
      </c>
      <c r="D15">
        <v>7.15</v>
      </c>
      <c r="E15" s="63">
        <v>24.5</v>
      </c>
      <c r="F15" s="19" t="s">
        <v>549</v>
      </c>
      <c r="G15" s="63">
        <v>54</v>
      </c>
      <c r="H15">
        <v>71</v>
      </c>
      <c r="I15" s="421">
        <v>41089</v>
      </c>
      <c r="J15" t="s">
        <v>130</v>
      </c>
      <c r="K15">
        <v>33.6</v>
      </c>
      <c r="L15">
        <v>0.496</v>
      </c>
      <c r="M15">
        <v>285</v>
      </c>
      <c r="Q15" s="4" t="str">
        <f>HYPERLINK("\\hopi-fs\shares\users\dhar\Stalk mount testing\Type 1e Quality Assurance\CRYO-47138-173 2089","folder")</f>
        <v>folder</v>
      </c>
      <c r="T15" t="s">
        <v>140</v>
      </c>
      <c r="U15" t="s">
        <v>554</v>
      </c>
      <c r="Y15">
        <v>1</v>
      </c>
      <c r="Z15">
        <v>1</v>
      </c>
    </row>
    <row r="16" spans="1:26">
      <c r="A16" s="134">
        <v>2096</v>
      </c>
      <c r="B16" s="134">
        <v>16.399999999999999</v>
      </c>
      <c r="C16">
        <v>1.51</v>
      </c>
      <c r="D16">
        <v>7.29</v>
      </c>
      <c r="E16" s="63">
        <v>24.29</v>
      </c>
      <c r="F16" s="176" t="s">
        <v>545</v>
      </c>
      <c r="G16" s="63">
        <v>46</v>
      </c>
      <c r="H16">
        <v>71</v>
      </c>
      <c r="I16" s="421">
        <v>41087</v>
      </c>
      <c r="J16" t="s">
        <v>130</v>
      </c>
      <c r="K16">
        <v>33.53</v>
      </c>
      <c r="L16">
        <v>0.121</v>
      </c>
      <c r="Q16" s="4" t="str">
        <f>HYPERLINK("\\hopi-fs\shares\users\dhar\Stalk mount testing\Type 1e Quality Assurance\CRYO-47138-167 2096","folder")</f>
        <v>folder</v>
      </c>
      <c r="T16" t="s">
        <v>140</v>
      </c>
      <c r="U16" t="s">
        <v>533</v>
      </c>
      <c r="Y16">
        <v>1</v>
      </c>
    </row>
    <row r="17" spans="1:26">
      <c r="A17" s="212">
        <v>2096</v>
      </c>
      <c r="B17" s="134">
        <v>16.8</v>
      </c>
      <c r="C17">
        <v>1.58</v>
      </c>
      <c r="D17">
        <v>7.35</v>
      </c>
      <c r="E17" s="63">
        <v>24.4</v>
      </c>
      <c r="F17" s="45" t="s">
        <v>548</v>
      </c>
      <c r="G17">
        <v>52.6</v>
      </c>
      <c r="H17">
        <v>72.7</v>
      </c>
      <c r="I17" s="421">
        <v>41088</v>
      </c>
      <c r="J17" t="s">
        <v>130</v>
      </c>
      <c r="K17">
        <v>33.799999999999997</v>
      </c>
      <c r="L17">
        <v>0.63</v>
      </c>
      <c r="M17">
        <v>330</v>
      </c>
      <c r="Q17" s="4" t="str">
        <f>HYPERLINK("\\hopi-fs\shares\users\dhar\Stalk mount testing\Type 1e Quality Assurance\CRYO-47139-175 2096","folder")</f>
        <v>folder</v>
      </c>
      <c r="T17" t="s">
        <v>140</v>
      </c>
      <c r="U17" t="s">
        <v>533</v>
      </c>
      <c r="Y17">
        <v>1</v>
      </c>
    </row>
    <row r="18" spans="1:26" ht="36" customHeight="1">
      <c r="A18" s="134">
        <v>3011</v>
      </c>
    </row>
    <row r="19" spans="1:26">
      <c r="A19" s="134">
        <v>3012</v>
      </c>
    </row>
    <row r="20" spans="1:26">
      <c r="A20" s="134">
        <v>3013</v>
      </c>
      <c r="B20" s="134">
        <f>AVERAGE(18.8,18.6)</f>
        <v>18.700000000000003</v>
      </c>
      <c r="C20">
        <v>1.48</v>
      </c>
      <c r="D20">
        <v>7.14</v>
      </c>
      <c r="E20">
        <v>24.4</v>
      </c>
      <c r="F20" s="19" t="s">
        <v>661</v>
      </c>
      <c r="G20" s="185">
        <v>26</v>
      </c>
      <c r="H20" s="185">
        <v>70</v>
      </c>
      <c r="I20" s="217">
        <v>41193</v>
      </c>
      <c r="J20" t="s">
        <v>626</v>
      </c>
      <c r="K20">
        <v>33.5</v>
      </c>
      <c r="L20">
        <v>0.75</v>
      </c>
      <c r="M20">
        <v>405</v>
      </c>
      <c r="Q20" s="4" t="str">
        <f>HYPERLINK("\\hopi-fs\shares\users\dhar\Stalk mount testing\Type 1e Quality Assurance\CRYO-2094-2098 3013","folder")</f>
        <v>folder</v>
      </c>
      <c r="T20" t="s">
        <v>140</v>
      </c>
      <c r="U20" t="s">
        <v>533</v>
      </c>
      <c r="V20" s="407" t="s">
        <v>662</v>
      </c>
      <c r="Y20">
        <v>1</v>
      </c>
      <c r="Z20">
        <v>1</v>
      </c>
    </row>
    <row r="21" spans="1:26">
      <c r="A21" s="134">
        <v>3014</v>
      </c>
      <c r="B21" s="134">
        <f>AVERAGE(15.8,15.6)</f>
        <v>15.7</v>
      </c>
    </row>
    <row r="22" spans="1:26">
      <c r="A22" s="134">
        <v>3045</v>
      </c>
      <c r="B22" s="134">
        <v>16.2</v>
      </c>
      <c r="C22">
        <v>1.47</v>
      </c>
      <c r="D22">
        <v>7.16</v>
      </c>
      <c r="E22">
        <v>24.4</v>
      </c>
      <c r="F22" s="176" t="s">
        <v>1130</v>
      </c>
      <c r="G22" t="s">
        <v>169</v>
      </c>
      <c r="H22" t="s">
        <v>169</v>
      </c>
      <c r="I22" s="217">
        <v>41285</v>
      </c>
      <c r="J22" t="s">
        <v>130</v>
      </c>
      <c r="K22">
        <v>33.5</v>
      </c>
      <c r="L22">
        <v>2.3E-2</v>
      </c>
      <c r="M22">
        <v>424</v>
      </c>
      <c r="Q22" s="4" t="str">
        <f>HYPERLINK("\\Hopi-fs\shares\users\dhar\Stalk mount testing\Type 1e Quality Assurance\CRYO-2085-2127 3045","FOLDER")</f>
        <v>FOLDER</v>
      </c>
      <c r="T22" t="s">
        <v>1131</v>
      </c>
      <c r="U22" t="s">
        <v>533</v>
      </c>
      <c r="V22" s="407" t="s">
        <v>1906</v>
      </c>
    </row>
    <row r="23" spans="1:26">
      <c r="A23" s="134">
        <v>3046</v>
      </c>
      <c r="B23" s="134">
        <v>16.2</v>
      </c>
      <c r="C23">
        <v>1.49</v>
      </c>
      <c r="D23">
        <v>7.27</v>
      </c>
      <c r="E23">
        <v>24.4</v>
      </c>
      <c r="F23" s="19" t="s">
        <v>1132</v>
      </c>
      <c r="G23" t="s">
        <v>169</v>
      </c>
      <c r="H23" t="s">
        <v>169</v>
      </c>
      <c r="I23" s="217">
        <v>41285</v>
      </c>
      <c r="J23" t="s">
        <v>130</v>
      </c>
      <c r="K23">
        <v>33.700000000000003</v>
      </c>
      <c r="L23">
        <v>0.76600000000000001</v>
      </c>
      <c r="M23">
        <v>353</v>
      </c>
      <c r="P23" s="226" t="s">
        <v>1247</v>
      </c>
      <c r="Q23" s="4" t="str">
        <f>HYPERLINK("\\Hopi-fs\shares\users\dhar\Stalk mount testing\Type 1e Quality Assurance\CRYO-2085-2135 3046","FOLDER")</f>
        <v>FOLDER</v>
      </c>
      <c r="T23" t="s">
        <v>1131</v>
      </c>
      <c r="U23" t="s">
        <v>533</v>
      </c>
      <c r="V23" s="407" t="s">
        <v>1147</v>
      </c>
    </row>
    <row r="24" spans="1:26" ht="25.5" customHeight="1">
      <c r="A24" s="134">
        <v>3047</v>
      </c>
      <c r="B24" s="134">
        <v>17</v>
      </c>
      <c r="C24">
        <v>1.48</v>
      </c>
      <c r="D24">
        <v>7.27</v>
      </c>
      <c r="E24">
        <v>24.46</v>
      </c>
      <c r="F24" s="376" t="s">
        <v>1138</v>
      </c>
      <c r="G24" t="s">
        <v>169</v>
      </c>
      <c r="H24" t="s">
        <v>169</v>
      </c>
      <c r="I24" s="217">
        <v>41290</v>
      </c>
      <c r="J24" t="s">
        <v>130</v>
      </c>
      <c r="K24">
        <v>33.65</v>
      </c>
      <c r="L24">
        <v>0.48799999999999999</v>
      </c>
      <c r="M24">
        <v>261</v>
      </c>
      <c r="P24" s="3" t="s">
        <v>1164</v>
      </c>
      <c r="Q24" s="4" t="str">
        <f>HYPERLINK("\\Hopi-fs\shares\users\dhar\Stalk mount testing\Type 1e Quality Assurance\CRYO-ME-1242-0237 3047","FOLDER")</f>
        <v>FOLDER</v>
      </c>
      <c r="T24" t="s">
        <v>1131</v>
      </c>
      <c r="U24" t="s">
        <v>533</v>
      </c>
      <c r="V24" s="407" t="s">
        <v>1189</v>
      </c>
    </row>
    <row r="25" spans="1:26">
      <c r="A25" s="134">
        <v>3048</v>
      </c>
      <c r="B25" s="134">
        <v>16</v>
      </c>
      <c r="C25">
        <v>1.43</v>
      </c>
      <c r="D25">
        <v>7.34</v>
      </c>
      <c r="E25">
        <v>24.42</v>
      </c>
      <c r="F25" s="376" t="s">
        <v>1139</v>
      </c>
      <c r="G25" t="s">
        <v>169</v>
      </c>
      <c r="H25" t="s">
        <v>169</v>
      </c>
      <c r="I25" s="217">
        <v>41290</v>
      </c>
      <c r="J25" t="s">
        <v>130</v>
      </c>
      <c r="K25">
        <v>33.630000000000003</v>
      </c>
      <c r="L25">
        <v>0.72799999999999998</v>
      </c>
      <c r="M25">
        <v>263</v>
      </c>
      <c r="P25" s="226" t="s">
        <v>1248</v>
      </c>
      <c r="Q25" s="4" t="str">
        <f>HYPERLINK("\\Hopi-fs\shares\users\dhar\Stalk mount testing\Type 1e Quality Assurance\CRYO-ME-1242-0238 3048","FOLDER")</f>
        <v>FOLDER</v>
      </c>
      <c r="T25" t="s">
        <v>1131</v>
      </c>
      <c r="U25" t="s">
        <v>533</v>
      </c>
      <c r="V25" s="407" t="s">
        <v>1189</v>
      </c>
    </row>
    <row r="26" spans="1:26" ht="22.5" customHeight="1">
      <c r="A26" s="136">
        <v>3064</v>
      </c>
      <c r="B26" s="134">
        <v>17.600000000000001</v>
      </c>
      <c r="C26">
        <v>1.51</v>
      </c>
      <c r="D26">
        <v>7.24</v>
      </c>
      <c r="E26">
        <v>24.41</v>
      </c>
      <c r="F26" s="233" t="s">
        <v>1148</v>
      </c>
      <c r="G26" t="s">
        <v>169</v>
      </c>
      <c r="H26">
        <v>71.2</v>
      </c>
      <c r="I26" s="217">
        <v>41299</v>
      </c>
      <c r="J26" t="s">
        <v>130</v>
      </c>
      <c r="K26">
        <v>33.6</v>
      </c>
      <c r="L26">
        <v>0.65700000000000003</v>
      </c>
      <c r="M26">
        <v>383</v>
      </c>
      <c r="Q26" s="4" t="str">
        <f>HYPERLINK("\\hopi-fs\shares\users\dhar\Stalk mount testing\Type 1e Quality Assurance\CRYO-2084-2152 3064","folder")</f>
        <v>folder</v>
      </c>
      <c r="T26" t="s">
        <v>1131</v>
      </c>
      <c r="U26" t="s">
        <v>533</v>
      </c>
      <c r="V26" s="407" t="s">
        <v>1161</v>
      </c>
    </row>
    <row r="27" spans="1:26">
      <c r="A27" s="136">
        <v>3065</v>
      </c>
      <c r="B27" s="134">
        <v>16</v>
      </c>
      <c r="C27">
        <v>1.52</v>
      </c>
      <c r="D27">
        <v>7.2</v>
      </c>
      <c r="E27">
        <v>24.45</v>
      </c>
      <c r="F27" s="19" t="s">
        <v>1149</v>
      </c>
      <c r="G27" t="s">
        <v>169</v>
      </c>
      <c r="H27">
        <v>71.2</v>
      </c>
      <c r="I27" s="217">
        <v>41299</v>
      </c>
      <c r="J27" t="s">
        <v>130</v>
      </c>
      <c r="K27">
        <v>33.6</v>
      </c>
      <c r="L27">
        <v>0.67500000000000004</v>
      </c>
      <c r="M27">
        <v>374</v>
      </c>
      <c r="Q27" s="4" t="str">
        <f>HYPERLINK("\\hopi-fs\shares\users\dhar\Stalk mount testing\Type 1e Quality Assurance\CRYO-2083-2153 3065","folder")</f>
        <v>folder</v>
      </c>
      <c r="T27" t="s">
        <v>1131</v>
      </c>
      <c r="U27" t="s">
        <v>533</v>
      </c>
      <c r="V27" s="407" t="s">
        <v>1163</v>
      </c>
    </row>
    <row r="28" spans="1:26">
      <c r="A28" s="136">
        <v>3066</v>
      </c>
      <c r="B28" s="134">
        <v>17</v>
      </c>
      <c r="C28">
        <v>1.55</v>
      </c>
      <c r="D28">
        <v>7.14</v>
      </c>
      <c r="E28">
        <v>24.42</v>
      </c>
      <c r="F28" s="213" t="s">
        <v>1150</v>
      </c>
      <c r="G28" t="s">
        <v>169</v>
      </c>
      <c r="H28">
        <v>71.2</v>
      </c>
      <c r="I28" s="217">
        <v>41299</v>
      </c>
      <c r="J28" t="s">
        <v>130</v>
      </c>
      <c r="K28">
        <v>33.5</v>
      </c>
      <c r="L28">
        <v>0.34499999999999997</v>
      </c>
      <c r="M28">
        <v>389</v>
      </c>
      <c r="P28" s="226" t="s">
        <v>1162</v>
      </c>
      <c r="Q28" s="4" t="str">
        <f>HYPERLINK("\\hopi-fs\shares\users\dhar\Stalk mount testing\Type 1e Quality Assurance\CRYO-2082-2154 3066","folder")</f>
        <v>folder</v>
      </c>
      <c r="T28" t="s">
        <v>1131</v>
      </c>
      <c r="U28" t="s">
        <v>533</v>
      </c>
      <c r="V28" s="407" t="s">
        <v>1161</v>
      </c>
    </row>
    <row r="29" spans="1:26">
      <c r="A29" s="363">
        <v>3067</v>
      </c>
      <c r="B29" s="134">
        <v>16.600000000000001</v>
      </c>
      <c r="C29">
        <v>1.52</v>
      </c>
      <c r="D29">
        <v>7.12</v>
      </c>
      <c r="E29">
        <v>24.59</v>
      </c>
      <c r="F29" s="19" t="s">
        <v>1158</v>
      </c>
      <c r="G29">
        <v>17</v>
      </c>
      <c r="H29">
        <v>70</v>
      </c>
      <c r="I29" s="217">
        <v>41305</v>
      </c>
      <c r="J29" t="s">
        <v>130</v>
      </c>
      <c r="K29">
        <v>33.659999999999997</v>
      </c>
      <c r="L29" s="13">
        <v>0.5</v>
      </c>
      <c r="M29">
        <v>376</v>
      </c>
      <c r="Q29" s="4" t="str">
        <f>HYPERLINK("\\hopi-fs\shares\users\dhar\Stalk mount testing\Type 1e Quality Assurance\CRYO-2084-2144  3067 Indium","folder")</f>
        <v>folder</v>
      </c>
      <c r="T29" t="s">
        <v>1131</v>
      </c>
      <c r="U29" t="s">
        <v>533</v>
      </c>
      <c r="V29" s="407" t="s">
        <v>1161</v>
      </c>
    </row>
    <row r="30" spans="1:26" ht="31.5" customHeight="1">
      <c r="A30" s="136">
        <v>3011</v>
      </c>
      <c r="B30" s="134">
        <v>17</v>
      </c>
      <c r="C30">
        <v>1.48</v>
      </c>
      <c r="D30">
        <v>7.2</v>
      </c>
      <c r="E30">
        <v>24.42</v>
      </c>
      <c r="F30" s="19" t="s">
        <v>1165</v>
      </c>
      <c r="G30">
        <v>21</v>
      </c>
      <c r="H30">
        <v>71</v>
      </c>
      <c r="I30" s="217">
        <v>41317</v>
      </c>
      <c r="J30" t="s">
        <v>130</v>
      </c>
      <c r="K30">
        <v>33.58</v>
      </c>
      <c r="L30" s="13">
        <v>0.69299999999999995</v>
      </c>
      <c r="M30" s="13">
        <v>349</v>
      </c>
      <c r="N30" s="13"/>
      <c r="O30" s="13"/>
      <c r="Q30" s="4" t="str">
        <f>HYPERLINK("\\hopi-fs\shares\users\dhar\Stalk mount testing\Type 1e Quality Assurance\CRYO-2084-2166 3011","folder")</f>
        <v>folder</v>
      </c>
      <c r="T30" t="s">
        <v>1131</v>
      </c>
      <c r="U30" t="s">
        <v>533</v>
      </c>
      <c r="V30" s="407" t="s">
        <v>1178</v>
      </c>
    </row>
    <row r="31" spans="1:26">
      <c r="A31" s="136">
        <v>3012</v>
      </c>
      <c r="B31" s="134">
        <v>23</v>
      </c>
      <c r="C31">
        <v>1.51</v>
      </c>
      <c r="D31">
        <v>7.19</v>
      </c>
      <c r="E31">
        <v>24.45</v>
      </c>
      <c r="F31" s="233" t="s">
        <v>1166</v>
      </c>
      <c r="G31">
        <v>21</v>
      </c>
      <c r="H31">
        <v>71</v>
      </c>
      <c r="I31" s="217">
        <v>41317</v>
      </c>
      <c r="J31" t="s">
        <v>130</v>
      </c>
      <c r="K31">
        <v>33.6</v>
      </c>
      <c r="L31" s="13">
        <v>9.2999999999999999E-2</v>
      </c>
      <c r="M31" s="13">
        <v>440</v>
      </c>
      <c r="N31" s="13"/>
      <c r="O31" s="13"/>
      <c r="Q31" s="4" t="str">
        <f>HYPERLINK("\\hopi-fs\shares\users\dhar\Stalk mount testing\Type 1e Quality Assurance\CRYO-2084-2167 3012","folder")</f>
        <v>folder</v>
      </c>
      <c r="T31" t="s">
        <v>1131</v>
      </c>
      <c r="U31" t="s">
        <v>533</v>
      </c>
      <c r="V31" s="407" t="s">
        <v>1178</v>
      </c>
    </row>
    <row r="32" spans="1:26">
      <c r="A32" s="136">
        <v>3014</v>
      </c>
      <c r="B32" s="134">
        <v>16.399999999999999</v>
      </c>
      <c r="C32">
        <v>1.53</v>
      </c>
      <c r="D32">
        <v>7.15</v>
      </c>
      <c r="E32">
        <v>24.46</v>
      </c>
      <c r="F32" s="233" t="s">
        <v>1167</v>
      </c>
      <c r="G32">
        <v>20</v>
      </c>
      <c r="H32">
        <v>71</v>
      </c>
      <c r="I32" s="217">
        <v>41318</v>
      </c>
      <c r="J32" t="s">
        <v>130</v>
      </c>
      <c r="K32">
        <v>33.58</v>
      </c>
      <c r="L32" s="13">
        <v>0.24</v>
      </c>
      <c r="M32" s="13">
        <v>340</v>
      </c>
      <c r="N32" s="13"/>
      <c r="O32" s="13"/>
      <c r="P32" s="226" t="s">
        <v>1226</v>
      </c>
      <c r="Q32" s="4" t="str">
        <f>HYPERLINK("\\hopi-fs\shares\users\dhar\Stalk mount testing\Type 1e Quality Assurance\CRYO-2083-2171 3014","folder")</f>
        <v>folder</v>
      </c>
      <c r="T32" t="s">
        <v>1131</v>
      </c>
      <c r="U32" t="s">
        <v>533</v>
      </c>
      <c r="V32" s="407" t="s">
        <v>1178</v>
      </c>
    </row>
    <row r="33" spans="1:24">
      <c r="A33" s="136">
        <v>3049</v>
      </c>
      <c r="B33" s="134">
        <v>17.399999999999999</v>
      </c>
      <c r="C33">
        <v>1.49</v>
      </c>
      <c r="D33">
        <v>7.3</v>
      </c>
      <c r="E33">
        <v>24.43</v>
      </c>
      <c r="F33" s="19" t="s">
        <v>1170</v>
      </c>
      <c r="G33">
        <v>20</v>
      </c>
      <c r="H33">
        <v>71</v>
      </c>
      <c r="I33" s="217">
        <v>41318</v>
      </c>
      <c r="J33" t="s">
        <v>130</v>
      </c>
      <c r="K33">
        <v>33.659999999999997</v>
      </c>
      <c r="L33" s="13">
        <v>0.218</v>
      </c>
      <c r="M33" s="13" t="s">
        <v>1263</v>
      </c>
      <c r="N33" s="13"/>
      <c r="O33" s="13"/>
      <c r="Q33" s="4" t="str">
        <f>HYPERLINK("\\hopi-fs\shares\users\dhar\Stalk mount testing\Type 1e Quality Assurance\CRYO-2083-2177 3049","folder")</f>
        <v>folder</v>
      </c>
      <c r="T33" t="s">
        <v>1131</v>
      </c>
      <c r="U33" t="s">
        <v>533</v>
      </c>
      <c r="X33" t="s">
        <v>1279</v>
      </c>
    </row>
    <row r="34" spans="1:24" ht="50.25" customHeight="1">
      <c r="A34" s="364">
        <v>3073</v>
      </c>
      <c r="B34" s="134">
        <v>16.399999999999999</v>
      </c>
      <c r="C34">
        <v>1.51</v>
      </c>
      <c r="D34">
        <v>7.06</v>
      </c>
      <c r="E34">
        <v>24.66</v>
      </c>
      <c r="F34" s="233" t="s">
        <v>1182</v>
      </c>
      <c r="G34">
        <v>14</v>
      </c>
      <c r="H34">
        <v>72</v>
      </c>
      <c r="I34" s="217">
        <v>41326</v>
      </c>
      <c r="J34" t="s">
        <v>130</v>
      </c>
      <c r="K34">
        <v>33.68</v>
      </c>
      <c r="L34" s="13">
        <v>0.82</v>
      </c>
      <c r="M34" s="13">
        <v>370</v>
      </c>
      <c r="N34" s="13"/>
      <c r="O34" s="13"/>
      <c r="Q34" s="4" t="str">
        <f>HYPERLINK("\\hopi-fs\shares\users\dhar\Stalk mount testing\Type 1e Quality Assurance\CRYO-2083-2179  3073 Indium","folder")</f>
        <v>folder</v>
      </c>
      <c r="T34" t="s">
        <v>1131</v>
      </c>
      <c r="U34" t="s">
        <v>533</v>
      </c>
      <c r="V34" s="407" t="s">
        <v>1204</v>
      </c>
    </row>
    <row r="35" spans="1:24">
      <c r="A35" s="364">
        <v>3074</v>
      </c>
      <c r="B35" s="134">
        <v>16.8</v>
      </c>
      <c r="C35">
        <v>1.53</v>
      </c>
      <c r="D35">
        <v>7.19</v>
      </c>
      <c r="E35">
        <v>24.38</v>
      </c>
      <c r="F35" s="250" t="s">
        <v>1200</v>
      </c>
      <c r="G35">
        <v>14</v>
      </c>
      <c r="H35">
        <v>72</v>
      </c>
      <c r="I35" s="217">
        <v>41326</v>
      </c>
      <c r="J35" t="s">
        <v>130</v>
      </c>
      <c r="K35">
        <v>33.56</v>
      </c>
      <c r="L35" s="13">
        <v>0.87</v>
      </c>
      <c r="M35" s="13">
        <v>359</v>
      </c>
      <c r="N35" s="13"/>
      <c r="O35" s="13"/>
      <c r="P35" s="226" t="s">
        <v>1190</v>
      </c>
      <c r="Q35" s="4" t="str">
        <f>HYPERLINK("\\hopi-fs\shares\users\dhar\Stalk mount testing\Type 1e Quality Assurance\CRYO-2082-2180  3074 Indium","folder")</f>
        <v>folder</v>
      </c>
      <c r="T35" t="s">
        <v>1131</v>
      </c>
      <c r="U35" t="s">
        <v>533</v>
      </c>
      <c r="V35" s="407" t="s">
        <v>1205</v>
      </c>
    </row>
    <row r="36" spans="1:24">
      <c r="A36" s="364">
        <v>3077</v>
      </c>
      <c r="B36" s="134">
        <v>16.2</v>
      </c>
      <c r="C36">
        <v>1.48</v>
      </c>
      <c r="D36">
        <v>7.11</v>
      </c>
      <c r="E36">
        <v>24.8</v>
      </c>
      <c r="F36" s="233" t="s">
        <v>1183</v>
      </c>
      <c r="G36">
        <v>14</v>
      </c>
      <c r="H36">
        <v>72</v>
      </c>
      <c r="I36" s="217">
        <v>41326</v>
      </c>
      <c r="J36" t="s">
        <v>130</v>
      </c>
      <c r="K36">
        <v>33.83</v>
      </c>
      <c r="L36" s="13">
        <v>0.73799999999999999</v>
      </c>
      <c r="M36" s="13">
        <v>365</v>
      </c>
      <c r="N36" s="13"/>
      <c r="O36" s="13"/>
      <c r="Q36" s="4" t="str">
        <f>HYPERLINK("\\hopi-fs\shares\users\dhar\Stalk mount testing\Type 1e Quality Assurance\CRYO-2082-2181  3077 Indium","folder")</f>
        <v>folder</v>
      </c>
      <c r="T36" t="s">
        <v>1131</v>
      </c>
      <c r="U36" t="s">
        <v>533</v>
      </c>
      <c r="V36" s="407" t="s">
        <v>1204</v>
      </c>
    </row>
    <row r="37" spans="1:24">
      <c r="A37" s="364">
        <v>3078</v>
      </c>
      <c r="B37" s="134">
        <v>16</v>
      </c>
      <c r="C37">
        <v>1.53</v>
      </c>
      <c r="D37">
        <v>7.03</v>
      </c>
      <c r="E37">
        <v>24.41</v>
      </c>
      <c r="F37" s="233" t="s">
        <v>1184</v>
      </c>
      <c r="G37">
        <v>14</v>
      </c>
      <c r="H37">
        <v>72</v>
      </c>
      <c r="I37" s="217">
        <v>41326</v>
      </c>
      <c r="J37" t="s">
        <v>130</v>
      </c>
      <c r="K37">
        <v>33.42</v>
      </c>
      <c r="L37" s="13">
        <v>0.111</v>
      </c>
      <c r="M37" s="13">
        <v>350</v>
      </c>
      <c r="N37" s="13"/>
      <c r="O37" s="13"/>
      <c r="Q37" s="4" t="str">
        <f>HYPERLINK("\\hopi-fs\shares\users\dhar\Stalk mount testing\Type 1e Quality Assurance\CRYO-2082-2184  3078 Indium","folder")</f>
        <v>folder</v>
      </c>
      <c r="T37" t="s">
        <v>1131</v>
      </c>
      <c r="U37" t="s">
        <v>533</v>
      </c>
      <c r="V37" s="407" t="s">
        <v>1204</v>
      </c>
    </row>
    <row r="38" spans="1:24">
      <c r="A38" s="365">
        <v>3076</v>
      </c>
      <c r="B38" s="134">
        <v>17</v>
      </c>
      <c r="C38">
        <v>1.52</v>
      </c>
      <c r="D38">
        <v>7.16</v>
      </c>
      <c r="E38">
        <v>24.36</v>
      </c>
      <c r="F38" s="38" t="s">
        <v>1181</v>
      </c>
      <c r="G38">
        <v>14</v>
      </c>
      <c r="H38">
        <v>72</v>
      </c>
      <c r="I38" s="217">
        <v>41325</v>
      </c>
      <c r="J38" t="s">
        <v>130</v>
      </c>
      <c r="K38">
        <v>33.47</v>
      </c>
      <c r="L38" s="13">
        <v>0.92300000000000004</v>
      </c>
      <c r="O38" s="13"/>
      <c r="P38" s="226" t="s">
        <v>1223</v>
      </c>
      <c r="Q38" s="4" t="str">
        <f>HYPERLINK("\\Hopi-fs\shares\users\dhar\Stalk mount testing\Type 1e Quality Assurance\CRYO-2083-2178  3076 Indium shell lost","folder")</f>
        <v>folder</v>
      </c>
      <c r="T38" t="s">
        <v>1131</v>
      </c>
      <c r="U38" t="s">
        <v>533</v>
      </c>
    </row>
    <row r="39" spans="1:24">
      <c r="A39" s="364">
        <v>3076</v>
      </c>
      <c r="B39" s="134">
        <v>16</v>
      </c>
      <c r="C39">
        <v>1.53</v>
      </c>
      <c r="D39">
        <v>7.1529999999999996</v>
      </c>
      <c r="E39">
        <v>24.38</v>
      </c>
      <c r="F39" s="233" t="s">
        <v>1186</v>
      </c>
      <c r="G39">
        <v>21</v>
      </c>
      <c r="H39">
        <v>73</v>
      </c>
      <c r="I39" s="217">
        <v>41331</v>
      </c>
      <c r="J39" t="s">
        <v>130</v>
      </c>
      <c r="K39">
        <v>33.5</v>
      </c>
      <c r="L39" s="13">
        <v>0.66</v>
      </c>
      <c r="M39" s="13">
        <v>338</v>
      </c>
      <c r="N39" s="13"/>
      <c r="O39" s="13"/>
      <c r="Q39" s="4" t="str">
        <f>HYPERLINK("\\Hopi-fs\shares\users\dhar\Stalk mount testing\Type 1e Quality Assurance\CRYO-2072-2186  3076 Indium","folder")</f>
        <v>folder</v>
      </c>
      <c r="S39" t="s">
        <v>1131</v>
      </c>
      <c r="T39" t="s">
        <v>1131</v>
      </c>
      <c r="U39" t="s">
        <v>533</v>
      </c>
      <c r="V39" s="407" t="s">
        <v>1204</v>
      </c>
    </row>
    <row r="40" spans="1:24">
      <c r="A40" s="364">
        <v>3079</v>
      </c>
      <c r="B40" s="134">
        <v>17.399999999999999</v>
      </c>
      <c r="C40">
        <v>1.51</v>
      </c>
      <c r="D40">
        <v>7.18</v>
      </c>
      <c r="E40">
        <v>24.4</v>
      </c>
      <c r="F40" s="233" t="s">
        <v>1187</v>
      </c>
      <c r="G40">
        <v>27</v>
      </c>
      <c r="H40">
        <v>72</v>
      </c>
      <c r="I40" s="217">
        <v>41332</v>
      </c>
      <c r="J40" t="s">
        <v>130</v>
      </c>
      <c r="K40">
        <v>33.54</v>
      </c>
      <c r="L40" s="13">
        <v>0.874</v>
      </c>
      <c r="M40" s="13">
        <v>348</v>
      </c>
      <c r="N40" s="13"/>
      <c r="O40" s="13"/>
      <c r="Q40" s="4" t="str">
        <f>HYPERLINK("\\Hopi-fs\shares\users\dhar\Stalk mount testing\Type 1e Quality Assurance\CRYO-2073-2192  3079 Indium","folder")</f>
        <v>folder</v>
      </c>
      <c r="T40" t="s">
        <v>1131</v>
      </c>
      <c r="U40" t="s">
        <v>533</v>
      </c>
      <c r="V40" s="407" t="s">
        <v>1204</v>
      </c>
    </row>
    <row r="41" spans="1:24" ht="29.25" customHeight="1">
      <c r="A41" s="277">
        <v>3050</v>
      </c>
      <c r="B41" s="134">
        <v>19.8</v>
      </c>
      <c r="C41">
        <v>1.5</v>
      </c>
      <c r="D41">
        <v>7.28</v>
      </c>
      <c r="E41">
        <v>24.35</v>
      </c>
      <c r="F41" s="249" t="s">
        <v>1206</v>
      </c>
      <c r="G41">
        <v>11</v>
      </c>
      <c r="H41">
        <v>72</v>
      </c>
      <c r="I41" s="217">
        <v>41347</v>
      </c>
      <c r="J41" t="s">
        <v>130</v>
      </c>
      <c r="K41">
        <v>33.58</v>
      </c>
      <c r="L41" s="13">
        <v>0.436</v>
      </c>
      <c r="M41" s="13">
        <v>278</v>
      </c>
      <c r="N41" s="13"/>
      <c r="O41" s="13"/>
      <c r="Q41" s="4" t="str">
        <f>HYPERLINK("\\Hopi-fs\shares\users\dhar\Stalk mount testing\Type 1e Quality Assurance\DDC 1195 - 23  3050 MEQ","folder")</f>
        <v>folder</v>
      </c>
      <c r="T41" t="s">
        <v>1131</v>
      </c>
      <c r="U41" t="s">
        <v>533</v>
      </c>
      <c r="V41" s="407" t="s">
        <v>1253</v>
      </c>
    </row>
    <row r="42" spans="1:24" ht="45.75" customHeight="1">
      <c r="A42" s="364">
        <v>3081</v>
      </c>
      <c r="B42" s="134">
        <v>18</v>
      </c>
      <c r="C42">
        <v>1.52</v>
      </c>
      <c r="D42">
        <v>7.1</v>
      </c>
      <c r="E42">
        <v>24.37</v>
      </c>
      <c r="F42" s="377" t="s">
        <v>1207</v>
      </c>
      <c r="G42">
        <v>22</v>
      </c>
      <c r="H42">
        <v>72</v>
      </c>
      <c r="I42" s="217">
        <v>41348</v>
      </c>
      <c r="J42" t="s">
        <v>130</v>
      </c>
      <c r="K42">
        <v>33.42</v>
      </c>
      <c r="L42" s="13">
        <v>0.42699999999999999</v>
      </c>
      <c r="M42" s="13">
        <v>393</v>
      </c>
      <c r="N42" s="13"/>
      <c r="O42" s="13"/>
      <c r="Q42" s="4" t="str">
        <f>HYPERLINK("\\Hopi-fs\shares\users\dhar\Stalk mount testing\Type 1e Quality Assurance\CRYO-2072-2189  3081 Indium","folder")</f>
        <v>folder</v>
      </c>
      <c r="T42" t="s">
        <v>1131</v>
      </c>
      <c r="U42" t="s">
        <v>533</v>
      </c>
    </row>
    <row r="43" spans="1:24">
      <c r="A43" s="364">
        <v>3081</v>
      </c>
      <c r="B43" s="134">
        <v>16</v>
      </c>
      <c r="C43">
        <v>1.52</v>
      </c>
      <c r="D43">
        <v>7.13</v>
      </c>
      <c r="E43">
        <v>24.46</v>
      </c>
      <c r="F43" s="249" t="s">
        <v>1225</v>
      </c>
      <c r="G43">
        <v>13</v>
      </c>
      <c r="H43">
        <v>73</v>
      </c>
      <c r="I43" s="217">
        <v>41368</v>
      </c>
      <c r="J43" t="s">
        <v>130</v>
      </c>
      <c r="K43">
        <v>33.5</v>
      </c>
      <c r="L43" s="13">
        <v>0.749</v>
      </c>
      <c r="M43" s="13">
        <v>383</v>
      </c>
      <c r="N43" s="13"/>
      <c r="O43" s="13"/>
      <c r="Q43" s="4" t="str">
        <f>HYPERLINK("\\Hopi-fs\shares\users\dhar\Stalk mount testing\Type 1e Quality Assurance\CRYO-2075-2204  3081 Indium","folder")</f>
        <v>folder</v>
      </c>
      <c r="T43" t="s">
        <v>1131</v>
      </c>
      <c r="U43" t="s">
        <v>533</v>
      </c>
      <c r="V43" s="407" t="s">
        <v>1251</v>
      </c>
    </row>
    <row r="44" spans="1:24">
      <c r="A44" s="364">
        <v>3082</v>
      </c>
      <c r="B44" s="134">
        <v>20</v>
      </c>
      <c r="C44">
        <v>1.55</v>
      </c>
      <c r="D44">
        <v>7.08</v>
      </c>
      <c r="E44">
        <v>24.48</v>
      </c>
      <c r="F44" s="233" t="s">
        <v>1209</v>
      </c>
      <c r="G44">
        <v>19</v>
      </c>
      <c r="H44">
        <v>71</v>
      </c>
      <c r="I44" s="217">
        <v>41358</v>
      </c>
      <c r="J44" t="s">
        <v>130</v>
      </c>
      <c r="K44">
        <v>33.57</v>
      </c>
      <c r="L44" s="13">
        <v>0.59699999999999998</v>
      </c>
      <c r="M44" s="13">
        <v>426</v>
      </c>
      <c r="N44" s="13"/>
      <c r="O44" s="13"/>
      <c r="Q44" s="4" t="str">
        <f>HYPERLINK("\\Hopi-fs\shares\users\dhar\Stalk mount testing\Type 1e Quality Assurance\CRYO-2076-2196  3082 Indium","folder")</f>
        <v>folder</v>
      </c>
      <c r="T44" t="s">
        <v>1131</v>
      </c>
      <c r="U44" t="s">
        <v>533</v>
      </c>
      <c r="V44" s="407" t="s">
        <v>1251</v>
      </c>
    </row>
    <row r="45" spans="1:24">
      <c r="A45" s="364">
        <v>3083</v>
      </c>
      <c r="B45" s="134">
        <v>18</v>
      </c>
      <c r="C45">
        <v>1.54</v>
      </c>
      <c r="D45">
        <v>7.23</v>
      </c>
      <c r="E45">
        <v>24.45</v>
      </c>
      <c r="F45" s="378" t="s">
        <v>1210</v>
      </c>
      <c r="G45">
        <v>19</v>
      </c>
      <c r="H45">
        <v>71</v>
      </c>
      <c r="I45" s="217">
        <v>41358</v>
      </c>
      <c r="J45" t="s">
        <v>130</v>
      </c>
      <c r="K45">
        <v>33.64</v>
      </c>
      <c r="L45" s="13">
        <v>0.49099999999999999</v>
      </c>
      <c r="M45" s="13">
        <v>393</v>
      </c>
      <c r="N45" s="13"/>
      <c r="O45" s="13"/>
      <c r="P45" s="226" t="s">
        <v>1221</v>
      </c>
      <c r="Q45" s="4" t="str">
        <f>HYPERLINK("\\Hopi-fs\shares\users\dhar\Stalk mount testing\Type 1e Quality Assurance\CRYO-2075-2197  3083 Indium","folder")</f>
        <v>folder</v>
      </c>
      <c r="T45" t="s">
        <v>1131</v>
      </c>
      <c r="U45" t="s">
        <v>533</v>
      </c>
      <c r="V45" s="407" t="s">
        <v>1251</v>
      </c>
    </row>
    <row r="46" spans="1:24">
      <c r="A46" s="364">
        <v>3084</v>
      </c>
      <c r="B46" s="134">
        <v>19.2</v>
      </c>
      <c r="C46">
        <v>1.53</v>
      </c>
      <c r="D46">
        <v>7.16</v>
      </c>
      <c r="E46">
        <v>24.48</v>
      </c>
      <c r="F46" s="233" t="s">
        <v>1211</v>
      </c>
      <c r="G46">
        <v>19</v>
      </c>
      <c r="H46">
        <v>71</v>
      </c>
      <c r="I46" s="217">
        <v>41358</v>
      </c>
      <c r="J46" t="s">
        <v>130</v>
      </c>
      <c r="K46">
        <v>33.6</v>
      </c>
      <c r="L46" s="13">
        <v>0.34100000000000003</v>
      </c>
      <c r="M46" s="13">
        <v>423</v>
      </c>
      <c r="N46" s="13"/>
      <c r="O46" s="13"/>
      <c r="P46" s="226" t="s">
        <v>1229</v>
      </c>
      <c r="Q46" s="4" t="str">
        <f>HYPERLINK("\\Hopi-fs\shares\users\dhar\Stalk mount testing\Type 1e Quality Assurance\CRYO-2076-2198  3084 Indium","folder")</f>
        <v>folder</v>
      </c>
      <c r="T46" t="s">
        <v>1131</v>
      </c>
      <c r="U46" t="s">
        <v>533</v>
      </c>
      <c r="V46" s="407" t="s">
        <v>1252</v>
      </c>
    </row>
    <row r="47" spans="1:24">
      <c r="A47" s="364">
        <v>3088</v>
      </c>
      <c r="B47" s="134">
        <v>19.8</v>
      </c>
      <c r="C47">
        <v>1.5</v>
      </c>
      <c r="D47">
        <v>7.25</v>
      </c>
      <c r="E47">
        <v>24.54</v>
      </c>
      <c r="F47" s="377" t="s">
        <v>1212</v>
      </c>
      <c r="G47">
        <v>20</v>
      </c>
      <c r="H47">
        <v>71</v>
      </c>
      <c r="I47" s="217">
        <v>41358</v>
      </c>
      <c r="J47" t="s">
        <v>130</v>
      </c>
      <c r="K47">
        <v>33.729999999999997</v>
      </c>
      <c r="L47" s="13">
        <v>0.437</v>
      </c>
      <c r="M47" s="13">
        <v>415</v>
      </c>
      <c r="N47" s="13"/>
      <c r="O47" s="13"/>
      <c r="Q47" s="4" t="str">
        <f>HYPERLINK("\\Hopi-fs\shares\users\dhar\Stalk mount testing\Type 1e Quality Assurance\CRYO-2075-2199  3088 Indium","folder")</f>
        <v>folder</v>
      </c>
      <c r="T47" t="s">
        <v>1131</v>
      </c>
      <c r="U47" t="s">
        <v>533</v>
      </c>
    </row>
    <row r="48" spans="1:24">
      <c r="A48" s="364">
        <v>3088</v>
      </c>
      <c r="B48" s="134">
        <v>17</v>
      </c>
      <c r="C48">
        <v>1.53</v>
      </c>
      <c r="D48">
        <v>7.25</v>
      </c>
      <c r="E48">
        <v>24.58</v>
      </c>
      <c r="F48" s="249" t="s">
        <v>1227</v>
      </c>
      <c r="G48">
        <v>13</v>
      </c>
      <c r="H48">
        <v>73</v>
      </c>
      <c r="I48" s="217">
        <v>41368</v>
      </c>
      <c r="J48" t="s">
        <v>130</v>
      </c>
      <c r="K48">
        <v>33.799999999999997</v>
      </c>
      <c r="L48" s="13">
        <v>0.19900000000000001</v>
      </c>
      <c r="M48" s="13">
        <v>381</v>
      </c>
      <c r="N48" s="13"/>
      <c r="O48" s="13"/>
      <c r="Q48" s="4" t="str">
        <f>HYPERLINK("\\Hopi-fs\shares\users\dhar\Stalk mount testing\Type 1e Quality Assurance\CRYO-2075-2205  3088 Indium","folder")</f>
        <v>folder</v>
      </c>
      <c r="T48" t="s">
        <v>1131</v>
      </c>
      <c r="U48" t="s">
        <v>533</v>
      </c>
      <c r="V48" s="407" t="s">
        <v>1251</v>
      </c>
    </row>
    <row r="49" spans="1:22">
      <c r="A49" s="364">
        <v>3085</v>
      </c>
      <c r="B49" s="134">
        <v>17.8</v>
      </c>
      <c r="C49">
        <v>1.51</v>
      </c>
      <c r="D49">
        <v>7.17</v>
      </c>
      <c r="E49">
        <v>24.55</v>
      </c>
      <c r="F49" s="377" t="s">
        <v>1213</v>
      </c>
      <c r="G49">
        <v>20</v>
      </c>
      <c r="H49">
        <v>71</v>
      </c>
      <c r="I49" s="217">
        <v>41358</v>
      </c>
      <c r="J49" t="s">
        <v>130</v>
      </c>
      <c r="K49">
        <v>33.659999999999997</v>
      </c>
      <c r="L49" s="13">
        <v>0.35599999999999998</v>
      </c>
      <c r="M49" s="13">
        <v>390</v>
      </c>
      <c r="N49" s="13"/>
      <c r="O49" s="13"/>
      <c r="P49" s="226" t="s">
        <v>1220</v>
      </c>
      <c r="Q49" s="4" t="str">
        <f>HYPERLINK("\\Hopi-fs\shares\users\dhar\Stalk mount testing\Type 1e Quality Assurance\CRYO-2075-2200  3085 Indium","folder")</f>
        <v>folder</v>
      </c>
      <c r="T49" t="s">
        <v>1131</v>
      </c>
      <c r="U49" t="s">
        <v>533</v>
      </c>
    </row>
    <row r="50" spans="1:22">
      <c r="A50" s="364">
        <v>3085</v>
      </c>
      <c r="B50" s="134">
        <v>17.600000000000001</v>
      </c>
      <c r="C50">
        <v>1.53</v>
      </c>
      <c r="D50">
        <v>7.16</v>
      </c>
      <c r="E50">
        <v>24.54</v>
      </c>
      <c r="F50" s="184" t="s">
        <v>1224</v>
      </c>
      <c r="G50">
        <v>13</v>
      </c>
      <c r="H50">
        <v>73</v>
      </c>
      <c r="I50" s="217">
        <v>41368</v>
      </c>
      <c r="J50" t="s">
        <v>130</v>
      </c>
      <c r="K50">
        <v>33.659999999999997</v>
      </c>
      <c r="L50" s="13">
        <v>0.56899999999999995</v>
      </c>
      <c r="M50" s="13">
        <v>394</v>
      </c>
      <c r="N50" s="13"/>
      <c r="O50" s="13"/>
      <c r="Q50" s="4" t="str">
        <f>HYPERLINK("\\Hopi-fs\shares\users\dhar\Stalk mount testing\Type 1e Quality Assurance\CRYO-2075-2203  3085 Indium","folder")</f>
        <v>folder</v>
      </c>
      <c r="V50" s="407" t="s">
        <v>1251</v>
      </c>
    </row>
    <row r="51" spans="1:22">
      <c r="A51" s="364">
        <v>3086</v>
      </c>
      <c r="B51" s="134">
        <v>18.2</v>
      </c>
      <c r="C51">
        <v>1.47</v>
      </c>
      <c r="D51">
        <v>7.16</v>
      </c>
      <c r="E51">
        <v>24.59</v>
      </c>
      <c r="F51" s="377" t="s">
        <v>1214</v>
      </c>
      <c r="G51">
        <v>20</v>
      </c>
      <c r="H51">
        <v>71</v>
      </c>
      <c r="I51" s="217">
        <v>41358</v>
      </c>
      <c r="J51" t="s">
        <v>130</v>
      </c>
      <c r="K51">
        <v>33.700000000000003</v>
      </c>
      <c r="L51" s="13">
        <v>0.60099999999999998</v>
      </c>
      <c r="M51" s="13">
        <v>403</v>
      </c>
      <c r="N51" s="13"/>
      <c r="O51" s="13"/>
      <c r="P51" s="226" t="s">
        <v>1246</v>
      </c>
      <c r="Q51" s="4" t="str">
        <f>HYPERLINK("\\Hopi-fs\shares\users\dhar\Stalk mount testing\Type 1e Quality Assurance\CRYO-2076-2201  3086 Indium","folder")</f>
        <v>folder</v>
      </c>
      <c r="T51" t="s">
        <v>1131</v>
      </c>
      <c r="U51" t="s">
        <v>533</v>
      </c>
      <c r="V51" s="407" t="s">
        <v>1219</v>
      </c>
    </row>
    <row r="52" spans="1:22">
      <c r="A52" s="364">
        <v>3087</v>
      </c>
      <c r="B52" s="134">
        <v>19.399999999999999</v>
      </c>
      <c r="C52">
        <v>1.52</v>
      </c>
      <c r="D52">
        <v>7.16</v>
      </c>
      <c r="E52">
        <v>24.59</v>
      </c>
      <c r="F52" s="19" t="s">
        <v>1215</v>
      </c>
      <c r="G52">
        <v>20</v>
      </c>
      <c r="H52">
        <v>71</v>
      </c>
      <c r="I52" s="217">
        <v>41358</v>
      </c>
      <c r="J52" t="s">
        <v>130</v>
      </c>
      <c r="K52">
        <v>33.71</v>
      </c>
      <c r="L52" s="13">
        <v>0.113</v>
      </c>
      <c r="M52" s="13">
        <v>426</v>
      </c>
      <c r="N52" s="13"/>
      <c r="O52" s="13"/>
      <c r="P52" s="226" t="s">
        <v>1229</v>
      </c>
      <c r="Q52" s="4" t="str">
        <f>HYPERLINK("\\Hopi-fs\shares\users\dhar\Stalk mount testing\Type 1e Quality Assurance\CRYO-2074-2202  3087 Indium","folder")</f>
        <v>folder</v>
      </c>
      <c r="T52" t="s">
        <v>1131</v>
      </c>
      <c r="U52" t="s">
        <v>533</v>
      </c>
      <c r="V52" s="407" t="s">
        <v>1251</v>
      </c>
    </row>
    <row r="53" spans="1:22" ht="48" customHeight="1">
      <c r="A53" s="366">
        <v>3089</v>
      </c>
      <c r="B53" s="134">
        <v>16.899999999999999</v>
      </c>
      <c r="C53">
        <v>1.52</v>
      </c>
      <c r="D53">
        <v>7.08</v>
      </c>
      <c r="E53">
        <v>24.5</v>
      </c>
      <c r="F53" s="19" t="s">
        <v>1232</v>
      </c>
      <c r="G53">
        <v>33</v>
      </c>
      <c r="H53">
        <v>73</v>
      </c>
      <c r="I53" s="217">
        <v>41372</v>
      </c>
      <c r="J53" t="s">
        <v>626</v>
      </c>
      <c r="K53">
        <v>33.5</v>
      </c>
      <c r="L53" s="13">
        <v>0.42799999999999999</v>
      </c>
      <c r="M53" s="13">
        <v>371</v>
      </c>
      <c r="N53" s="13"/>
      <c r="O53" s="13"/>
      <c r="P53" s="226"/>
      <c r="Q53" s="4" t="str">
        <f>HYPERLINK("\\hopi-fs\shares\users\dhar\Stalk mount testing\Type 1e Quality Assurance\CRYO-2083-2208 3089 In","folder")</f>
        <v>folder</v>
      </c>
      <c r="T53" t="s">
        <v>1131</v>
      </c>
      <c r="U53" t="s">
        <v>1234</v>
      </c>
      <c r="V53" s="407" t="s">
        <v>1280</v>
      </c>
    </row>
    <row r="54" spans="1:22">
      <c r="A54" s="367"/>
      <c r="F54" s="176" t="s">
        <v>1233</v>
      </c>
      <c r="I54" s="217">
        <v>41372</v>
      </c>
      <c r="J54" t="s">
        <v>626</v>
      </c>
      <c r="L54" s="13"/>
      <c r="M54" s="13"/>
      <c r="N54" s="13"/>
      <c r="O54" s="13"/>
      <c r="P54" s="226" t="s">
        <v>1281</v>
      </c>
      <c r="T54" t="s">
        <v>1131</v>
      </c>
      <c r="U54" t="s">
        <v>1235</v>
      </c>
    </row>
    <row r="55" spans="1:22">
      <c r="A55" s="366">
        <v>3090</v>
      </c>
      <c r="B55" s="134">
        <v>18</v>
      </c>
      <c r="C55">
        <v>1.46</v>
      </c>
      <c r="D55">
        <v>7</v>
      </c>
      <c r="E55">
        <v>24.45</v>
      </c>
      <c r="F55" s="19" t="s">
        <v>1230</v>
      </c>
      <c r="G55">
        <v>33</v>
      </c>
      <c r="H55">
        <v>72</v>
      </c>
      <c r="I55" s="217">
        <v>41373</v>
      </c>
      <c r="J55" t="s">
        <v>626</v>
      </c>
      <c r="K55">
        <v>33.4</v>
      </c>
      <c r="L55" s="13">
        <v>0.94199999999999995</v>
      </c>
      <c r="M55" s="13">
        <v>429</v>
      </c>
      <c r="N55" s="13"/>
      <c r="O55" s="13"/>
      <c r="Q55" s="4" t="str">
        <f>HYPERLINK("\\hopi-fs\shares\users\dhar\Stalk mount testing\Type 1e Quality Assurance\CRYO-2084-2210 3090 In","folder")</f>
        <v>folder</v>
      </c>
      <c r="T55" t="s">
        <v>1131</v>
      </c>
      <c r="U55" t="s">
        <v>1234</v>
      </c>
      <c r="V55" s="407" t="s">
        <v>1268</v>
      </c>
    </row>
    <row r="56" spans="1:22">
      <c r="A56" s="366">
        <v>3091</v>
      </c>
      <c r="B56" s="134">
        <v>17</v>
      </c>
      <c r="C56">
        <v>1.4</v>
      </c>
      <c r="D56">
        <v>7.2</v>
      </c>
      <c r="E56">
        <v>24.5</v>
      </c>
      <c r="F56" s="19" t="s">
        <v>1231</v>
      </c>
      <c r="G56">
        <v>33</v>
      </c>
      <c r="H56">
        <v>72</v>
      </c>
      <c r="I56" s="217">
        <v>41373</v>
      </c>
      <c r="J56" t="s">
        <v>626</v>
      </c>
      <c r="K56">
        <v>33.5</v>
      </c>
      <c r="L56" s="13">
        <v>0.6</v>
      </c>
      <c r="M56" s="13">
        <v>416</v>
      </c>
      <c r="N56" s="13"/>
      <c r="P56" s="226" t="s">
        <v>1283</v>
      </c>
      <c r="Q56" s="4" t="str">
        <f>HYPERLINK("\\hopi-fs\shares\users\dhar\Stalk mount testing\Type 1e Quality Assurance\CRYO-2084-2211 3091 In","folder")</f>
        <v>folder</v>
      </c>
      <c r="T56" t="s">
        <v>1131</v>
      </c>
      <c r="U56" t="s">
        <v>1234</v>
      </c>
      <c r="V56" s="407" t="s">
        <v>1280</v>
      </c>
    </row>
    <row r="57" spans="1:22">
      <c r="A57" s="367"/>
      <c r="F57" s="176" t="s">
        <v>1236</v>
      </c>
      <c r="G57">
        <v>36</v>
      </c>
      <c r="H57">
        <v>70</v>
      </c>
      <c r="I57" s="217">
        <v>41374</v>
      </c>
      <c r="J57" t="s">
        <v>626</v>
      </c>
      <c r="P57" s="226" t="s">
        <v>1282</v>
      </c>
      <c r="T57" t="s">
        <v>1131</v>
      </c>
      <c r="U57" t="s">
        <v>1238</v>
      </c>
    </row>
    <row r="58" spans="1:22">
      <c r="A58" s="366">
        <v>3092</v>
      </c>
      <c r="B58" s="134">
        <v>17</v>
      </c>
      <c r="C58">
        <v>1.5</v>
      </c>
      <c r="D58">
        <v>7.03</v>
      </c>
      <c r="E58">
        <v>24.5</v>
      </c>
      <c r="F58" s="19" t="s">
        <v>1237</v>
      </c>
      <c r="G58">
        <v>35</v>
      </c>
      <c r="H58">
        <v>71</v>
      </c>
      <c r="I58" s="217">
        <v>41374</v>
      </c>
      <c r="J58" t="s">
        <v>626</v>
      </c>
      <c r="K58">
        <v>33.4</v>
      </c>
      <c r="L58">
        <v>0.74</v>
      </c>
      <c r="M58">
        <v>416</v>
      </c>
      <c r="Q58" s="4" t="str">
        <f>HYPERLINK("\\hopi-fs\shares\users\dhar\Stalk mount testing\Type 1e Quality Assurance\CRYO-2084-2213 3092 In","folder")</f>
        <v>folder</v>
      </c>
      <c r="T58" t="s">
        <v>1131</v>
      </c>
      <c r="U58" t="s">
        <v>1234</v>
      </c>
      <c r="V58" s="407" t="s">
        <v>1268</v>
      </c>
    </row>
    <row r="59" spans="1:22">
      <c r="A59" s="366">
        <v>3093</v>
      </c>
      <c r="B59" s="134">
        <v>19.600000000000001</v>
      </c>
      <c r="C59">
        <v>1.48</v>
      </c>
      <c r="D59">
        <v>7</v>
      </c>
      <c r="E59">
        <v>24.4</v>
      </c>
      <c r="F59" s="19" t="s">
        <v>1239</v>
      </c>
      <c r="G59">
        <v>33</v>
      </c>
      <c r="H59">
        <v>72</v>
      </c>
      <c r="I59" s="217">
        <v>41374</v>
      </c>
      <c r="J59" t="s">
        <v>626</v>
      </c>
      <c r="K59">
        <v>33.299999999999997</v>
      </c>
      <c r="L59">
        <v>0.86699999999999999</v>
      </c>
      <c r="M59">
        <v>429</v>
      </c>
      <c r="Q59" s="4" t="str">
        <f>HYPERLINK("\\hopi-fs\shares\users\dhar\Stalk mount testing\Type 1e Quality Assurance\CRYO-2083-2214 3093 In","folder")</f>
        <v>folder</v>
      </c>
      <c r="T59" t="s">
        <v>1131</v>
      </c>
      <c r="U59" t="s">
        <v>1245</v>
      </c>
      <c r="V59" s="407" t="s">
        <v>1268</v>
      </c>
    </row>
    <row r="60" spans="1:22">
      <c r="A60" s="366">
        <v>3094</v>
      </c>
      <c r="B60" s="134">
        <v>18</v>
      </c>
      <c r="C60">
        <v>1.53</v>
      </c>
      <c r="D60">
        <v>7.05</v>
      </c>
      <c r="E60">
        <v>24.4</v>
      </c>
      <c r="F60" s="19" t="s">
        <v>1240</v>
      </c>
      <c r="G60">
        <v>33</v>
      </c>
      <c r="H60">
        <v>72</v>
      </c>
      <c r="I60" s="217">
        <v>41374</v>
      </c>
      <c r="J60" t="s">
        <v>626</v>
      </c>
      <c r="K60">
        <v>33.4</v>
      </c>
      <c r="L60">
        <v>0.55000000000000004</v>
      </c>
      <c r="M60">
        <v>456</v>
      </c>
      <c r="Q60" s="4" t="str">
        <f>HYPERLINK("\\hopi-fs\shares\users\dhar\Stalk mount testing\Type 1e Quality Assurance\CRYO-2083-2216 3094 In","folder")</f>
        <v>folder</v>
      </c>
      <c r="T60" t="s">
        <v>1131</v>
      </c>
      <c r="U60" t="s">
        <v>1234</v>
      </c>
      <c r="V60" s="407" t="s">
        <v>1268</v>
      </c>
    </row>
    <row r="61" spans="1:22">
      <c r="A61" s="366">
        <v>3095</v>
      </c>
      <c r="B61" s="134">
        <v>18.600000000000001</v>
      </c>
      <c r="C61">
        <v>1.47</v>
      </c>
      <c r="D61">
        <v>7.1</v>
      </c>
      <c r="E61">
        <v>24.4</v>
      </c>
      <c r="F61" s="19" t="s">
        <v>1241</v>
      </c>
      <c r="G61">
        <v>23</v>
      </c>
      <c r="H61">
        <v>71</v>
      </c>
      <c r="I61" s="217">
        <v>41375</v>
      </c>
      <c r="J61" t="s">
        <v>626</v>
      </c>
      <c r="K61">
        <v>33.5</v>
      </c>
      <c r="L61">
        <v>0.81799999999999995</v>
      </c>
      <c r="M61">
        <v>433</v>
      </c>
      <c r="Q61" s="4" t="str">
        <f>HYPERLINK("\\hopi-fs\shares\users\dhar\Stalk mount testing\Type 1e Quality Assurance\CRYO-2084-2217 3095 In","folder")</f>
        <v>folder</v>
      </c>
      <c r="T61" t="s">
        <v>1131</v>
      </c>
      <c r="U61" t="s">
        <v>1234</v>
      </c>
      <c r="V61" s="407" t="s">
        <v>1268</v>
      </c>
    </row>
    <row r="62" spans="1:22">
      <c r="A62" s="367"/>
      <c r="E62" s="62"/>
      <c r="F62" s="10" t="s">
        <v>1242</v>
      </c>
      <c r="G62" s="62">
        <v>23</v>
      </c>
      <c r="H62" s="62">
        <v>71</v>
      </c>
      <c r="I62" s="422">
        <v>41375</v>
      </c>
      <c r="J62" t="s">
        <v>626</v>
      </c>
      <c r="T62" t="s">
        <v>1131</v>
      </c>
      <c r="U62" t="s">
        <v>1244</v>
      </c>
    </row>
    <row r="63" spans="1:22">
      <c r="A63" s="366">
        <v>3096</v>
      </c>
      <c r="B63" s="134">
        <v>17.399999999999999</v>
      </c>
      <c r="C63">
        <v>1.57</v>
      </c>
      <c r="D63">
        <v>7.05</v>
      </c>
      <c r="E63" s="62">
        <v>24.5</v>
      </c>
      <c r="F63" s="379" t="s">
        <v>1243</v>
      </c>
      <c r="G63" s="62">
        <v>23</v>
      </c>
      <c r="H63" s="62">
        <v>71</v>
      </c>
      <c r="I63" s="422">
        <v>41375</v>
      </c>
      <c r="J63" t="s">
        <v>626</v>
      </c>
      <c r="K63">
        <v>33.6</v>
      </c>
      <c r="L63">
        <v>0.96899999999999997</v>
      </c>
      <c r="M63">
        <v>391</v>
      </c>
      <c r="Q63" s="4" t="str">
        <f>HYPERLINK("\\hopi-fs\shares\users\dhar\Stalk mount testing\Type 1e Quality Assurance\CRYO-2084-2219 3096 In","folder")</f>
        <v>folder</v>
      </c>
      <c r="T63" t="s">
        <v>1131</v>
      </c>
      <c r="U63" t="s">
        <v>1234</v>
      </c>
      <c r="V63" s="407" t="s">
        <v>1268</v>
      </c>
    </row>
    <row r="64" spans="1:22" ht="33.75" customHeight="1">
      <c r="A64" s="364">
        <v>3111</v>
      </c>
      <c r="B64" s="134">
        <v>17</v>
      </c>
      <c r="C64">
        <v>1.53</v>
      </c>
      <c r="D64">
        <v>7.13</v>
      </c>
      <c r="E64" s="62">
        <v>24.41</v>
      </c>
      <c r="F64" s="241">
        <v>27</v>
      </c>
      <c r="G64" s="62">
        <v>53</v>
      </c>
      <c r="H64" s="62">
        <v>72</v>
      </c>
      <c r="I64" s="422">
        <v>41403</v>
      </c>
      <c r="J64" t="s">
        <v>130</v>
      </c>
      <c r="K64">
        <v>33.5</v>
      </c>
      <c r="L64">
        <v>0.19400000000000001</v>
      </c>
      <c r="M64">
        <v>285</v>
      </c>
      <c r="N64">
        <v>0.2316</v>
      </c>
      <c r="Q64" s="4" t="str">
        <f>HYPERLINK("\\hopi-fs\shares\users\dhar\Stalk mount testing\Type 1e Quality Assurance\DDC1399 - 6 MEQ  1E Indium","folder")</f>
        <v>folder</v>
      </c>
      <c r="T64" t="s">
        <v>1131</v>
      </c>
      <c r="U64" t="s">
        <v>533</v>
      </c>
      <c r="V64" s="407" t="s">
        <v>1292</v>
      </c>
    </row>
    <row r="65" spans="1:22">
      <c r="A65" s="364">
        <v>3112</v>
      </c>
      <c r="B65" s="134">
        <v>17</v>
      </c>
      <c r="C65">
        <v>1.52</v>
      </c>
      <c r="D65">
        <v>7.1</v>
      </c>
      <c r="E65" s="62">
        <v>24.45</v>
      </c>
      <c r="F65" s="241">
        <v>28</v>
      </c>
      <c r="G65" s="62">
        <v>53</v>
      </c>
      <c r="H65" s="62">
        <v>72</v>
      </c>
      <c r="I65" s="422">
        <v>41403</v>
      </c>
      <c r="J65" t="s">
        <v>130</v>
      </c>
      <c r="K65">
        <v>33.5</v>
      </c>
      <c r="L65">
        <v>0.30299999999999999</v>
      </c>
      <c r="M65">
        <v>278</v>
      </c>
      <c r="N65">
        <v>0.2326</v>
      </c>
      <c r="Q65" s="4" t="str">
        <f>HYPERLINK("\\hopi-fs\shares\users\dhar\Stalk mount testing\Type 1e Quality Assurance\DDC1399 - 7 MEQ  1E Indium","folder")</f>
        <v>folder</v>
      </c>
      <c r="T65" t="s">
        <v>1131</v>
      </c>
      <c r="U65" t="s">
        <v>533</v>
      </c>
      <c r="V65" s="407" t="s">
        <v>1269</v>
      </c>
    </row>
    <row r="66" spans="1:22" ht="38.25" customHeight="1">
      <c r="A66" s="366">
        <v>3097</v>
      </c>
      <c r="B66" s="134">
        <v>18.600000000000001</v>
      </c>
      <c r="C66">
        <v>1.52</v>
      </c>
      <c r="D66">
        <v>7.11</v>
      </c>
      <c r="E66" s="63">
        <v>24.44</v>
      </c>
      <c r="F66" s="11" t="s">
        <v>1270</v>
      </c>
      <c r="G66" s="63">
        <v>29</v>
      </c>
      <c r="H66" s="63">
        <v>72</v>
      </c>
      <c r="I66" s="422">
        <v>41411</v>
      </c>
      <c r="J66" t="s">
        <v>130</v>
      </c>
      <c r="K66">
        <v>33.5</v>
      </c>
      <c r="L66">
        <v>0.23599999999999999</v>
      </c>
      <c r="M66" t="s">
        <v>1290</v>
      </c>
      <c r="Q66" s="4" t="str">
        <f>HYPERLINK("\\Hopi-fs\shares\users\dhar\Stalk mount testing\Type 1e Quality Assurance\CRYO-2085-2220  3097 Induim","folder")</f>
        <v>folder</v>
      </c>
      <c r="T66" t="s">
        <v>1131</v>
      </c>
      <c r="U66" t="s">
        <v>533</v>
      </c>
    </row>
    <row r="67" spans="1:22">
      <c r="A67" s="366">
        <v>3098</v>
      </c>
      <c r="B67" s="134">
        <v>17</v>
      </c>
      <c r="C67">
        <v>1.51</v>
      </c>
      <c r="D67">
        <v>6.9</v>
      </c>
      <c r="E67" s="63">
        <v>24.44</v>
      </c>
      <c r="F67" s="11" t="s">
        <v>1271</v>
      </c>
      <c r="G67" s="63">
        <v>29</v>
      </c>
      <c r="H67" s="63">
        <v>72</v>
      </c>
      <c r="I67" s="422">
        <v>41411</v>
      </c>
      <c r="J67" t="s">
        <v>130</v>
      </c>
      <c r="K67">
        <v>33.29</v>
      </c>
      <c r="L67">
        <v>0.28699999999999998</v>
      </c>
      <c r="M67" t="s">
        <v>1291</v>
      </c>
      <c r="Q67" s="4" t="str">
        <f>HYPERLINK("\\Hopi-fs\shares\users\dhar\Stalk mount testing\Type 1e Quality Assurance\CRYO-2085-2221  3098 Indium","folder")</f>
        <v>folder</v>
      </c>
      <c r="T67" t="s">
        <v>1131</v>
      </c>
      <c r="U67" t="s">
        <v>533</v>
      </c>
    </row>
    <row r="68" spans="1:22">
      <c r="A68" s="366">
        <v>3099</v>
      </c>
      <c r="B68" s="134">
        <v>16</v>
      </c>
      <c r="C68">
        <v>1.55</v>
      </c>
      <c r="D68">
        <v>7.11</v>
      </c>
      <c r="E68" s="63">
        <v>24.44</v>
      </c>
      <c r="F68" s="11" t="s">
        <v>1272</v>
      </c>
      <c r="G68" s="63">
        <v>29</v>
      </c>
      <c r="H68" s="63">
        <v>72</v>
      </c>
      <c r="I68" s="422">
        <v>41411</v>
      </c>
      <c r="J68" t="s">
        <v>130</v>
      </c>
      <c r="K68">
        <v>33.549999999999997</v>
      </c>
      <c r="L68">
        <v>0.32200000000000001</v>
      </c>
      <c r="M68">
        <v>366</v>
      </c>
      <c r="Q68" s="4" t="str">
        <f>HYPERLINK("\\Hopi-fs\shares\users\dhar\Stalk mount testing\Type 1e Quality Assurance\CRYO-2085-2222  3099 Indium","folder")</f>
        <v>folder</v>
      </c>
      <c r="T68" t="s">
        <v>1131</v>
      </c>
      <c r="U68" t="s">
        <v>533</v>
      </c>
      <c r="V68" s="407" t="s">
        <v>1289</v>
      </c>
    </row>
    <row r="69" spans="1:22">
      <c r="A69" s="366">
        <v>3100</v>
      </c>
      <c r="B69" s="134">
        <v>18.399999999999999</v>
      </c>
      <c r="C69">
        <v>1.53</v>
      </c>
      <c r="D69">
        <v>7.11</v>
      </c>
      <c r="E69" s="63">
        <v>24.41</v>
      </c>
      <c r="F69" s="11" t="s">
        <v>1273</v>
      </c>
      <c r="G69">
        <v>63</v>
      </c>
      <c r="H69">
        <v>69</v>
      </c>
      <c r="I69" s="422">
        <v>41414</v>
      </c>
      <c r="J69" t="s">
        <v>130</v>
      </c>
      <c r="K69">
        <v>33.479999999999997</v>
      </c>
      <c r="L69">
        <v>0.56499999999999995</v>
      </c>
      <c r="M69">
        <v>391</v>
      </c>
      <c r="Q69" s="4" t="str">
        <f>HYPERLINK("\\Hopi-fs\shares\users\dhar\Stalk mount testing\Type 1e Quality Assurance\CRYO-2085-2226  3100 Indium","folder")</f>
        <v>folder</v>
      </c>
      <c r="T69" t="s">
        <v>1131</v>
      </c>
      <c r="U69" t="s">
        <v>533</v>
      </c>
      <c r="V69" s="407" t="s">
        <v>1289</v>
      </c>
    </row>
    <row r="70" spans="1:22">
      <c r="A70" s="366">
        <v>3101</v>
      </c>
      <c r="B70" s="134">
        <v>18</v>
      </c>
      <c r="C70">
        <v>1.57</v>
      </c>
      <c r="D70">
        <v>7.08</v>
      </c>
      <c r="E70" s="63">
        <v>24.44</v>
      </c>
      <c r="F70" s="379" t="s">
        <v>1274</v>
      </c>
      <c r="G70">
        <v>63</v>
      </c>
      <c r="H70">
        <v>69</v>
      </c>
      <c r="I70" s="422">
        <v>41414</v>
      </c>
      <c r="J70" t="s">
        <v>130</v>
      </c>
      <c r="K70">
        <v>33.549999999999997</v>
      </c>
      <c r="L70">
        <v>0.35299999999999998</v>
      </c>
      <c r="M70">
        <v>394</v>
      </c>
      <c r="Q70" s="4" t="str">
        <f>HYPERLINK("\\Hopi-fs\shares\users\dhar\Stalk mount testing\Type 1e Quality Assurance\CRYO-2085-2227  3101 Indium","folder")</f>
        <v>folder</v>
      </c>
      <c r="T70" t="s">
        <v>1131</v>
      </c>
      <c r="U70" t="s">
        <v>533</v>
      </c>
      <c r="V70" s="407" t="s">
        <v>1289</v>
      </c>
    </row>
    <row r="71" spans="1:22" ht="24" customHeight="1">
      <c r="A71" s="364">
        <v>3102</v>
      </c>
      <c r="B71" s="134">
        <v>17.399999999999999</v>
      </c>
      <c r="C71">
        <v>1.54</v>
      </c>
      <c r="D71">
        <v>7.13</v>
      </c>
      <c r="E71" s="63">
        <v>24.43</v>
      </c>
      <c r="F71" s="11" t="s">
        <v>1275</v>
      </c>
      <c r="G71" s="63">
        <v>57</v>
      </c>
      <c r="H71" s="63">
        <v>73</v>
      </c>
      <c r="I71" s="217">
        <v>41416</v>
      </c>
      <c r="J71" t="s">
        <v>130</v>
      </c>
      <c r="K71">
        <v>33.54</v>
      </c>
      <c r="L71">
        <v>0.311</v>
      </c>
      <c r="M71">
        <v>386</v>
      </c>
      <c r="Q71" s="4" t="str">
        <f>HYPERLINK("\\Hopi-fs\shares\users\dhar\Stalk mount testing\Type 1e Quality Assurance\CRYO-2083-2229  3102 Indium","folder")</f>
        <v>folder</v>
      </c>
      <c r="T71" t="s">
        <v>1131</v>
      </c>
      <c r="U71" t="s">
        <v>533</v>
      </c>
      <c r="V71" s="407" t="s">
        <v>1289</v>
      </c>
    </row>
    <row r="72" spans="1:22">
      <c r="A72" s="364">
        <v>3103</v>
      </c>
      <c r="B72" s="134">
        <v>16.399999999999999</v>
      </c>
      <c r="C72">
        <v>1.54</v>
      </c>
      <c r="D72">
        <v>7.14</v>
      </c>
      <c r="E72" s="63">
        <v>24.44</v>
      </c>
      <c r="F72" s="11" t="s">
        <v>1276</v>
      </c>
      <c r="G72" s="63">
        <v>57</v>
      </c>
      <c r="H72" s="63">
        <v>73</v>
      </c>
      <c r="I72" s="217">
        <v>41416</v>
      </c>
      <c r="J72" t="s">
        <v>130</v>
      </c>
      <c r="K72">
        <v>33.56</v>
      </c>
      <c r="L72">
        <v>0.44800000000000001</v>
      </c>
      <c r="M72">
        <v>353</v>
      </c>
      <c r="Q72" s="4" t="str">
        <f>HYPERLINK("\\Hopi-fs\shares\users\dhar\Stalk mount testing\Type 1e Quality Assurance\CRYO-2082-2230  3103 Indium","folder")</f>
        <v>folder</v>
      </c>
      <c r="T72" t="s">
        <v>1131</v>
      </c>
      <c r="U72" t="s">
        <v>533</v>
      </c>
      <c r="V72" s="407" t="s">
        <v>1289</v>
      </c>
    </row>
    <row r="73" spans="1:22">
      <c r="A73" s="364">
        <v>3104</v>
      </c>
      <c r="B73" s="134">
        <v>17</v>
      </c>
      <c r="C73">
        <v>1.53</v>
      </c>
      <c r="D73">
        <v>7.11</v>
      </c>
      <c r="E73" s="63">
        <v>24.48</v>
      </c>
      <c r="F73" s="379" t="s">
        <v>1277</v>
      </c>
      <c r="G73" s="63">
        <v>57</v>
      </c>
      <c r="H73" s="63">
        <v>73</v>
      </c>
      <c r="I73" s="217">
        <v>41416</v>
      </c>
      <c r="J73" t="s">
        <v>130</v>
      </c>
      <c r="K73">
        <v>33.549999999999997</v>
      </c>
      <c r="L73">
        <v>0.14399999999999999</v>
      </c>
      <c r="M73">
        <v>383</v>
      </c>
      <c r="Q73" s="4" t="str">
        <f>HYPERLINK("\\Hopi-fs\shares\users\dhar\Stalk mount testing\Type 1e Quality Assurance\CRYO-2083-2231  3104 Indium","folder")</f>
        <v>folder</v>
      </c>
      <c r="T73" t="s">
        <v>1131</v>
      </c>
      <c r="U73" t="s">
        <v>533</v>
      </c>
      <c r="V73" s="407" t="s">
        <v>1289</v>
      </c>
    </row>
    <row r="74" spans="1:22">
      <c r="F74" s="251" t="s">
        <v>1284</v>
      </c>
      <c r="P74" s="226" t="s">
        <v>1287</v>
      </c>
    </row>
    <row r="75" spans="1:22">
      <c r="F75" s="251" t="s">
        <v>1285</v>
      </c>
      <c r="P75" s="226" t="s">
        <v>1288</v>
      </c>
    </row>
    <row r="76" spans="1:22">
      <c r="F76" s="251" t="s">
        <v>1286</v>
      </c>
      <c r="P76" s="226" t="s">
        <v>1288</v>
      </c>
    </row>
    <row r="77" spans="1:22" ht="35.25" customHeight="1">
      <c r="A77" s="368"/>
      <c r="F77" s="166" t="s">
        <v>1295</v>
      </c>
      <c r="G77">
        <v>53.6</v>
      </c>
      <c r="H77">
        <v>72.75</v>
      </c>
      <c r="I77" s="217">
        <v>41436</v>
      </c>
      <c r="J77" t="s">
        <v>130</v>
      </c>
    </row>
    <row r="78" spans="1:22">
      <c r="A78" s="368"/>
      <c r="F78" s="166" t="s">
        <v>1296</v>
      </c>
      <c r="G78">
        <v>53.6</v>
      </c>
      <c r="H78">
        <v>72.75</v>
      </c>
      <c r="I78" s="217">
        <v>41436</v>
      </c>
      <c r="J78" t="s">
        <v>130</v>
      </c>
    </row>
    <row r="79" spans="1:22">
      <c r="A79" s="368"/>
      <c r="F79" s="375" t="s">
        <v>1297</v>
      </c>
      <c r="G79">
        <v>53.6</v>
      </c>
      <c r="H79">
        <v>72.75</v>
      </c>
      <c r="I79" s="217">
        <v>41436</v>
      </c>
      <c r="J79" t="s">
        <v>130</v>
      </c>
    </row>
    <row r="80" spans="1:22" ht="32.25" customHeight="1">
      <c r="A80" s="134">
        <v>3105</v>
      </c>
      <c r="B80" s="134">
        <v>16</v>
      </c>
      <c r="C80">
        <v>1.52</v>
      </c>
      <c r="D80">
        <v>7.12</v>
      </c>
      <c r="E80">
        <v>24.42</v>
      </c>
      <c r="F80" s="223" t="s">
        <v>1298</v>
      </c>
      <c r="G80">
        <v>49</v>
      </c>
      <c r="H80">
        <v>73</v>
      </c>
      <c r="I80" s="217">
        <v>41437</v>
      </c>
      <c r="J80" t="s">
        <v>130</v>
      </c>
      <c r="K80">
        <v>33.5</v>
      </c>
      <c r="L80">
        <v>0.47</v>
      </c>
      <c r="M80">
        <v>413</v>
      </c>
      <c r="Q80" s="4" t="str">
        <f>HYPERLINK("\\Hopi-fs\shares\users\dhar\Stalk mount testing\Type 1e Quality Assurance\CRYO-2055-1787  3105 1E","folder")</f>
        <v>folder</v>
      </c>
      <c r="T80" t="s">
        <v>1131</v>
      </c>
      <c r="U80" t="s">
        <v>533</v>
      </c>
      <c r="V80" s="407" t="s">
        <v>1308</v>
      </c>
    </row>
    <row r="81" spans="1:22">
      <c r="A81" s="134">
        <v>3106</v>
      </c>
      <c r="B81" s="134">
        <v>17</v>
      </c>
      <c r="C81">
        <v>1.53</v>
      </c>
      <c r="D81">
        <v>7.12</v>
      </c>
      <c r="E81">
        <v>24.47</v>
      </c>
      <c r="F81" s="68" t="s">
        <v>1299</v>
      </c>
      <c r="G81">
        <v>43</v>
      </c>
      <c r="H81">
        <v>72</v>
      </c>
      <c r="I81" s="217">
        <v>41437</v>
      </c>
      <c r="J81" t="s">
        <v>130</v>
      </c>
      <c r="K81">
        <v>33.56</v>
      </c>
      <c r="L81">
        <v>0.40899999999999997</v>
      </c>
      <c r="M81">
        <v>441</v>
      </c>
      <c r="Q81" s="4" t="str">
        <f>HYPERLINK("\\Hopi-fs\shares\users\dhar\Stalk mount testing\Type 1e Quality Assurance\CRYO-2055-1788  3106 1E","folder")</f>
        <v>folder</v>
      </c>
      <c r="T81" t="s">
        <v>1131</v>
      </c>
      <c r="U81" t="s">
        <v>533</v>
      </c>
      <c r="V81" s="407" t="s">
        <v>1308</v>
      </c>
    </row>
    <row r="82" spans="1:22">
      <c r="A82" s="134">
        <v>3107</v>
      </c>
      <c r="B82" s="134">
        <v>17</v>
      </c>
      <c r="C82">
        <v>1.52</v>
      </c>
      <c r="D82">
        <v>7.16</v>
      </c>
      <c r="E82">
        <v>24.35</v>
      </c>
      <c r="F82" s="223" t="s">
        <v>1300</v>
      </c>
      <c r="G82">
        <v>45</v>
      </c>
      <c r="H82">
        <v>73</v>
      </c>
      <c r="I82" s="217">
        <v>41437</v>
      </c>
      <c r="J82" t="s">
        <v>130</v>
      </c>
      <c r="K82">
        <v>33.47</v>
      </c>
      <c r="L82">
        <v>0.74399999999999999</v>
      </c>
      <c r="M82" s="13">
        <v>415</v>
      </c>
      <c r="Q82" s="4" t="str">
        <f>HYPERLINK("\\Hopi-fs\shares\users\dhar\Stalk mount testing\Type 1e Quality Assurance\CRYO-2053-1790  3107 1E","folder")</f>
        <v>folder</v>
      </c>
      <c r="T82" t="s">
        <v>1131</v>
      </c>
      <c r="U82" t="s">
        <v>533</v>
      </c>
      <c r="V82" s="407" t="s">
        <v>1308</v>
      </c>
    </row>
    <row r="83" spans="1:22">
      <c r="A83" s="134">
        <v>3108</v>
      </c>
      <c r="B83" s="134">
        <v>19</v>
      </c>
      <c r="C83">
        <v>1.53</v>
      </c>
      <c r="D83">
        <v>7.28</v>
      </c>
      <c r="E83">
        <v>24.41</v>
      </c>
      <c r="F83" s="68" t="s">
        <v>1301</v>
      </c>
      <c r="G83">
        <v>45</v>
      </c>
      <c r="H83">
        <v>73</v>
      </c>
      <c r="I83" s="217">
        <v>41437</v>
      </c>
      <c r="J83" t="s">
        <v>130</v>
      </c>
      <c r="K83">
        <v>33.659999999999997</v>
      </c>
      <c r="L83">
        <v>0.312</v>
      </c>
      <c r="M83">
        <v>449</v>
      </c>
      <c r="Q83" s="4" t="str">
        <f>HYPERLINK("\\Hopi-fs\shares\users\dhar\Stalk mount testing\Type 1e Quality Assurance\CRYO-2055-1791  3108 1E","folder")</f>
        <v>folder</v>
      </c>
      <c r="T83" t="s">
        <v>1131</v>
      </c>
      <c r="U83" t="s">
        <v>533</v>
      </c>
      <c r="V83" s="407" t="s">
        <v>1308</v>
      </c>
    </row>
    <row r="84" spans="1:22">
      <c r="A84" s="369">
        <v>3109</v>
      </c>
      <c r="B84" s="134">
        <v>17</v>
      </c>
      <c r="C84">
        <v>1.52</v>
      </c>
      <c r="D84">
        <v>7.1</v>
      </c>
      <c r="E84">
        <v>24.42</v>
      </c>
      <c r="F84" s="166" t="s">
        <v>1302</v>
      </c>
      <c r="G84">
        <v>45</v>
      </c>
      <c r="H84">
        <v>73</v>
      </c>
      <c r="I84" s="217">
        <v>41437</v>
      </c>
      <c r="J84" t="s">
        <v>130</v>
      </c>
      <c r="K84">
        <v>33.49</v>
      </c>
      <c r="L84">
        <v>0.59599999999999997</v>
      </c>
      <c r="Q84" s="4" t="str">
        <f>HYPERLINK("\\Hopi-fs\shares\users\dhar\Stalk mount testing\Type 1e Quality Assurance\CRYO-2055-1792  3109 1E","folder")</f>
        <v>folder</v>
      </c>
      <c r="T84" t="s">
        <v>1131</v>
      </c>
      <c r="U84" t="s">
        <v>533</v>
      </c>
    </row>
    <row r="85" spans="1:22">
      <c r="A85" s="368">
        <v>3109</v>
      </c>
      <c r="B85" s="134">
        <v>16</v>
      </c>
      <c r="C85">
        <v>1.51</v>
      </c>
      <c r="D85">
        <v>7.11</v>
      </c>
      <c r="E85">
        <v>24.43</v>
      </c>
      <c r="F85" s="19" t="s">
        <v>1306</v>
      </c>
      <c r="G85">
        <v>34</v>
      </c>
      <c r="H85">
        <v>72</v>
      </c>
      <c r="I85" s="217">
        <v>41444</v>
      </c>
      <c r="J85" t="s">
        <v>130</v>
      </c>
      <c r="K85">
        <v>33.49</v>
      </c>
      <c r="L85">
        <v>0.56399999999999995</v>
      </c>
      <c r="M85" s="13">
        <v>394</v>
      </c>
      <c r="Q85" s="4" t="str">
        <f>HYPERLINK("\\hopi-fs\shares\users\dhar\Stalk mount testing\Type 1e Quality Assurance\CRYO-2074-2245  3109  1E","folder")</f>
        <v>folder</v>
      </c>
      <c r="U85" t="s">
        <v>1336</v>
      </c>
      <c r="V85" s="407" t="s">
        <v>1308</v>
      </c>
    </row>
    <row r="86" spans="1:22">
      <c r="A86" s="368">
        <v>3113</v>
      </c>
      <c r="B86" s="134">
        <v>19</v>
      </c>
      <c r="C86">
        <v>1.53</v>
      </c>
      <c r="D86">
        <v>7.19</v>
      </c>
      <c r="E86">
        <v>24.37</v>
      </c>
      <c r="F86" s="166" t="s">
        <v>1295</v>
      </c>
      <c r="G86">
        <v>55</v>
      </c>
      <c r="H86">
        <v>72</v>
      </c>
      <c r="I86" s="217">
        <v>41438</v>
      </c>
      <c r="J86" t="s">
        <v>130</v>
      </c>
      <c r="K86">
        <v>33.5</v>
      </c>
      <c r="L86">
        <v>0.2</v>
      </c>
      <c r="M86">
        <v>363</v>
      </c>
      <c r="Q86" s="4" t="str">
        <f>HYPERLINK("\\Hopi-fs\shares\users\dhar\Stalk mount testing\Type 1e Quality Assurance\CRYO-2075-2206  3113 1E","folder")</f>
        <v>folder</v>
      </c>
      <c r="T86" t="s">
        <v>1131</v>
      </c>
      <c r="U86" t="s">
        <v>533</v>
      </c>
    </row>
    <row r="87" spans="1:22">
      <c r="A87" s="368">
        <v>3114</v>
      </c>
      <c r="B87" s="134">
        <v>16</v>
      </c>
      <c r="C87">
        <v>1.53</v>
      </c>
      <c r="D87">
        <v>7.14</v>
      </c>
      <c r="E87">
        <v>24.37</v>
      </c>
      <c r="F87" s="68" t="s">
        <v>1296</v>
      </c>
      <c r="G87">
        <v>55</v>
      </c>
      <c r="H87">
        <v>72</v>
      </c>
      <c r="I87" s="217">
        <v>41438</v>
      </c>
      <c r="J87" t="s">
        <v>130</v>
      </c>
      <c r="K87">
        <v>33.47</v>
      </c>
      <c r="L87">
        <v>0.66800000000000004</v>
      </c>
      <c r="M87">
        <v>370</v>
      </c>
      <c r="Q87" s="4" t="str">
        <f>HYPERLINK("\\Hopi-fs\shares\users\dhar\Stalk mount testing\Type 1e Quality Assurance\CRYO-2075-2207  3114 1E","folder")</f>
        <v>folder</v>
      </c>
      <c r="T87" t="s">
        <v>1131</v>
      </c>
      <c r="U87" t="s">
        <v>533</v>
      </c>
      <c r="V87" s="407" t="s">
        <v>1308</v>
      </c>
    </row>
    <row r="88" spans="1:22">
      <c r="A88" s="368">
        <v>3110</v>
      </c>
      <c r="B88" s="134">
        <v>19</v>
      </c>
      <c r="C88">
        <v>1.5</v>
      </c>
      <c r="D88">
        <v>7.28</v>
      </c>
      <c r="E88">
        <v>24.4</v>
      </c>
      <c r="F88" s="19" t="s">
        <v>1303</v>
      </c>
      <c r="G88">
        <v>53</v>
      </c>
      <c r="H88">
        <v>72</v>
      </c>
      <c r="I88" s="217">
        <v>41439</v>
      </c>
      <c r="J88" t="s">
        <v>130</v>
      </c>
      <c r="K88">
        <v>33.619999999999997</v>
      </c>
      <c r="L88">
        <v>0.443</v>
      </c>
      <c r="M88">
        <v>435</v>
      </c>
      <c r="Q88" s="4" t="str">
        <f>HYPERLINK("\\Hopi-fs\shares\users\dhar\Stalk mount testing\Type 1e Quality Assurance\CRYO-2073-2244  3110  1E","folder")</f>
        <v>folder</v>
      </c>
      <c r="T88" t="s">
        <v>1131</v>
      </c>
      <c r="U88" t="s">
        <v>533</v>
      </c>
    </row>
    <row r="89" spans="1:22">
      <c r="A89" s="365">
        <v>3097</v>
      </c>
      <c r="B89" s="136">
        <v>16</v>
      </c>
      <c r="C89">
        <v>1.5</v>
      </c>
      <c r="D89">
        <v>7.12</v>
      </c>
      <c r="E89">
        <v>24.44</v>
      </c>
      <c r="F89" s="68" t="s">
        <v>1304</v>
      </c>
      <c r="G89">
        <v>42</v>
      </c>
      <c r="H89">
        <v>73</v>
      </c>
      <c r="I89" s="217">
        <v>41443</v>
      </c>
      <c r="J89" t="s">
        <v>130</v>
      </c>
      <c r="K89">
        <v>33.5</v>
      </c>
      <c r="L89">
        <v>0.248</v>
      </c>
      <c r="M89">
        <v>475</v>
      </c>
      <c r="Q89" s="4" t="str">
        <f>HYPERLINK("\\hopi-fs\shares\users\dhar\Stalk mount testing\Type 1e Quality Assurance\CRYO-2054-1793  3097 1E","folder")</f>
        <v>folder</v>
      </c>
      <c r="T89" t="s">
        <v>1131</v>
      </c>
      <c r="U89" t="s">
        <v>3861</v>
      </c>
    </row>
    <row r="90" spans="1:22">
      <c r="A90" s="365">
        <v>3098</v>
      </c>
      <c r="B90" s="136">
        <v>18</v>
      </c>
      <c r="C90">
        <v>1.53</v>
      </c>
      <c r="D90">
        <v>6.88</v>
      </c>
      <c r="E90">
        <v>24.46</v>
      </c>
      <c r="F90" s="68" t="s">
        <v>1305</v>
      </c>
      <c r="G90">
        <v>42</v>
      </c>
      <c r="H90">
        <v>73</v>
      </c>
      <c r="I90" s="217">
        <v>41443</v>
      </c>
      <c r="J90" t="s">
        <v>130</v>
      </c>
      <c r="K90">
        <v>33.33</v>
      </c>
      <c r="L90">
        <v>0.34799999999999998</v>
      </c>
      <c r="M90">
        <v>475</v>
      </c>
      <c r="Q90" s="4" t="str">
        <f>HYPERLINK("\\hopi-fs\shares\users\dhar\Stalk mount testing\Type 1e Quality Assurance\CRYO-2055-1798  3098 1E","folder")</f>
        <v>folder</v>
      </c>
      <c r="T90" t="s">
        <v>1131</v>
      </c>
      <c r="U90" t="s">
        <v>3861</v>
      </c>
    </row>
    <row r="91" spans="1:22" ht="36" customHeight="1">
      <c r="A91" s="370">
        <v>3115</v>
      </c>
      <c r="B91" s="134">
        <v>19</v>
      </c>
      <c r="C91">
        <v>1.48</v>
      </c>
      <c r="D91">
        <v>7.13</v>
      </c>
      <c r="E91">
        <v>24.31</v>
      </c>
      <c r="F91" s="233" t="s">
        <v>1309</v>
      </c>
      <c r="G91">
        <v>48</v>
      </c>
      <c r="H91">
        <v>72</v>
      </c>
      <c r="I91" s="217">
        <v>41451</v>
      </c>
      <c r="J91" t="s">
        <v>130</v>
      </c>
      <c r="K91">
        <v>33.36</v>
      </c>
      <c r="L91">
        <v>0.378</v>
      </c>
      <c r="M91">
        <v>395</v>
      </c>
      <c r="Q91" s="4" t="str">
        <f>HYPERLINK("\\hopi-fs\shares\users\dhar\Stalk mount testing\Type 1e Quality Assurance\CRYO-2083-2232  3115 1E","folder")</f>
        <v>folder</v>
      </c>
      <c r="T91" t="s">
        <v>1131</v>
      </c>
      <c r="U91" t="s">
        <v>533</v>
      </c>
      <c r="V91" s="407" t="s">
        <v>1317</v>
      </c>
    </row>
    <row r="92" spans="1:22">
      <c r="A92" s="370">
        <v>3116</v>
      </c>
      <c r="B92" s="134">
        <v>17</v>
      </c>
      <c r="C92">
        <v>1.52</v>
      </c>
      <c r="D92">
        <v>7.17</v>
      </c>
      <c r="E92">
        <v>24.35</v>
      </c>
      <c r="F92" s="19" t="s">
        <v>1314</v>
      </c>
      <c r="G92">
        <v>48</v>
      </c>
      <c r="H92">
        <v>72</v>
      </c>
      <c r="I92" s="217">
        <v>41451</v>
      </c>
      <c r="J92" t="s">
        <v>130</v>
      </c>
      <c r="K92">
        <v>33.49</v>
      </c>
      <c r="L92">
        <v>0.1</v>
      </c>
      <c r="M92">
        <v>329</v>
      </c>
      <c r="Q92" s="4" t="str">
        <f>HYPERLINK("\\hopi-fs\shares\users\dhar\Stalk mount testing\Type 1e Quality Assurance\CRYO-2082-2239  3116 1E","folder")</f>
        <v>folder</v>
      </c>
      <c r="T92" t="s">
        <v>1131</v>
      </c>
      <c r="U92" t="s">
        <v>533</v>
      </c>
      <c r="V92" s="407" t="s">
        <v>1317</v>
      </c>
    </row>
    <row r="93" spans="1:22">
      <c r="A93" s="370">
        <v>3118</v>
      </c>
      <c r="B93" s="134">
        <v>18</v>
      </c>
      <c r="C93">
        <v>1.5</v>
      </c>
      <c r="D93">
        <v>7.05</v>
      </c>
      <c r="E93">
        <v>24.41</v>
      </c>
      <c r="F93" s="19" t="s">
        <v>1316</v>
      </c>
      <c r="G93">
        <v>48</v>
      </c>
      <c r="H93">
        <v>72</v>
      </c>
      <c r="I93" s="217">
        <v>41451</v>
      </c>
      <c r="J93" t="s">
        <v>130</v>
      </c>
      <c r="K93">
        <v>33.39</v>
      </c>
      <c r="L93">
        <v>0.68300000000000005</v>
      </c>
      <c r="M93">
        <v>421</v>
      </c>
      <c r="Q93" s="4" t="str">
        <f>HYPERLINK("\\hopi-fs\shares\users\dhar\Stalk mount testing\Type 1e Quality Assurance\CRYO-2083-2234  3118 1E","folder")</f>
        <v>folder</v>
      </c>
      <c r="T93" t="s">
        <v>1131</v>
      </c>
      <c r="U93" t="s">
        <v>533</v>
      </c>
      <c r="V93" s="407" t="s">
        <v>1317</v>
      </c>
    </row>
    <row r="94" spans="1:22">
      <c r="A94" s="370">
        <v>3119</v>
      </c>
      <c r="B94" s="134">
        <v>16</v>
      </c>
      <c r="C94">
        <v>1.5</v>
      </c>
      <c r="D94">
        <v>7.19</v>
      </c>
      <c r="E94">
        <v>24.44</v>
      </c>
      <c r="F94" s="19" t="s">
        <v>1310</v>
      </c>
      <c r="G94">
        <v>48</v>
      </c>
      <c r="H94">
        <v>72</v>
      </c>
      <c r="I94" s="217">
        <v>41451</v>
      </c>
      <c r="J94" t="s">
        <v>130</v>
      </c>
      <c r="K94">
        <v>33.57</v>
      </c>
      <c r="L94">
        <v>0.52200000000000002</v>
      </c>
      <c r="M94" t="s">
        <v>1369</v>
      </c>
      <c r="Q94" s="4" t="str">
        <f>HYPERLINK("\\hopi-fs\shares\users\dhar\Stalk mount testing\Type 1e Quality Assurance\CRYO-2083-2235  3119 1E","folder")</f>
        <v>folder</v>
      </c>
      <c r="T94" t="s">
        <v>1131</v>
      </c>
      <c r="U94" t="s">
        <v>533</v>
      </c>
      <c r="V94" s="407" t="s">
        <v>1379</v>
      </c>
    </row>
    <row r="95" spans="1:22">
      <c r="A95" s="370">
        <v>3120</v>
      </c>
      <c r="B95" s="134">
        <v>17</v>
      </c>
      <c r="C95">
        <v>1.62</v>
      </c>
      <c r="D95">
        <v>7.13</v>
      </c>
      <c r="E95">
        <v>24.38</v>
      </c>
      <c r="F95" s="233" t="s">
        <v>1311</v>
      </c>
      <c r="G95">
        <v>56</v>
      </c>
      <c r="H95">
        <v>72</v>
      </c>
      <c r="I95" s="217">
        <v>41452</v>
      </c>
      <c r="J95" t="s">
        <v>130</v>
      </c>
      <c r="K95">
        <v>33.57</v>
      </c>
      <c r="L95">
        <v>0.16700000000000001</v>
      </c>
      <c r="M95">
        <v>389</v>
      </c>
      <c r="Q95" s="4" t="str">
        <f>HYPERLINK("\\hopi-fs\shares\users\dhar\Stalk mount testing\Type 1e Quality Assurance\CRYO-2082-2236  3120 1E","folder")</f>
        <v>folder</v>
      </c>
      <c r="T95" t="s">
        <v>1131</v>
      </c>
      <c r="U95" t="s">
        <v>533</v>
      </c>
      <c r="V95" s="407" t="s">
        <v>1317</v>
      </c>
    </row>
    <row r="96" spans="1:22">
      <c r="A96" s="370">
        <v>3121</v>
      </c>
      <c r="B96" s="134">
        <v>19</v>
      </c>
      <c r="C96">
        <v>1.51</v>
      </c>
      <c r="D96">
        <v>7.16</v>
      </c>
      <c r="E96">
        <v>24.45</v>
      </c>
      <c r="F96" s="19" t="s">
        <v>1312</v>
      </c>
      <c r="G96">
        <v>56</v>
      </c>
      <c r="H96">
        <v>72</v>
      </c>
      <c r="I96" s="217">
        <v>41452</v>
      </c>
      <c r="J96" t="s">
        <v>130</v>
      </c>
      <c r="K96">
        <v>33.56</v>
      </c>
      <c r="L96">
        <v>0.54400000000000004</v>
      </c>
      <c r="M96">
        <v>404</v>
      </c>
      <c r="Q96" s="4" t="str">
        <f>HYPERLINK("\\hopi-fs\shares\users\dhar\Stalk mount testing\Type 1e Quality Assurance\CRYO-2082-2237  3121 1E","folder")</f>
        <v>folder</v>
      </c>
      <c r="T96" t="s">
        <v>1131</v>
      </c>
      <c r="U96" t="s">
        <v>533</v>
      </c>
      <c r="V96" s="407" t="s">
        <v>1317</v>
      </c>
    </row>
    <row r="97" spans="1:22">
      <c r="A97" s="370">
        <v>3122</v>
      </c>
      <c r="B97" s="134">
        <v>16</v>
      </c>
      <c r="C97">
        <v>1.55</v>
      </c>
      <c r="D97">
        <v>7.15</v>
      </c>
      <c r="E97">
        <v>24.38</v>
      </c>
      <c r="F97" s="19" t="s">
        <v>1313</v>
      </c>
      <c r="G97">
        <v>56</v>
      </c>
      <c r="H97">
        <v>72</v>
      </c>
      <c r="I97" s="217">
        <v>41452</v>
      </c>
      <c r="J97" t="s">
        <v>130</v>
      </c>
      <c r="K97">
        <v>33.5</v>
      </c>
      <c r="L97">
        <v>0.504</v>
      </c>
      <c r="M97">
        <v>368</v>
      </c>
      <c r="Q97" s="4" t="str">
        <f>HYPERLINK("\\hopi-fs\shares\users\dhar\Stalk mount testing\Type 1e Quality Assurance\CRYO-2083-2238  3122 1E","folder")</f>
        <v>folder</v>
      </c>
      <c r="T97" t="s">
        <v>1131</v>
      </c>
      <c r="U97" t="s">
        <v>533</v>
      </c>
      <c r="V97" s="407" t="s">
        <v>1317</v>
      </c>
    </row>
    <row r="98" spans="1:22">
      <c r="A98" s="370">
        <v>3124</v>
      </c>
      <c r="B98" s="134">
        <v>18.399999999999999</v>
      </c>
      <c r="C98">
        <v>1.54</v>
      </c>
      <c r="D98">
        <v>7.13</v>
      </c>
      <c r="E98">
        <v>24.32</v>
      </c>
      <c r="F98" s="19" t="s">
        <v>1318</v>
      </c>
      <c r="G98">
        <v>56</v>
      </c>
      <c r="H98">
        <v>72</v>
      </c>
      <c r="I98" s="217">
        <v>41458</v>
      </c>
      <c r="J98" t="s">
        <v>130</v>
      </c>
      <c r="K98">
        <v>33.42</v>
      </c>
      <c r="L98">
        <v>0.58699999999999997</v>
      </c>
      <c r="M98" s="13" t="s">
        <v>169</v>
      </c>
      <c r="Q98" s="4" t="str">
        <f>HYPERLINK("\\hopi-fs\shares\users\dhar\Stalk mount testing\Type 1e Quality Assurance\CRYO-ME-1Q13-01-47  1E","FOLDER")</f>
        <v>FOLDER</v>
      </c>
      <c r="T98" t="s">
        <v>1131</v>
      </c>
      <c r="U98" t="s">
        <v>1338</v>
      </c>
      <c r="V98" s="407" t="s">
        <v>1332</v>
      </c>
    </row>
    <row r="99" spans="1:22">
      <c r="A99" s="370">
        <v>3125</v>
      </c>
      <c r="B99" s="134">
        <v>16</v>
      </c>
      <c r="C99">
        <v>1.49</v>
      </c>
      <c r="D99">
        <v>7.08</v>
      </c>
      <c r="E99">
        <v>24.24</v>
      </c>
      <c r="F99" s="38" t="s">
        <v>1319</v>
      </c>
      <c r="G99">
        <v>56</v>
      </c>
      <c r="H99">
        <v>72</v>
      </c>
      <c r="I99" s="217">
        <v>41458</v>
      </c>
      <c r="J99" t="s">
        <v>130</v>
      </c>
      <c r="K99">
        <v>33.229999999999997</v>
      </c>
      <c r="L99">
        <v>0.41</v>
      </c>
      <c r="M99" s="13">
        <v>264</v>
      </c>
      <c r="P99" t="s">
        <v>1351</v>
      </c>
      <c r="Q99" s="4" t="str">
        <f>HYPERLINK("\\hopi-fs\shares\users\dhar\Stalk mount testing\Type 1e Quality Assurance\CRYO-ME-1Q13-01-61  1E","FOLDER")</f>
        <v>FOLDER</v>
      </c>
      <c r="T99" t="s">
        <v>1131</v>
      </c>
      <c r="U99" t="s">
        <v>1338</v>
      </c>
      <c r="V99" s="407" t="s">
        <v>1333</v>
      </c>
    </row>
    <row r="100" spans="1:22">
      <c r="A100" s="370">
        <v>1321</v>
      </c>
      <c r="B100" s="134">
        <v>19</v>
      </c>
      <c r="C100">
        <v>1.52</v>
      </c>
      <c r="D100">
        <v>7.07</v>
      </c>
      <c r="E100">
        <v>24.33</v>
      </c>
      <c r="F100" s="19" t="s">
        <v>1320</v>
      </c>
      <c r="G100">
        <v>56</v>
      </c>
      <c r="H100">
        <v>72</v>
      </c>
      <c r="I100" s="217">
        <v>41458</v>
      </c>
      <c r="J100" t="s">
        <v>130</v>
      </c>
      <c r="K100">
        <v>33.340000000000003</v>
      </c>
      <c r="L100">
        <v>0.44400000000000001</v>
      </c>
      <c r="M100" s="13">
        <v>334</v>
      </c>
      <c r="Q100" s="4" t="str">
        <f>HYPERLINK("\\hopi-fs\shares\users\dhar\Stalk mount testing\Type 1e Quality Assurance\CRYO-ME-1Q13-01-63  1E","FOLDER")</f>
        <v>FOLDER</v>
      </c>
      <c r="T100" t="s">
        <v>1131</v>
      </c>
      <c r="U100" t="s">
        <v>1338</v>
      </c>
      <c r="V100" s="407" t="s">
        <v>1334</v>
      </c>
    </row>
    <row r="101" spans="1:22">
      <c r="A101" s="370">
        <v>1322</v>
      </c>
      <c r="B101" s="134">
        <v>18</v>
      </c>
      <c r="C101">
        <v>1.47</v>
      </c>
      <c r="D101">
        <v>7.04</v>
      </c>
      <c r="E101">
        <v>24.42</v>
      </c>
      <c r="F101" s="19" t="s">
        <v>1321</v>
      </c>
      <c r="G101">
        <v>56</v>
      </c>
      <c r="H101">
        <v>72</v>
      </c>
      <c r="I101" s="217">
        <v>41458</v>
      </c>
      <c r="J101" t="s">
        <v>130</v>
      </c>
      <c r="K101">
        <v>33.35</v>
      </c>
      <c r="L101">
        <v>0.49</v>
      </c>
      <c r="M101" s="13">
        <v>344</v>
      </c>
      <c r="Q101" s="4" t="str">
        <f>HYPERLINK("\\hopi-fs\shares\users\dhar\Stalk mount testing\Type 1e Quality Assurance\CRYO-ME-1Q13-01-64  1E","FOLDER")</f>
        <v>FOLDER</v>
      </c>
      <c r="T101" t="s">
        <v>1131</v>
      </c>
      <c r="U101" t="s">
        <v>1338</v>
      </c>
      <c r="V101" s="407" t="s">
        <v>1445</v>
      </c>
    </row>
    <row r="102" spans="1:22" ht="40.5" customHeight="1">
      <c r="A102" s="368">
        <v>1328</v>
      </c>
      <c r="B102" s="136">
        <v>17</v>
      </c>
      <c r="C102">
        <v>1.53</v>
      </c>
      <c r="D102">
        <v>7.11</v>
      </c>
      <c r="E102">
        <v>24.46</v>
      </c>
      <c r="F102" s="249" t="s">
        <v>1322</v>
      </c>
      <c r="G102">
        <v>54</v>
      </c>
      <c r="H102">
        <v>73</v>
      </c>
      <c r="I102" s="217">
        <v>41466</v>
      </c>
      <c r="J102" t="s">
        <v>130</v>
      </c>
      <c r="K102">
        <v>33.54</v>
      </c>
      <c r="L102">
        <v>0.52500000000000002</v>
      </c>
      <c r="M102" s="13">
        <v>381</v>
      </c>
      <c r="Q102" s="4" t="str">
        <f>HYPERLINK("\\Hopi-fs\shares\users\dhar\Stalk mount testing\Type 1e Quality Assurance\CRYO-2074-2246  1328 1E","folder")</f>
        <v>folder</v>
      </c>
      <c r="T102" t="s">
        <v>1131</v>
      </c>
      <c r="U102" t="s">
        <v>3873</v>
      </c>
    </row>
    <row r="103" spans="1:22">
      <c r="A103" s="368">
        <v>1329</v>
      </c>
      <c r="B103" s="136">
        <v>17.399999999999999</v>
      </c>
      <c r="C103">
        <v>1.53</v>
      </c>
      <c r="D103">
        <v>7.09</v>
      </c>
      <c r="E103">
        <v>24.53</v>
      </c>
      <c r="F103" s="233" t="s">
        <v>1323</v>
      </c>
      <c r="G103">
        <v>54</v>
      </c>
      <c r="H103">
        <v>73</v>
      </c>
      <c r="I103" s="217">
        <v>41466</v>
      </c>
      <c r="J103" t="s">
        <v>130</v>
      </c>
      <c r="K103">
        <v>33.58</v>
      </c>
      <c r="L103">
        <v>0.40200000000000002</v>
      </c>
      <c r="M103" s="13">
        <v>380</v>
      </c>
      <c r="Q103" s="4" t="str">
        <f>HYPERLINK("\\Hopi-fs\shares\users\dhar\Stalk mount testing\Type 1e Quality Assurance\CRYO-2072-2247  1329 1E","folder")</f>
        <v>folder</v>
      </c>
      <c r="T103" t="s">
        <v>1131</v>
      </c>
      <c r="U103" t="s">
        <v>3873</v>
      </c>
    </row>
    <row r="104" spans="1:22">
      <c r="A104" s="368">
        <v>1330</v>
      </c>
      <c r="B104" s="136">
        <v>18</v>
      </c>
      <c r="C104">
        <v>1.51</v>
      </c>
      <c r="D104">
        <v>7.15</v>
      </c>
      <c r="E104">
        <v>24.43</v>
      </c>
      <c r="F104" s="249" t="s">
        <v>1324</v>
      </c>
      <c r="G104">
        <v>54</v>
      </c>
      <c r="H104">
        <v>73</v>
      </c>
      <c r="I104" s="217">
        <v>41466</v>
      </c>
      <c r="J104" t="s">
        <v>130</v>
      </c>
      <c r="K104">
        <v>33.54</v>
      </c>
      <c r="L104">
        <v>0.32900000000000001</v>
      </c>
      <c r="M104" s="13">
        <v>408</v>
      </c>
      <c r="Q104" s="4" t="str">
        <f>HYPERLINK("\\Hopi-fs\shares\users\dhar\Stalk mount testing\Type 1e Quality Assurance\CRYO-2074-2248  1330 1E","folder")</f>
        <v>folder</v>
      </c>
      <c r="T104" t="s">
        <v>1131</v>
      </c>
      <c r="U104" t="s">
        <v>3873</v>
      </c>
    </row>
    <row r="105" spans="1:22">
      <c r="A105" s="368">
        <v>1323</v>
      </c>
      <c r="B105" s="134">
        <v>19</v>
      </c>
      <c r="C105">
        <v>1.51</v>
      </c>
      <c r="D105">
        <v>7.13</v>
      </c>
      <c r="E105">
        <v>24.35</v>
      </c>
      <c r="F105" s="250" t="s">
        <v>1325</v>
      </c>
      <c r="G105">
        <v>61</v>
      </c>
      <c r="H105">
        <v>70</v>
      </c>
      <c r="I105" s="217">
        <v>41472</v>
      </c>
      <c r="J105" t="s">
        <v>130</v>
      </c>
      <c r="K105">
        <v>33.409999999999997</v>
      </c>
      <c r="L105">
        <v>0.58199999999999996</v>
      </c>
      <c r="M105">
        <v>421</v>
      </c>
      <c r="P105" t="s">
        <v>1340</v>
      </c>
      <c r="Q105" s="4" t="str">
        <f>HYPERLINK("\\Hopi-fs\shares\users\dhar\Stalk mount testing\Type 1e Quality Assurance\CRYO-2073-2250  1323 1E","folder")</f>
        <v>folder</v>
      </c>
      <c r="T105" t="s">
        <v>1131</v>
      </c>
      <c r="U105" t="s">
        <v>1335</v>
      </c>
    </row>
    <row r="106" spans="1:22">
      <c r="A106" s="368">
        <v>1326</v>
      </c>
      <c r="B106" s="134">
        <v>16.600000000000001</v>
      </c>
      <c r="C106">
        <v>1.53</v>
      </c>
      <c r="D106">
        <v>7.12</v>
      </c>
      <c r="E106">
        <v>24.41</v>
      </c>
      <c r="F106" s="233" t="s">
        <v>1326</v>
      </c>
      <c r="G106">
        <v>61</v>
      </c>
      <c r="H106">
        <v>70</v>
      </c>
      <c r="I106" s="217">
        <v>41472</v>
      </c>
      <c r="J106" t="s">
        <v>130</v>
      </c>
      <c r="K106">
        <v>33.5</v>
      </c>
      <c r="L106">
        <v>0.52800000000000002</v>
      </c>
      <c r="M106">
        <v>358</v>
      </c>
      <c r="Q106" s="4" t="str">
        <f>HYPERLINK("\\Hopi-fs\shares\users\dhar\Stalk mount testing\Type 1e Quality Assurance\CRYO-2074-2251  1326 1E","folder")</f>
        <v>folder</v>
      </c>
      <c r="T106" t="s">
        <v>1131</v>
      </c>
      <c r="U106" t="s">
        <v>1335</v>
      </c>
      <c r="V106" s="407" t="s">
        <v>1341</v>
      </c>
    </row>
    <row r="107" spans="1:22">
      <c r="A107" s="368">
        <v>1331</v>
      </c>
      <c r="B107" s="134">
        <v>16</v>
      </c>
      <c r="C107">
        <v>1.5</v>
      </c>
      <c r="D107">
        <v>7.17</v>
      </c>
      <c r="E107">
        <v>24.42</v>
      </c>
      <c r="F107" s="233" t="s">
        <v>1327</v>
      </c>
      <c r="G107">
        <v>61</v>
      </c>
      <c r="H107">
        <v>70</v>
      </c>
      <c r="I107" s="217">
        <v>41472</v>
      </c>
      <c r="J107" t="s">
        <v>130</v>
      </c>
      <c r="K107">
        <v>33.53</v>
      </c>
      <c r="L107">
        <v>0.42399999999999999</v>
      </c>
      <c r="M107">
        <v>356</v>
      </c>
      <c r="Q107" s="4" t="str">
        <f>HYPERLINK("\\Hopi-fs\shares\users\dhar\Stalk mount testing\Type 1e Quality Assurance\CRYO-2073-2253  1331 1E","folder")</f>
        <v>folder</v>
      </c>
      <c r="T107" t="s">
        <v>1131</v>
      </c>
      <c r="U107" t="s">
        <v>1335</v>
      </c>
      <c r="V107" s="407" t="s">
        <v>1341</v>
      </c>
    </row>
    <row r="108" spans="1:22">
      <c r="A108" s="368">
        <v>1332</v>
      </c>
      <c r="B108" s="134">
        <v>18.8</v>
      </c>
      <c r="C108">
        <v>1.48</v>
      </c>
      <c r="D108">
        <v>7.13</v>
      </c>
      <c r="E108">
        <v>24.32</v>
      </c>
      <c r="F108" s="233" t="s">
        <v>1328</v>
      </c>
      <c r="G108">
        <v>61</v>
      </c>
      <c r="H108">
        <v>70</v>
      </c>
      <c r="I108" s="217">
        <v>41472</v>
      </c>
      <c r="J108" t="s">
        <v>130</v>
      </c>
      <c r="K108">
        <v>33.380000000000003</v>
      </c>
      <c r="L108">
        <v>0.43099999999999999</v>
      </c>
      <c r="M108">
        <v>413</v>
      </c>
      <c r="P108" t="s">
        <v>1342</v>
      </c>
      <c r="Q108" s="4" t="str">
        <f>HYPERLINK("\\Hopi-fs\shares\users\dhar\Stalk mount testing\Type 1e Quality Assurance\CRYO-2074-2254  1332 1E","folder")</f>
        <v>folder</v>
      </c>
      <c r="T108" t="s">
        <v>1131</v>
      </c>
      <c r="U108" t="s">
        <v>1335</v>
      </c>
      <c r="V108" s="407" t="s">
        <v>1341</v>
      </c>
    </row>
    <row r="109" spans="1:22">
      <c r="A109" s="368">
        <v>1334</v>
      </c>
      <c r="B109" s="134">
        <v>18</v>
      </c>
      <c r="C109">
        <v>1.53</v>
      </c>
      <c r="D109">
        <v>7.13</v>
      </c>
      <c r="E109">
        <v>24.34</v>
      </c>
      <c r="F109" s="249" t="s">
        <v>1329</v>
      </c>
      <c r="G109">
        <v>61</v>
      </c>
      <c r="H109">
        <v>70</v>
      </c>
      <c r="I109" s="217">
        <v>41472</v>
      </c>
      <c r="J109" t="s">
        <v>130</v>
      </c>
      <c r="K109">
        <v>33.44</v>
      </c>
      <c r="L109">
        <v>6.9000000000000006E-2</v>
      </c>
      <c r="M109">
        <v>431</v>
      </c>
      <c r="Q109" s="4" t="str">
        <f>HYPERLINK("\\Hopi-fs\shares\users\dhar\Stalk mount testing\Type 1e Quality Assurance\CRYO-2074-2256  1334 1E","folder")</f>
        <v>folder</v>
      </c>
      <c r="T109" t="s">
        <v>1131</v>
      </c>
      <c r="U109" t="s">
        <v>1337</v>
      </c>
      <c r="V109" s="407" t="s">
        <v>1341</v>
      </c>
    </row>
    <row r="110" spans="1:22">
      <c r="A110" s="368">
        <v>1335</v>
      </c>
      <c r="B110" s="134">
        <v>19</v>
      </c>
      <c r="C110">
        <v>1.54</v>
      </c>
      <c r="D110">
        <v>7.12</v>
      </c>
      <c r="E110">
        <v>24.42</v>
      </c>
      <c r="F110" s="249" t="s">
        <v>1330</v>
      </c>
      <c r="G110">
        <v>61</v>
      </c>
      <c r="H110">
        <v>70</v>
      </c>
      <c r="I110" s="217">
        <v>41472</v>
      </c>
      <c r="J110" t="s">
        <v>130</v>
      </c>
      <c r="K110">
        <v>33.53</v>
      </c>
      <c r="L110">
        <v>0.217</v>
      </c>
      <c r="M110">
        <v>449</v>
      </c>
      <c r="Q110" s="4" t="str">
        <f>HYPERLINK("\\Hopi-fs\shares\users\dhar\Stalk mount testing\Type 1e Quality Assurance\CRYO-2074-2257  1335 1E","folder")</f>
        <v>folder</v>
      </c>
      <c r="T110" t="s">
        <v>1131</v>
      </c>
      <c r="U110" t="s">
        <v>1337</v>
      </c>
      <c r="V110" s="407" t="s">
        <v>1341</v>
      </c>
    </row>
    <row r="111" spans="1:22">
      <c r="A111" s="368">
        <v>1340</v>
      </c>
      <c r="B111" s="134">
        <v>18.8</v>
      </c>
      <c r="C111">
        <v>1.52</v>
      </c>
      <c r="D111">
        <v>7.13</v>
      </c>
      <c r="E111">
        <v>24.45</v>
      </c>
      <c r="F111" s="249" t="s">
        <v>1331</v>
      </c>
      <c r="G111">
        <v>61</v>
      </c>
      <c r="H111">
        <v>70</v>
      </c>
      <c r="I111" s="217">
        <v>41472</v>
      </c>
      <c r="J111" t="s">
        <v>130</v>
      </c>
      <c r="K111">
        <v>33.53</v>
      </c>
      <c r="L111">
        <v>0.36199999999999999</v>
      </c>
      <c r="M111">
        <v>451</v>
      </c>
      <c r="Q111" s="4" t="str">
        <f>HYPERLINK("\\Hopi-fs\shares\users\dhar\Stalk mount testing\Type 1e Quality Assurance\CRYO-2075-2258  1340 1E","folder")</f>
        <v>folder</v>
      </c>
      <c r="T111" t="s">
        <v>1131</v>
      </c>
      <c r="U111" t="s">
        <v>1337</v>
      </c>
      <c r="V111" s="407" t="s">
        <v>1341</v>
      </c>
    </row>
    <row r="112" spans="1:22" ht="43.5" customHeight="1">
      <c r="A112" s="136">
        <v>1343</v>
      </c>
      <c r="B112" s="134">
        <v>18</v>
      </c>
      <c r="C112">
        <v>1.53</v>
      </c>
      <c r="D112">
        <v>7.18</v>
      </c>
      <c r="E112">
        <v>24.42</v>
      </c>
      <c r="F112" s="249" t="s">
        <v>1348</v>
      </c>
      <c r="G112">
        <v>51</v>
      </c>
      <c r="H112">
        <v>73</v>
      </c>
      <c r="I112" s="217">
        <v>41500</v>
      </c>
      <c r="J112" t="s">
        <v>130</v>
      </c>
      <c r="K112">
        <v>33.53</v>
      </c>
      <c r="L112">
        <v>8.5000000000000006E-2</v>
      </c>
      <c r="M112">
        <v>408</v>
      </c>
      <c r="Q112" s="4" t="str">
        <f>HYPERLINK("\\Hopi-fs\shares\users\dhar\Stalk mount testing\Type 1e Quality Assurance\CRYO-2072-2286  1343 1E","folder")</f>
        <v>folder</v>
      </c>
      <c r="T112" t="s">
        <v>1131</v>
      </c>
      <c r="U112" t="s">
        <v>533</v>
      </c>
      <c r="V112" s="407" t="s">
        <v>1353</v>
      </c>
    </row>
    <row r="113" spans="1:22">
      <c r="A113" s="136">
        <v>1344</v>
      </c>
      <c r="B113" s="134">
        <v>18</v>
      </c>
      <c r="C113">
        <v>1.5</v>
      </c>
      <c r="D113">
        <v>7.18</v>
      </c>
      <c r="E113">
        <v>24.42</v>
      </c>
      <c r="F113" s="249" t="s">
        <v>1343</v>
      </c>
      <c r="G113">
        <v>60</v>
      </c>
      <c r="H113">
        <v>69</v>
      </c>
      <c r="I113" s="217">
        <v>41498</v>
      </c>
      <c r="J113" t="s">
        <v>130</v>
      </c>
      <c r="K113">
        <v>33.549999999999997</v>
      </c>
      <c r="L113">
        <v>0.41499999999999998</v>
      </c>
      <c r="M113">
        <v>416</v>
      </c>
      <c r="Q113" s="4" t="str">
        <f>HYPERLINK("\\Hopi-fs\shares\users\dhar\Stalk mount testing\Type 1e Quality Assurance\CRYO-2071-2277  1344 1E","folder")</f>
        <v>folder</v>
      </c>
      <c r="T113" t="s">
        <v>1131</v>
      </c>
      <c r="U113" t="s">
        <v>533</v>
      </c>
      <c r="V113" s="407" t="s">
        <v>1353</v>
      </c>
    </row>
    <row r="114" spans="1:22">
      <c r="A114" s="371">
        <v>1345</v>
      </c>
      <c r="B114" s="134">
        <v>18</v>
      </c>
      <c r="C114">
        <v>1.52</v>
      </c>
      <c r="D114">
        <v>7.12</v>
      </c>
      <c r="E114">
        <v>24.49</v>
      </c>
      <c r="F114" s="249" t="s">
        <v>1344</v>
      </c>
      <c r="G114">
        <v>60</v>
      </c>
      <c r="H114">
        <v>69</v>
      </c>
      <c r="I114" s="217">
        <v>41499</v>
      </c>
      <c r="J114" t="s">
        <v>130</v>
      </c>
      <c r="K114">
        <v>33.57</v>
      </c>
      <c r="L114">
        <v>0.33800000000000002</v>
      </c>
      <c r="M114">
        <v>436</v>
      </c>
      <c r="Q114" s="4" t="str">
        <f>HYPERLINK("\\Hopi-fs\shares\users\dhar\Stalk mount testing\Type 1e Quality Assurance\CRYO-2072-2285  1345 1E","folder")</f>
        <v>folder</v>
      </c>
      <c r="T114" t="s">
        <v>1131</v>
      </c>
      <c r="U114" t="s">
        <v>533</v>
      </c>
      <c r="V114" s="407" t="s">
        <v>1353</v>
      </c>
    </row>
    <row r="115" spans="1:22">
      <c r="A115" s="136">
        <v>1346</v>
      </c>
      <c r="B115" s="134">
        <v>18</v>
      </c>
      <c r="C115">
        <v>1.5</v>
      </c>
      <c r="D115">
        <v>7.04</v>
      </c>
      <c r="E115">
        <v>24.41</v>
      </c>
      <c r="F115" s="249" t="s">
        <v>1345</v>
      </c>
      <c r="G115">
        <v>60</v>
      </c>
      <c r="H115">
        <v>69</v>
      </c>
      <c r="I115" s="217">
        <v>41498</v>
      </c>
      <c r="J115" t="s">
        <v>130</v>
      </c>
      <c r="K115">
        <v>33.39</v>
      </c>
      <c r="L115">
        <v>0.27700000000000002</v>
      </c>
      <c r="M115">
        <v>416</v>
      </c>
      <c r="Q115" s="4" t="str">
        <f>HYPERLINK("\\Hopi-fs\shares\users\dhar\Stalk mount testing\Type 1e Quality Assurance\CRYO-2071-2279  1346 1E","folder")</f>
        <v>folder</v>
      </c>
      <c r="T115" t="s">
        <v>1131</v>
      </c>
      <c r="U115" t="s">
        <v>533</v>
      </c>
      <c r="V115" s="407" t="s">
        <v>1353</v>
      </c>
    </row>
    <row r="116" spans="1:22">
      <c r="A116" s="136">
        <v>1348</v>
      </c>
      <c r="B116" s="134">
        <v>18</v>
      </c>
      <c r="C116">
        <v>1.54</v>
      </c>
      <c r="D116">
        <v>7.05</v>
      </c>
      <c r="E116">
        <v>24.46</v>
      </c>
      <c r="F116" s="249" t="s">
        <v>1346</v>
      </c>
      <c r="G116">
        <v>60</v>
      </c>
      <c r="H116">
        <v>69</v>
      </c>
      <c r="I116" s="217">
        <v>41498</v>
      </c>
      <c r="J116" t="s">
        <v>130</v>
      </c>
      <c r="K116">
        <v>33.5</v>
      </c>
      <c r="L116">
        <v>0.31900000000000001</v>
      </c>
      <c r="M116">
        <v>420</v>
      </c>
      <c r="Q116" s="4" t="str">
        <f>HYPERLINK("\\Hopi-fs\shares\users\dhar\Stalk mount testing\Type 1e Quality Assurance\CRYO-2072-2282  1348 1E","folder")</f>
        <v>folder</v>
      </c>
      <c r="T116" t="s">
        <v>1131</v>
      </c>
      <c r="U116" t="s">
        <v>533</v>
      </c>
      <c r="V116" s="407" t="s">
        <v>1353</v>
      </c>
    </row>
    <row r="117" spans="1:22">
      <c r="A117" s="136">
        <v>1350</v>
      </c>
      <c r="B117" s="134">
        <v>17</v>
      </c>
      <c r="C117">
        <v>1.5</v>
      </c>
      <c r="D117">
        <v>7.09</v>
      </c>
      <c r="E117">
        <v>24.41</v>
      </c>
      <c r="F117" s="250" t="s">
        <v>1349</v>
      </c>
      <c r="G117">
        <v>49</v>
      </c>
      <c r="H117">
        <v>73</v>
      </c>
      <c r="I117" s="217">
        <v>41501</v>
      </c>
      <c r="J117" t="s">
        <v>130</v>
      </c>
      <c r="K117">
        <v>33.44</v>
      </c>
      <c r="L117">
        <v>0.57099999999999995</v>
      </c>
      <c r="P117" t="s">
        <v>1350</v>
      </c>
      <c r="Q117" s="4" t="str">
        <f>HYPERLINK("\\Hopi-fs\shares\users\dhar\Stalk mount testing\Type 1e Quality Assurance\CRYO-2074-2289  1350 1E","folder")</f>
        <v>folder</v>
      </c>
      <c r="T117" t="s">
        <v>1131</v>
      </c>
      <c r="U117" t="s">
        <v>533</v>
      </c>
    </row>
    <row r="118" spans="1:22">
      <c r="A118" s="136">
        <v>1353</v>
      </c>
      <c r="B118" s="134">
        <v>17</v>
      </c>
      <c r="C118">
        <v>1.52</v>
      </c>
      <c r="D118">
        <v>7.16</v>
      </c>
      <c r="E118">
        <v>24.4</v>
      </c>
      <c r="F118" s="249" t="s">
        <v>1347</v>
      </c>
      <c r="G118">
        <v>60</v>
      </c>
      <c r="H118">
        <v>69</v>
      </c>
      <c r="I118" s="217">
        <v>41499</v>
      </c>
      <c r="J118" t="s">
        <v>130</v>
      </c>
      <c r="K118">
        <v>33.53</v>
      </c>
      <c r="L118">
        <v>0.3</v>
      </c>
      <c r="M118">
        <v>381</v>
      </c>
      <c r="Q118" s="4" t="str">
        <f>HYPERLINK("\\Hopi-fs\shares\users\dhar\Stalk mount testing\Type 1e Quality Assurance\CRYO-2071-2284  1353 1E","folder")</f>
        <v>folder</v>
      </c>
      <c r="T118" t="s">
        <v>1131</v>
      </c>
      <c r="U118" t="s">
        <v>533</v>
      </c>
      <c r="V118" s="407" t="s">
        <v>1353</v>
      </c>
    </row>
    <row r="119" spans="1:22" ht="48.75" customHeight="1">
      <c r="A119" s="368">
        <v>1355</v>
      </c>
      <c r="B119" s="134">
        <v>17</v>
      </c>
      <c r="C119">
        <v>1.56</v>
      </c>
      <c r="D119">
        <v>7.13</v>
      </c>
      <c r="E119">
        <v>24.4</v>
      </c>
      <c r="F119" s="233" t="s">
        <v>1359</v>
      </c>
      <c r="G119">
        <v>53</v>
      </c>
      <c r="H119">
        <v>72</v>
      </c>
      <c r="I119" s="217">
        <v>41522</v>
      </c>
      <c r="J119" t="s">
        <v>130</v>
      </c>
      <c r="K119">
        <v>33.54</v>
      </c>
      <c r="L119">
        <v>0.38400000000000001</v>
      </c>
      <c r="M119">
        <v>379</v>
      </c>
      <c r="P119" t="s">
        <v>1366</v>
      </c>
      <c r="Q119" s="4" t="str">
        <f>HYPERLINK("\\Hopi-fs\shares\users\dhar\Stalk mount testing\Type 1e Quality Assurance\CRYO-2074-2260  1355 1E","folder")</f>
        <v>folder</v>
      </c>
      <c r="T119" t="s">
        <v>1131</v>
      </c>
      <c r="U119" t="s">
        <v>1431</v>
      </c>
      <c r="V119" s="407" t="s">
        <v>1430</v>
      </c>
    </row>
    <row r="120" spans="1:22">
      <c r="A120" s="368">
        <v>1356</v>
      </c>
      <c r="B120" s="134">
        <v>17</v>
      </c>
      <c r="C120">
        <v>1.51</v>
      </c>
      <c r="D120">
        <v>7.18</v>
      </c>
      <c r="E120">
        <v>24.42</v>
      </c>
      <c r="F120" s="233" t="s">
        <v>1360</v>
      </c>
      <c r="G120">
        <v>53</v>
      </c>
      <c r="H120">
        <v>72</v>
      </c>
      <c r="I120" s="217">
        <v>41522</v>
      </c>
      <c r="J120" t="s">
        <v>130</v>
      </c>
      <c r="K120">
        <v>33.57</v>
      </c>
      <c r="L120">
        <v>0.78200000000000003</v>
      </c>
      <c r="M120">
        <v>395</v>
      </c>
      <c r="P120" t="s">
        <v>1437</v>
      </c>
      <c r="Q120" s="4" t="str">
        <f>HYPERLINK("\\Hopi-fs\shares\users\dhar\Stalk mount testing\Type 1e Quality Assurance\CRYO-2075 2290  1356 1E","folder")</f>
        <v>folder</v>
      </c>
      <c r="T120" t="s">
        <v>1131</v>
      </c>
      <c r="U120" t="s">
        <v>1432</v>
      </c>
      <c r="V120" s="407" t="s">
        <v>1430</v>
      </c>
    </row>
    <row r="121" spans="1:22">
      <c r="A121" s="368">
        <v>1358</v>
      </c>
      <c r="B121" s="134">
        <v>16.2</v>
      </c>
      <c r="C121">
        <v>1.52</v>
      </c>
      <c r="D121">
        <v>7.04</v>
      </c>
      <c r="E121">
        <v>24.45</v>
      </c>
      <c r="F121" s="233" t="s">
        <v>1429</v>
      </c>
      <c r="G121">
        <v>53</v>
      </c>
      <c r="H121">
        <v>72</v>
      </c>
      <c r="I121" s="217">
        <v>41522</v>
      </c>
      <c r="J121" t="s">
        <v>130</v>
      </c>
      <c r="K121">
        <v>33.46</v>
      </c>
      <c r="L121">
        <v>0.39500000000000002</v>
      </c>
      <c r="M121">
        <v>374</v>
      </c>
      <c r="P121" t="s">
        <v>1437</v>
      </c>
      <c r="Q121" s="4" t="str">
        <f>HYPERLINK("\\Hopi-fs\shares\users\dhar\Stalk mount testing\Type 1e Quality Assurance\CRYO-2074-2291  1358 1E","folder")</f>
        <v>folder</v>
      </c>
      <c r="T121" t="s">
        <v>1131</v>
      </c>
      <c r="U121" t="s">
        <v>1433</v>
      </c>
      <c r="V121" s="407" t="s">
        <v>1430</v>
      </c>
    </row>
    <row r="122" spans="1:22">
      <c r="A122" s="136">
        <v>1359</v>
      </c>
      <c r="B122" s="134">
        <v>19</v>
      </c>
      <c r="C122">
        <v>1.5</v>
      </c>
      <c r="D122">
        <v>7.14</v>
      </c>
      <c r="E122">
        <v>24.42</v>
      </c>
      <c r="F122" s="233" t="s">
        <v>1362</v>
      </c>
      <c r="G122">
        <v>69</v>
      </c>
      <c r="H122">
        <v>72</v>
      </c>
      <c r="I122" s="217">
        <v>41527</v>
      </c>
      <c r="J122" t="s">
        <v>130</v>
      </c>
      <c r="K122">
        <v>33.51</v>
      </c>
      <c r="L122">
        <v>0.36</v>
      </c>
      <c r="M122">
        <v>365</v>
      </c>
      <c r="Q122" s="4" t="str">
        <f>HYPERLINK("\\hopi-fs\shares\users\dhar\Stalk mount testing\Type 1e Quality Assurance\CRYO-2084-2149  1359 1E","folder")</f>
        <v>folder</v>
      </c>
      <c r="T122" t="s">
        <v>1131</v>
      </c>
      <c r="U122" t="s">
        <v>533</v>
      </c>
      <c r="V122" s="407" t="s">
        <v>1379</v>
      </c>
    </row>
    <row r="123" spans="1:22">
      <c r="A123" s="136">
        <v>1360</v>
      </c>
      <c r="B123" s="134">
        <v>17.399999999999999</v>
      </c>
      <c r="C123">
        <v>1.52</v>
      </c>
      <c r="D123">
        <v>7.18</v>
      </c>
      <c r="E123">
        <v>24.36</v>
      </c>
      <c r="F123" s="233" t="s">
        <v>1363</v>
      </c>
      <c r="G123">
        <v>69</v>
      </c>
      <c r="H123">
        <v>72</v>
      </c>
      <c r="I123" s="217">
        <v>41528</v>
      </c>
      <c r="J123" t="s">
        <v>130</v>
      </c>
      <c r="K123">
        <v>33.5</v>
      </c>
      <c r="L123">
        <v>0.50700000000000001</v>
      </c>
      <c r="M123">
        <v>391</v>
      </c>
      <c r="Q123" s="4" t="str">
        <f>HYPERLINK("\\hopi-fs\shares\users\dhar\Stalk mount testing\Type 1e Quality Assurance\CRYO-2082-2088  1360 1E","folder")</f>
        <v>folder</v>
      </c>
      <c r="T123" t="s">
        <v>1131</v>
      </c>
      <c r="U123" t="s">
        <v>533</v>
      </c>
      <c r="V123" s="407" t="s">
        <v>1379</v>
      </c>
    </row>
    <row r="124" spans="1:22">
      <c r="A124" s="136">
        <v>1361</v>
      </c>
      <c r="B124" s="134">
        <v>17.600000000000001</v>
      </c>
      <c r="C124">
        <v>1.52</v>
      </c>
      <c r="D124">
        <v>7.18</v>
      </c>
      <c r="E124">
        <v>24.45</v>
      </c>
      <c r="F124" s="233" t="s">
        <v>1364</v>
      </c>
      <c r="G124">
        <v>69</v>
      </c>
      <c r="H124">
        <v>72</v>
      </c>
      <c r="I124" s="217">
        <v>41528</v>
      </c>
      <c r="J124" t="s">
        <v>130</v>
      </c>
      <c r="K124">
        <v>33.58</v>
      </c>
      <c r="L124">
        <v>0.38200000000000001</v>
      </c>
      <c r="M124">
        <v>375</v>
      </c>
      <c r="Q124" s="4" t="str">
        <f>HYPERLINK("\\hopi-fs\shares\users\dhar\Stalk mount testing\Type 1e Quality Assurance\CRYO-2083-2085  1361 1E","folder")</f>
        <v>folder</v>
      </c>
      <c r="T124" t="s">
        <v>1131</v>
      </c>
      <c r="U124" t="s">
        <v>533</v>
      </c>
      <c r="V124" s="407" t="s">
        <v>1379</v>
      </c>
    </row>
    <row r="125" spans="1:22">
      <c r="A125" s="136">
        <v>1362</v>
      </c>
      <c r="B125" s="134">
        <v>17.600000000000001</v>
      </c>
      <c r="C125">
        <v>1.53</v>
      </c>
      <c r="D125">
        <v>7.17</v>
      </c>
      <c r="E125">
        <v>24.41</v>
      </c>
      <c r="F125" s="233" t="s">
        <v>1365</v>
      </c>
      <c r="G125">
        <v>69</v>
      </c>
      <c r="H125">
        <v>72</v>
      </c>
      <c r="I125" s="217">
        <v>41528</v>
      </c>
      <c r="J125" t="s">
        <v>130</v>
      </c>
      <c r="K125">
        <v>33.57</v>
      </c>
      <c r="L125">
        <v>0.49</v>
      </c>
      <c r="M125">
        <v>356</v>
      </c>
      <c r="Q125" s="4" t="str">
        <f>HYPERLINK("\\hopi-fs\shares\users\dhar\Stalk mount testing\Type 1e Quality Assurance\CRYO-2085-2096  1362 1E","folder")</f>
        <v>folder</v>
      </c>
      <c r="T125" t="s">
        <v>1131</v>
      </c>
      <c r="U125" t="s">
        <v>533</v>
      </c>
      <c r="V125" s="407" t="s">
        <v>1379</v>
      </c>
    </row>
    <row r="126" spans="1:22">
      <c r="A126" s="136">
        <v>1363</v>
      </c>
      <c r="B126" s="134">
        <v>18.2</v>
      </c>
      <c r="C126">
        <v>1.52</v>
      </c>
      <c r="D126">
        <v>7.17</v>
      </c>
      <c r="E126">
        <v>24.33</v>
      </c>
      <c r="F126" s="233" t="s">
        <v>1367</v>
      </c>
      <c r="G126">
        <v>37</v>
      </c>
      <c r="H126">
        <v>72</v>
      </c>
      <c r="I126" s="217">
        <v>41535</v>
      </c>
      <c r="J126" t="s">
        <v>130</v>
      </c>
      <c r="K126">
        <v>33.46</v>
      </c>
      <c r="L126">
        <v>0.72799999999999998</v>
      </c>
      <c r="M126">
        <v>394</v>
      </c>
      <c r="Q126" s="4" t="str">
        <f>HYPERLINK("\\Hopi-fs\shares\users\dhar\Stalk mount testing\Type 1e Quality Assurance\CRYO-2085-2082  1363 1E","folder")</f>
        <v>folder</v>
      </c>
      <c r="T126" t="s">
        <v>1131</v>
      </c>
      <c r="U126" t="s">
        <v>533</v>
      </c>
      <c r="V126" s="407" t="s">
        <v>1379</v>
      </c>
    </row>
    <row r="127" spans="1:22">
      <c r="A127" s="136">
        <v>1364</v>
      </c>
      <c r="B127" s="134">
        <v>17.8</v>
      </c>
      <c r="C127">
        <v>1.5</v>
      </c>
      <c r="D127">
        <v>7.07</v>
      </c>
      <c r="E127">
        <v>24.42</v>
      </c>
      <c r="F127" s="19" t="s">
        <v>1368</v>
      </c>
      <c r="G127">
        <v>37</v>
      </c>
      <c r="H127">
        <v>72</v>
      </c>
      <c r="I127" s="217">
        <v>41535</v>
      </c>
      <c r="J127" t="s">
        <v>130</v>
      </c>
      <c r="K127">
        <v>33.43</v>
      </c>
      <c r="L127">
        <v>0.28499999999999998</v>
      </c>
      <c r="M127">
        <v>409</v>
      </c>
      <c r="Q127" s="4" t="str">
        <f>HYPERLINK("\\Hopi-fs\shares\users\dhar\Stalk mount testing\Type 1e Quality Assurance\CRYO-2083-2083  1364 1E","folder")</f>
        <v>folder</v>
      </c>
      <c r="T127" t="s">
        <v>1131</v>
      </c>
      <c r="U127" t="s">
        <v>533</v>
      </c>
    </row>
    <row r="128" spans="1:22" ht="34.5" customHeight="1">
      <c r="A128" s="136">
        <v>1366</v>
      </c>
      <c r="B128" s="134">
        <v>18</v>
      </c>
      <c r="C128">
        <v>1.51</v>
      </c>
      <c r="D128">
        <v>7.12</v>
      </c>
      <c r="F128" s="263" t="s">
        <v>1391</v>
      </c>
      <c r="J128" t="s">
        <v>130</v>
      </c>
      <c r="T128" t="s">
        <v>1131</v>
      </c>
      <c r="U128" t="s">
        <v>533</v>
      </c>
    </row>
    <row r="129" spans="1:22">
      <c r="A129" s="136">
        <v>1367</v>
      </c>
      <c r="B129" s="134">
        <v>17</v>
      </c>
      <c r="C129">
        <v>1.53</v>
      </c>
      <c r="D129">
        <v>7.13</v>
      </c>
      <c r="E129">
        <v>24.48</v>
      </c>
      <c r="F129" s="249" t="s">
        <v>1389</v>
      </c>
      <c r="G129">
        <v>39</v>
      </c>
      <c r="H129">
        <v>73</v>
      </c>
      <c r="I129" s="217">
        <v>41550</v>
      </c>
      <c r="J129" t="s">
        <v>130</v>
      </c>
      <c r="K129">
        <v>33.590000000000003</v>
      </c>
      <c r="L129">
        <v>0.42299999999999999</v>
      </c>
      <c r="M129" s="13">
        <v>398</v>
      </c>
      <c r="Q129" s="4" t="str">
        <f>HYPERLINK("\\hopi-fs\shares\users\dhar\Stalk mount testing\Type 1e Quality Assurance\CRYO-2075-2305  1367 1E","folder")</f>
        <v>folder</v>
      </c>
      <c r="T129" t="s">
        <v>1131</v>
      </c>
      <c r="U129" t="s">
        <v>533</v>
      </c>
      <c r="V129" s="407" t="s">
        <v>1393</v>
      </c>
    </row>
    <row r="130" spans="1:22">
      <c r="A130" s="136">
        <v>1377</v>
      </c>
      <c r="B130" s="134">
        <v>16.8</v>
      </c>
      <c r="C130">
        <v>1.5</v>
      </c>
      <c r="D130">
        <v>7.03</v>
      </c>
      <c r="E130">
        <v>24.42</v>
      </c>
      <c r="F130" s="19" t="s">
        <v>1383</v>
      </c>
      <c r="G130">
        <v>55</v>
      </c>
      <c r="H130">
        <v>72</v>
      </c>
      <c r="I130" s="217">
        <v>41548</v>
      </c>
      <c r="J130" t="s">
        <v>130</v>
      </c>
      <c r="K130">
        <v>33.44</v>
      </c>
      <c r="L130">
        <v>0.52400000000000002</v>
      </c>
      <c r="M130">
        <v>410</v>
      </c>
      <c r="Q130" s="4" t="str">
        <f>HYPERLINK("\\hopi-fs\shares\users\dhar\Stalk mount testing\Type 1e Quality Assurance\CRYO-2074-2268  1377 1E","folder")</f>
        <v>folder</v>
      </c>
      <c r="T130" t="s">
        <v>1131</v>
      </c>
      <c r="U130" t="s">
        <v>533</v>
      </c>
      <c r="V130" s="407" t="s">
        <v>1393</v>
      </c>
    </row>
    <row r="131" spans="1:22">
      <c r="A131" s="136">
        <v>1378</v>
      </c>
      <c r="B131" s="134">
        <v>16.8</v>
      </c>
      <c r="C131">
        <v>1.49</v>
      </c>
      <c r="D131">
        <v>7.06</v>
      </c>
      <c r="E131">
        <v>24.28</v>
      </c>
      <c r="F131" s="19" t="s">
        <v>1384</v>
      </c>
      <c r="G131">
        <v>55</v>
      </c>
      <c r="H131">
        <v>72</v>
      </c>
      <c r="I131" s="217">
        <v>41548</v>
      </c>
      <c r="J131" t="s">
        <v>130</v>
      </c>
      <c r="K131">
        <v>33.28</v>
      </c>
      <c r="L131">
        <v>0.45200000000000001</v>
      </c>
      <c r="M131">
        <v>399</v>
      </c>
      <c r="Q131" s="4" t="str">
        <f>HYPERLINK("\\hopi-fs\shares\users\dhar\Stalk mount testing\Type 1e Quality Assurance\CRYO-2075-2269  1378 1E","folder")</f>
        <v>folder</v>
      </c>
      <c r="T131" t="s">
        <v>1131</v>
      </c>
      <c r="U131" t="s">
        <v>533</v>
      </c>
      <c r="V131" s="407" t="s">
        <v>1393</v>
      </c>
    </row>
    <row r="132" spans="1:22">
      <c r="A132" s="136">
        <v>1379</v>
      </c>
      <c r="B132" s="134">
        <v>19.2</v>
      </c>
      <c r="C132">
        <v>1.5</v>
      </c>
      <c r="D132">
        <v>7.05</v>
      </c>
      <c r="E132">
        <v>24.32</v>
      </c>
      <c r="F132" s="19" t="s">
        <v>1385</v>
      </c>
      <c r="G132">
        <v>55</v>
      </c>
      <c r="H132">
        <v>72</v>
      </c>
      <c r="I132" s="217">
        <v>41548</v>
      </c>
      <c r="J132" t="s">
        <v>130</v>
      </c>
      <c r="K132">
        <v>33.31</v>
      </c>
      <c r="L132">
        <v>0.33100000000000002</v>
      </c>
      <c r="M132">
        <v>433</v>
      </c>
      <c r="Q132" s="4" t="str">
        <f>HYPERLINK("\\hopi-fs\shares\users\dhar\Stalk mount testing\Type 1e Quality Assurance\CRYO-2075-2270  1379 1E","folder")</f>
        <v>folder</v>
      </c>
      <c r="T132" t="s">
        <v>1131</v>
      </c>
      <c r="U132" t="s">
        <v>533</v>
      </c>
      <c r="V132" s="407" t="s">
        <v>1393</v>
      </c>
    </row>
    <row r="133" spans="1:22">
      <c r="A133" s="136">
        <v>1380</v>
      </c>
      <c r="B133" s="134">
        <v>17.399999999999999</v>
      </c>
      <c r="C133">
        <v>1.53</v>
      </c>
      <c r="D133">
        <v>7.11</v>
      </c>
      <c r="E133">
        <v>24.3</v>
      </c>
      <c r="F133" s="19" t="s">
        <v>1386</v>
      </c>
      <c r="G133">
        <v>55</v>
      </c>
      <c r="H133">
        <v>72</v>
      </c>
      <c r="I133" s="217">
        <v>41548</v>
      </c>
      <c r="J133" t="s">
        <v>130</v>
      </c>
      <c r="K133">
        <v>33.39</v>
      </c>
      <c r="L133">
        <v>0.69799999999999995</v>
      </c>
      <c r="M133">
        <v>403</v>
      </c>
      <c r="Q133" s="4" t="str">
        <f>HYPERLINK("\\hopi-fs\shares\users\dhar\Stalk mount testing\Type 1e Quality Assurance\CRYO-2075-2271  1380 1E","folder")</f>
        <v>folder</v>
      </c>
      <c r="T133" t="s">
        <v>1131</v>
      </c>
      <c r="U133" t="s">
        <v>533</v>
      </c>
      <c r="V133" s="407" t="s">
        <v>1393</v>
      </c>
    </row>
    <row r="134" spans="1:22">
      <c r="A134" s="136">
        <v>1381</v>
      </c>
      <c r="B134" s="276">
        <v>15.6</v>
      </c>
      <c r="C134">
        <v>1.51</v>
      </c>
      <c r="D134">
        <v>7.1</v>
      </c>
      <c r="E134">
        <v>24.34</v>
      </c>
      <c r="F134" s="263" t="s">
        <v>1387</v>
      </c>
      <c r="G134">
        <v>55</v>
      </c>
      <c r="H134">
        <v>72</v>
      </c>
      <c r="I134" s="217">
        <v>41548</v>
      </c>
      <c r="J134" t="s">
        <v>130</v>
      </c>
      <c r="K134">
        <v>33.380000000000003</v>
      </c>
      <c r="L134">
        <v>0.36299999999999999</v>
      </c>
      <c r="M134" s="226">
        <v>328</v>
      </c>
      <c r="Q134" s="4" t="str">
        <f>HYPERLINK("\\hopi-fs\shares\users\dhar\Stalk mount testing\Type 1e Quality Assurance\CRYO-2074-2272  1381 1E","folder")</f>
        <v>folder</v>
      </c>
      <c r="T134" t="s">
        <v>1131</v>
      </c>
      <c r="U134" t="s">
        <v>533</v>
      </c>
    </row>
    <row r="135" spans="1:22">
      <c r="A135" s="136">
        <v>1381</v>
      </c>
      <c r="B135" s="277">
        <v>17.600000000000001</v>
      </c>
      <c r="C135" s="13">
        <v>1.52</v>
      </c>
      <c r="D135" s="13">
        <v>7.13</v>
      </c>
      <c r="E135">
        <v>24.38</v>
      </c>
      <c r="F135" s="249" t="s">
        <v>1390</v>
      </c>
      <c r="G135">
        <v>39</v>
      </c>
      <c r="H135">
        <v>73</v>
      </c>
      <c r="I135" s="217">
        <v>41550</v>
      </c>
      <c r="J135" t="s">
        <v>130</v>
      </c>
      <c r="K135">
        <v>33.450000000000003</v>
      </c>
      <c r="L135">
        <v>0.41399999999999998</v>
      </c>
      <c r="M135" s="170">
        <v>394</v>
      </c>
      <c r="Q135" s="4" t="str">
        <f>HYPERLINK("\\hopi-fs\shares\users\dhar\Stalk mount testing\Type 1e Quality Assurance\CRYO-2072-2293  1381 1E","folder")</f>
        <v>folder</v>
      </c>
      <c r="T135" t="s">
        <v>1131</v>
      </c>
      <c r="U135" t="s">
        <v>533</v>
      </c>
      <c r="V135" s="407" t="s">
        <v>1393</v>
      </c>
    </row>
    <row r="136" spans="1:22">
      <c r="A136" s="136">
        <v>1382</v>
      </c>
      <c r="B136" s="134">
        <v>17.2</v>
      </c>
      <c r="C136">
        <v>1.53</v>
      </c>
      <c r="D136">
        <v>7.13</v>
      </c>
      <c r="E136">
        <v>24.32</v>
      </c>
      <c r="F136" s="19" t="s">
        <v>1388</v>
      </c>
      <c r="G136">
        <v>55</v>
      </c>
      <c r="H136">
        <v>72</v>
      </c>
      <c r="I136" s="217">
        <v>41548</v>
      </c>
      <c r="J136" t="s">
        <v>130</v>
      </c>
      <c r="K136">
        <v>33.43</v>
      </c>
      <c r="L136">
        <v>0.24099999999999999</v>
      </c>
      <c r="M136">
        <v>424</v>
      </c>
      <c r="Q136" s="4" t="str">
        <f>HYPERLINK("\\hopi-fs\shares\users\dhar\Stalk mount testing\Type 1e Quality Assurance\CRYO-2074-2274  1382 1E","folder")</f>
        <v>folder</v>
      </c>
      <c r="T136" t="s">
        <v>1131</v>
      </c>
      <c r="U136" t="s">
        <v>533</v>
      </c>
    </row>
    <row r="137" spans="1:22">
      <c r="A137" s="136">
        <v>1349</v>
      </c>
      <c r="B137" s="134">
        <v>18</v>
      </c>
      <c r="C137">
        <v>1.52</v>
      </c>
      <c r="D137">
        <v>7.15</v>
      </c>
      <c r="E137">
        <v>24.45</v>
      </c>
      <c r="F137" s="19" t="s">
        <v>1392</v>
      </c>
      <c r="G137">
        <v>55</v>
      </c>
      <c r="H137">
        <v>73</v>
      </c>
      <c r="I137" s="217">
        <v>41551</v>
      </c>
      <c r="J137" t="s">
        <v>130</v>
      </c>
      <c r="K137">
        <v>33.61</v>
      </c>
      <c r="L137">
        <v>7.6999999999999999E-2</v>
      </c>
      <c r="M137" t="s">
        <v>1533</v>
      </c>
      <c r="Q137" s="4" t="str">
        <f>HYPERLINK("\\hopi-fs\shares\users\dhar\Stalk mount testing\Type 1e Quality Assurance\CRYO-2074-2304  1349 1E","folder")</f>
        <v>folder</v>
      </c>
      <c r="T137" t="s">
        <v>1131</v>
      </c>
      <c r="U137" t="s">
        <v>533</v>
      </c>
      <c r="V137" s="407" t="s">
        <v>1541</v>
      </c>
    </row>
    <row r="138" spans="1:22" ht="42" customHeight="1">
      <c r="A138" s="136">
        <v>1350</v>
      </c>
      <c r="B138" s="134">
        <v>16.7</v>
      </c>
      <c r="C138">
        <v>1.52</v>
      </c>
      <c r="D138">
        <v>7.11</v>
      </c>
      <c r="E138">
        <v>24.44</v>
      </c>
      <c r="J138" t="s">
        <v>130</v>
      </c>
    </row>
    <row r="139" spans="1:22">
      <c r="A139" s="368">
        <v>1368</v>
      </c>
      <c r="B139" s="134">
        <v>18</v>
      </c>
      <c r="C139">
        <v>1.52</v>
      </c>
      <c r="D139">
        <v>7.12</v>
      </c>
      <c r="E139">
        <v>24.34</v>
      </c>
      <c r="F139" s="233" t="s">
        <v>1394</v>
      </c>
      <c r="G139">
        <v>53</v>
      </c>
      <c r="H139">
        <v>74</v>
      </c>
      <c r="I139" s="217">
        <v>41551</v>
      </c>
      <c r="J139" t="s">
        <v>130</v>
      </c>
      <c r="K139">
        <v>33.42</v>
      </c>
      <c r="L139">
        <v>0.69599999999999995</v>
      </c>
      <c r="M139">
        <v>415</v>
      </c>
      <c r="Q139" s="4" t="str">
        <f>HYPERLINK("\\hopi-fs\shares\users\dhar\Stalk mount testing\Type 1e Quality Assurance\CRYO-2073-2263  1368 1E","folder")</f>
        <v>folder</v>
      </c>
      <c r="T139" t="s">
        <v>1131</v>
      </c>
      <c r="U139" t="s">
        <v>1434</v>
      </c>
      <c r="V139" s="407" t="s">
        <v>1430</v>
      </c>
    </row>
    <row r="140" spans="1:22">
      <c r="A140" s="368">
        <v>1369</v>
      </c>
      <c r="B140" s="134">
        <v>17.2</v>
      </c>
      <c r="C140">
        <v>1.51</v>
      </c>
      <c r="D140">
        <v>7.13</v>
      </c>
      <c r="E140">
        <v>24.33</v>
      </c>
      <c r="F140" s="233" t="s">
        <v>1395</v>
      </c>
      <c r="G140">
        <v>53</v>
      </c>
      <c r="H140">
        <v>74</v>
      </c>
      <c r="I140" s="217">
        <v>41551</v>
      </c>
      <c r="J140" t="s">
        <v>130</v>
      </c>
      <c r="K140">
        <v>33.39</v>
      </c>
      <c r="L140">
        <v>0.54300000000000004</v>
      </c>
      <c r="M140">
        <v>400</v>
      </c>
      <c r="P140" t="s">
        <v>1437</v>
      </c>
      <c r="Q140" s="4" t="str">
        <f>HYPERLINK("\\hopi-fs\shares\users\dhar\Stalk mount testing\Type 1e Quality Assurance\CRYO-2073-2264  1369 1E","folder")</f>
        <v>folder</v>
      </c>
      <c r="T140" t="s">
        <v>1131</v>
      </c>
      <c r="U140" t="s">
        <v>1435</v>
      </c>
      <c r="V140" s="407" t="s">
        <v>1430</v>
      </c>
    </row>
    <row r="141" spans="1:22">
      <c r="A141" s="368">
        <v>1372</v>
      </c>
      <c r="B141" s="134">
        <v>18.2</v>
      </c>
      <c r="C141">
        <v>1.51</v>
      </c>
      <c r="D141">
        <v>7.07</v>
      </c>
      <c r="E141">
        <v>24.35</v>
      </c>
      <c r="F141" s="169" t="s">
        <v>1396</v>
      </c>
      <c r="G141">
        <v>55</v>
      </c>
      <c r="H141">
        <v>73</v>
      </c>
      <c r="I141" s="217">
        <v>41554</v>
      </c>
      <c r="J141" t="s">
        <v>130</v>
      </c>
      <c r="K141">
        <v>33.33</v>
      </c>
      <c r="L141">
        <v>0.58799999999999997</v>
      </c>
      <c r="Q141" s="4" t="str">
        <f>HYPERLINK("\\hopi-fs\shares\users\dhar\Stalk mount testing\Type 1e Quality Assurance\CRYO-2073-2265  1372 1E","folder")</f>
        <v>folder</v>
      </c>
      <c r="T141" t="s">
        <v>1131</v>
      </c>
      <c r="U141" t="s">
        <v>533</v>
      </c>
    </row>
    <row r="142" spans="1:22">
      <c r="A142" s="368"/>
      <c r="F142" s="169"/>
      <c r="I142" s="217"/>
      <c r="Q142" s="4"/>
    </row>
    <row r="143" spans="1:22">
      <c r="A143" s="368">
        <v>1373</v>
      </c>
      <c r="B143" s="134">
        <v>18.399999999999999</v>
      </c>
      <c r="C143">
        <v>1.5</v>
      </c>
      <c r="D143">
        <v>7.02</v>
      </c>
      <c r="E143">
        <v>24.31</v>
      </c>
      <c r="F143" s="375" t="s">
        <v>1397</v>
      </c>
      <c r="G143">
        <v>55</v>
      </c>
      <c r="H143">
        <v>73</v>
      </c>
      <c r="I143" s="217">
        <v>41554</v>
      </c>
      <c r="J143" t="s">
        <v>130</v>
      </c>
      <c r="K143">
        <v>33.28</v>
      </c>
      <c r="L143">
        <v>0.374</v>
      </c>
      <c r="P143" t="s">
        <v>1417</v>
      </c>
      <c r="Q143" s="4" t="str">
        <f>HYPERLINK("\\hopi-fs\shares\users\dhar\Stalk mount testing\Type 1e Quality Assurance\CRYO-2074-2266  1373 1E","folder")</f>
        <v>folder</v>
      </c>
      <c r="T143" t="s">
        <v>1131</v>
      </c>
      <c r="U143" t="s">
        <v>533</v>
      </c>
      <c r="V143" s="407" t="s">
        <v>1419</v>
      </c>
    </row>
    <row r="144" spans="1:22">
      <c r="A144" s="368">
        <v>1374</v>
      </c>
      <c r="B144" s="134">
        <v>17.600000000000001</v>
      </c>
      <c r="C144">
        <v>1.51</v>
      </c>
      <c r="D144">
        <v>7.03</v>
      </c>
      <c r="E144">
        <v>24.8</v>
      </c>
      <c r="F144" s="233" t="s">
        <v>1398</v>
      </c>
      <c r="G144">
        <v>55</v>
      </c>
      <c r="H144">
        <v>73</v>
      </c>
      <c r="I144" s="217">
        <v>41554</v>
      </c>
      <c r="J144" t="s">
        <v>130</v>
      </c>
      <c r="K144">
        <v>33.770000000000003</v>
      </c>
      <c r="L144">
        <v>0.38200000000000001</v>
      </c>
      <c r="M144">
        <v>430</v>
      </c>
      <c r="P144" t="s">
        <v>1436</v>
      </c>
      <c r="Q144" s="4" t="str">
        <f>HYPERLINK("\\hopi-fs\shares\users\dhar\Stalk mount testing\Type 1e Quality Assurance\CRYO-2074-2267  1374 1E","folder")</f>
        <v>folder</v>
      </c>
      <c r="T144" t="s">
        <v>1131</v>
      </c>
      <c r="U144" t="s">
        <v>1435</v>
      </c>
      <c r="V144" s="407" t="s">
        <v>1430</v>
      </c>
    </row>
    <row r="145" spans="1:22">
      <c r="A145" s="368">
        <v>1375</v>
      </c>
      <c r="B145" s="134">
        <v>17.399999999999999</v>
      </c>
      <c r="C145">
        <v>1.52</v>
      </c>
      <c r="D145">
        <v>7.13</v>
      </c>
      <c r="E145">
        <v>24.35</v>
      </c>
      <c r="F145" s="375" t="s">
        <v>1399</v>
      </c>
      <c r="G145">
        <v>55</v>
      </c>
      <c r="H145">
        <v>73</v>
      </c>
      <c r="I145" s="217">
        <v>41554</v>
      </c>
      <c r="J145" t="s">
        <v>130</v>
      </c>
      <c r="K145">
        <v>33.44</v>
      </c>
      <c r="L145">
        <v>0.72599999999999998</v>
      </c>
      <c r="P145" t="s">
        <v>1417</v>
      </c>
      <c r="Q145" s="4" t="str">
        <f>HYPERLINK("\\hopi-fs\shares\users\dhar\Stalk mount testing\Type 1e Quality Assurance\CRYO-2074-2275  1375 1E","folder")</f>
        <v>folder</v>
      </c>
      <c r="T145" t="s">
        <v>1131</v>
      </c>
      <c r="U145" t="s">
        <v>533</v>
      </c>
    </row>
    <row r="146" spans="1:22" ht="41.25" customHeight="1">
      <c r="A146" s="372">
        <v>1386</v>
      </c>
      <c r="B146" s="134">
        <v>18.600000000000001</v>
      </c>
      <c r="C146">
        <v>1.52</v>
      </c>
      <c r="D146">
        <v>7.15</v>
      </c>
      <c r="E146">
        <v>24.38</v>
      </c>
      <c r="F146" s="19" t="s">
        <v>1400</v>
      </c>
      <c r="G146">
        <v>36</v>
      </c>
      <c r="H146">
        <v>73</v>
      </c>
      <c r="I146" s="217">
        <v>41557</v>
      </c>
      <c r="J146" t="s">
        <v>130</v>
      </c>
      <c r="K146">
        <v>33.47</v>
      </c>
      <c r="L146">
        <v>0.32400000000000001</v>
      </c>
      <c r="M146">
        <v>379</v>
      </c>
      <c r="Q146" s="4" t="str">
        <f>HYPERLINK("\\hopi-fs\shares\users\dhar\Stalk mount testing\Type 1e Quality Assurance\CRYO-2094-2117  1386 1E","folder")</f>
        <v>folder</v>
      </c>
      <c r="V146" s="407" t="s">
        <v>1418</v>
      </c>
    </row>
    <row r="147" spans="1:22">
      <c r="A147" s="372">
        <v>1387</v>
      </c>
      <c r="B147" s="134">
        <v>19</v>
      </c>
      <c r="C147">
        <v>1.51</v>
      </c>
      <c r="D147">
        <v>7.14</v>
      </c>
      <c r="E147">
        <v>24.38</v>
      </c>
      <c r="F147" s="19" t="s">
        <v>1401</v>
      </c>
      <c r="G147">
        <v>36</v>
      </c>
      <c r="H147">
        <v>73</v>
      </c>
      <c r="I147" s="217">
        <v>41557</v>
      </c>
      <c r="J147" t="s">
        <v>130</v>
      </c>
      <c r="K147">
        <v>33.47</v>
      </c>
      <c r="L147">
        <v>0.72899999999999998</v>
      </c>
      <c r="M147">
        <v>381</v>
      </c>
      <c r="Q147" s="4" t="str">
        <f>HYPERLINK("\\hopi-fs\shares\users\dhar\Stalk mount testing\Type 1e Quality Assurance\CRYO-2094-2118  1387 1E","folder")</f>
        <v>folder</v>
      </c>
      <c r="V147" s="407" t="s">
        <v>1418</v>
      </c>
    </row>
    <row r="148" spans="1:22">
      <c r="A148" s="372">
        <v>1389</v>
      </c>
      <c r="B148" s="134">
        <v>19.5</v>
      </c>
      <c r="C148">
        <v>1.51</v>
      </c>
      <c r="D148">
        <v>7.12</v>
      </c>
      <c r="E148">
        <v>24.41</v>
      </c>
      <c r="F148" s="263" t="s">
        <v>1402</v>
      </c>
      <c r="G148">
        <v>36</v>
      </c>
      <c r="H148">
        <v>73</v>
      </c>
      <c r="I148" s="217">
        <v>41557</v>
      </c>
      <c r="J148" t="s">
        <v>130</v>
      </c>
      <c r="K148">
        <v>33.5</v>
      </c>
      <c r="L148">
        <v>0.56999999999999995</v>
      </c>
      <c r="P148" t="s">
        <v>1283</v>
      </c>
      <c r="Q148" s="4" t="str">
        <f>HYPERLINK("\\hopi-fs\shares\users\dhar\Stalk mount testing\Type 1e Quality Assurance\CRYO-2095-2119  1389 1E","folder")</f>
        <v>folder</v>
      </c>
    </row>
    <row r="149" spans="1:22">
      <c r="A149" s="372">
        <v>1389</v>
      </c>
      <c r="B149" s="134">
        <v>18</v>
      </c>
      <c r="C149">
        <v>1.52</v>
      </c>
      <c r="D149">
        <v>7.11</v>
      </c>
      <c r="E149">
        <v>24.44</v>
      </c>
      <c r="F149" s="19" t="s">
        <v>1407</v>
      </c>
      <c r="G149">
        <v>40</v>
      </c>
      <c r="H149">
        <v>73</v>
      </c>
      <c r="I149" s="217">
        <v>41558</v>
      </c>
      <c r="J149" t="s">
        <v>130</v>
      </c>
      <c r="K149">
        <v>33.5</v>
      </c>
      <c r="L149">
        <v>0.51200000000000001</v>
      </c>
      <c r="M149">
        <v>381</v>
      </c>
      <c r="Q149" s="4" t="str">
        <f>HYPERLINK("\\hopi-fs\shares\users\dhar\Stalk mount testing\Type 1e Quality Assurance\CRYO-2095-2125  1389 1E","folder")</f>
        <v>folder</v>
      </c>
      <c r="V149" s="407" t="s">
        <v>1418</v>
      </c>
    </row>
    <row r="150" spans="1:22">
      <c r="A150" s="372">
        <v>1390</v>
      </c>
      <c r="B150" s="134">
        <v>19.600000000000001</v>
      </c>
      <c r="C150">
        <v>1.51</v>
      </c>
      <c r="D150">
        <v>7.09</v>
      </c>
      <c r="E150">
        <v>24.34</v>
      </c>
      <c r="F150" s="263" t="s">
        <v>1403</v>
      </c>
      <c r="G150">
        <v>36</v>
      </c>
      <c r="H150">
        <v>73</v>
      </c>
      <c r="I150" s="217">
        <v>41557</v>
      </c>
      <c r="J150" t="s">
        <v>130</v>
      </c>
      <c r="K150">
        <v>33.36</v>
      </c>
      <c r="L150">
        <v>0.82799999999999996</v>
      </c>
      <c r="P150" t="s">
        <v>1283</v>
      </c>
      <c r="Q150" s="4" t="str">
        <f>HYPERLINK("\\hopi-fs\shares\users\dhar\Stalk mount testing\Type 1e Quality Assurance\CRYO-2095-2120  1390 1E","folder")</f>
        <v>folder</v>
      </c>
    </row>
    <row r="151" spans="1:22">
      <c r="A151" s="372">
        <v>1390</v>
      </c>
      <c r="B151" s="134">
        <v>18</v>
      </c>
      <c r="C151">
        <v>1.52</v>
      </c>
      <c r="D151">
        <v>7.11</v>
      </c>
      <c r="E151">
        <v>24.34</v>
      </c>
      <c r="F151" s="222" t="s">
        <v>1408</v>
      </c>
      <c r="G151">
        <v>42</v>
      </c>
      <c r="H151">
        <v>74</v>
      </c>
      <c r="I151" s="217">
        <v>41558</v>
      </c>
      <c r="J151" t="s">
        <v>130</v>
      </c>
      <c r="K151">
        <v>33.42</v>
      </c>
      <c r="L151">
        <v>0.71899999999999997</v>
      </c>
      <c r="P151" t="s">
        <v>1283</v>
      </c>
      <c r="V151" s="407" t="s">
        <v>1418</v>
      </c>
    </row>
    <row r="152" spans="1:22">
      <c r="A152" s="372">
        <v>1390</v>
      </c>
      <c r="B152" s="134">
        <v>18</v>
      </c>
      <c r="C152">
        <v>1.52</v>
      </c>
      <c r="D152">
        <v>7.11</v>
      </c>
      <c r="E152">
        <v>24.34</v>
      </c>
      <c r="F152" s="19" t="s">
        <v>1420</v>
      </c>
      <c r="G152">
        <v>42</v>
      </c>
      <c r="H152">
        <v>74</v>
      </c>
      <c r="I152" s="217">
        <v>41558</v>
      </c>
      <c r="J152" t="s">
        <v>130</v>
      </c>
      <c r="K152">
        <v>33.42</v>
      </c>
      <c r="L152">
        <v>0.71899999999999997</v>
      </c>
      <c r="M152">
        <v>353</v>
      </c>
      <c r="Q152" s="4" t="str">
        <f>HYPERLINK("\\hopi-fs\shares\users\dhar\Stalk mount testing\Type 1e Quality Assurance\CRYO-2093-2097  1390 1E","folder")</f>
        <v>folder</v>
      </c>
    </row>
    <row r="153" spans="1:22">
      <c r="A153" s="372">
        <v>1392</v>
      </c>
      <c r="B153" s="134">
        <v>18.2</v>
      </c>
      <c r="C153">
        <v>1.51</v>
      </c>
      <c r="D153">
        <v>7.06</v>
      </c>
      <c r="E153">
        <v>24.35</v>
      </c>
      <c r="F153" s="263" t="s">
        <v>1404</v>
      </c>
      <c r="G153">
        <v>36</v>
      </c>
      <c r="H153">
        <v>73</v>
      </c>
      <c r="I153" s="217">
        <v>41557</v>
      </c>
      <c r="J153" t="s">
        <v>130</v>
      </c>
      <c r="K153">
        <v>33.4</v>
      </c>
      <c r="L153">
        <v>0.38</v>
      </c>
      <c r="P153" t="s">
        <v>1421</v>
      </c>
      <c r="Q153" s="4" t="str">
        <f>HYPERLINK("\\hopi-fs\shares\users\dhar\Stalk mount testing\Type 1e Quality Assurance\CRYO-2094-2122  1392 1E","folder")</f>
        <v>folder</v>
      </c>
    </row>
    <row r="154" spans="1:22">
      <c r="A154" s="372">
        <v>1392</v>
      </c>
      <c r="B154" s="134">
        <v>17</v>
      </c>
      <c r="C154">
        <v>1.51</v>
      </c>
      <c r="D154">
        <v>7.06</v>
      </c>
      <c r="E154">
        <v>24.35</v>
      </c>
      <c r="F154" s="19" t="s">
        <v>1409</v>
      </c>
      <c r="G154">
        <v>42</v>
      </c>
      <c r="H154">
        <v>74</v>
      </c>
      <c r="I154" s="217">
        <v>41558</v>
      </c>
      <c r="J154" t="s">
        <v>130</v>
      </c>
      <c r="K154">
        <v>33.380000000000003</v>
      </c>
      <c r="L154">
        <v>0.44</v>
      </c>
      <c r="M154">
        <v>341</v>
      </c>
      <c r="Q154" s="4" t="str">
        <f>HYPERLINK("\\hopi-fs\shares\users\dhar\Stalk mount testing\Type 1e Quality Assurance\CRYO-2094-2099  1392 1E","folder")</f>
        <v>folder</v>
      </c>
      <c r="V154" s="407" t="s">
        <v>1418</v>
      </c>
    </row>
    <row r="155" spans="1:22">
      <c r="A155" s="372">
        <v>1393</v>
      </c>
      <c r="B155" s="134">
        <v>18.2</v>
      </c>
      <c r="C155">
        <v>1.48</v>
      </c>
      <c r="D155">
        <v>7.2</v>
      </c>
      <c r="E155">
        <v>24.35</v>
      </c>
      <c r="F155" s="19" t="s">
        <v>1405</v>
      </c>
      <c r="G155">
        <v>36</v>
      </c>
      <c r="H155">
        <v>73</v>
      </c>
      <c r="I155" s="217">
        <v>41557</v>
      </c>
      <c r="J155" t="s">
        <v>130</v>
      </c>
      <c r="K155">
        <v>33.340000000000003</v>
      </c>
      <c r="L155">
        <v>0.64500000000000002</v>
      </c>
      <c r="M155">
        <v>374</v>
      </c>
      <c r="Q155" s="4" t="str">
        <f>HYPERLINK("\\hopi-fs\shares\users\dhar\Stalk mount testing\Type 1e Quality Assurance\CRYO-2094-2123  1393 1E","folder")</f>
        <v>folder</v>
      </c>
      <c r="U155" s="507" t="s">
        <v>3855</v>
      </c>
    </row>
    <row r="156" spans="1:22">
      <c r="A156" s="370">
        <v>1323</v>
      </c>
      <c r="B156" s="134">
        <v>17.399999999999999</v>
      </c>
      <c r="C156">
        <v>1.52</v>
      </c>
      <c r="D156">
        <v>7.11</v>
      </c>
      <c r="E156">
        <v>24.36</v>
      </c>
      <c r="F156" s="19" t="s">
        <v>1406</v>
      </c>
      <c r="G156">
        <v>36</v>
      </c>
      <c r="H156">
        <v>73</v>
      </c>
      <c r="I156" s="217">
        <v>41557</v>
      </c>
      <c r="J156" t="s">
        <v>130</v>
      </c>
      <c r="K156">
        <v>33.42</v>
      </c>
      <c r="L156">
        <v>0.2</v>
      </c>
      <c r="M156">
        <v>369</v>
      </c>
      <c r="Q156" s="4" t="str">
        <f>HYPERLINK("\\hopi-fs\shares\users\dhar\Stalk mount testing\Type 1e Quality Assurance\CRYO-2095-2124  1323 1E","folder")</f>
        <v>folder</v>
      </c>
      <c r="V156" s="407" t="s">
        <v>1418</v>
      </c>
    </row>
    <row r="157" spans="1:22" ht="35.25" customHeight="1">
      <c r="A157" s="368">
        <v>1394</v>
      </c>
      <c r="B157" s="134">
        <v>19</v>
      </c>
      <c r="C157">
        <v>1.52</v>
      </c>
      <c r="D157">
        <v>7.13</v>
      </c>
      <c r="E157">
        <v>24.36</v>
      </c>
      <c r="F157" s="233" t="s">
        <v>1422</v>
      </c>
      <c r="G157">
        <v>30</v>
      </c>
      <c r="H157">
        <v>71</v>
      </c>
      <c r="I157" s="217">
        <v>41569</v>
      </c>
      <c r="J157" t="s">
        <v>130</v>
      </c>
      <c r="K157">
        <v>33.409999999999997</v>
      </c>
      <c r="L157">
        <v>0.40899999999999997</v>
      </c>
      <c r="M157">
        <v>469</v>
      </c>
      <c r="Q157" s="4" t="str">
        <f>HYPERLINK("\\hopi-fs\shares\users\dhar\Stalk mount testing\Type 1e Quality Assurance\CRYO-2074-2295  1394 1E","folder")</f>
        <v>folder</v>
      </c>
      <c r="V157" s="407" t="s">
        <v>1456</v>
      </c>
    </row>
    <row r="158" spans="1:22">
      <c r="A158" s="368">
        <v>1396</v>
      </c>
      <c r="B158" s="134">
        <v>18</v>
      </c>
      <c r="C158">
        <v>1.53</v>
      </c>
      <c r="D158">
        <v>7.11</v>
      </c>
      <c r="E158">
        <v>24.34</v>
      </c>
      <c r="F158" s="233" t="s">
        <v>1423</v>
      </c>
      <c r="G158">
        <v>30</v>
      </c>
      <c r="H158">
        <v>71</v>
      </c>
      <c r="I158" s="217">
        <v>41569</v>
      </c>
      <c r="J158" t="s">
        <v>130</v>
      </c>
      <c r="K158">
        <v>33.42</v>
      </c>
      <c r="L158">
        <v>0.76500000000000001</v>
      </c>
      <c r="M158">
        <v>414</v>
      </c>
      <c r="Q158" s="4" t="str">
        <f>HYPERLINK("\\hopi-fs\shares\users\dhar\Stalk mount testing\Type 1e Quality Assurance\CRYO-2075-2296  1396 1E","folder")</f>
        <v>folder</v>
      </c>
      <c r="V158" s="407" t="s">
        <v>1456</v>
      </c>
    </row>
    <row r="159" spans="1:22">
      <c r="A159" s="368">
        <v>1397</v>
      </c>
      <c r="B159" s="134">
        <v>18</v>
      </c>
      <c r="C159">
        <v>1.51</v>
      </c>
      <c r="D159">
        <v>7.16</v>
      </c>
      <c r="E159">
        <v>24.34</v>
      </c>
      <c r="F159" s="233" t="s">
        <v>1424</v>
      </c>
      <c r="G159">
        <v>26</v>
      </c>
      <c r="H159">
        <v>73</v>
      </c>
      <c r="I159" s="217">
        <v>41571</v>
      </c>
      <c r="J159" t="s">
        <v>130</v>
      </c>
      <c r="K159">
        <v>33.47</v>
      </c>
      <c r="L159">
        <v>0.17699999999999999</v>
      </c>
      <c r="M159">
        <v>448</v>
      </c>
      <c r="Q159" s="4" t="str">
        <f>HYPERLINK("\\hopi-fs\shares\users\dhar\Stalk mount testing\Type 1e Quality Assurance\CRYO-2075-2298  1397 1E","folder")</f>
        <v>folder</v>
      </c>
      <c r="V159" s="407" t="s">
        <v>1456</v>
      </c>
    </row>
    <row r="160" spans="1:22">
      <c r="A160" s="368">
        <v>1398</v>
      </c>
      <c r="B160" s="134">
        <v>19</v>
      </c>
      <c r="C160">
        <v>1.52</v>
      </c>
      <c r="D160">
        <v>7.02</v>
      </c>
      <c r="E160">
        <v>24.34</v>
      </c>
      <c r="F160" s="233" t="s">
        <v>1425</v>
      </c>
      <c r="G160">
        <v>26</v>
      </c>
      <c r="H160">
        <v>73</v>
      </c>
      <c r="I160" s="217">
        <v>41571</v>
      </c>
      <c r="J160" t="s">
        <v>130</v>
      </c>
      <c r="K160">
        <v>33.33</v>
      </c>
      <c r="L160">
        <v>0.32100000000000001</v>
      </c>
      <c r="M160">
        <v>436</v>
      </c>
      <c r="Q160" s="4" t="str">
        <f>HYPERLINK("\\Hopi-fs\shares\users\dhar\Stalk mount testing\Type 1e Quality Assurance\CRYO-2073-2299  1398 1E","folder")</f>
        <v>folder</v>
      </c>
      <c r="V160" s="407" t="s">
        <v>1456</v>
      </c>
    </row>
    <row r="161" spans="1:22">
      <c r="A161" s="368">
        <v>1399</v>
      </c>
      <c r="B161" s="134">
        <v>18.399999999999999</v>
      </c>
      <c r="C161">
        <v>1.52</v>
      </c>
      <c r="D161">
        <v>7.09</v>
      </c>
      <c r="E161">
        <v>24.4</v>
      </c>
      <c r="F161" s="232" t="s">
        <v>1426</v>
      </c>
      <c r="G161">
        <v>26</v>
      </c>
      <c r="H161">
        <v>73</v>
      </c>
      <c r="I161" s="217">
        <v>41571</v>
      </c>
      <c r="J161" t="s">
        <v>130</v>
      </c>
      <c r="K161">
        <v>33.43</v>
      </c>
      <c r="L161">
        <v>0.60299999999999998</v>
      </c>
      <c r="M161">
        <v>469</v>
      </c>
      <c r="Q161" s="4" t="str">
        <f>HYPERLINK("\\Hopi-fs\shares\users\dhar\Stalk mount testing\Type 1e Quality Assurance\CRYO-2072-2300  1399 1E","folder")</f>
        <v>folder</v>
      </c>
    </row>
    <row r="162" spans="1:22" ht="25.5" customHeight="1">
      <c r="A162" s="370">
        <v>1402</v>
      </c>
      <c r="B162" s="134">
        <v>17.2</v>
      </c>
      <c r="C162">
        <v>1.51</v>
      </c>
      <c r="D162">
        <v>7.12</v>
      </c>
      <c r="E162">
        <v>24.32</v>
      </c>
      <c r="F162" s="270" t="s">
        <v>1438</v>
      </c>
      <c r="G162">
        <v>32</v>
      </c>
      <c r="H162">
        <v>70</v>
      </c>
      <c r="I162" s="217">
        <v>41612</v>
      </c>
      <c r="J162" t="s">
        <v>130</v>
      </c>
      <c r="K162">
        <v>33.4</v>
      </c>
      <c r="L162">
        <v>0.44400000000000001</v>
      </c>
      <c r="M162" s="13">
        <v>309</v>
      </c>
      <c r="P162" t="s">
        <v>1444</v>
      </c>
      <c r="Q162" s="4" t="str">
        <f>HYPERLINK("\\Hopi-fs\shares\users\dhar\Stalk mount testing\Type 1e Quality Assurance\CRYO-ME-1240-0244  1402 1E","folder")</f>
        <v>folder</v>
      </c>
    </row>
    <row r="163" spans="1:22" ht="25.5" customHeight="1">
      <c r="A163" s="370">
        <v>1402</v>
      </c>
      <c r="B163" s="134">
        <v>18.5</v>
      </c>
      <c r="C163">
        <v>1.53</v>
      </c>
      <c r="D163">
        <v>7.09</v>
      </c>
      <c r="E163">
        <v>24.3</v>
      </c>
      <c r="F163" s="249" t="s">
        <v>1438</v>
      </c>
      <c r="G163">
        <v>12</v>
      </c>
      <c r="H163">
        <v>71</v>
      </c>
      <c r="I163" s="217">
        <v>41619</v>
      </c>
      <c r="J163" t="s">
        <v>130</v>
      </c>
      <c r="K163">
        <v>33.4</v>
      </c>
      <c r="L163">
        <v>0.7</v>
      </c>
      <c r="M163" s="13">
        <v>296</v>
      </c>
      <c r="Q163" s="4" t="str">
        <f>HYPERLINK("\\Hopi-fs\shares\users\dhar\Stalk mount testing\Type 1e Quality Assurance\CRYO-ME-1240-0244  1402 1E","folder")</f>
        <v>folder</v>
      </c>
      <c r="V163" s="407" t="s">
        <v>1471</v>
      </c>
    </row>
    <row r="164" spans="1:22">
      <c r="A164" s="370">
        <v>1403</v>
      </c>
      <c r="B164" s="134">
        <v>17.399999999999999</v>
      </c>
      <c r="C164">
        <v>1.52</v>
      </c>
      <c r="D164">
        <v>7.14</v>
      </c>
      <c r="E164">
        <v>24.36</v>
      </c>
      <c r="F164" s="19" t="s">
        <v>1439</v>
      </c>
      <c r="G164">
        <v>32</v>
      </c>
      <c r="H164">
        <v>70</v>
      </c>
      <c r="I164" s="217">
        <v>41612</v>
      </c>
      <c r="J164" t="s">
        <v>130</v>
      </c>
      <c r="K164">
        <v>33</v>
      </c>
      <c r="L164">
        <v>0.26700000000000002</v>
      </c>
      <c r="M164" s="13" t="s">
        <v>1443</v>
      </c>
      <c r="Q164" s="4" t="str">
        <f>HYPERLINK("\\Hopi-fs\shares\users\dhar\Stalk mount testing\Type 1e Quality Assurance\CRYO-ME-1236-1245  1403 1E","folder")</f>
        <v>folder</v>
      </c>
      <c r="V164" s="407" t="s">
        <v>1445</v>
      </c>
    </row>
    <row r="165" spans="1:22">
      <c r="A165" s="370">
        <v>1404</v>
      </c>
      <c r="B165" s="134">
        <v>19.8</v>
      </c>
      <c r="C165">
        <v>1.54</v>
      </c>
      <c r="D165">
        <v>7.19</v>
      </c>
      <c r="E165">
        <v>24.36</v>
      </c>
      <c r="F165" s="184" t="s">
        <v>1440</v>
      </c>
      <c r="G165">
        <v>32</v>
      </c>
      <c r="H165">
        <v>70</v>
      </c>
      <c r="I165" s="217">
        <v>41612</v>
      </c>
      <c r="J165" t="s">
        <v>130</v>
      </c>
      <c r="K165">
        <v>33.5</v>
      </c>
      <c r="L165">
        <v>0.47199999999999998</v>
      </c>
      <c r="M165" s="13">
        <v>338</v>
      </c>
      <c r="Q165" s="4" t="str">
        <f>HYPERLINK("\\Hopi-fs\shares\users\dhar\Stalk mount testing\Type 1e Quality Assurance\CRYO-ME-1230-0247  1404 1E","folder")</f>
        <v>folder</v>
      </c>
      <c r="V165" s="407" t="s">
        <v>1445</v>
      </c>
    </row>
    <row r="166" spans="1:22">
      <c r="A166" s="370">
        <v>1406</v>
      </c>
      <c r="B166" s="134">
        <v>19.600000000000001</v>
      </c>
      <c r="C166">
        <v>1.52</v>
      </c>
      <c r="D166">
        <v>7.09</v>
      </c>
      <c r="E166">
        <v>24.36</v>
      </c>
      <c r="F166" s="19" t="s">
        <v>1441</v>
      </c>
      <c r="G166">
        <v>32</v>
      </c>
      <c r="H166">
        <v>70</v>
      </c>
      <c r="I166" s="217">
        <v>41612</v>
      </c>
      <c r="J166" t="s">
        <v>130</v>
      </c>
      <c r="K166">
        <v>33.42</v>
      </c>
      <c r="L166">
        <v>0.51600000000000001</v>
      </c>
      <c r="M166" s="13">
        <v>309</v>
      </c>
      <c r="Q166" s="4" t="str">
        <f>HYPERLINK("\\Hopi-fs\shares\users\dhar\Stalk mount testing\Type 1e Quality Assurance\CRYO-ME-1242-0247  1406 1E","folder")</f>
        <v>folder</v>
      </c>
      <c r="V166" s="407" t="s">
        <v>1445</v>
      </c>
    </row>
    <row r="167" spans="1:22" ht="36" customHeight="1">
      <c r="A167" s="368">
        <v>1407</v>
      </c>
      <c r="B167" s="134">
        <v>16.8</v>
      </c>
      <c r="C167">
        <v>1.51</v>
      </c>
      <c r="D167">
        <v>7.13</v>
      </c>
      <c r="E167">
        <v>24.38</v>
      </c>
      <c r="F167" s="375" t="s">
        <v>1449</v>
      </c>
      <c r="G167">
        <v>30</v>
      </c>
      <c r="H167">
        <v>68</v>
      </c>
      <c r="I167" s="217">
        <v>41625</v>
      </c>
      <c r="J167" t="s">
        <v>130</v>
      </c>
      <c r="K167">
        <v>33.46</v>
      </c>
      <c r="L167">
        <v>0.746</v>
      </c>
      <c r="Q167" s="4" t="str">
        <f>HYPERLINK("\\Hopi-fs\shares\users\dhar\Stalk mount testing\Type 1e Quality Assurance\CRYO-2074-2308  1407 1E","folder")</f>
        <v>folder</v>
      </c>
    </row>
    <row r="168" spans="1:22">
      <c r="A168" s="368">
        <v>1408</v>
      </c>
      <c r="B168" s="134">
        <v>15.8</v>
      </c>
      <c r="C168">
        <v>1.52</v>
      </c>
      <c r="D168">
        <v>7.13</v>
      </c>
      <c r="E168">
        <v>24.38</v>
      </c>
      <c r="F168" s="169" t="s">
        <v>1450</v>
      </c>
      <c r="G168">
        <v>30</v>
      </c>
      <c r="H168">
        <v>68</v>
      </c>
      <c r="I168" s="217">
        <v>41625</v>
      </c>
      <c r="J168" t="s">
        <v>130</v>
      </c>
      <c r="K168">
        <v>33.450000000000003</v>
      </c>
      <c r="L168">
        <v>0.14000000000000001</v>
      </c>
      <c r="Q168" s="4" t="str">
        <f>HYPERLINK("\\Hopi-fs\shares\users\dhar\Stalk mount testing\Type 1e Quality Assurance\CRYO-2074-2309  1408 1E","folder")</f>
        <v>folder</v>
      </c>
    </row>
    <row r="169" spans="1:22">
      <c r="A169" s="368"/>
      <c r="I169" s="217"/>
      <c r="Q169" s="4"/>
    </row>
    <row r="170" spans="1:22">
      <c r="A170" s="368">
        <v>1411</v>
      </c>
      <c r="B170" s="134">
        <v>16</v>
      </c>
      <c r="C170">
        <v>1.51</v>
      </c>
      <c r="D170">
        <v>7.16</v>
      </c>
      <c r="E170">
        <v>24.34</v>
      </c>
      <c r="F170" s="169" t="s">
        <v>1451</v>
      </c>
      <c r="G170">
        <v>30</v>
      </c>
      <c r="H170">
        <v>68</v>
      </c>
      <c r="I170" s="217">
        <v>41625</v>
      </c>
      <c r="J170" t="s">
        <v>130</v>
      </c>
      <c r="K170">
        <v>33.44</v>
      </c>
      <c r="L170">
        <v>0.30199999999999999</v>
      </c>
      <c r="Q170" s="4" t="str">
        <f>HYPERLINK("\\Hopi-fs\shares\users\dhar\Stalk mount testing\Type 1e Quality Assurance\CRYO-2075-2310  1411 1E","folder")</f>
        <v>folder</v>
      </c>
    </row>
    <row r="171" spans="1:22">
      <c r="A171" s="373">
        <v>1411</v>
      </c>
      <c r="B171" s="134">
        <v>21</v>
      </c>
      <c r="F171" s="169"/>
      <c r="I171" s="217"/>
      <c r="Q171" s="4"/>
    </row>
    <row r="172" spans="1:22">
      <c r="A172" s="368">
        <v>1412</v>
      </c>
      <c r="B172" s="134">
        <v>17</v>
      </c>
      <c r="F172" s="169" t="s">
        <v>1452</v>
      </c>
      <c r="G172">
        <v>30</v>
      </c>
      <c r="H172">
        <v>68</v>
      </c>
      <c r="I172" s="217">
        <v>41625</v>
      </c>
      <c r="J172" t="s">
        <v>130</v>
      </c>
      <c r="K172">
        <v>33.5</v>
      </c>
      <c r="L172">
        <v>0.49</v>
      </c>
      <c r="Q172" s="4" t="str">
        <f>HYPERLINK("\\Hopi-fs\shares\users\dhar\Stalk mount testing\Type 1e Quality Assurance\CRYO-2073-2306 1412","folder")</f>
        <v>folder</v>
      </c>
      <c r="V172" s="407" t="s">
        <v>1907</v>
      </c>
    </row>
    <row r="173" spans="1:22">
      <c r="A173" s="368"/>
      <c r="I173" s="217"/>
      <c r="Q173" s="4"/>
    </row>
    <row r="174" spans="1:22">
      <c r="A174" s="368">
        <v>1413</v>
      </c>
      <c r="B174" s="134">
        <v>16.600000000000001</v>
      </c>
      <c r="F174" s="272" t="s">
        <v>1453</v>
      </c>
      <c r="G174">
        <v>30</v>
      </c>
      <c r="H174">
        <v>68</v>
      </c>
      <c r="I174" s="217">
        <v>41625</v>
      </c>
      <c r="J174" t="s">
        <v>130</v>
      </c>
      <c r="Q174" s="4" t="str">
        <f>HYPERLINK("\\Hopi-fs\shares\users\dhar\Stalk mount testing\Type 1e Quality Assurance\CRYO-2073-2307 1413","folder")</f>
        <v>folder</v>
      </c>
    </row>
    <row r="175" spans="1:22">
      <c r="A175" s="370">
        <v>1414</v>
      </c>
      <c r="B175" s="134">
        <v>17</v>
      </c>
      <c r="C175">
        <v>1.55</v>
      </c>
      <c r="D175">
        <v>7.1</v>
      </c>
      <c r="E175">
        <v>24.4</v>
      </c>
      <c r="F175" s="233" t="s">
        <v>1454</v>
      </c>
      <c r="G175">
        <v>27</v>
      </c>
      <c r="H175">
        <v>70</v>
      </c>
      <c r="I175" s="217">
        <v>41626</v>
      </c>
      <c r="J175" t="s">
        <v>130</v>
      </c>
      <c r="K175">
        <v>33.5</v>
      </c>
      <c r="L175">
        <v>0.91</v>
      </c>
      <c r="M175">
        <v>422</v>
      </c>
      <c r="Q175" s="4" t="str">
        <f>HYPERLINK("\\Hopi-fs\shares\users\dhar\Stalk mount testing\Type 1e Quality Assurance\CRYO-2074-2311 1414","folder")</f>
        <v>folder</v>
      </c>
      <c r="V175" s="407" t="s">
        <v>1456</v>
      </c>
    </row>
    <row r="176" spans="1:22">
      <c r="A176" s="370">
        <v>1417</v>
      </c>
      <c r="B176" s="134">
        <v>17.8</v>
      </c>
      <c r="C176">
        <v>1.5</v>
      </c>
      <c r="D176">
        <v>7.17</v>
      </c>
      <c r="E176">
        <v>24.4</v>
      </c>
      <c r="F176" s="233" t="s">
        <v>1455</v>
      </c>
      <c r="G176">
        <v>27</v>
      </c>
      <c r="H176">
        <v>70</v>
      </c>
      <c r="I176" s="217">
        <v>41626</v>
      </c>
      <c r="J176" t="s">
        <v>130</v>
      </c>
      <c r="K176">
        <v>33.5</v>
      </c>
      <c r="L176">
        <v>0.73</v>
      </c>
      <c r="M176">
        <v>414</v>
      </c>
      <c r="Q176" s="4" t="str">
        <f>HYPERLINK("\\Hopi-fs\shares\users\dhar\Stalk mount testing\Type 1e Quality Assurance\CRYO-2073-2312 1417","folder")</f>
        <v>folder</v>
      </c>
      <c r="V176" s="407" t="s">
        <v>1456</v>
      </c>
    </row>
    <row r="177" spans="1:22" ht="27" customHeight="1">
      <c r="A177" s="370">
        <v>1419</v>
      </c>
      <c r="B177" s="134">
        <v>16</v>
      </c>
      <c r="C177">
        <v>1.5</v>
      </c>
      <c r="D177">
        <v>7.1</v>
      </c>
      <c r="E177">
        <v>24.3</v>
      </c>
      <c r="F177" s="295" t="s">
        <v>1458</v>
      </c>
      <c r="G177">
        <v>24.1</v>
      </c>
      <c r="H177">
        <v>71.5</v>
      </c>
      <c r="I177" s="217">
        <v>41656</v>
      </c>
      <c r="J177" t="s">
        <v>130</v>
      </c>
      <c r="K177">
        <v>33.4</v>
      </c>
      <c r="L177">
        <v>0.436</v>
      </c>
      <c r="M177" t="s">
        <v>1532</v>
      </c>
      <c r="Q177" s="4" t="str">
        <f>HYPERLINK("\\hopi-fs\shares\users\dhar\Stalk mount testing\Type 1e Quality Assurance\CRYO-2075-2339 1419","folder")</f>
        <v>folder</v>
      </c>
      <c r="V177" s="407" t="s">
        <v>1539</v>
      </c>
    </row>
    <row r="178" spans="1:22">
      <c r="A178" s="368">
        <v>1420</v>
      </c>
      <c r="B178" s="136">
        <v>13</v>
      </c>
      <c r="F178" s="274" t="s">
        <v>1457</v>
      </c>
      <c r="G178">
        <v>24.1</v>
      </c>
      <c r="H178">
        <v>71.5</v>
      </c>
      <c r="I178" s="217">
        <v>41656</v>
      </c>
      <c r="J178" t="s">
        <v>130</v>
      </c>
    </row>
    <row r="179" spans="1:22">
      <c r="A179" s="370">
        <v>1420</v>
      </c>
      <c r="B179" s="134">
        <v>17.8</v>
      </c>
      <c r="C179">
        <v>1.51</v>
      </c>
      <c r="D179">
        <v>7.1</v>
      </c>
      <c r="E179">
        <v>24.4</v>
      </c>
      <c r="F179" s="280" t="s">
        <v>1459</v>
      </c>
      <c r="G179">
        <v>27</v>
      </c>
      <c r="H179">
        <v>67.5</v>
      </c>
      <c r="I179" s="217">
        <v>41659</v>
      </c>
      <c r="J179" t="s">
        <v>130</v>
      </c>
      <c r="K179">
        <v>33.5</v>
      </c>
      <c r="L179">
        <v>0.35</v>
      </c>
      <c r="M179">
        <v>430</v>
      </c>
      <c r="Q179" s="4" t="str">
        <f>HYPERLINK("\\hopi-fs\shares\users\dhar\Stalk mount testing\Type 1e Quality Assurance\CRYO-2071-2340 1420","folder")</f>
        <v>folder</v>
      </c>
      <c r="V179" s="407" t="s">
        <v>1472</v>
      </c>
    </row>
    <row r="180" spans="1:22">
      <c r="A180" s="370">
        <v>1421</v>
      </c>
      <c r="B180" s="134">
        <v>16</v>
      </c>
      <c r="C180">
        <v>1.51</v>
      </c>
      <c r="D180">
        <v>7.1</v>
      </c>
      <c r="E180">
        <v>24.3</v>
      </c>
      <c r="F180" s="19" t="s">
        <v>1460</v>
      </c>
      <c r="G180">
        <v>27</v>
      </c>
      <c r="H180">
        <v>67.5</v>
      </c>
      <c r="I180" s="217">
        <v>41659</v>
      </c>
      <c r="J180" t="s">
        <v>130</v>
      </c>
      <c r="K180">
        <v>33.5</v>
      </c>
      <c r="L180" s="13">
        <v>0.57999999999999996</v>
      </c>
      <c r="M180" s="13">
        <v>360</v>
      </c>
      <c r="Q180" s="4" t="str">
        <f>HYPERLINK("\\hopi-fs\shares\users\dhar\Stalk mount testing\Type 1e Quality Assurance\CRYO-2073-2341 1421","folder")</f>
        <v>folder</v>
      </c>
      <c r="V180" s="407" t="s">
        <v>1472</v>
      </c>
    </row>
    <row r="181" spans="1:22">
      <c r="A181" s="368">
        <v>1422</v>
      </c>
      <c r="B181" s="136">
        <v>16</v>
      </c>
      <c r="C181">
        <v>1.52</v>
      </c>
      <c r="D181">
        <v>7.16</v>
      </c>
      <c r="E181">
        <v>24.3</v>
      </c>
      <c r="F181" s="284" t="s">
        <v>1461</v>
      </c>
      <c r="G181">
        <v>27</v>
      </c>
      <c r="H181">
        <v>67.5</v>
      </c>
      <c r="I181" s="217">
        <v>41659</v>
      </c>
      <c r="J181" t="s">
        <v>130</v>
      </c>
      <c r="L181">
        <v>1</v>
      </c>
      <c r="Q181" s="4" t="str">
        <f>HYPERLINK("\\hopi-fs\shares\users\dhar\Stalk mount testing\Type 1e Quality Assurance\CRYO-2075-2336 1422","folder")</f>
        <v>folder</v>
      </c>
    </row>
    <row r="182" spans="1:22">
      <c r="A182" s="368">
        <v>1422</v>
      </c>
      <c r="B182" s="136"/>
      <c r="F182" s="284"/>
      <c r="I182" s="217"/>
      <c r="Q182" s="4"/>
    </row>
    <row r="183" spans="1:22">
      <c r="A183" s="368">
        <v>1423</v>
      </c>
      <c r="B183" s="134">
        <v>18.600000000000001</v>
      </c>
      <c r="C183">
        <v>1.52</v>
      </c>
      <c r="D183">
        <v>7.1</v>
      </c>
      <c r="E183">
        <v>24.3</v>
      </c>
      <c r="F183" s="287" t="s">
        <v>1462</v>
      </c>
      <c r="G183">
        <v>27</v>
      </c>
      <c r="H183">
        <v>67.5</v>
      </c>
      <c r="I183" s="217">
        <v>41659</v>
      </c>
      <c r="J183" t="s">
        <v>130</v>
      </c>
      <c r="K183">
        <v>33.4</v>
      </c>
      <c r="L183">
        <v>0.86</v>
      </c>
      <c r="M183">
        <v>412</v>
      </c>
      <c r="Q183" s="4" t="str">
        <f>HYPERLINK("\\hopi-fs\shares\users\dhar\Stalk mount testing\Type 1e Quality Assurance\CRYO-2075-2337 1423","folder")</f>
        <v>folder</v>
      </c>
      <c r="U183" s="507" t="s">
        <v>3846</v>
      </c>
    </row>
    <row r="184" spans="1:22">
      <c r="A184" s="368">
        <v>1424</v>
      </c>
      <c r="B184" s="134">
        <v>16.7</v>
      </c>
      <c r="C184">
        <v>1.5</v>
      </c>
      <c r="D184">
        <v>7.13</v>
      </c>
      <c r="E184">
        <v>24.3</v>
      </c>
      <c r="F184" s="278" t="s">
        <v>1463</v>
      </c>
      <c r="G184">
        <v>27</v>
      </c>
      <c r="H184">
        <v>67.5</v>
      </c>
      <c r="I184" s="217">
        <v>41659</v>
      </c>
      <c r="J184" t="s">
        <v>130</v>
      </c>
      <c r="K184">
        <v>33.4</v>
      </c>
      <c r="L184">
        <v>0.88</v>
      </c>
      <c r="M184">
        <v>384</v>
      </c>
      <c r="Q184" s="4" t="str">
        <f>HYPERLINK("\\hopi-fs\shares\users\dhar\Stalk mount testing\Type 1e Quality Assurance\CRYO-2074-2338 1424","folder")</f>
        <v>folder</v>
      </c>
    </row>
    <row r="185" spans="1:22">
      <c r="A185" s="368">
        <v>1429</v>
      </c>
      <c r="B185" s="134">
        <v>16.5</v>
      </c>
      <c r="E185">
        <v>24.4</v>
      </c>
      <c r="F185" s="274" t="s">
        <v>1464</v>
      </c>
      <c r="J185" t="s">
        <v>130</v>
      </c>
      <c r="K185">
        <v>33.5</v>
      </c>
      <c r="Q185" s="4" t="str">
        <f>HYPERLINK("\\hopi-fs\shares\users\dhar\Stalk mount testing\Type 1e Quality Assurance\CRYO-2074-2343 1429","folder")</f>
        <v>folder</v>
      </c>
    </row>
    <row r="186" spans="1:22">
      <c r="A186" s="368">
        <v>1429</v>
      </c>
      <c r="B186" s="134">
        <v>16</v>
      </c>
      <c r="C186">
        <v>1.52</v>
      </c>
      <c r="D186">
        <v>7.14</v>
      </c>
      <c r="E186">
        <v>24.4</v>
      </c>
      <c r="F186" s="233" t="s">
        <v>1488</v>
      </c>
      <c r="G186">
        <v>24.1</v>
      </c>
      <c r="H186">
        <v>70.900000000000006</v>
      </c>
      <c r="I186" s="217">
        <v>41690</v>
      </c>
      <c r="J186" t="s">
        <v>130</v>
      </c>
      <c r="K186">
        <v>33.4</v>
      </c>
      <c r="L186">
        <v>0.81499999999999995</v>
      </c>
      <c r="M186" s="13">
        <v>461</v>
      </c>
      <c r="Q186" s="4"/>
      <c r="V186" s="407" t="s">
        <v>1490</v>
      </c>
    </row>
    <row r="187" spans="1:22">
      <c r="A187" s="368">
        <v>1430</v>
      </c>
      <c r="B187" s="134">
        <v>16.5</v>
      </c>
      <c r="C187">
        <v>1.5</v>
      </c>
      <c r="D187">
        <v>7.16</v>
      </c>
      <c r="E187">
        <v>24.4</v>
      </c>
      <c r="F187" s="233" t="s">
        <v>1465</v>
      </c>
      <c r="G187">
        <v>16.8</v>
      </c>
      <c r="H187">
        <v>70</v>
      </c>
      <c r="I187" s="217">
        <v>41661</v>
      </c>
      <c r="J187" t="s">
        <v>130</v>
      </c>
      <c r="K187">
        <v>33.5</v>
      </c>
      <c r="L187">
        <v>0.49</v>
      </c>
      <c r="M187" t="s">
        <v>1470</v>
      </c>
      <c r="Q187" s="4" t="str">
        <f>HYPERLINK("\\hopi-fs\shares\users\dhar\Stalk mount testing\Type 1e Quality Assurance\CRYO-2072-2344 1430","folder")</f>
        <v>folder</v>
      </c>
      <c r="V187" s="407" t="s">
        <v>1472</v>
      </c>
    </row>
    <row r="188" spans="1:22">
      <c r="A188" s="368">
        <v>1431</v>
      </c>
      <c r="B188" s="136">
        <v>16</v>
      </c>
      <c r="C188">
        <v>1.51</v>
      </c>
      <c r="D188">
        <v>7.09</v>
      </c>
      <c r="E188">
        <v>24.4</v>
      </c>
      <c r="F188" s="233" t="s">
        <v>1466</v>
      </c>
      <c r="G188">
        <v>16.3</v>
      </c>
      <c r="H188">
        <v>70</v>
      </c>
      <c r="I188" s="217">
        <v>41661</v>
      </c>
      <c r="J188" t="s">
        <v>130</v>
      </c>
      <c r="K188">
        <v>33.450000000000003</v>
      </c>
      <c r="L188">
        <v>0.15</v>
      </c>
      <c r="M188" s="13">
        <v>371</v>
      </c>
      <c r="Q188" s="4" t="str">
        <f>HYPERLINK("\\hopi-fs\shares\users\dhar\Stalk mount testing\Type 1e Quality Assurance\CRYO-2074-2345 1431","folder")</f>
        <v>folder</v>
      </c>
      <c r="V188" s="407" t="s">
        <v>1472</v>
      </c>
    </row>
    <row r="189" spans="1:22">
      <c r="A189" s="368">
        <v>1434</v>
      </c>
      <c r="B189" s="134">
        <v>16.5</v>
      </c>
      <c r="C189">
        <v>1.5</v>
      </c>
      <c r="D189">
        <v>7.05</v>
      </c>
      <c r="E189">
        <v>24.5</v>
      </c>
      <c r="F189" s="279" t="s">
        <v>1468</v>
      </c>
      <c r="G189">
        <v>17</v>
      </c>
      <c r="H189">
        <v>70.5</v>
      </c>
      <c r="I189" s="217">
        <v>41663</v>
      </c>
      <c r="J189" t="s">
        <v>130</v>
      </c>
      <c r="K189">
        <v>33.4</v>
      </c>
      <c r="L189">
        <v>0.77</v>
      </c>
      <c r="M189" s="13">
        <v>414</v>
      </c>
      <c r="Q189" s="4" t="str">
        <f>HYPERLINK("\\hopi-fs\shares\users\dhar\Stalk mount testing\Type 1e Quality Assurance\CRYO-2073-2347 1434","folder")</f>
        <v>folder</v>
      </c>
      <c r="V189" s="407" t="s">
        <v>1472</v>
      </c>
    </row>
    <row r="190" spans="1:22">
      <c r="A190" s="368">
        <v>1435</v>
      </c>
      <c r="B190" s="134">
        <v>16.5</v>
      </c>
      <c r="C190">
        <v>1.56</v>
      </c>
      <c r="D190">
        <v>7.18</v>
      </c>
      <c r="E190">
        <v>24.3</v>
      </c>
      <c r="F190" s="19" t="s">
        <v>1469</v>
      </c>
      <c r="G190">
        <v>17</v>
      </c>
      <c r="H190">
        <v>70.5</v>
      </c>
      <c r="I190" s="217">
        <v>41663</v>
      </c>
      <c r="J190" t="s">
        <v>130</v>
      </c>
      <c r="K190">
        <v>33.5</v>
      </c>
      <c r="L190">
        <v>0.79</v>
      </c>
      <c r="M190" s="13">
        <v>354</v>
      </c>
      <c r="Q190" s="4" t="str">
        <f>HYPERLINK("\\hopi-fs\shares\users\dhar\Stalk mount testing\Type 1e Quality Assurance\CRYO-2073-2348 1435","folder")</f>
        <v>folder</v>
      </c>
      <c r="V190" s="407" t="s">
        <v>1472</v>
      </c>
    </row>
    <row r="191" spans="1:22">
      <c r="F191" s="169" t="s">
        <v>1467</v>
      </c>
    </row>
    <row r="192" spans="1:22">
      <c r="F192" s="169"/>
    </row>
    <row r="193" spans="1:22">
      <c r="F193" s="169"/>
    </row>
    <row r="194" spans="1:22" ht="51.75" customHeight="1">
      <c r="A194" s="374">
        <v>1436</v>
      </c>
      <c r="B194" s="134">
        <v>17.2</v>
      </c>
      <c r="C194">
        <v>1.5</v>
      </c>
      <c r="D194">
        <v>7.14</v>
      </c>
      <c r="E194">
        <v>24.4</v>
      </c>
      <c r="F194" s="274" t="s">
        <v>1473</v>
      </c>
      <c r="G194">
        <v>24.1</v>
      </c>
      <c r="H194">
        <v>70.2</v>
      </c>
      <c r="I194" s="423">
        <v>41684</v>
      </c>
      <c r="J194" t="s">
        <v>130</v>
      </c>
      <c r="K194">
        <v>33.4</v>
      </c>
      <c r="Q194" s="4" t="str">
        <f>HYPERLINK("\\hopi-fs\shares\users\dhar\Stalk mount testing\Type 1e Quality Assurance\CRYO-2083-2352 1436","folder")</f>
        <v>folder</v>
      </c>
    </row>
    <row r="195" spans="1:22">
      <c r="A195" s="368">
        <v>1436</v>
      </c>
      <c r="B195" s="134">
        <v>17.2</v>
      </c>
      <c r="C195">
        <v>1.5</v>
      </c>
      <c r="D195">
        <v>7.14</v>
      </c>
      <c r="E195">
        <v>24.4</v>
      </c>
      <c r="F195" s="233" t="s">
        <v>1486</v>
      </c>
      <c r="G195">
        <v>29.5</v>
      </c>
      <c r="H195">
        <v>70.7</v>
      </c>
      <c r="I195" s="217">
        <v>41689</v>
      </c>
      <c r="J195" t="s">
        <v>130</v>
      </c>
      <c r="K195">
        <v>33.299999999999997</v>
      </c>
      <c r="L195">
        <v>0.32</v>
      </c>
      <c r="M195" s="13" t="s">
        <v>1489</v>
      </c>
      <c r="Q195" s="4" t="str">
        <f>HYPERLINK("\\hopi-fs\shares\users\dhar\Stalk mount testing\Type 1e Quality Assurance\CRYO-2082-2363 1436","folder")</f>
        <v>folder</v>
      </c>
      <c r="V195" s="407" t="s">
        <v>1490</v>
      </c>
    </row>
    <row r="196" spans="1:22">
      <c r="A196" s="368">
        <v>1437</v>
      </c>
      <c r="B196" s="134">
        <v>18.8</v>
      </c>
      <c r="C196">
        <v>1.52</v>
      </c>
      <c r="D196">
        <v>7.16</v>
      </c>
      <c r="E196">
        <v>24.33</v>
      </c>
      <c r="F196" s="285" t="s">
        <v>1474</v>
      </c>
      <c r="G196">
        <v>24.1</v>
      </c>
      <c r="H196">
        <v>70.2</v>
      </c>
      <c r="I196" s="217">
        <v>41684</v>
      </c>
      <c r="J196" t="s">
        <v>130</v>
      </c>
      <c r="K196">
        <v>33.4</v>
      </c>
      <c r="L196">
        <v>0.19</v>
      </c>
      <c r="Q196" s="4" t="str">
        <f>HYPERLINK("\\hopi-fs\shares\users\dhar\Stalk mount testing\Type 1e Quality Assurance\CRYO-2085-2353 1437","folder")</f>
        <v>folder</v>
      </c>
      <c r="U196" s="507" t="s">
        <v>3846</v>
      </c>
    </row>
    <row r="197" spans="1:22">
      <c r="A197" s="368">
        <v>1438</v>
      </c>
      <c r="B197" s="134">
        <v>16.600000000000001</v>
      </c>
      <c r="C197">
        <v>1.5</v>
      </c>
      <c r="D197">
        <v>7.16</v>
      </c>
      <c r="E197">
        <v>24.33</v>
      </c>
      <c r="F197" s="287" t="s">
        <v>1475</v>
      </c>
      <c r="G197">
        <v>24.1</v>
      </c>
      <c r="H197">
        <v>70.2</v>
      </c>
      <c r="I197" s="217">
        <v>41684</v>
      </c>
      <c r="J197" t="s">
        <v>130</v>
      </c>
      <c r="K197">
        <v>33.299999999999997</v>
      </c>
      <c r="L197">
        <v>0.63</v>
      </c>
      <c r="M197">
        <v>462</v>
      </c>
      <c r="Q197" s="4" t="str">
        <f>HYPERLINK("\\hopi-fs\shares\users\dhar\Stalk mount testing\Type 1e Quality Assurance\CRYO-2082-2354 1438","folder")</f>
        <v>folder</v>
      </c>
      <c r="V197" s="407" t="s">
        <v>1490</v>
      </c>
    </row>
    <row r="198" spans="1:22">
      <c r="A198" s="374">
        <v>1440</v>
      </c>
      <c r="B198" s="134">
        <v>16.8</v>
      </c>
      <c r="C198">
        <v>1.5</v>
      </c>
      <c r="D198">
        <v>7.14</v>
      </c>
      <c r="E198">
        <v>24.36</v>
      </c>
      <c r="F198" s="283" t="s">
        <v>1476</v>
      </c>
      <c r="G198">
        <v>24.1</v>
      </c>
      <c r="H198">
        <v>70.2</v>
      </c>
      <c r="I198" s="217">
        <v>41684</v>
      </c>
      <c r="J198" t="s">
        <v>130</v>
      </c>
      <c r="K198" t="s">
        <v>448</v>
      </c>
      <c r="L198" t="s">
        <v>448</v>
      </c>
      <c r="Q198" s="4" t="str">
        <f>HYPERLINK("\\hopi-fs\shares\users\dhar\Stalk mount testing\Type 1e Quality Assurance\CRYO-2083-2355 1440","folder")</f>
        <v>folder</v>
      </c>
    </row>
    <row r="199" spans="1:22">
      <c r="A199" s="368">
        <v>1440</v>
      </c>
      <c r="B199" s="134">
        <v>16.8</v>
      </c>
      <c r="C199">
        <v>1.5</v>
      </c>
      <c r="D199">
        <v>7.14</v>
      </c>
      <c r="E199">
        <v>24.36</v>
      </c>
      <c r="F199" s="287" t="s">
        <v>1487</v>
      </c>
      <c r="G199">
        <v>30.6</v>
      </c>
      <c r="H199">
        <v>71.2</v>
      </c>
      <c r="I199" s="217">
        <v>41689</v>
      </c>
      <c r="J199" t="s">
        <v>130</v>
      </c>
      <c r="K199">
        <v>33.4</v>
      </c>
      <c r="L199">
        <v>0.15</v>
      </c>
      <c r="M199">
        <v>500</v>
      </c>
      <c r="Q199" s="4" t="str">
        <f>HYPERLINK("\\HOPI-FS\shares\users\dhar\Stalk mount testing\Type 1e Quality Assurance\CRYO-2084-2364 1440","folder")</f>
        <v>folder</v>
      </c>
      <c r="V199" s="407" t="s">
        <v>1490</v>
      </c>
    </row>
    <row r="200" spans="1:22">
      <c r="A200" s="368">
        <v>1442</v>
      </c>
      <c r="B200" s="134">
        <v>18</v>
      </c>
      <c r="C200">
        <v>1.5</v>
      </c>
      <c r="D200">
        <v>7.14</v>
      </c>
      <c r="E200">
        <v>24.33</v>
      </c>
      <c r="F200" s="287" t="s">
        <v>1477</v>
      </c>
      <c r="G200">
        <v>24.1</v>
      </c>
      <c r="H200">
        <v>70.2</v>
      </c>
      <c r="I200" s="217">
        <v>41684</v>
      </c>
      <c r="J200" t="s">
        <v>130</v>
      </c>
      <c r="K200">
        <v>33.299999999999997</v>
      </c>
      <c r="L200">
        <v>0.34</v>
      </c>
      <c r="M200">
        <v>436</v>
      </c>
      <c r="Q200" s="4" t="str">
        <f>HYPERLINK("\\hopi-fs\shares\users\dhar\Stalk mount testing\Type 1e Quality Assurance\CRYO-2083-2356 1442","folder")</f>
        <v>folder</v>
      </c>
      <c r="U200" s="507" t="s">
        <v>3855</v>
      </c>
    </row>
    <row r="201" spans="1:22">
      <c r="A201" s="368">
        <v>1443</v>
      </c>
      <c r="B201" s="134">
        <v>16.600000000000001</v>
      </c>
      <c r="C201">
        <v>1.5</v>
      </c>
      <c r="D201">
        <v>7.02</v>
      </c>
      <c r="E201">
        <v>24.3</v>
      </c>
      <c r="F201" s="287" t="s">
        <v>1478</v>
      </c>
      <c r="G201">
        <v>24.1</v>
      </c>
      <c r="H201">
        <v>70.2</v>
      </c>
      <c r="I201" s="217">
        <v>41684</v>
      </c>
      <c r="J201" t="s">
        <v>130</v>
      </c>
      <c r="K201">
        <v>33.200000000000003</v>
      </c>
      <c r="L201">
        <v>0.55500000000000005</v>
      </c>
      <c r="M201">
        <v>500</v>
      </c>
      <c r="Q201" s="4" t="str">
        <f>HYPERLINK("\\hopi-fs\shares\users\dhar\Stalk mount testing\Type 1e Quality Assurance\CRYO-2084-2357 1443","folder")</f>
        <v>folder</v>
      </c>
      <c r="U201" s="507" t="s">
        <v>3855</v>
      </c>
    </row>
    <row r="202" spans="1:22">
      <c r="A202" s="368">
        <v>1350</v>
      </c>
      <c r="B202" s="134">
        <v>17</v>
      </c>
      <c r="C202">
        <v>1.52</v>
      </c>
      <c r="D202">
        <v>7.11</v>
      </c>
      <c r="E202">
        <v>24.4</v>
      </c>
      <c r="F202" s="169" t="s">
        <v>1479</v>
      </c>
      <c r="G202">
        <v>18.600000000000001</v>
      </c>
      <c r="H202">
        <v>70.3</v>
      </c>
      <c r="I202" s="217">
        <v>41687</v>
      </c>
      <c r="J202" t="s">
        <v>130</v>
      </c>
      <c r="K202">
        <v>33.4</v>
      </c>
      <c r="L202">
        <v>0.54</v>
      </c>
      <c r="Q202" s="4" t="str">
        <f>HYPERLINK("\\HOPI-FS\shares\users\dhar\Stalk mount testing\Type 1e Quality Assurance\CRYO-2084-2358 1350","folder")</f>
        <v>folder</v>
      </c>
      <c r="U202" s="507" t="s">
        <v>3846</v>
      </c>
    </row>
    <row r="203" spans="1:22">
      <c r="A203" s="368">
        <v>1400</v>
      </c>
      <c r="B203" s="134">
        <v>18</v>
      </c>
      <c r="C203">
        <v>1.5</v>
      </c>
      <c r="D203">
        <v>7.16</v>
      </c>
      <c r="E203">
        <v>24.29</v>
      </c>
      <c r="F203" s="286" t="s">
        <v>1480</v>
      </c>
      <c r="G203">
        <v>18.600000000000001</v>
      </c>
      <c r="H203">
        <v>70.3</v>
      </c>
      <c r="I203" s="217">
        <v>41687</v>
      </c>
      <c r="J203" t="s">
        <v>130</v>
      </c>
      <c r="K203">
        <v>33.299999999999997</v>
      </c>
      <c r="L203">
        <v>0.65500000000000003</v>
      </c>
      <c r="M203">
        <v>500</v>
      </c>
      <c r="Q203" s="4" t="str">
        <f>HYPERLINK("\\HOPI-FS\shares\users\dhar\Stalk mount testing\Type 1e Quality Assurance\CRYO-2084-2359 1400","folder")</f>
        <v>folder</v>
      </c>
      <c r="V203" s="407" t="s">
        <v>1490</v>
      </c>
    </row>
    <row r="204" spans="1:22">
      <c r="F204" s="281" t="s">
        <v>1481</v>
      </c>
      <c r="G204" t="s">
        <v>1485</v>
      </c>
      <c r="I204" s="428"/>
    </row>
    <row r="205" spans="1:22">
      <c r="F205" s="282" t="s">
        <v>1482</v>
      </c>
      <c r="G205" t="s">
        <v>1483</v>
      </c>
      <c r="I205" s="428"/>
    </row>
    <row r="206" spans="1:22" ht="30.75" customHeight="1">
      <c r="A206" s="368">
        <v>1427</v>
      </c>
      <c r="B206" s="134">
        <v>19</v>
      </c>
      <c r="C206">
        <v>1.5</v>
      </c>
      <c r="D206">
        <v>7.16</v>
      </c>
      <c r="E206">
        <v>24.3</v>
      </c>
      <c r="F206" s="233" t="s">
        <v>1484</v>
      </c>
      <c r="G206" t="s">
        <v>169</v>
      </c>
      <c r="H206" t="s">
        <v>169</v>
      </c>
      <c r="I206" s="217">
        <v>41688</v>
      </c>
      <c r="J206" t="s">
        <v>130</v>
      </c>
      <c r="K206">
        <v>33.4</v>
      </c>
      <c r="L206">
        <v>0.67500000000000004</v>
      </c>
      <c r="M206">
        <v>466</v>
      </c>
      <c r="Q206" s="4" t="str">
        <f>HYPERLINK("\\HOPI-FS\shares\users\dhar\Stalk mount testing\Type 1e Quality Assurance\CRYO-2085-2362 1427","folder")</f>
        <v>folder</v>
      </c>
      <c r="V206" s="407" t="s">
        <v>1490</v>
      </c>
    </row>
    <row r="207" spans="1:22" ht="18.75" customHeight="1">
      <c r="A207" s="136">
        <v>1433</v>
      </c>
      <c r="B207" s="136"/>
      <c r="F207" s="428"/>
      <c r="I207" s="428"/>
    </row>
    <row r="208" spans="1:22" ht="24.75" customHeight="1">
      <c r="A208" s="136">
        <v>1444</v>
      </c>
      <c r="B208" s="134">
        <v>17</v>
      </c>
      <c r="C208">
        <v>1.56</v>
      </c>
      <c r="D208">
        <v>7.17</v>
      </c>
      <c r="E208">
        <v>24.34</v>
      </c>
      <c r="F208" s="19" t="s">
        <v>1492</v>
      </c>
      <c r="G208">
        <v>17.399999999999999</v>
      </c>
      <c r="H208">
        <v>70.400000000000006</v>
      </c>
      <c r="I208" s="217">
        <v>41696</v>
      </c>
      <c r="J208" t="s">
        <v>130</v>
      </c>
      <c r="K208">
        <v>33.5</v>
      </c>
      <c r="L208" s="98">
        <v>0.19500000000000001</v>
      </c>
      <c r="M208">
        <v>271</v>
      </c>
      <c r="Q208" s="4" t="str">
        <f>HYPERLINK("\\HOPI-FS\shares\users\dhar\Stalk mount testing\Type 1e Quality Assurance\CRYO-ISE-1Q14-07-02  1444","folder")</f>
        <v>folder</v>
      </c>
      <c r="T208" t="s">
        <v>1498</v>
      </c>
      <c r="U208" s="288" t="s">
        <v>670</v>
      </c>
      <c r="V208" s="407" t="s">
        <v>1586</v>
      </c>
    </row>
    <row r="209" spans="1:22">
      <c r="A209" s="136">
        <v>1445</v>
      </c>
      <c r="B209" s="134">
        <v>16</v>
      </c>
      <c r="C209">
        <v>1.52</v>
      </c>
      <c r="D209">
        <v>7.11</v>
      </c>
      <c r="E209">
        <v>24.3</v>
      </c>
      <c r="F209" s="19" t="s">
        <v>1491</v>
      </c>
      <c r="G209">
        <v>17.399999999999999</v>
      </c>
      <c r="H209">
        <v>70.400000000000006</v>
      </c>
      <c r="I209" s="217">
        <v>41696</v>
      </c>
      <c r="J209" t="s">
        <v>130</v>
      </c>
      <c r="K209">
        <v>33.4</v>
      </c>
      <c r="L209">
        <v>0.12</v>
      </c>
      <c r="M209">
        <v>304</v>
      </c>
      <c r="Q209" s="4" t="str">
        <f>HYPERLINK("\\HOPI-FS\shares\users\dhar\Stalk mount testing\Type 1e Quality Assurance\CRYO-ISE-1Q14-07-06 1445","folder")</f>
        <v>folder</v>
      </c>
      <c r="T209" t="s">
        <v>1498</v>
      </c>
      <c r="U209" s="288" t="s">
        <v>670</v>
      </c>
      <c r="V209" s="407" t="s">
        <v>1499</v>
      </c>
    </row>
    <row r="210" spans="1:22">
      <c r="A210" s="136">
        <v>1448</v>
      </c>
      <c r="B210" s="134">
        <v>17</v>
      </c>
      <c r="C210">
        <v>1.51</v>
      </c>
      <c r="D210">
        <v>7.11</v>
      </c>
      <c r="E210">
        <v>24.4</v>
      </c>
      <c r="F210" s="19" t="s">
        <v>1493</v>
      </c>
      <c r="G210">
        <v>17.399999999999999</v>
      </c>
      <c r="H210">
        <v>70.400000000000006</v>
      </c>
      <c r="I210" s="217">
        <v>41696</v>
      </c>
      <c r="J210" t="s">
        <v>130</v>
      </c>
      <c r="K210">
        <v>33.4</v>
      </c>
      <c r="L210">
        <v>0.6</v>
      </c>
      <c r="M210">
        <v>303</v>
      </c>
      <c r="Q210" s="4" t="str">
        <f>HYPERLINK("\\HOPI-FS\shares\users\dhar\Stalk mount testing\Type 1e Quality Assurance\CRYO-ISE-1Q14-07-07 1448","folder")</f>
        <v>folder</v>
      </c>
      <c r="T210" t="s">
        <v>1498</v>
      </c>
      <c r="U210" s="288" t="s">
        <v>670</v>
      </c>
      <c r="V210" s="407" t="s">
        <v>1586</v>
      </c>
    </row>
    <row r="211" spans="1:22">
      <c r="A211" s="136">
        <v>1450</v>
      </c>
      <c r="B211" s="134">
        <v>17</v>
      </c>
      <c r="C211">
        <v>1.53</v>
      </c>
      <c r="D211">
        <v>6.94</v>
      </c>
      <c r="E211">
        <v>24.3</v>
      </c>
      <c r="F211" s="19" t="s">
        <v>1496</v>
      </c>
      <c r="G211">
        <v>17.399999999999999</v>
      </c>
      <c r="H211">
        <v>70.400000000000006</v>
      </c>
      <c r="I211" s="217">
        <v>41696</v>
      </c>
      <c r="J211" t="s">
        <v>130</v>
      </c>
      <c r="K211">
        <v>33.4</v>
      </c>
      <c r="L211">
        <v>0.43</v>
      </c>
      <c r="M211">
        <v>319</v>
      </c>
      <c r="Q211" s="4" t="str">
        <f>HYPERLINK("\\HOPI-FS\shares\users\dhar\Stalk mount testing\Type 1e Quality Assurance\CRYO-ISE-1Q14-07-08 1450","folder")</f>
        <v>folder</v>
      </c>
      <c r="T211" t="s">
        <v>1498</v>
      </c>
      <c r="U211" s="288" t="s">
        <v>670</v>
      </c>
      <c r="V211" s="407" t="s">
        <v>1611</v>
      </c>
    </row>
    <row r="212" spans="1:22">
      <c r="A212" s="136">
        <v>1451</v>
      </c>
      <c r="B212" s="134">
        <v>18.600000000000001</v>
      </c>
      <c r="C212">
        <v>1.51</v>
      </c>
      <c r="D212">
        <v>7.12</v>
      </c>
      <c r="E212">
        <v>24.35</v>
      </c>
      <c r="F212" s="19" t="s">
        <v>1494</v>
      </c>
      <c r="G212">
        <v>17.399999999999999</v>
      </c>
      <c r="H212">
        <v>70.400000000000006</v>
      </c>
      <c r="I212" s="217">
        <v>41696</v>
      </c>
      <c r="J212" t="s">
        <v>130</v>
      </c>
      <c r="K212">
        <v>33.409999999999997</v>
      </c>
      <c r="L212">
        <v>0.56100000000000005</v>
      </c>
      <c r="M212" s="134" t="s">
        <v>1497</v>
      </c>
      <c r="Q212" s="4" t="str">
        <f>HYPERLINK("\\hopi-fs\shares\users\dhar\Stalk mount testing\Type 1e Quality Assurance\CRYO-ISE-1Q14-07-09  1451","folder")</f>
        <v>folder</v>
      </c>
      <c r="T212" t="s">
        <v>1498</v>
      </c>
      <c r="U212" s="288" t="s">
        <v>670</v>
      </c>
      <c r="V212" s="407" t="s">
        <v>1693</v>
      </c>
    </row>
    <row r="213" spans="1:22">
      <c r="A213" s="136">
        <v>1452</v>
      </c>
      <c r="B213" s="134">
        <v>16.600000000000001</v>
      </c>
      <c r="C213">
        <v>1.52</v>
      </c>
      <c r="D213">
        <v>7.08</v>
      </c>
      <c r="E213">
        <v>24.35</v>
      </c>
      <c r="F213" s="19" t="s">
        <v>1495</v>
      </c>
      <c r="G213">
        <v>17.399999999999999</v>
      </c>
      <c r="H213">
        <v>70.400000000000006</v>
      </c>
      <c r="I213" s="217">
        <v>41696</v>
      </c>
      <c r="J213" t="s">
        <v>130</v>
      </c>
      <c r="K213">
        <v>33.39</v>
      </c>
      <c r="L213">
        <v>0.67300000000000004</v>
      </c>
      <c r="M213">
        <v>313</v>
      </c>
      <c r="Q213" s="4" t="str">
        <f>HYPERLINK("\\hopi-fs\shares\users\dhar\Stalk mount testing\Type 1e Quality Assurance\CRYO-ISE-1Q14-07-11  1452","folder")</f>
        <v>folder</v>
      </c>
      <c r="T213" t="s">
        <v>1498</v>
      </c>
      <c r="U213" s="288" t="s">
        <v>670</v>
      </c>
      <c r="V213" s="407" t="s">
        <v>2087</v>
      </c>
    </row>
    <row r="214" spans="1:22" ht="46.5" customHeight="1">
      <c r="A214" s="136">
        <v>1453</v>
      </c>
      <c r="B214" s="134">
        <v>20</v>
      </c>
      <c r="C214">
        <v>1.52</v>
      </c>
      <c r="D214">
        <v>7.14</v>
      </c>
      <c r="E214">
        <v>24.35</v>
      </c>
      <c r="F214" s="233" t="s">
        <v>1500</v>
      </c>
      <c r="G214">
        <v>21.3</v>
      </c>
      <c r="H214">
        <v>70.400000000000006</v>
      </c>
      <c r="I214" s="217">
        <v>41711</v>
      </c>
      <c r="J214" t="s">
        <v>130</v>
      </c>
      <c r="K214">
        <v>33.46</v>
      </c>
      <c r="L214">
        <v>0.64300000000000002</v>
      </c>
      <c r="M214" s="13">
        <v>452</v>
      </c>
      <c r="Q214" s="4" t="str">
        <f>HYPERLINK("\\HOPI-FS\shares\users\dhar\Stalk mount testing\Type 1e Quality Assurance\CRYO-44135-196  1453 1E","folder")</f>
        <v>folder</v>
      </c>
      <c r="T214" t="s">
        <v>1498</v>
      </c>
      <c r="V214" s="407" t="s">
        <v>1510</v>
      </c>
    </row>
    <row r="215" spans="1:22">
      <c r="A215" s="136">
        <v>1454</v>
      </c>
      <c r="B215" s="134">
        <v>18.8</v>
      </c>
      <c r="C215">
        <v>1.51</v>
      </c>
      <c r="D215">
        <v>7.14</v>
      </c>
      <c r="E215">
        <v>24.34</v>
      </c>
      <c r="F215" s="176" t="s">
        <v>1502</v>
      </c>
      <c r="G215">
        <v>21.3</v>
      </c>
      <c r="H215">
        <v>70.400000000000006</v>
      </c>
      <c r="I215" s="217">
        <v>41711</v>
      </c>
      <c r="J215" t="s">
        <v>130</v>
      </c>
      <c r="K215">
        <v>33.42</v>
      </c>
      <c r="L215">
        <v>0.60099999999999998</v>
      </c>
      <c r="M215" s="428" t="s">
        <v>1509</v>
      </c>
      <c r="Q215" s="4" t="str">
        <f>HYPERLINK("\\HOPI-FS\shares\users\dhar\Stalk mount testing\Type 1e Quality Assurance\CRYO-44134-197  1454 1E","folder")</f>
        <v>folder</v>
      </c>
      <c r="T215" t="s">
        <v>1498</v>
      </c>
    </row>
    <row r="216" spans="1:22">
      <c r="A216" s="136">
        <v>1455</v>
      </c>
      <c r="B216" s="134">
        <v>19.8</v>
      </c>
      <c r="C216">
        <v>1.51</v>
      </c>
      <c r="D216">
        <v>7.14</v>
      </c>
      <c r="E216">
        <v>24.26</v>
      </c>
      <c r="F216" s="290" t="s">
        <v>1501</v>
      </c>
      <c r="G216">
        <v>21.3</v>
      </c>
      <c r="H216">
        <v>70.400000000000006</v>
      </c>
      <c r="I216" s="217">
        <v>41711</v>
      </c>
      <c r="J216" t="s">
        <v>130</v>
      </c>
      <c r="K216">
        <v>33.380000000000003</v>
      </c>
      <c r="L216">
        <v>0.68200000000000005</v>
      </c>
      <c r="M216">
        <v>423</v>
      </c>
      <c r="Q216" s="4" t="str">
        <f>HYPERLINK("\\HOPI-FS\shares\users\dhar\Stalk mount testing\Type 1e Quality Assurance\CRYO-44035-198  1455 1E","folder")</f>
        <v>folder</v>
      </c>
      <c r="T216" t="s">
        <v>1498</v>
      </c>
      <c r="V216" s="407" t="s">
        <v>1510</v>
      </c>
    </row>
    <row r="217" spans="1:22">
      <c r="A217" s="136">
        <v>1457</v>
      </c>
      <c r="B217" s="134">
        <v>19</v>
      </c>
      <c r="C217">
        <v>1.51</v>
      </c>
      <c r="D217">
        <v>7.14</v>
      </c>
      <c r="E217">
        <v>24.31</v>
      </c>
      <c r="F217" s="19" t="s">
        <v>1503</v>
      </c>
      <c r="G217">
        <v>21.3</v>
      </c>
      <c r="H217">
        <v>70.400000000000006</v>
      </c>
      <c r="I217" s="217">
        <v>41711</v>
      </c>
      <c r="J217" t="s">
        <v>130</v>
      </c>
      <c r="K217">
        <v>33.39</v>
      </c>
      <c r="L217">
        <v>0.74399999999999999</v>
      </c>
      <c r="M217">
        <v>414</v>
      </c>
      <c r="Q217" s="4" t="str">
        <f>HYPERLINK("\\HOPI-FS\shares\users\dhar\Stalk mount testing\Type 1e Quality Assurance\CRYO-43836-199  1457 1E","folder")</f>
        <v>folder</v>
      </c>
      <c r="T217" t="s">
        <v>1498</v>
      </c>
      <c r="V217" s="407" t="s">
        <v>1510</v>
      </c>
    </row>
    <row r="218" spans="1:22">
      <c r="A218" s="136">
        <v>1458</v>
      </c>
      <c r="B218" s="134">
        <v>18.399999999999999</v>
      </c>
      <c r="C218">
        <v>1.52</v>
      </c>
      <c r="D218">
        <v>7.11</v>
      </c>
      <c r="E218">
        <v>24.33</v>
      </c>
      <c r="F218" s="176" t="s">
        <v>1504</v>
      </c>
      <c r="G218">
        <v>21.3</v>
      </c>
      <c r="H218">
        <v>70.400000000000006</v>
      </c>
      <c r="I218" s="217">
        <v>41711</v>
      </c>
      <c r="J218" t="s">
        <v>130</v>
      </c>
      <c r="K218">
        <v>33.450000000000003</v>
      </c>
      <c r="L218">
        <v>0.95</v>
      </c>
      <c r="M218" s="428" t="s">
        <v>1509</v>
      </c>
      <c r="Q218" s="4" t="str">
        <f>HYPERLINK("\\HOPI-FS\shares\users\dhar\Stalk mount testing\Type 1e Quality Assurance\CRYO-44135-200 1458","folder")</f>
        <v>folder</v>
      </c>
      <c r="T218" t="s">
        <v>1498</v>
      </c>
    </row>
    <row r="219" spans="1:22">
      <c r="A219" s="136">
        <v>1458</v>
      </c>
      <c r="B219" s="134">
        <v>18.399999999999999</v>
      </c>
      <c r="C219">
        <v>1.52</v>
      </c>
      <c r="D219">
        <v>7.11</v>
      </c>
      <c r="E219">
        <v>24.4</v>
      </c>
      <c r="F219" s="291" t="s">
        <v>1507</v>
      </c>
      <c r="G219">
        <v>21.3</v>
      </c>
      <c r="H219">
        <v>70.400000000000006</v>
      </c>
      <c r="I219" s="217">
        <v>41711</v>
      </c>
      <c r="J219" t="s">
        <v>130</v>
      </c>
      <c r="K219">
        <v>33.4</v>
      </c>
      <c r="L219">
        <v>0.85</v>
      </c>
      <c r="M219" s="13">
        <v>410</v>
      </c>
      <c r="Q219" s="4" t="str">
        <f>HYPERLINK("\\HOPI-FS\shares\users\dhar\Stalk mount testing\Type 1e Quality Assurance\CRYO-44135-204 1458","folder")</f>
        <v>folder</v>
      </c>
      <c r="T219" t="s">
        <v>1498</v>
      </c>
      <c r="V219" s="407" t="s">
        <v>1510</v>
      </c>
    </row>
    <row r="220" spans="1:22">
      <c r="A220" s="136">
        <v>1460</v>
      </c>
      <c r="B220" s="134">
        <v>18.8</v>
      </c>
      <c r="C220">
        <v>1.51</v>
      </c>
      <c r="D220">
        <v>7.12</v>
      </c>
      <c r="E220">
        <v>24.32</v>
      </c>
      <c r="F220" s="233" t="s">
        <v>1508</v>
      </c>
      <c r="G220">
        <v>21.3</v>
      </c>
      <c r="H220">
        <v>70.400000000000006</v>
      </c>
      <c r="I220" s="217">
        <v>41711</v>
      </c>
      <c r="J220" t="s">
        <v>130</v>
      </c>
      <c r="K220">
        <v>33.4</v>
      </c>
      <c r="L220" s="13">
        <v>0.83</v>
      </c>
      <c r="M220" s="13">
        <v>445</v>
      </c>
      <c r="Q220" s="4" t="str">
        <f>HYPERLINK("\\HOPI-FS\shares\users\dhar\Stalk mount testing\Type 1e Quality Assurance\CRYO-44035-201 1460","folder")</f>
        <v>folder</v>
      </c>
      <c r="T220" t="s">
        <v>1498</v>
      </c>
      <c r="V220" s="407" t="s">
        <v>1510</v>
      </c>
    </row>
    <row r="221" spans="1:22">
      <c r="A221" s="136">
        <v>1407</v>
      </c>
      <c r="B221" s="134">
        <v>16.8</v>
      </c>
      <c r="C221">
        <v>1.51</v>
      </c>
      <c r="D221">
        <v>7.13</v>
      </c>
      <c r="E221">
        <v>24.38</v>
      </c>
      <c r="F221" s="291" t="s">
        <v>1505</v>
      </c>
      <c r="G221">
        <v>21.3</v>
      </c>
      <c r="H221">
        <v>70.400000000000006</v>
      </c>
      <c r="I221" s="217">
        <v>41711</v>
      </c>
      <c r="J221" t="s">
        <v>130</v>
      </c>
      <c r="K221">
        <v>33.5</v>
      </c>
      <c r="L221">
        <v>0.92</v>
      </c>
      <c r="M221" s="13">
        <v>406</v>
      </c>
      <c r="Q221" s="4" t="str">
        <f>HYPERLINK("\\HOPI-FS\shares\users\dhar\Stalk mount testing\Type 1e Quality Assurance\CRYO-44135-202 1407","folder")</f>
        <v>folder</v>
      </c>
      <c r="T221" t="s">
        <v>1498</v>
      </c>
      <c r="V221" s="407" t="s">
        <v>1510</v>
      </c>
    </row>
    <row r="222" spans="1:22">
      <c r="A222" s="136">
        <v>1412</v>
      </c>
      <c r="B222" s="134">
        <v>17</v>
      </c>
      <c r="C222">
        <v>1.5</v>
      </c>
      <c r="D222">
        <v>7.15</v>
      </c>
      <c r="E222">
        <v>24.4</v>
      </c>
      <c r="F222" s="289" t="s">
        <v>1506</v>
      </c>
      <c r="G222">
        <v>21.3</v>
      </c>
      <c r="H222">
        <v>70.400000000000006</v>
      </c>
      <c r="I222" s="217">
        <v>41711</v>
      </c>
      <c r="J222" t="s">
        <v>130</v>
      </c>
      <c r="K222">
        <v>33.5</v>
      </c>
      <c r="L222">
        <v>0.4</v>
      </c>
      <c r="M222" s="13">
        <v>444</v>
      </c>
      <c r="Q222" s="4" t="str">
        <f>HYPERLINK("\\HOPI-FS\shares\users\dhar\Stalk mount testing\Type 1e Quality Assurance\CRYO-44034-203 1412","folder")</f>
        <v>folder</v>
      </c>
      <c r="T222" t="s">
        <v>1498</v>
      </c>
    </row>
    <row r="223" spans="1:22" ht="36.75" customHeight="1">
      <c r="A223" s="136">
        <v>1469</v>
      </c>
      <c r="B223" s="134">
        <v>17.600000000000001</v>
      </c>
      <c r="C223">
        <v>1.53</v>
      </c>
      <c r="D223">
        <v>7.1</v>
      </c>
      <c r="E223">
        <v>24.39</v>
      </c>
      <c r="F223" s="290" t="s">
        <v>1511</v>
      </c>
      <c r="G223">
        <v>34.4</v>
      </c>
      <c r="H223">
        <v>71</v>
      </c>
      <c r="I223" s="217">
        <v>41733</v>
      </c>
      <c r="J223" t="s">
        <v>130</v>
      </c>
      <c r="K223">
        <v>33.4</v>
      </c>
      <c r="L223">
        <v>0.66900000000000004</v>
      </c>
      <c r="M223" s="13">
        <v>414</v>
      </c>
      <c r="Q223" s="4" t="str">
        <f>HYPERLINK("\\HOPI-FS\shares\users\dhar\Stalk mount testing\Type 1e Quality Assurance\CRYO-2074-2367  1469 1E","folder")</f>
        <v>folder</v>
      </c>
      <c r="T223" t="s">
        <v>1498</v>
      </c>
      <c r="V223" s="407" t="s">
        <v>1523</v>
      </c>
    </row>
    <row r="224" spans="1:22">
      <c r="A224" s="136">
        <v>1470</v>
      </c>
      <c r="B224" s="134">
        <v>19</v>
      </c>
      <c r="C224">
        <v>1.54</v>
      </c>
      <c r="D224">
        <v>7.1</v>
      </c>
      <c r="E224">
        <v>24.32</v>
      </c>
      <c r="F224" s="19" t="s">
        <v>1512</v>
      </c>
      <c r="G224">
        <v>34.4</v>
      </c>
      <c r="H224">
        <v>71</v>
      </c>
      <c r="I224" s="217">
        <v>41733</v>
      </c>
      <c r="J224" t="s">
        <v>130</v>
      </c>
      <c r="K224">
        <v>33.4</v>
      </c>
      <c r="L224">
        <v>0.44900000000000001</v>
      </c>
      <c r="M224">
        <v>446</v>
      </c>
      <c r="Q224" s="4" t="str">
        <f>HYPERLINK("\\HOPI-FS\shares\users\dhar\Stalk mount testing\Type 1e Quality Assurance\CRYO-2073-2369  1470 1E","folder")</f>
        <v>folder</v>
      </c>
      <c r="T224" t="s">
        <v>1498</v>
      </c>
      <c r="V224" s="407" t="s">
        <v>1523</v>
      </c>
    </row>
    <row r="225" spans="1:22">
      <c r="A225" s="136">
        <v>1472</v>
      </c>
      <c r="B225" s="134">
        <v>17.2</v>
      </c>
      <c r="C225">
        <v>1.5</v>
      </c>
      <c r="D225">
        <v>7.1</v>
      </c>
      <c r="E225">
        <v>24.4</v>
      </c>
      <c r="F225" s="290" t="s">
        <v>1513</v>
      </c>
      <c r="G225">
        <v>34.4</v>
      </c>
      <c r="H225">
        <v>71</v>
      </c>
      <c r="I225" s="217">
        <v>41733</v>
      </c>
      <c r="J225" t="s">
        <v>130</v>
      </c>
      <c r="K225">
        <v>33.450000000000003</v>
      </c>
      <c r="L225">
        <v>0.22800000000000001</v>
      </c>
      <c r="M225" s="13">
        <v>444</v>
      </c>
      <c r="Q225" s="4" t="str">
        <f>HYPERLINK("\\HOPI-FS\shares\users\dhar\Stalk mount testing\Type 1e Quality Assurance\CRYO-2073-2370  1472 1E","folder")</f>
        <v>folder</v>
      </c>
      <c r="T225" t="s">
        <v>1498</v>
      </c>
      <c r="V225" s="407" t="s">
        <v>1523</v>
      </c>
    </row>
    <row r="226" spans="1:22">
      <c r="A226" s="136">
        <v>1474</v>
      </c>
      <c r="B226" s="134">
        <v>17.399999999999999</v>
      </c>
      <c r="C226">
        <v>1.5</v>
      </c>
      <c r="D226">
        <v>7.15</v>
      </c>
      <c r="E226">
        <v>24.4</v>
      </c>
      <c r="F226" s="290" t="s">
        <v>1514</v>
      </c>
      <c r="G226">
        <v>34.4</v>
      </c>
      <c r="H226">
        <v>71</v>
      </c>
      <c r="I226" s="217">
        <v>41733</v>
      </c>
      <c r="J226" t="s">
        <v>130</v>
      </c>
      <c r="K226">
        <v>33.5</v>
      </c>
      <c r="L226">
        <v>0.33</v>
      </c>
      <c r="M226">
        <v>422</v>
      </c>
      <c r="Q226" s="4" t="str">
        <f>HYPERLINK("\\HOPI-FS\shares\users\dhar\Stalk mount testing\Type 1e Quality Assurance\CRYO-2073-2371  1474 1E","folder")</f>
        <v>folder</v>
      </c>
      <c r="T226" t="s">
        <v>1498</v>
      </c>
      <c r="V226" s="407" t="s">
        <v>1523</v>
      </c>
    </row>
    <row r="227" spans="1:22">
      <c r="A227" s="136">
        <v>1475</v>
      </c>
      <c r="B227" s="134">
        <v>18.8</v>
      </c>
      <c r="C227">
        <v>1.51</v>
      </c>
      <c r="D227">
        <v>7.1</v>
      </c>
      <c r="E227">
        <v>24.32</v>
      </c>
      <c r="F227" s="290" t="s">
        <v>1515</v>
      </c>
      <c r="G227">
        <v>34.4</v>
      </c>
      <c r="H227">
        <v>71</v>
      </c>
      <c r="I227" s="217">
        <v>41733</v>
      </c>
      <c r="J227" t="s">
        <v>130</v>
      </c>
      <c r="K227">
        <v>33.380000000000003</v>
      </c>
      <c r="L227">
        <v>0.371</v>
      </c>
      <c r="M227" t="s">
        <v>1534</v>
      </c>
      <c r="Q227" s="4" t="str">
        <f>HYPERLINK("\\HOPI-FS\shares\users\dhar\Stalk mount testing\Type 1e Quality Assurance\CRYO-2074-2372  1475 1E","folder")</f>
        <v>folder</v>
      </c>
      <c r="T227" t="s">
        <v>1498</v>
      </c>
      <c r="V227" s="407" t="s">
        <v>1540</v>
      </c>
    </row>
    <row r="228" spans="1:22">
      <c r="A228" s="136">
        <v>1477</v>
      </c>
      <c r="B228" s="134">
        <v>16.2</v>
      </c>
      <c r="C228">
        <v>1.52</v>
      </c>
      <c r="D228">
        <v>7.1</v>
      </c>
      <c r="E228">
        <v>24.37</v>
      </c>
      <c r="F228" s="290" t="s">
        <v>1516</v>
      </c>
      <c r="G228">
        <v>34.4</v>
      </c>
      <c r="H228">
        <v>71</v>
      </c>
      <c r="I228" s="217">
        <v>41733</v>
      </c>
      <c r="J228" t="s">
        <v>130</v>
      </c>
      <c r="K228">
        <v>33.44</v>
      </c>
      <c r="L228">
        <v>0.191</v>
      </c>
      <c r="M228">
        <v>427</v>
      </c>
      <c r="Q228" s="4" t="str">
        <f>HYPERLINK("\\HOPI-FS\shares\users\dhar\Stalk mount testing\Type 1e Quality Assurance\CRYO-2074-2377  1477 1E","folder")</f>
        <v>folder</v>
      </c>
      <c r="T228" t="s">
        <v>1498</v>
      </c>
      <c r="V228" s="407" t="s">
        <v>1523</v>
      </c>
    </row>
    <row r="229" spans="1:22">
      <c r="A229" s="136">
        <v>1481</v>
      </c>
      <c r="B229" s="134">
        <v>16.8</v>
      </c>
      <c r="C229">
        <v>1.52</v>
      </c>
      <c r="D229">
        <v>7.1</v>
      </c>
      <c r="E229">
        <v>24.32</v>
      </c>
      <c r="F229" s="19" t="s">
        <v>1517</v>
      </c>
      <c r="G229">
        <v>34.4</v>
      </c>
      <c r="H229">
        <v>71</v>
      </c>
      <c r="I229" s="217">
        <v>41733</v>
      </c>
      <c r="J229" t="s">
        <v>130</v>
      </c>
      <c r="K229">
        <v>33.369999999999997</v>
      </c>
      <c r="L229">
        <v>8.3000000000000004E-2</v>
      </c>
      <c r="M229">
        <v>409</v>
      </c>
      <c r="Q229" s="4" t="str">
        <f>HYPERLINK("\\HOPI-FS\shares\users\dhar\Stalk mount testing\Type 1e Quality Assurance\CRYO-2073-2378  1481 1E","folder")</f>
        <v>folder</v>
      </c>
      <c r="T229" t="s">
        <v>1498</v>
      </c>
      <c r="V229" s="407" t="s">
        <v>1523</v>
      </c>
    </row>
    <row r="230" spans="1:22">
      <c r="F230" s="292" t="s">
        <v>1518</v>
      </c>
      <c r="G230" t="s">
        <v>1524</v>
      </c>
      <c r="I230" s="428"/>
    </row>
    <row r="231" spans="1:22">
      <c r="F231" s="292" t="s">
        <v>1519</v>
      </c>
      <c r="G231" t="s">
        <v>1524</v>
      </c>
      <c r="I231" s="428"/>
    </row>
    <row r="232" spans="1:22">
      <c r="F232" s="292" t="s">
        <v>1520</v>
      </c>
      <c r="G232" t="s">
        <v>1524</v>
      </c>
      <c r="I232" s="428"/>
    </row>
    <row r="233" spans="1:22">
      <c r="F233" s="292" t="s">
        <v>1521</v>
      </c>
      <c r="G233" t="s">
        <v>1524</v>
      </c>
      <c r="I233" s="428"/>
    </row>
    <row r="234" spans="1:22">
      <c r="F234" s="292" t="s">
        <v>1522</v>
      </c>
      <c r="G234" t="s">
        <v>1524</v>
      </c>
      <c r="I234" s="428"/>
    </row>
    <row r="235" spans="1:22" ht="33.75" customHeight="1">
      <c r="F235" s="294" t="s">
        <v>1535</v>
      </c>
      <c r="G235" t="s">
        <v>1524</v>
      </c>
      <c r="I235" s="428"/>
    </row>
    <row r="236" spans="1:22">
      <c r="A236" s="134">
        <v>1476</v>
      </c>
      <c r="B236" s="134">
        <v>16</v>
      </c>
      <c r="C236">
        <v>1.53</v>
      </c>
      <c r="D236">
        <v>7.09</v>
      </c>
      <c r="E236">
        <v>24.31</v>
      </c>
      <c r="F236" s="296" t="s">
        <v>1525</v>
      </c>
      <c r="G236">
        <v>38.1</v>
      </c>
      <c r="H236">
        <v>71.5</v>
      </c>
      <c r="I236" s="217">
        <v>41764</v>
      </c>
      <c r="J236" t="s">
        <v>130</v>
      </c>
      <c r="K236">
        <v>33.369999999999997</v>
      </c>
      <c r="L236">
        <v>0.32100000000000001</v>
      </c>
      <c r="M236">
        <v>393</v>
      </c>
      <c r="Q236" s="4" t="str">
        <f>HYPERLINK("\\HOPI-FS\shares\users\dhar\Stalk mount testing\Type 1e Quality Assurance\CRYO-2074-2384  1476 1E","folder")</f>
        <v>folder</v>
      </c>
      <c r="S236" s="281"/>
      <c r="T236" t="s">
        <v>1498</v>
      </c>
      <c r="U236" t="s">
        <v>1740</v>
      </c>
    </row>
    <row r="237" spans="1:22">
      <c r="A237" s="134">
        <v>1485</v>
      </c>
      <c r="B237" s="134">
        <v>18.399999999999999</v>
      </c>
      <c r="C237">
        <v>1.52</v>
      </c>
      <c r="D237">
        <v>7.12</v>
      </c>
      <c r="E237">
        <v>24.33</v>
      </c>
      <c r="F237" s="292" t="s">
        <v>1526</v>
      </c>
      <c r="G237">
        <v>38.1</v>
      </c>
      <c r="H237">
        <v>71.5</v>
      </c>
      <c r="I237" s="217">
        <v>41764</v>
      </c>
      <c r="J237" t="s">
        <v>130</v>
      </c>
      <c r="K237">
        <v>33.4</v>
      </c>
      <c r="L237">
        <v>0.28199999999999997</v>
      </c>
      <c r="Q237" s="4" t="str">
        <f>HYPERLINK("\\HOPI-FS\shares\users\dhar\Stalk mount testing\Type 1e Quality Assurance\CRYO-2075-2385  1485 1E","folder")</f>
        <v>folder</v>
      </c>
      <c r="R237" t="s">
        <v>1538</v>
      </c>
      <c r="S237" s="281"/>
      <c r="T237" t="s">
        <v>1498</v>
      </c>
    </row>
    <row r="238" spans="1:22">
      <c r="A238" s="134">
        <v>1487</v>
      </c>
      <c r="B238" s="134">
        <v>16.600000000000001</v>
      </c>
      <c r="C238">
        <v>1.51</v>
      </c>
      <c r="D238">
        <v>7.13</v>
      </c>
      <c r="E238">
        <v>24.38</v>
      </c>
      <c r="F238" s="292" t="s">
        <v>1531</v>
      </c>
      <c r="G238">
        <v>40.200000000000003</v>
      </c>
      <c r="H238">
        <v>72.400000000000006</v>
      </c>
      <c r="I238" s="217">
        <v>41765</v>
      </c>
      <c r="J238" t="s">
        <v>130</v>
      </c>
      <c r="K238">
        <v>33.42</v>
      </c>
      <c r="L238">
        <v>0.26400000000000001</v>
      </c>
      <c r="Q238" s="4" t="str">
        <f>HYPERLINK("\\HOPI-FS\shares\users\dhar\Stalk mount testing\Type 1e Quality Assurance\CRYO-2072-2392  1487 1E","folder")</f>
        <v>folder</v>
      </c>
      <c r="R238" t="s">
        <v>1538</v>
      </c>
      <c r="S238" s="281"/>
      <c r="T238" t="s">
        <v>1498</v>
      </c>
    </row>
    <row r="239" spans="1:22">
      <c r="A239" s="134">
        <v>1488</v>
      </c>
      <c r="B239" s="134">
        <v>16</v>
      </c>
      <c r="C239">
        <v>1.51</v>
      </c>
      <c r="D239">
        <v>7.09</v>
      </c>
      <c r="E239">
        <v>24.42</v>
      </c>
      <c r="F239" s="296" t="s">
        <v>1527</v>
      </c>
      <c r="G239">
        <v>38.1</v>
      </c>
      <c r="H239">
        <v>71.5</v>
      </c>
      <c r="I239" s="217">
        <v>41764</v>
      </c>
      <c r="J239" t="s">
        <v>130</v>
      </c>
      <c r="K239">
        <v>33.46</v>
      </c>
      <c r="L239">
        <v>0.44</v>
      </c>
      <c r="M239">
        <v>406</v>
      </c>
      <c r="Q239" s="4" t="str">
        <f>HYPERLINK("\\HOPI-FS\shares\users\dhar\Stalk mount testing\Type 1e Quality Assurance\CRYO-2074-2387  1488 1E","folder")</f>
        <v>folder</v>
      </c>
      <c r="S239" s="281"/>
      <c r="T239" t="s">
        <v>1498</v>
      </c>
      <c r="U239" t="s">
        <v>1542</v>
      </c>
    </row>
    <row r="240" spans="1:22">
      <c r="A240" s="134">
        <v>1489</v>
      </c>
      <c r="B240" s="134">
        <v>17.2</v>
      </c>
      <c r="C240">
        <v>1.53</v>
      </c>
      <c r="D240">
        <v>7.12</v>
      </c>
      <c r="E240">
        <v>24.41</v>
      </c>
      <c r="F240" s="296" t="s">
        <v>1528</v>
      </c>
      <c r="G240">
        <v>38.1</v>
      </c>
      <c r="H240">
        <v>71.5</v>
      </c>
      <c r="I240" s="217">
        <v>41764</v>
      </c>
      <c r="J240" t="s">
        <v>130</v>
      </c>
      <c r="K240">
        <v>33.479999999999997</v>
      </c>
      <c r="L240">
        <v>0.44900000000000001</v>
      </c>
      <c r="M240">
        <v>400</v>
      </c>
      <c r="Q240" s="4" t="str">
        <f>HYPERLINK("\\HOPI-FS\shares\users\dhar\Stalk mount testing\Type 1e Quality Assurance\CRYO-2074-2388  1489 1E","folder")</f>
        <v>folder</v>
      </c>
      <c r="S240" s="281"/>
      <c r="T240" t="s">
        <v>1498</v>
      </c>
      <c r="U240" t="s">
        <v>1542</v>
      </c>
    </row>
    <row r="241" spans="1:21">
      <c r="A241" s="134">
        <v>1490</v>
      </c>
      <c r="B241" s="134">
        <v>16.8</v>
      </c>
      <c r="C241">
        <v>1.54</v>
      </c>
      <c r="D241">
        <v>7.08</v>
      </c>
      <c r="E241">
        <v>24.38</v>
      </c>
      <c r="F241" s="293" t="s">
        <v>1530</v>
      </c>
      <c r="G241">
        <v>38.1</v>
      </c>
      <c r="H241">
        <v>71.5</v>
      </c>
      <c r="I241" s="217">
        <v>41764</v>
      </c>
      <c r="J241" t="s">
        <v>130</v>
      </c>
      <c r="K241">
        <v>33.44</v>
      </c>
      <c r="L241">
        <v>0.17799999999999999</v>
      </c>
      <c r="M241" s="3">
        <v>332</v>
      </c>
      <c r="Q241" s="4" t="str">
        <f>HYPERLINK("\\HOPI-FS\shares\users\dhar\Stalk mount testing\Type 1e Quality Assurance\CRYO-2071-2390  1490 1E","folder")</f>
        <v>folder</v>
      </c>
      <c r="T241" t="s">
        <v>1498</v>
      </c>
    </row>
    <row r="242" spans="1:21">
      <c r="A242" s="134">
        <v>1491</v>
      </c>
      <c r="B242" s="134">
        <v>16.8</v>
      </c>
      <c r="C242">
        <v>1.52</v>
      </c>
      <c r="D242">
        <v>7.12</v>
      </c>
      <c r="E242">
        <v>24.39</v>
      </c>
      <c r="F242" s="296" t="s">
        <v>1529</v>
      </c>
      <c r="G242">
        <v>38.1</v>
      </c>
      <c r="H242">
        <v>71.5</v>
      </c>
      <c r="I242" s="217">
        <v>41764</v>
      </c>
      <c r="J242" t="s">
        <v>130</v>
      </c>
      <c r="K242">
        <v>33.46</v>
      </c>
      <c r="L242">
        <v>0.33800000000000002</v>
      </c>
      <c r="M242">
        <v>412</v>
      </c>
      <c r="Q242" s="4" t="str">
        <f>HYPERLINK("\\HOPI-FS\shares\users\dhar\Stalk mount testing\Type 1e Quality Assurance\CRYO-2072-2391  1491 1E","folder")</f>
        <v>folder</v>
      </c>
      <c r="S242" s="281"/>
      <c r="T242" t="s">
        <v>1498</v>
      </c>
      <c r="U242" t="s">
        <v>1542</v>
      </c>
    </row>
    <row r="243" spans="1:21">
      <c r="F243" s="294" t="s">
        <v>1536</v>
      </c>
      <c r="G243" t="s">
        <v>1524</v>
      </c>
      <c r="I243" s="428"/>
      <c r="S243" s="281"/>
    </row>
    <row r="244" spans="1:21">
      <c r="F244" s="294" t="s">
        <v>1537</v>
      </c>
      <c r="G244" t="s">
        <v>1524</v>
      </c>
      <c r="I244" s="428"/>
    </row>
    <row r="245" spans="1:21">
      <c r="A245" s="134">
        <v>1495</v>
      </c>
      <c r="B245" s="134">
        <v>17.600000000000001</v>
      </c>
      <c r="C245">
        <v>1.5</v>
      </c>
      <c r="D245">
        <v>7.06</v>
      </c>
      <c r="E245">
        <v>24.34</v>
      </c>
      <c r="F245" s="428"/>
      <c r="I245" s="428"/>
    </row>
    <row r="246" spans="1:21">
      <c r="A246" s="134">
        <v>1496</v>
      </c>
      <c r="B246" s="134">
        <v>17</v>
      </c>
      <c r="C246">
        <v>1.52</v>
      </c>
      <c r="D246">
        <v>7.13</v>
      </c>
      <c r="E246">
        <v>24.39</v>
      </c>
      <c r="F246" s="428"/>
      <c r="I246" s="428"/>
    </row>
    <row r="247" spans="1:21">
      <c r="A247" s="134">
        <v>1497</v>
      </c>
      <c r="B247" s="134">
        <v>16.399999999999999</v>
      </c>
      <c r="C247">
        <v>1.53</v>
      </c>
      <c r="D247">
        <v>7.08</v>
      </c>
      <c r="E247">
        <v>24.37</v>
      </c>
      <c r="F247" s="428"/>
      <c r="I247" s="428"/>
    </row>
    <row r="248" spans="1:21">
      <c r="A248" s="134">
        <v>1511</v>
      </c>
      <c r="B248" s="136">
        <v>16.2</v>
      </c>
      <c r="C248">
        <v>1.53</v>
      </c>
      <c r="D248">
        <v>7.32</v>
      </c>
      <c r="E248">
        <v>24.32</v>
      </c>
      <c r="F248" s="19" t="s">
        <v>1546</v>
      </c>
      <c r="G248">
        <v>62</v>
      </c>
      <c r="H248">
        <v>69</v>
      </c>
      <c r="I248" s="217">
        <v>41803</v>
      </c>
      <c r="J248" t="s">
        <v>130</v>
      </c>
      <c r="K248">
        <v>33.6</v>
      </c>
      <c r="L248">
        <v>0.505</v>
      </c>
      <c r="M248">
        <v>380</v>
      </c>
      <c r="Q248" s="4" t="str">
        <f>HYPERLINK("\\HOPI-FS\shares\users\dhar\Stalk mount testing\Type 1e Quality Assurance\DDC 1701 Cryo-14J Sample-1  1511 Si","folder")</f>
        <v>folder</v>
      </c>
      <c r="T248" t="s">
        <v>1498</v>
      </c>
      <c r="U248" s="507" t="s">
        <v>3846</v>
      </c>
    </row>
    <row r="249" spans="1:21">
      <c r="A249" s="134">
        <v>1513</v>
      </c>
      <c r="B249" s="136">
        <v>17.399999999999999</v>
      </c>
      <c r="C249">
        <v>1.56</v>
      </c>
      <c r="D249">
        <v>7.25</v>
      </c>
      <c r="E249">
        <v>24.45</v>
      </c>
      <c r="F249" s="19" t="s">
        <v>1547</v>
      </c>
      <c r="G249">
        <v>62</v>
      </c>
      <c r="H249">
        <v>69</v>
      </c>
      <c r="I249" s="217">
        <v>41803</v>
      </c>
      <c r="J249" t="s">
        <v>130</v>
      </c>
      <c r="K249">
        <v>33.69</v>
      </c>
      <c r="L249">
        <v>0.23899999999999999</v>
      </c>
      <c r="M249">
        <v>396</v>
      </c>
      <c r="Q249" s="4" t="str">
        <f>HYPERLINK("\\HOPI-FS\shares\users\dhar\Stalk mount testing\Type 1e Quality Assurance\DDC 1701 Cryo-14J Sample-2  1513 Si","folder")</f>
        <v>folder</v>
      </c>
      <c r="T249" t="s">
        <v>1498</v>
      </c>
      <c r="U249" s="507" t="s">
        <v>3846</v>
      </c>
    </row>
    <row r="250" spans="1:21" ht="33" customHeight="1">
      <c r="A250" s="134">
        <v>1514</v>
      </c>
      <c r="B250" s="134">
        <v>19.399999999999999</v>
      </c>
      <c r="C250">
        <v>1.53</v>
      </c>
      <c r="D250">
        <v>7.11</v>
      </c>
      <c r="E250">
        <v>24.34</v>
      </c>
      <c r="F250" s="428" t="s">
        <v>1552</v>
      </c>
      <c r="G250">
        <v>62</v>
      </c>
      <c r="H250">
        <v>69</v>
      </c>
      <c r="I250" s="217">
        <v>41807</v>
      </c>
      <c r="J250" t="s">
        <v>130</v>
      </c>
      <c r="K250">
        <v>33.409999999999997</v>
      </c>
      <c r="L250">
        <v>0.30599999999999999</v>
      </c>
      <c r="M250">
        <v>466</v>
      </c>
      <c r="Q250" s="4" t="str">
        <f>HYPERLINK("\\HOPI-FS\shares\users\dhar\Stalk mount testing\Type 1e Quality Assurance\CRYO-2070-2393  1514","folder")</f>
        <v>folder</v>
      </c>
      <c r="T250" t="s">
        <v>1498</v>
      </c>
    </row>
    <row r="251" spans="1:21">
      <c r="A251" s="134">
        <v>1515</v>
      </c>
      <c r="B251" s="134">
        <v>17</v>
      </c>
      <c r="C251">
        <v>1.56</v>
      </c>
      <c r="D251">
        <v>7.33</v>
      </c>
      <c r="E251">
        <v>24.26</v>
      </c>
      <c r="F251" s="428" t="s">
        <v>1553</v>
      </c>
      <c r="G251">
        <v>62</v>
      </c>
      <c r="H251">
        <v>69</v>
      </c>
      <c r="I251" s="217">
        <v>41807</v>
      </c>
      <c r="J251" t="s">
        <v>130</v>
      </c>
      <c r="K251">
        <v>33.6</v>
      </c>
      <c r="L251">
        <v>0.67200000000000004</v>
      </c>
      <c r="M251">
        <v>398</v>
      </c>
      <c r="Q251" s="4" t="str">
        <f>HYPERLINK("\\HOPI-FS\shares\users\dhar\Stalk mount testing\Type 1e Quality Assurance\CRYO-2070-2394  1515","folder")</f>
        <v>folder</v>
      </c>
      <c r="T251" t="s">
        <v>1498</v>
      </c>
    </row>
    <row r="252" spans="1:21">
      <c r="A252" s="134">
        <v>1516</v>
      </c>
      <c r="B252" s="134">
        <v>18.600000000000001</v>
      </c>
      <c r="C252">
        <v>1.53</v>
      </c>
      <c r="D252">
        <v>7.36</v>
      </c>
      <c r="E252">
        <v>24.3</v>
      </c>
      <c r="F252" s="19" t="s">
        <v>1559</v>
      </c>
      <c r="G252">
        <v>62</v>
      </c>
      <c r="H252">
        <v>69</v>
      </c>
      <c r="I252" s="217">
        <v>41808</v>
      </c>
      <c r="J252" t="s">
        <v>130</v>
      </c>
      <c r="K252">
        <v>33.64</v>
      </c>
      <c r="L252">
        <v>0.64400000000000002</v>
      </c>
      <c r="M252">
        <v>453</v>
      </c>
      <c r="Q252" s="4" t="str">
        <f>HYPERLINK("\\HOPI-FS\shares\users\dhar\Stalk mount testing\Type 1e Quality Assurance\CRYO-2071-2396  1516","folder")</f>
        <v>folder</v>
      </c>
      <c r="T252" t="s">
        <v>1498</v>
      </c>
      <c r="U252" t="s">
        <v>1570</v>
      </c>
    </row>
    <row r="253" spans="1:21">
      <c r="A253" s="134">
        <v>1518</v>
      </c>
      <c r="B253" s="134">
        <v>19</v>
      </c>
      <c r="C253">
        <v>1.54</v>
      </c>
      <c r="D253">
        <v>7.52</v>
      </c>
      <c r="E253">
        <v>24.45</v>
      </c>
      <c r="F253" s="19" t="s">
        <v>1561</v>
      </c>
      <c r="G253">
        <v>60</v>
      </c>
      <c r="H253">
        <v>69</v>
      </c>
      <c r="I253" s="217">
        <v>41809</v>
      </c>
      <c r="J253" t="s">
        <v>130</v>
      </c>
      <c r="K253">
        <v>33.950000000000003</v>
      </c>
      <c r="L253">
        <v>0.61699999999999999</v>
      </c>
      <c r="M253">
        <v>443</v>
      </c>
      <c r="Q253" s="4" t="str">
        <f>HYPERLINK("\\HOPI-FS\shares\users\dhar\Stalk mount testing\Type 1e Quality Assurance\CRYO-2072-2397  1518","folder")</f>
        <v>folder</v>
      </c>
      <c r="T253" t="s">
        <v>1498</v>
      </c>
      <c r="U253" t="s">
        <v>1570</v>
      </c>
    </row>
    <row r="254" spans="1:21" ht="50.25" customHeight="1">
      <c r="A254" s="134">
        <v>1479</v>
      </c>
      <c r="B254" s="134">
        <v>16</v>
      </c>
      <c r="C254">
        <v>1.5</v>
      </c>
      <c r="D254">
        <v>7.12</v>
      </c>
      <c r="E254">
        <v>24.33</v>
      </c>
      <c r="F254" s="290" t="s">
        <v>1571</v>
      </c>
      <c r="G254">
        <v>59.1</v>
      </c>
      <c r="H254">
        <v>70.3</v>
      </c>
      <c r="I254" s="217">
        <v>41829</v>
      </c>
      <c r="J254" t="s">
        <v>130</v>
      </c>
      <c r="K254">
        <v>33.409999999999997</v>
      </c>
      <c r="L254">
        <v>0.373</v>
      </c>
      <c r="M254">
        <v>372</v>
      </c>
      <c r="Q254" s="4" t="str">
        <f>HYPERLINK("\\HOPI-FS\shares\users\dhar\Stalk mount testing\Type 1e Quality Assurance\CRYO-2070-2415  1479 1E","folder")</f>
        <v>folder</v>
      </c>
      <c r="T254" t="s">
        <v>1498</v>
      </c>
      <c r="U254" t="s">
        <v>1587</v>
      </c>
    </row>
    <row r="255" spans="1:21">
      <c r="A255" s="134">
        <v>1480</v>
      </c>
      <c r="B255" s="134">
        <v>16</v>
      </c>
      <c r="C255">
        <v>1.51</v>
      </c>
      <c r="D255">
        <v>7.09</v>
      </c>
      <c r="E255">
        <v>24.39</v>
      </c>
      <c r="F255" s="19" t="s">
        <v>1572</v>
      </c>
      <c r="G255">
        <v>59.1</v>
      </c>
      <c r="H255">
        <v>70.3</v>
      </c>
      <c r="I255" s="217">
        <v>41829</v>
      </c>
      <c r="J255" t="s">
        <v>130</v>
      </c>
      <c r="K255">
        <v>33.44</v>
      </c>
      <c r="L255">
        <v>0.14499999999999999</v>
      </c>
      <c r="M255">
        <v>388</v>
      </c>
      <c r="Q255" s="4" t="str">
        <f>HYPERLINK("\\HOPI-FS\shares\users\dhar\Stalk mount testing\Type 1e Quality Assurance\CRYO-2072-2416  1480 1E","folder")</f>
        <v>folder</v>
      </c>
      <c r="T255" t="s">
        <v>1498</v>
      </c>
      <c r="U255" t="s">
        <v>1587</v>
      </c>
    </row>
    <row r="256" spans="1:21">
      <c r="A256" s="134">
        <v>1483</v>
      </c>
      <c r="B256" s="134">
        <v>18</v>
      </c>
      <c r="C256">
        <v>1.51</v>
      </c>
      <c r="D256">
        <v>7.12</v>
      </c>
      <c r="E256">
        <v>24.32</v>
      </c>
      <c r="F256" s="270" t="s">
        <v>1573</v>
      </c>
      <c r="G256">
        <v>59.1</v>
      </c>
      <c r="H256">
        <v>70.3</v>
      </c>
      <c r="I256" s="217">
        <v>41829</v>
      </c>
      <c r="J256" t="s">
        <v>130</v>
      </c>
      <c r="K256">
        <v>33.409999999999997</v>
      </c>
      <c r="L256">
        <v>0.54300000000000004</v>
      </c>
      <c r="Q256" s="4" t="str">
        <f>HYPERLINK("\\HOPI-FS\shares\users\dhar\Stalk mount testing\Type 1e Quality Assurance\CRYO-2074-2417  1483 1E","folder")</f>
        <v>folder</v>
      </c>
      <c r="T256" t="s">
        <v>1498</v>
      </c>
    </row>
    <row r="257" spans="1:21">
      <c r="A257" s="134">
        <v>1484</v>
      </c>
      <c r="B257" s="134">
        <v>19</v>
      </c>
      <c r="C257">
        <v>1.51</v>
      </c>
      <c r="D257">
        <v>7.14</v>
      </c>
      <c r="E257">
        <v>24.33</v>
      </c>
      <c r="F257" s="19" t="s">
        <v>1574</v>
      </c>
      <c r="G257">
        <v>59.1</v>
      </c>
      <c r="H257">
        <v>70.3</v>
      </c>
      <c r="I257" s="217">
        <v>41829</v>
      </c>
      <c r="J257" t="s">
        <v>130</v>
      </c>
      <c r="K257">
        <v>33.43</v>
      </c>
      <c r="L257">
        <v>0.622</v>
      </c>
      <c r="M257">
        <v>418</v>
      </c>
      <c r="Q257" s="4" t="str">
        <f>HYPERLINK("\\HOPI-FS\shares\users\dhar\Stalk mount testing\Type 1e Quality Assurance\CRYO-2073-2418  1484 1E","folder")</f>
        <v>folder</v>
      </c>
      <c r="T257" t="s">
        <v>1498</v>
      </c>
      <c r="U257" t="s">
        <v>1587</v>
      </c>
    </row>
    <row r="258" spans="1:21">
      <c r="A258" s="134">
        <v>1523</v>
      </c>
      <c r="B258" s="134">
        <v>18.600000000000001</v>
      </c>
      <c r="C258">
        <v>1.53</v>
      </c>
      <c r="D258">
        <v>7.13</v>
      </c>
      <c r="E258">
        <v>24.38</v>
      </c>
      <c r="F258" s="428" t="s">
        <v>1575</v>
      </c>
      <c r="G258">
        <v>59.1</v>
      </c>
      <c r="H258">
        <v>70.3</v>
      </c>
      <c r="I258" s="217">
        <v>41829</v>
      </c>
      <c r="J258" t="s">
        <v>130</v>
      </c>
      <c r="K258">
        <v>33.450000000000003</v>
      </c>
      <c r="L258">
        <v>0.42599999999999999</v>
      </c>
      <c r="M258">
        <v>448</v>
      </c>
      <c r="Q258" s="4" t="str">
        <f>HYPERLINK("\\HOPI-FS\shares\users\dhar\Stalk mount testing\Type 1e Quality Assurance\CRYO-2071-2419  1523 1E","folder")</f>
        <v>folder</v>
      </c>
      <c r="T258" t="s">
        <v>1498</v>
      </c>
      <c r="U258" s="507" t="s">
        <v>3855</v>
      </c>
    </row>
    <row r="259" spans="1:21">
      <c r="A259" s="134">
        <v>1524</v>
      </c>
      <c r="B259" s="134">
        <v>18.8</v>
      </c>
      <c r="C259">
        <v>1.52</v>
      </c>
      <c r="D259">
        <v>7.15</v>
      </c>
      <c r="E259">
        <v>24.36</v>
      </c>
      <c r="F259" s="176" t="s">
        <v>1577</v>
      </c>
      <c r="G259">
        <v>59.1</v>
      </c>
      <c r="H259">
        <v>70.3</v>
      </c>
      <c r="I259" s="217">
        <v>41829</v>
      </c>
      <c r="J259" t="s">
        <v>130</v>
      </c>
      <c r="K259">
        <v>33.46</v>
      </c>
      <c r="L259">
        <v>0.52500000000000002</v>
      </c>
      <c r="Q259" s="4" t="str">
        <f>HYPERLINK("\\HOPI-FS\shares\users\dhar\Stalk mount testing\Type 1e Quality Assurance\CRYO-2074-2420  1524 1E","folder")</f>
        <v>folder</v>
      </c>
      <c r="T259" t="s">
        <v>1498</v>
      </c>
    </row>
    <row r="260" spans="1:21">
      <c r="A260" s="134">
        <v>1527</v>
      </c>
      <c r="B260" s="134">
        <v>17.600000000000001</v>
      </c>
      <c r="C260">
        <v>1.51</v>
      </c>
      <c r="D260">
        <v>7.11</v>
      </c>
      <c r="E260">
        <v>24.34</v>
      </c>
      <c r="F260" s="290" t="s">
        <v>1576</v>
      </c>
      <c r="G260">
        <v>59.1</v>
      </c>
      <c r="H260">
        <v>70.3</v>
      </c>
      <c r="I260" s="217">
        <v>41829</v>
      </c>
      <c r="J260" t="s">
        <v>130</v>
      </c>
      <c r="K260">
        <v>33.39</v>
      </c>
      <c r="L260">
        <v>0.314</v>
      </c>
      <c r="M260">
        <v>448</v>
      </c>
      <c r="Q260" s="4" t="str">
        <f>HYPERLINK("\\HOPI-FS\shares\users\dhar\Stalk mount testing\Type 1e Quality Assurance\CRYO-2072-2421  1527 1E","folder")</f>
        <v>folder</v>
      </c>
      <c r="T260" t="s">
        <v>1498</v>
      </c>
    </row>
    <row r="261" spans="1:21">
      <c r="A261" s="134">
        <v>1528</v>
      </c>
      <c r="B261" s="134">
        <v>17.2</v>
      </c>
      <c r="C261">
        <v>1.52</v>
      </c>
      <c r="D261">
        <v>7.14</v>
      </c>
      <c r="E261">
        <v>24.34</v>
      </c>
      <c r="F261" s="290" t="s">
        <v>1578</v>
      </c>
      <c r="G261">
        <v>53</v>
      </c>
      <c r="H261">
        <v>70</v>
      </c>
      <c r="I261" s="217">
        <v>41831</v>
      </c>
      <c r="J261" t="s">
        <v>130</v>
      </c>
      <c r="K261">
        <v>33.44</v>
      </c>
      <c r="L261">
        <v>0.69499999999999995</v>
      </c>
      <c r="M261" s="13">
        <v>429</v>
      </c>
      <c r="Q261" s="4" t="str">
        <f>HYPERLINK("\\HOPI-FS\shares\users\dhar\Stalk mount testing\Type 1e Quality Assurance\CRYO-2072-2422  1528 1E","folder")</f>
        <v>folder</v>
      </c>
      <c r="T261" t="s">
        <v>1498</v>
      </c>
    </row>
    <row r="262" spans="1:21">
      <c r="A262" s="134">
        <v>1529</v>
      </c>
      <c r="B262" s="134">
        <v>16.600000000000001</v>
      </c>
      <c r="C262">
        <v>1.54</v>
      </c>
      <c r="D262">
        <v>7.15</v>
      </c>
      <c r="E262">
        <v>24.37</v>
      </c>
      <c r="F262" s="176" t="s">
        <v>1579</v>
      </c>
      <c r="G262">
        <v>53</v>
      </c>
      <c r="H262">
        <v>70</v>
      </c>
      <c r="I262" s="217">
        <v>41831</v>
      </c>
      <c r="J262" t="s">
        <v>130</v>
      </c>
      <c r="K262">
        <v>33.5</v>
      </c>
      <c r="L262" s="428" t="s">
        <v>1509</v>
      </c>
      <c r="Q262" s="4" t="str">
        <f>HYPERLINK("\\HOPI-FS\shares\users\dhar\Stalk mount testing\Type 1e Quality Assurance\CRYO-2073-2423  1529 1E","folder")</f>
        <v>folder</v>
      </c>
      <c r="T262" t="s">
        <v>1498</v>
      </c>
      <c r="U262" t="s">
        <v>1581</v>
      </c>
    </row>
    <row r="263" spans="1:21">
      <c r="A263" s="134">
        <v>1529</v>
      </c>
      <c r="B263" s="134">
        <v>17</v>
      </c>
      <c r="C263">
        <v>1.54</v>
      </c>
      <c r="D263">
        <v>7.15</v>
      </c>
      <c r="E263">
        <v>24.44</v>
      </c>
      <c r="F263" s="290" t="s">
        <v>1582</v>
      </c>
      <c r="G263">
        <v>59.1</v>
      </c>
      <c r="H263">
        <v>71.2</v>
      </c>
      <c r="I263" s="217">
        <v>41834</v>
      </c>
      <c r="J263" t="s">
        <v>130</v>
      </c>
      <c r="K263">
        <v>33.49</v>
      </c>
      <c r="L263" s="134">
        <v>0.51500000000000001</v>
      </c>
      <c r="M263">
        <v>432</v>
      </c>
      <c r="Q263" s="4" t="str">
        <f>HYPERLINK("\\HOPI-FS\shares\users\dhar\Stalk mount testing\Type 1e Quality Assurance\CRYO-2072-2425  1529 1E","folder")</f>
        <v>folder</v>
      </c>
      <c r="T263" t="s">
        <v>1498</v>
      </c>
      <c r="U263" t="s">
        <v>1587</v>
      </c>
    </row>
    <row r="264" spans="1:21">
      <c r="A264" s="134">
        <v>1530</v>
      </c>
      <c r="B264" s="134">
        <v>18.2</v>
      </c>
      <c r="C264">
        <v>1.53</v>
      </c>
      <c r="D264">
        <v>7.16</v>
      </c>
      <c r="E264">
        <v>24.32</v>
      </c>
      <c r="F264" s="19" t="s">
        <v>1580</v>
      </c>
      <c r="G264">
        <v>53</v>
      </c>
      <c r="H264">
        <v>70</v>
      </c>
      <c r="I264" s="217">
        <v>41831</v>
      </c>
      <c r="J264" t="s">
        <v>130</v>
      </c>
      <c r="K264">
        <v>33.43</v>
      </c>
      <c r="L264">
        <v>0.502</v>
      </c>
      <c r="M264">
        <v>428</v>
      </c>
      <c r="Q264" s="4" t="str">
        <f>HYPERLINK("\\HOPI-FS\shares\users\dhar\Stalk mount testing\Type 1e Quality Assurance\CRYO-2072-2424  1530 1E","folder")</f>
        <v>folder</v>
      </c>
      <c r="T264" t="s">
        <v>1498</v>
      </c>
      <c r="U264" t="s">
        <v>1587</v>
      </c>
    </row>
    <row r="265" spans="1:21">
      <c r="A265" s="136">
        <v>1364</v>
      </c>
      <c r="B265" s="134">
        <v>17.8</v>
      </c>
      <c r="C265">
        <v>1.53</v>
      </c>
      <c r="D265">
        <v>7.09</v>
      </c>
      <c r="E265">
        <v>24.4</v>
      </c>
      <c r="F265" s="19" t="s">
        <v>1583</v>
      </c>
      <c r="G265">
        <v>59.1</v>
      </c>
      <c r="H265">
        <v>71.2</v>
      </c>
      <c r="I265" s="217">
        <v>41834</v>
      </c>
      <c r="J265" t="s">
        <v>130</v>
      </c>
      <c r="K265">
        <v>33.47</v>
      </c>
      <c r="L265">
        <v>0.43</v>
      </c>
      <c r="M265">
        <v>413</v>
      </c>
      <c r="Q265" s="4" t="str">
        <f>HYPERLINK("\\HOPI-FS\shares\users\dhar\Stalk mount testing\Type 1e Quality Assurance\CRYO-2075-2429  1364 1E","folder")</f>
        <v>folder</v>
      </c>
      <c r="T265" t="s">
        <v>1498</v>
      </c>
      <c r="U265" t="s">
        <v>1587</v>
      </c>
    </row>
    <row r="266" spans="1:21">
      <c r="A266" s="136">
        <v>1372</v>
      </c>
      <c r="B266" s="134">
        <v>18.2</v>
      </c>
      <c r="C266">
        <v>1.51</v>
      </c>
      <c r="D266">
        <v>7.05</v>
      </c>
      <c r="E266">
        <v>24.33</v>
      </c>
      <c r="F266" s="176" t="s">
        <v>1584</v>
      </c>
      <c r="G266">
        <v>59.1</v>
      </c>
      <c r="H266">
        <v>71.2</v>
      </c>
      <c r="I266" s="217">
        <v>41834</v>
      </c>
      <c r="J266" t="s">
        <v>130</v>
      </c>
      <c r="K266">
        <v>33.33</v>
      </c>
      <c r="L266">
        <v>0.73699999999999999</v>
      </c>
      <c r="Q266" s="4" t="str">
        <f>HYPERLINK("\\HOPI-FS\shares\users\dhar\Stalk mount testing\Type 1e Quality Assurance\CRYO-2072-2427  1372 1E","folder")</f>
        <v>folder</v>
      </c>
      <c r="T266" t="s">
        <v>1498</v>
      </c>
    </row>
    <row r="267" spans="1:21">
      <c r="A267" s="136">
        <v>1382</v>
      </c>
      <c r="B267" s="134">
        <v>15.5</v>
      </c>
      <c r="C267">
        <v>1.49</v>
      </c>
      <c r="D267">
        <v>7.13</v>
      </c>
      <c r="E267">
        <v>24.35</v>
      </c>
      <c r="F267" s="299" t="s">
        <v>1585</v>
      </c>
      <c r="G267">
        <v>59.1</v>
      </c>
      <c r="H267">
        <v>71.2</v>
      </c>
      <c r="I267" s="217">
        <v>41834</v>
      </c>
      <c r="J267" t="s">
        <v>130</v>
      </c>
      <c r="K267">
        <v>33.4</v>
      </c>
      <c r="L267">
        <v>0.20499999999999999</v>
      </c>
      <c r="M267" s="313">
        <v>324</v>
      </c>
      <c r="Q267" s="4" t="str">
        <f>HYPERLINK("\\HOPI-FS\shares\users\dhar\Stalk mount testing\Type 1e Quality Assurance\CRYO-2072-2428  1382 1E","folder")</f>
        <v>folder</v>
      </c>
      <c r="T267" t="s">
        <v>1498</v>
      </c>
    </row>
    <row r="268" spans="1:21" ht="49.5" customHeight="1">
      <c r="A268" s="371">
        <v>1533</v>
      </c>
      <c r="B268" s="134">
        <v>18.399999999999999</v>
      </c>
      <c r="C268">
        <v>1.54</v>
      </c>
      <c r="D268">
        <v>7.12</v>
      </c>
      <c r="E268">
        <v>24.33</v>
      </c>
      <c r="F268" s="290" t="s">
        <v>1588</v>
      </c>
      <c r="G268">
        <v>62</v>
      </c>
      <c r="H268">
        <v>69.2</v>
      </c>
      <c r="I268" s="217">
        <v>41848</v>
      </c>
      <c r="J268" t="s">
        <v>130</v>
      </c>
      <c r="K268">
        <v>33.42</v>
      </c>
      <c r="L268">
        <v>0.67200000000000004</v>
      </c>
      <c r="M268">
        <v>418</v>
      </c>
      <c r="Q268" s="4" t="str">
        <f>HYPERLINK("\\HOPI-FS\shares\users\dhar\Stalk mount testing\Type 1e Quality Assurance\CRYO-2074-2430  1533 1E","folder")</f>
        <v>folder</v>
      </c>
      <c r="T268" t="s">
        <v>1498</v>
      </c>
      <c r="U268" t="s">
        <v>1598</v>
      </c>
    </row>
    <row r="269" spans="1:21">
      <c r="A269" s="371">
        <v>1537</v>
      </c>
      <c r="B269" s="134">
        <v>19</v>
      </c>
      <c r="C269">
        <v>1.51</v>
      </c>
      <c r="D269">
        <v>7.18</v>
      </c>
      <c r="E269">
        <v>24.36</v>
      </c>
      <c r="F269" s="290" t="s">
        <v>1589</v>
      </c>
      <c r="G269">
        <v>62</v>
      </c>
      <c r="H269">
        <v>69.2</v>
      </c>
      <c r="I269" s="217">
        <v>41848</v>
      </c>
      <c r="J269" t="s">
        <v>130</v>
      </c>
      <c r="K269">
        <v>33.49</v>
      </c>
      <c r="L269">
        <v>0.66</v>
      </c>
      <c r="M269">
        <v>437</v>
      </c>
      <c r="Q269" s="4" t="str">
        <f>HYPERLINK("\\HOPI-FS\shares\users\dhar\Stalk mount testing\Type 1e Quality Assurance\CRYO-2075-2431  1537 1E","folder")</f>
        <v>folder</v>
      </c>
      <c r="T269" t="s">
        <v>1498</v>
      </c>
      <c r="U269" t="s">
        <v>1598</v>
      </c>
    </row>
    <row r="270" spans="1:21">
      <c r="A270" s="371">
        <v>1536</v>
      </c>
      <c r="B270" s="134">
        <v>16.399999999999999</v>
      </c>
      <c r="C270">
        <v>1.48</v>
      </c>
      <c r="D270">
        <v>7.13</v>
      </c>
      <c r="E270">
        <v>24.42</v>
      </c>
      <c r="F270" s="290" t="s">
        <v>1590</v>
      </c>
      <c r="G270">
        <v>62</v>
      </c>
      <c r="H270">
        <v>69.2</v>
      </c>
      <c r="I270" s="217">
        <v>41848</v>
      </c>
      <c r="J270" t="s">
        <v>130</v>
      </c>
      <c r="K270">
        <v>33.47</v>
      </c>
      <c r="L270">
        <v>0.371</v>
      </c>
      <c r="M270">
        <v>391</v>
      </c>
      <c r="Q270" s="4" t="str">
        <f>HYPERLINK("\\HOPI-FS\shares\users\dhar\Stalk mount testing\Type 1e Quality Assurance\CRYO-2074-2432  1536 1E","folder")</f>
        <v>folder</v>
      </c>
      <c r="T270" t="s">
        <v>1498</v>
      </c>
      <c r="U270" t="s">
        <v>1598</v>
      </c>
    </row>
    <row r="271" spans="1:21">
      <c r="A271" s="371">
        <v>1539</v>
      </c>
      <c r="B271" s="136">
        <v>16</v>
      </c>
      <c r="C271">
        <v>1.52</v>
      </c>
      <c r="D271">
        <v>7.15</v>
      </c>
      <c r="E271">
        <v>24.35</v>
      </c>
      <c r="F271" s="290" t="s">
        <v>1591</v>
      </c>
      <c r="G271">
        <v>62</v>
      </c>
      <c r="H271">
        <v>69.2</v>
      </c>
      <c r="I271" s="217">
        <v>41848</v>
      </c>
      <c r="J271" t="s">
        <v>130</v>
      </c>
      <c r="K271">
        <v>33.450000000000003</v>
      </c>
      <c r="L271">
        <v>0.54500000000000004</v>
      </c>
      <c r="M271">
        <v>382</v>
      </c>
      <c r="Q271" s="4" t="str">
        <f>HYPERLINK("\\HOPI-FS\shares\users\dhar\Stalk mount testing\Type 1e Quality Assurance\CRYO-2072-2434  1539 1E","folder")</f>
        <v>folder</v>
      </c>
      <c r="T271" t="s">
        <v>1498</v>
      </c>
      <c r="U271" t="s">
        <v>3846</v>
      </c>
    </row>
    <row r="272" spans="1:21">
      <c r="A272" s="371">
        <v>1540</v>
      </c>
      <c r="B272" s="134">
        <v>19.399999999999999</v>
      </c>
      <c r="C272">
        <v>1.5</v>
      </c>
      <c r="D272">
        <v>7.18</v>
      </c>
      <c r="E272">
        <v>24.36</v>
      </c>
      <c r="F272" s="176" t="s">
        <v>1592</v>
      </c>
      <c r="G272">
        <v>62</v>
      </c>
      <c r="H272">
        <v>69.2</v>
      </c>
      <c r="I272" s="217">
        <v>41848</v>
      </c>
      <c r="J272" t="s">
        <v>130</v>
      </c>
      <c r="K272">
        <v>33.4</v>
      </c>
      <c r="L272">
        <v>0.434</v>
      </c>
      <c r="Q272" s="4" t="str">
        <f>HYPERLINK("\\HOPI-FS\shares\users\dhar\Stalk mount testing\Type 1e Quality Assurance\CRYO-2073-2435  1540 1E","folder")</f>
        <v>folder</v>
      </c>
      <c r="T272" t="s">
        <v>1498</v>
      </c>
    </row>
    <row r="273" spans="1:23">
      <c r="A273" s="371">
        <v>1540</v>
      </c>
      <c r="B273" s="134">
        <v>18</v>
      </c>
      <c r="C273">
        <v>1.52</v>
      </c>
      <c r="D273">
        <v>7.12</v>
      </c>
      <c r="E273">
        <v>24.36</v>
      </c>
      <c r="F273" s="290" t="s">
        <v>1596</v>
      </c>
      <c r="G273">
        <v>59</v>
      </c>
      <c r="H273">
        <v>69</v>
      </c>
      <c r="I273" s="217">
        <v>41850</v>
      </c>
      <c r="J273" t="s">
        <v>130</v>
      </c>
      <c r="K273">
        <v>33.43</v>
      </c>
      <c r="L273">
        <v>0.47499999999999998</v>
      </c>
      <c r="M273">
        <v>433</v>
      </c>
      <c r="Q273" s="4" t="str">
        <f>HYPERLINK("\\HOPI-FS\shares\users\dhar\Stalk mount testing\Type 1e Quality Assurance\CRYO-2075-2440  1540 1E","folder")</f>
        <v>folder</v>
      </c>
      <c r="T273" t="s">
        <v>1498</v>
      </c>
      <c r="U273" t="s">
        <v>1598</v>
      </c>
    </row>
    <row r="274" spans="1:23">
      <c r="A274" s="371">
        <v>1543</v>
      </c>
      <c r="B274" s="134">
        <v>17.600000000000001</v>
      </c>
      <c r="C274">
        <v>1.49</v>
      </c>
      <c r="D274">
        <v>7.11</v>
      </c>
      <c r="E274">
        <v>24.38</v>
      </c>
      <c r="F274" s="290" t="s">
        <v>1593</v>
      </c>
      <c r="G274">
        <v>62</v>
      </c>
      <c r="H274">
        <v>69.2</v>
      </c>
      <c r="I274" s="217">
        <v>41848</v>
      </c>
      <c r="J274" t="s">
        <v>130</v>
      </c>
      <c r="K274">
        <v>33.409999999999997</v>
      </c>
      <c r="L274">
        <v>0.501</v>
      </c>
      <c r="M274">
        <v>404</v>
      </c>
      <c r="Q274" s="4" t="str">
        <f>HYPERLINK("\\HOPI-FS\shares\users\dhar\Stalk mount testing\Type 1e Quality Assurance\CRYO-2073-2436  1543 1E","folder")</f>
        <v>folder</v>
      </c>
      <c r="T274" t="s">
        <v>1498</v>
      </c>
      <c r="U274" t="s">
        <v>1598</v>
      </c>
    </row>
    <row r="275" spans="1:23">
      <c r="A275" s="371">
        <v>1545</v>
      </c>
      <c r="B275" s="134">
        <v>18</v>
      </c>
      <c r="C275">
        <v>1.52</v>
      </c>
      <c r="D275">
        <v>7.12</v>
      </c>
      <c r="E275">
        <v>24.33</v>
      </c>
      <c r="F275" s="176" t="s">
        <v>1594</v>
      </c>
      <c r="G275">
        <v>62</v>
      </c>
      <c r="H275">
        <v>69.2</v>
      </c>
      <c r="I275" s="217">
        <v>41848</v>
      </c>
      <c r="J275" t="s">
        <v>130</v>
      </c>
      <c r="K275">
        <v>33.42</v>
      </c>
      <c r="L275">
        <v>0.73899999999999999</v>
      </c>
      <c r="Q275" s="4" t="str">
        <f>HYPERLINK("\\HOPI-FS\shares\users\dhar\Stalk mount testing\Type 1e Quality Assurance\CRYO-2072-2437  1545 1E","folder")</f>
        <v>folder</v>
      </c>
      <c r="T275" t="s">
        <v>1498</v>
      </c>
    </row>
    <row r="276" spans="1:23">
      <c r="A276" s="371">
        <v>1545</v>
      </c>
      <c r="B276" s="134">
        <v>19</v>
      </c>
      <c r="C276">
        <v>1.49</v>
      </c>
      <c r="D276">
        <v>7.12</v>
      </c>
      <c r="E276">
        <v>24.34</v>
      </c>
      <c r="F276" s="290" t="s">
        <v>1597</v>
      </c>
      <c r="G276">
        <v>59</v>
      </c>
      <c r="H276">
        <v>69</v>
      </c>
      <c r="I276" s="217">
        <v>41850</v>
      </c>
      <c r="J276" t="s">
        <v>130</v>
      </c>
      <c r="K276">
        <v>33.4</v>
      </c>
      <c r="L276">
        <v>0.52200000000000002</v>
      </c>
      <c r="M276">
        <v>465</v>
      </c>
      <c r="Q276" s="4" t="str">
        <f>HYPERLINK("\\HOPI-FS\shares\users\dhar\Stalk mount testing\Type 1e Quality Assurance\CRYO-2077-2441  1545 1E","folder")</f>
        <v>folder</v>
      </c>
      <c r="T276" t="s">
        <v>1498</v>
      </c>
    </row>
    <row r="277" spans="1:23">
      <c r="A277" s="371">
        <v>1547</v>
      </c>
      <c r="B277" s="134">
        <v>18.2</v>
      </c>
      <c r="C277">
        <v>1.51</v>
      </c>
      <c r="D277">
        <v>7.15</v>
      </c>
      <c r="E277">
        <v>24.37</v>
      </c>
      <c r="F277" s="290" t="s">
        <v>1595</v>
      </c>
      <c r="G277">
        <v>62</v>
      </c>
      <c r="H277">
        <v>69.2</v>
      </c>
      <c r="I277" s="217">
        <v>41848</v>
      </c>
      <c r="J277" t="s">
        <v>130</v>
      </c>
      <c r="K277">
        <v>33.479999999999997</v>
      </c>
      <c r="L277">
        <v>0.50700000000000001</v>
      </c>
      <c r="M277">
        <v>455</v>
      </c>
      <c r="Q277" s="4" t="str">
        <f>HYPERLINK("\\HOPI-FS\shares\users\dhar\Stalk mount testing\Type 1e Quality Assurance\CRYO-2073-2438  1547 1E","folder")</f>
        <v>folder</v>
      </c>
      <c r="T277" t="s">
        <v>1498</v>
      </c>
      <c r="U277" t="s">
        <v>1598</v>
      </c>
    </row>
    <row r="278" spans="1:23" ht="41.25" customHeight="1">
      <c r="A278" s="371">
        <v>1544</v>
      </c>
      <c r="B278" s="134">
        <v>18.2</v>
      </c>
      <c r="C278">
        <v>1.52</v>
      </c>
      <c r="D278">
        <v>7.15</v>
      </c>
      <c r="E278">
        <v>24.33</v>
      </c>
      <c r="F278" s="270" t="s">
        <v>1607</v>
      </c>
      <c r="G278">
        <v>56.6</v>
      </c>
      <c r="H278">
        <v>68.599999999999994</v>
      </c>
      <c r="I278" s="217">
        <v>41878</v>
      </c>
      <c r="J278" t="s">
        <v>130</v>
      </c>
      <c r="K278">
        <v>33.43</v>
      </c>
      <c r="L278">
        <v>0.13700000000000001</v>
      </c>
      <c r="M278" s="13"/>
      <c r="Q278" s="4" t="str">
        <f>HYPERLINK("\\HOPI-FS\shares\users\dhar\Stalk mount testing\Type 1e Quality Assurance\CRYO-2082-2447 1544","folder")</f>
        <v>folder</v>
      </c>
    </row>
    <row r="279" spans="1:23" ht="21.75" customHeight="1">
      <c r="A279" s="371">
        <v>1544</v>
      </c>
      <c r="B279" s="134">
        <v>18.2</v>
      </c>
      <c r="C279">
        <v>1.52</v>
      </c>
      <c r="D279">
        <v>7.15</v>
      </c>
      <c r="E279">
        <v>24.33</v>
      </c>
      <c r="F279" s="310" t="s">
        <v>1655</v>
      </c>
      <c r="I279" s="217">
        <v>41996</v>
      </c>
      <c r="J279" t="s">
        <v>153</v>
      </c>
      <c r="K279">
        <v>33.5</v>
      </c>
      <c r="L279">
        <v>0.11700000000000001</v>
      </c>
      <c r="M279" s="13"/>
      <c r="Q279" s="4" t="str">
        <f>HYPERLINK("\\HOPI-FS\shares\users\dhar\Stalk mount testing\Type 1e Quality Assurance\CRYO-2101-2071","folder")</f>
        <v>folder</v>
      </c>
      <c r="T279" t="s">
        <v>1498</v>
      </c>
      <c r="U279" t="s">
        <v>1654</v>
      </c>
    </row>
    <row r="280" spans="1:23">
      <c r="A280" s="371">
        <v>1548</v>
      </c>
      <c r="B280" s="134">
        <v>17.600000000000001</v>
      </c>
      <c r="C280">
        <v>1.52</v>
      </c>
      <c r="D280">
        <v>7.16</v>
      </c>
      <c r="E280">
        <v>24.33</v>
      </c>
      <c r="F280" s="249" t="s">
        <v>1600</v>
      </c>
      <c r="G280">
        <v>56.6</v>
      </c>
      <c r="H280">
        <v>68.599999999999994</v>
      </c>
      <c r="I280" s="217">
        <v>41878</v>
      </c>
      <c r="J280" t="s">
        <v>130</v>
      </c>
      <c r="K280">
        <v>33.450000000000003</v>
      </c>
      <c r="L280">
        <v>0.67300000000000004</v>
      </c>
      <c r="M280" t="s">
        <v>1618</v>
      </c>
      <c r="Q280" s="4" t="str">
        <f>HYPERLINK("\\HOPI-FS\shares\users\dhar\Stalk mount testing\Type 1e Quality Assurance\CRYO-2082-2448  1548 1E","folder")</f>
        <v>folder</v>
      </c>
      <c r="T280" t="s">
        <v>1498</v>
      </c>
      <c r="U280" t="s">
        <v>1619</v>
      </c>
    </row>
    <row r="281" spans="1:23">
      <c r="A281" s="371">
        <v>1549</v>
      </c>
      <c r="B281" s="134">
        <v>18.8</v>
      </c>
      <c r="C281">
        <v>1.52</v>
      </c>
      <c r="D281">
        <v>7.14</v>
      </c>
      <c r="E281">
        <v>24.34</v>
      </c>
      <c r="F281" s="290" t="s">
        <v>1602</v>
      </c>
      <c r="G281">
        <v>56.6</v>
      </c>
      <c r="H281">
        <v>68.599999999999994</v>
      </c>
      <c r="I281" s="217">
        <v>41878</v>
      </c>
      <c r="J281" t="s">
        <v>130</v>
      </c>
      <c r="K281">
        <v>33.450000000000003</v>
      </c>
      <c r="L281">
        <v>0.55000000000000004</v>
      </c>
      <c r="M281">
        <v>439</v>
      </c>
      <c r="Q281" s="4" t="str">
        <f>HYPERLINK("\\HOPI-FS\shares\users\dhar\Stalk mount testing\Type 1e Quality Assurance\CRYO-2081-2449  1549 1E","folder")</f>
        <v>folder</v>
      </c>
      <c r="T281" t="s">
        <v>1498</v>
      </c>
      <c r="U281" t="s">
        <v>1619</v>
      </c>
    </row>
    <row r="282" spans="1:23">
      <c r="A282" s="371">
        <v>1555</v>
      </c>
      <c r="B282" s="134">
        <v>17.399999999999999</v>
      </c>
      <c r="C282">
        <v>1.52</v>
      </c>
      <c r="D282">
        <v>7.11</v>
      </c>
      <c r="E282">
        <v>24.34</v>
      </c>
      <c r="F282" s="290" t="s">
        <v>1601</v>
      </c>
      <c r="G282">
        <v>56.6</v>
      </c>
      <c r="H282">
        <v>68.599999999999994</v>
      </c>
      <c r="I282" s="217">
        <v>41878</v>
      </c>
      <c r="J282" t="s">
        <v>130</v>
      </c>
      <c r="K282">
        <v>33.4</v>
      </c>
      <c r="L282">
        <v>0.33400000000000002</v>
      </c>
      <c r="M282">
        <v>384</v>
      </c>
      <c r="Q282" s="4" t="str">
        <f>HYPERLINK("\\HOPI-FS\shares\users\dhar\Stalk mount testing\Type 1e Quality Assurance\CRYO-2082-2450  1555 1E","folder")</f>
        <v>folder</v>
      </c>
      <c r="T282" t="s">
        <v>1498</v>
      </c>
      <c r="U282" t="s">
        <v>1619</v>
      </c>
    </row>
    <row r="283" spans="1:23">
      <c r="A283" s="371">
        <v>1557</v>
      </c>
      <c r="B283" s="134">
        <v>16</v>
      </c>
      <c r="C283">
        <v>1.51</v>
      </c>
      <c r="D283">
        <v>7.05</v>
      </c>
      <c r="E283">
        <v>24.41</v>
      </c>
      <c r="F283" s="270" t="s">
        <v>1603</v>
      </c>
      <c r="G283">
        <v>56.6</v>
      </c>
      <c r="H283">
        <v>68.599999999999994</v>
      </c>
      <c r="I283" s="217">
        <v>41878</v>
      </c>
      <c r="J283" t="s">
        <v>130</v>
      </c>
      <c r="K283">
        <v>33.4</v>
      </c>
      <c r="L283">
        <v>0.14899999999999999</v>
      </c>
      <c r="Q283" s="4" t="str">
        <f>HYPERLINK("\\HOPI-FS\shares\users\dhar\Stalk mount testing\Type 1e Quality Assurance\CRYO-2080-2451  1557 1E","folder")</f>
        <v>folder</v>
      </c>
      <c r="T283" t="s">
        <v>1498</v>
      </c>
    </row>
    <row r="284" spans="1:23" s="300" customFormat="1">
      <c r="A284" s="371">
        <v>1557</v>
      </c>
      <c r="B284" s="305">
        <v>17.600000000000001</v>
      </c>
      <c r="C284" s="300">
        <v>1.53</v>
      </c>
      <c r="D284" s="300">
        <v>7.05</v>
      </c>
      <c r="E284" s="300">
        <v>24.42</v>
      </c>
      <c r="F284" s="302" t="s">
        <v>1614</v>
      </c>
      <c r="G284" s="300">
        <v>55.1</v>
      </c>
      <c r="H284" s="300">
        <v>69.599999999999994</v>
      </c>
      <c r="I284" s="424">
        <v>41900</v>
      </c>
      <c r="J284" s="300" t="s">
        <v>130</v>
      </c>
      <c r="K284" s="300">
        <v>33.44</v>
      </c>
      <c r="L284" s="300">
        <v>0.33</v>
      </c>
      <c r="M284" s="207">
        <v>411</v>
      </c>
      <c r="Q284" s="306" t="str">
        <f>HYPERLINK("\\HOPI-FS\shares\users\dhar\Stalk mount testing\Type 1e Quality Assurance\CRYO-2083-2460  1557 1E","folder")</f>
        <v>folder</v>
      </c>
      <c r="T284" s="300" t="s">
        <v>1498</v>
      </c>
      <c r="U284" s="300" t="s">
        <v>1619</v>
      </c>
      <c r="V284" s="247"/>
      <c r="W284" s="578"/>
    </row>
    <row r="285" spans="1:23">
      <c r="A285" s="371">
        <v>1558</v>
      </c>
      <c r="D285">
        <v>7.18</v>
      </c>
      <c r="E285">
        <v>24.28</v>
      </c>
      <c r="F285" s="270" t="s">
        <v>1608</v>
      </c>
      <c r="G285">
        <v>56.6</v>
      </c>
      <c r="H285">
        <v>68.599999999999994</v>
      </c>
      <c r="I285" s="217">
        <v>41878</v>
      </c>
      <c r="J285" t="s">
        <v>130</v>
      </c>
      <c r="Q285" s="4"/>
      <c r="T285" t="s">
        <v>1498</v>
      </c>
    </row>
    <row r="286" spans="1:23">
      <c r="A286" s="371">
        <v>1558</v>
      </c>
      <c r="B286" s="134">
        <v>16</v>
      </c>
      <c r="C286">
        <v>1.52</v>
      </c>
      <c r="D286">
        <v>7.18</v>
      </c>
      <c r="E286">
        <v>24.28</v>
      </c>
      <c r="F286" s="270" t="s">
        <v>1604</v>
      </c>
      <c r="G286">
        <v>51.1</v>
      </c>
      <c r="H286">
        <v>69.599999999999994</v>
      </c>
      <c r="I286" s="217">
        <v>41879</v>
      </c>
      <c r="J286" t="s">
        <v>130</v>
      </c>
      <c r="K286">
        <v>33.4</v>
      </c>
      <c r="L286">
        <v>0.73399999999999999</v>
      </c>
      <c r="Q286" s="4" t="str">
        <f>HYPERLINK("\\HOPI-FS\shares\users\dhar\Stalk mount testing\Type 1e Quality Assurance\CRYO-2080-2455  1558 1E","folder")</f>
        <v>folder</v>
      </c>
      <c r="T286" t="s">
        <v>1498</v>
      </c>
    </row>
    <row r="287" spans="1:23" s="6" customFormat="1">
      <c r="A287" s="371">
        <v>1559</v>
      </c>
      <c r="B287" s="303">
        <v>16</v>
      </c>
      <c r="C287" s="6">
        <v>1.5</v>
      </c>
      <c r="D287" s="6">
        <v>7.1</v>
      </c>
      <c r="E287" s="6">
        <v>24.36</v>
      </c>
      <c r="F287" s="270" t="s">
        <v>1605</v>
      </c>
      <c r="G287" s="6">
        <v>56.6</v>
      </c>
      <c r="H287" s="6">
        <v>68.599999999999994</v>
      </c>
      <c r="I287" s="425">
        <v>41878</v>
      </c>
      <c r="J287" s="6" t="s">
        <v>130</v>
      </c>
      <c r="K287" s="6">
        <v>33.4</v>
      </c>
      <c r="L287" s="6">
        <v>0.61199999999999999</v>
      </c>
      <c r="Q287" s="304" t="str">
        <f>HYPERLINK("\\HOPI-FS\shares\users\dhar\Stalk mount testing\Type 1e Quality Assurance\CRYO-2080-2453  1559 1E","folder")</f>
        <v>folder</v>
      </c>
      <c r="T287" s="6" t="s">
        <v>1498</v>
      </c>
      <c r="V287" s="401"/>
      <c r="W287" s="579"/>
    </row>
    <row r="288" spans="1:23">
      <c r="A288" s="371">
        <v>1560</v>
      </c>
      <c r="B288" s="134">
        <v>16</v>
      </c>
      <c r="C288">
        <v>1.54</v>
      </c>
      <c r="D288">
        <v>7.14</v>
      </c>
      <c r="E288">
        <v>24.61</v>
      </c>
      <c r="F288" s="270" t="s">
        <v>1606</v>
      </c>
      <c r="G288">
        <v>56.6</v>
      </c>
      <c r="H288">
        <v>68.599999999999994</v>
      </c>
      <c r="I288" s="217">
        <v>41878</v>
      </c>
      <c r="J288" t="s">
        <v>130</v>
      </c>
      <c r="K288">
        <v>33.72</v>
      </c>
      <c r="L288">
        <v>0.44900000000000001</v>
      </c>
      <c r="Q288" s="4" t="str">
        <f>HYPERLINK("\\HOPI-FS\shares\users\dhar\Stalk mount testing\Type 1e Quality Assurance\CRYO-2079-2454  1560 1E","folder")</f>
        <v>folder</v>
      </c>
      <c r="T288" t="s">
        <v>1498</v>
      </c>
    </row>
    <row r="289" spans="1:21">
      <c r="A289" s="371">
        <v>1562</v>
      </c>
      <c r="C289" s="146">
        <v>1.31</v>
      </c>
      <c r="D289" s="300"/>
      <c r="F289" s="270" t="s">
        <v>1609</v>
      </c>
      <c r="G289">
        <v>53.6</v>
      </c>
      <c r="H289">
        <v>69.599999999999994</v>
      </c>
      <c r="I289" s="217">
        <v>41880</v>
      </c>
      <c r="J289" t="s">
        <v>130</v>
      </c>
      <c r="M289" s="13"/>
      <c r="Q289" s="4"/>
      <c r="T289" t="s">
        <v>1498</v>
      </c>
    </row>
    <row r="290" spans="1:21">
      <c r="A290" s="371">
        <v>1562</v>
      </c>
      <c r="B290" s="134">
        <v>16.8</v>
      </c>
      <c r="C290" s="301">
        <v>1.49</v>
      </c>
      <c r="D290" s="300">
        <v>7.15</v>
      </c>
      <c r="E290">
        <v>24.35</v>
      </c>
      <c r="F290" s="290" t="s">
        <v>1612</v>
      </c>
      <c r="G290">
        <v>48.5</v>
      </c>
      <c r="H290">
        <v>68.900000000000006</v>
      </c>
      <c r="I290" s="217">
        <v>41898</v>
      </c>
      <c r="J290" t="s">
        <v>130</v>
      </c>
      <c r="K290">
        <v>33.44</v>
      </c>
      <c r="L290">
        <v>0.57399999999999995</v>
      </c>
      <c r="M290" t="s">
        <v>1617</v>
      </c>
      <c r="Q290" s="4" t="str">
        <f>HYPERLINK("\\hopi-fs\shares\users\dhar\Stalk mount testing\Type 1e Quality Assurance\CRYO-2079-2458  1562 1E","folder")</f>
        <v>folder</v>
      </c>
      <c r="T290" t="s">
        <v>1498</v>
      </c>
      <c r="U290" t="s">
        <v>1619</v>
      </c>
    </row>
    <row r="291" spans="1:21">
      <c r="A291" s="371">
        <v>1563</v>
      </c>
      <c r="F291" s="270" t="s">
        <v>1610</v>
      </c>
      <c r="G291">
        <v>53.6</v>
      </c>
      <c r="H291">
        <v>69.599999999999994</v>
      </c>
      <c r="I291" s="217">
        <v>41880</v>
      </c>
      <c r="J291" t="s">
        <v>130</v>
      </c>
      <c r="Q291" s="4"/>
      <c r="T291" t="s">
        <v>1498</v>
      </c>
    </row>
    <row r="292" spans="1:21">
      <c r="A292" s="371">
        <v>1563</v>
      </c>
      <c r="B292" s="134">
        <v>16</v>
      </c>
      <c r="C292">
        <v>1.51</v>
      </c>
      <c r="D292">
        <v>7.1</v>
      </c>
      <c r="E292">
        <v>24.36</v>
      </c>
      <c r="F292" s="290" t="s">
        <v>1613</v>
      </c>
      <c r="G292">
        <v>48.5</v>
      </c>
      <c r="H292">
        <v>68.900000000000006</v>
      </c>
      <c r="I292" s="217">
        <v>41898</v>
      </c>
      <c r="J292" t="s">
        <v>130</v>
      </c>
      <c r="K292">
        <v>33.39</v>
      </c>
      <c r="L292">
        <v>0.61</v>
      </c>
      <c r="M292" s="13">
        <v>409</v>
      </c>
      <c r="Q292" s="4" t="str">
        <f>HYPERLINK("\\HOPI-FS\shares\users\dhar\Stalk mount testing\Type 1e Quality Assurance\CRYO-2081-2459  1563 1E","folder")</f>
        <v>folder</v>
      </c>
      <c r="T292" t="s">
        <v>1498</v>
      </c>
      <c r="U292" t="s">
        <v>1739</v>
      </c>
    </row>
    <row r="293" spans="1:21">
      <c r="A293" s="371">
        <v>1565</v>
      </c>
      <c r="B293" s="134">
        <v>17.2</v>
      </c>
      <c r="C293">
        <v>1.51</v>
      </c>
      <c r="D293">
        <v>7.17</v>
      </c>
      <c r="E293">
        <v>24.4</v>
      </c>
      <c r="F293" s="302" t="s">
        <v>1615</v>
      </c>
      <c r="G293">
        <v>55.1</v>
      </c>
      <c r="H293">
        <v>69.599999999999994</v>
      </c>
      <c r="I293" s="217">
        <v>41900</v>
      </c>
      <c r="J293" t="s">
        <v>130</v>
      </c>
      <c r="K293">
        <v>33.520000000000003</v>
      </c>
      <c r="L293">
        <v>0.443</v>
      </c>
      <c r="M293" s="13">
        <v>411</v>
      </c>
      <c r="Q293" s="4" t="str">
        <f>HYPERLINK("\\HOPI-FS\shares\users\dhar\Stalk mount testing\Type 1e Quality Assurance\CRYO-2079-2461  1565 1E","folder")</f>
        <v>folder</v>
      </c>
      <c r="T293" t="s">
        <v>1498</v>
      </c>
      <c r="U293" t="s">
        <v>1619</v>
      </c>
    </row>
    <row r="294" spans="1:21">
      <c r="A294" s="371">
        <v>1566</v>
      </c>
      <c r="B294" s="134">
        <f>AVERAGE(19.6,18.6)</f>
        <v>19.100000000000001</v>
      </c>
      <c r="C294">
        <v>1.51</v>
      </c>
      <c r="D294">
        <v>7.11</v>
      </c>
      <c r="E294">
        <v>24.3</v>
      </c>
      <c r="F294" s="294" t="s">
        <v>1616</v>
      </c>
      <c r="G294">
        <v>55.1</v>
      </c>
      <c r="H294">
        <v>69.599999999999994</v>
      </c>
      <c r="I294" s="217">
        <v>41900</v>
      </c>
      <c r="J294" t="s">
        <v>130</v>
      </c>
      <c r="K294">
        <v>33.4</v>
      </c>
      <c r="L294" s="3"/>
      <c r="M294" s="13"/>
      <c r="Q294" s="4" t="str">
        <f>HYPERLINK("\\HOPI-FS\shares\users\dhar\Stalk mount testing\Type 1e Quality Assurance\CRYO-2080-2462 1566","folder")</f>
        <v>folder</v>
      </c>
      <c r="T294" t="s">
        <v>1498</v>
      </c>
    </row>
    <row r="295" spans="1:21" ht="48.75" customHeight="1">
      <c r="A295" s="371">
        <v>1559</v>
      </c>
      <c r="B295" s="134">
        <v>16.8</v>
      </c>
      <c r="C295">
        <v>1.53</v>
      </c>
      <c r="D295">
        <v>7.09</v>
      </c>
      <c r="E295">
        <v>24.3</v>
      </c>
      <c r="F295" s="290" t="s">
        <v>1638</v>
      </c>
      <c r="G295">
        <v>27.9</v>
      </c>
      <c r="H295">
        <v>69</v>
      </c>
      <c r="I295" s="217">
        <v>41947</v>
      </c>
      <c r="J295" t="s">
        <v>130</v>
      </c>
      <c r="K295">
        <v>33.4</v>
      </c>
      <c r="L295">
        <v>0.71199999999999997</v>
      </c>
      <c r="M295">
        <v>404</v>
      </c>
      <c r="Q295" s="4" t="str">
        <f>HYPERLINK("\\HOPI-FS\shares\users\dhar\Stalk mount testing\Type 1e Quality Assurance\CRYO-2081-2480  1559 1E","folder")</f>
        <v>folder</v>
      </c>
      <c r="T295" t="s">
        <v>1498</v>
      </c>
    </row>
    <row r="296" spans="1:21">
      <c r="A296" s="371">
        <v>1566</v>
      </c>
      <c r="B296" s="134">
        <v>17.399999999999999</v>
      </c>
      <c r="C296">
        <v>1.55</v>
      </c>
      <c r="D296">
        <v>7.11</v>
      </c>
      <c r="E296">
        <v>24.32</v>
      </c>
      <c r="F296" s="290" t="s">
        <v>1637</v>
      </c>
      <c r="G296">
        <v>27.9</v>
      </c>
      <c r="H296">
        <v>69</v>
      </c>
      <c r="I296" s="217">
        <v>41947</v>
      </c>
      <c r="J296" t="s">
        <v>130</v>
      </c>
      <c r="K296">
        <v>33.409999999999997</v>
      </c>
      <c r="L296">
        <v>0.72</v>
      </c>
      <c r="M296" t="s">
        <v>1648</v>
      </c>
      <c r="Q296" s="4" t="str">
        <f>HYPERLINK("\\HOPI-FS\shares\users\dhar\Stalk mount testing\Type 1e Quality Assurance\CRYO-2081-2479  1566 1E","folder")</f>
        <v>folder</v>
      </c>
      <c r="T296" t="s">
        <v>1498</v>
      </c>
      <c r="U296" t="s">
        <v>1671</v>
      </c>
    </row>
    <row r="297" spans="1:21">
      <c r="A297" s="371">
        <v>1576</v>
      </c>
      <c r="B297" s="134">
        <v>17.2</v>
      </c>
      <c r="C297">
        <v>1.49</v>
      </c>
      <c r="D297">
        <v>7.18</v>
      </c>
      <c r="E297">
        <v>24.38</v>
      </c>
      <c r="F297" s="176" t="s">
        <v>1639</v>
      </c>
      <c r="G297">
        <v>36.5</v>
      </c>
      <c r="H297">
        <v>68</v>
      </c>
      <c r="I297" s="217">
        <v>41948</v>
      </c>
      <c r="J297" t="s">
        <v>130</v>
      </c>
      <c r="K297">
        <v>33.479999999999997</v>
      </c>
      <c r="L297">
        <v>0.52300000000000002</v>
      </c>
      <c r="M297" t="s">
        <v>169</v>
      </c>
      <c r="Q297" s="4" t="str">
        <f>HYPERLINK("\\HOPI-FS\shares\users\dhar\Stalk mount testing\Type 1e Quality Assurance\CRYO-2081-2481  1576 1E","folder")</f>
        <v>folder</v>
      </c>
      <c r="T297" t="s">
        <v>1498</v>
      </c>
    </row>
    <row r="298" spans="1:21">
      <c r="A298" s="371">
        <v>1576</v>
      </c>
      <c r="B298" s="134">
        <v>17</v>
      </c>
      <c r="C298">
        <v>1.55</v>
      </c>
      <c r="D298">
        <v>7.18</v>
      </c>
      <c r="E298">
        <v>24.39</v>
      </c>
      <c r="F298" s="290" t="s">
        <v>1646</v>
      </c>
      <c r="G298" s="300">
        <v>33.9</v>
      </c>
      <c r="H298" s="300">
        <v>69</v>
      </c>
      <c r="I298" s="217">
        <v>41954</v>
      </c>
      <c r="J298" t="s">
        <v>130</v>
      </c>
      <c r="K298">
        <v>33.5</v>
      </c>
      <c r="L298">
        <v>0.59499999999999997</v>
      </c>
      <c r="M298">
        <v>388</v>
      </c>
      <c r="Q298" s="4" t="str">
        <f>HYPERLINK("\\HOPI-FS\shares\users\dhar\Stalk mount testing\Type 1e Quality Assurance\CRYO-2081-2487  1576 1E","folder")</f>
        <v>folder</v>
      </c>
      <c r="T298" t="s">
        <v>1498</v>
      </c>
      <c r="U298" t="s">
        <v>1649</v>
      </c>
    </row>
    <row r="299" spans="1:21">
      <c r="A299" s="371">
        <v>1577</v>
      </c>
      <c r="B299" s="134">
        <v>17</v>
      </c>
      <c r="C299">
        <v>1.54</v>
      </c>
      <c r="D299">
        <v>7.18</v>
      </c>
      <c r="E299">
        <v>24.38</v>
      </c>
      <c r="F299" s="290" t="s">
        <v>1640</v>
      </c>
      <c r="G299">
        <v>36.5</v>
      </c>
      <c r="H299">
        <v>68</v>
      </c>
      <c r="I299" s="217">
        <v>41948</v>
      </c>
      <c r="J299" t="s">
        <v>130</v>
      </c>
      <c r="K299">
        <v>33.54</v>
      </c>
      <c r="L299">
        <v>0.71799999999999997</v>
      </c>
      <c r="M299">
        <v>384</v>
      </c>
      <c r="Q299" s="4" t="str">
        <f>HYPERLINK("\\HOPI-FS\shares\users\dhar\Stalk mount testing\Type 1e Quality Assurance\CRYO-2082-2482  1577 1E","folder")</f>
        <v>folder</v>
      </c>
      <c r="T299" t="s">
        <v>1498</v>
      </c>
      <c r="U299" t="s">
        <v>1650</v>
      </c>
    </row>
    <row r="300" spans="1:21">
      <c r="A300" s="371">
        <v>1578</v>
      </c>
      <c r="B300" s="134">
        <v>17</v>
      </c>
      <c r="C300">
        <v>1.51</v>
      </c>
      <c r="D300">
        <v>7.08</v>
      </c>
      <c r="E300">
        <v>24.39</v>
      </c>
      <c r="F300" s="290" t="s">
        <v>1641</v>
      </c>
      <c r="G300">
        <v>36.5</v>
      </c>
      <c r="H300">
        <v>68</v>
      </c>
      <c r="I300" s="217">
        <v>41948</v>
      </c>
      <c r="J300" t="s">
        <v>130</v>
      </c>
      <c r="K300">
        <v>33.36</v>
      </c>
      <c r="L300">
        <v>0.45500000000000002</v>
      </c>
      <c r="M300">
        <v>395</v>
      </c>
      <c r="Q300" s="4" t="str">
        <f>HYPERLINK("\\HOPI-FS\shares\users\dhar\Stalk mount testing\Type 1e Quality Assurance\CRYO-2081-2483  1578 1E","folder")</f>
        <v>folder</v>
      </c>
      <c r="T300" t="s">
        <v>1498</v>
      </c>
      <c r="U300" t="s">
        <v>1650</v>
      </c>
    </row>
    <row r="301" spans="1:21">
      <c r="A301" s="371">
        <v>1580</v>
      </c>
      <c r="B301" s="134">
        <v>17</v>
      </c>
      <c r="C301">
        <v>1.48</v>
      </c>
      <c r="D301">
        <v>7.16</v>
      </c>
      <c r="E301">
        <v>24.39</v>
      </c>
      <c r="F301" s="290" t="s">
        <v>1642</v>
      </c>
      <c r="G301">
        <v>36.5</v>
      </c>
      <c r="H301">
        <v>68</v>
      </c>
      <c r="I301" s="217">
        <v>41948</v>
      </c>
      <c r="J301" t="s">
        <v>130</v>
      </c>
      <c r="K301">
        <v>33.46</v>
      </c>
      <c r="L301">
        <v>0.749</v>
      </c>
      <c r="M301">
        <v>393</v>
      </c>
      <c r="Q301" s="4" t="str">
        <f>HYPERLINK("\\HOPI-FS\shares\users\dhar\Stalk mount testing\Type 1e Quality Assurance\CRYO-2081-2484  1580 1E","folder")</f>
        <v>folder</v>
      </c>
      <c r="T301" t="s">
        <v>1498</v>
      </c>
      <c r="U301" t="s">
        <v>1650</v>
      </c>
    </row>
    <row r="302" spans="1:21">
      <c r="A302" s="371">
        <v>1581</v>
      </c>
      <c r="B302" s="134">
        <v>17</v>
      </c>
      <c r="C302">
        <v>1.5</v>
      </c>
      <c r="D302">
        <v>7.12</v>
      </c>
      <c r="E302">
        <v>24.38</v>
      </c>
      <c r="F302" s="176" t="s">
        <v>1643</v>
      </c>
      <c r="G302">
        <v>36.5</v>
      </c>
      <c r="H302">
        <v>68</v>
      </c>
      <c r="I302" s="217">
        <v>41948</v>
      </c>
      <c r="J302" t="s">
        <v>130</v>
      </c>
      <c r="K302">
        <v>33.43</v>
      </c>
      <c r="L302">
        <v>0.6</v>
      </c>
      <c r="M302">
        <v>386</v>
      </c>
      <c r="Q302" s="4" t="str">
        <f>HYPERLINK("\\HOPI-FS\shares\users\dhar\Stalk mount testing\Type 1e Quality Assurance\CRYO-2080-2485  1581 1E","folder")</f>
        <v>folder</v>
      </c>
      <c r="T302" t="s">
        <v>1498</v>
      </c>
    </row>
    <row r="303" spans="1:21">
      <c r="A303" s="371">
        <v>1581</v>
      </c>
      <c r="B303" s="134">
        <v>18.2</v>
      </c>
      <c r="C303">
        <v>1.49</v>
      </c>
      <c r="D303">
        <v>7.1</v>
      </c>
      <c r="E303">
        <v>24.38</v>
      </c>
      <c r="F303" s="290" t="s">
        <v>1647</v>
      </c>
      <c r="G303" s="300">
        <v>33.9</v>
      </c>
      <c r="H303" s="300">
        <v>69</v>
      </c>
      <c r="I303" s="217">
        <v>41954</v>
      </c>
      <c r="J303" t="s">
        <v>130</v>
      </c>
      <c r="K303">
        <v>33.4</v>
      </c>
      <c r="L303">
        <v>0.46100000000000002</v>
      </c>
      <c r="M303">
        <v>410</v>
      </c>
      <c r="Q303" s="4" t="str">
        <f>HYPERLINK("\\HOPI-FS\shares\users\dhar\Stalk mount testing\Type 1e Quality Assurance\CRYO-2081-2488  1581 1E","folder")</f>
        <v>folder</v>
      </c>
      <c r="T303" t="s">
        <v>1498</v>
      </c>
      <c r="U303" t="s">
        <v>1671</v>
      </c>
    </row>
    <row r="304" spans="1:21">
      <c r="A304" s="371">
        <v>1583</v>
      </c>
      <c r="B304" s="134">
        <v>17</v>
      </c>
      <c r="C304">
        <v>1.52</v>
      </c>
      <c r="D304">
        <v>7.13</v>
      </c>
      <c r="E304">
        <v>24.37</v>
      </c>
      <c r="F304" s="19" t="s">
        <v>1644</v>
      </c>
      <c r="G304">
        <v>36.5</v>
      </c>
      <c r="H304">
        <v>68</v>
      </c>
      <c r="I304" s="217">
        <v>41948</v>
      </c>
      <c r="J304" t="s">
        <v>130</v>
      </c>
      <c r="K304">
        <v>33.450000000000003</v>
      </c>
      <c r="L304">
        <v>0.62</v>
      </c>
      <c r="M304">
        <v>438</v>
      </c>
      <c r="Q304" s="4" t="str">
        <f>HYPERLINK("\\HOPI-FS\shares\users\dhar\Stalk mount testing\Type 1e Quality Assurance\CRYO-2081-2486  1583 1E","folder")</f>
        <v>folder</v>
      </c>
      <c r="T304" t="s">
        <v>1498</v>
      </c>
      <c r="U304" t="s">
        <v>1650</v>
      </c>
    </row>
    <row r="305" spans="1:24" ht="33" customHeight="1">
      <c r="A305" s="371">
        <v>1584</v>
      </c>
      <c r="B305" s="134">
        <v>16</v>
      </c>
      <c r="C305">
        <v>1.52</v>
      </c>
      <c r="D305">
        <v>7.2</v>
      </c>
      <c r="E305">
        <v>24.4</v>
      </c>
      <c r="F305" s="290" t="s">
        <v>1656</v>
      </c>
      <c r="G305">
        <v>16.3</v>
      </c>
      <c r="H305">
        <v>69</v>
      </c>
      <c r="I305" s="217">
        <v>42019</v>
      </c>
      <c r="J305" t="s">
        <v>130</v>
      </c>
      <c r="K305">
        <v>33.6</v>
      </c>
      <c r="L305">
        <v>0.59799999999999998</v>
      </c>
      <c r="M305">
        <v>340</v>
      </c>
      <c r="Q305" s="4" t="str">
        <f>HYPERLINK("\\HOPI-FS\shares\users\dhar\Stalk mount testing\Type 1e Quality Assurance\CRYO-2080-2495 1584  1E","folder")</f>
        <v>folder</v>
      </c>
      <c r="T305" t="s">
        <v>1498</v>
      </c>
    </row>
    <row r="306" spans="1:24">
      <c r="A306" s="371">
        <v>1585</v>
      </c>
      <c r="B306" s="134">
        <v>19</v>
      </c>
      <c r="C306">
        <v>1.52</v>
      </c>
      <c r="D306">
        <v>7.08</v>
      </c>
      <c r="E306">
        <v>24.78</v>
      </c>
      <c r="F306" s="270" t="s">
        <v>1657</v>
      </c>
      <c r="G306">
        <v>16.3</v>
      </c>
      <c r="H306">
        <v>69</v>
      </c>
      <c r="I306" s="217">
        <v>42019</v>
      </c>
      <c r="J306" t="s">
        <v>130</v>
      </c>
      <c r="K306">
        <v>33.82</v>
      </c>
      <c r="L306">
        <v>0.161</v>
      </c>
      <c r="M306">
        <v>425</v>
      </c>
      <c r="Q306" s="4" t="str">
        <f>HYPERLINK("\\HOPI-FS\shares\users\dhar\Stalk mount testing\Type 1e Quality Assurance\CRYO-2081-2496 1585  1E","folder")</f>
        <v>folder</v>
      </c>
      <c r="T306" t="s">
        <v>1498</v>
      </c>
    </row>
    <row r="307" spans="1:24">
      <c r="A307" s="371">
        <v>1585</v>
      </c>
      <c r="F307" s="349" t="s">
        <v>1667</v>
      </c>
      <c r="I307" s="217"/>
      <c r="Q307" s="4"/>
    </row>
    <row r="308" spans="1:24">
      <c r="A308" s="371">
        <v>1585</v>
      </c>
      <c r="B308" s="134">
        <f>AVERAGE(16.6, 18)</f>
        <v>17.3</v>
      </c>
      <c r="C308">
        <v>1.53</v>
      </c>
      <c r="D308">
        <v>7.07</v>
      </c>
      <c r="E308">
        <v>24.8</v>
      </c>
      <c r="F308" s="335" t="s">
        <v>1666</v>
      </c>
      <c r="G308" t="s">
        <v>169</v>
      </c>
      <c r="H308" t="s">
        <v>169</v>
      </c>
      <c r="I308" s="217">
        <v>42026</v>
      </c>
      <c r="J308" t="s">
        <v>130</v>
      </c>
      <c r="K308">
        <v>33.799999999999997</v>
      </c>
      <c r="L308">
        <v>0.76</v>
      </c>
      <c r="M308" s="13">
        <v>401</v>
      </c>
      <c r="Q308" s="4" t="str">
        <f>HYPERLINK("\\hopi-fs\shares\users\DHAR\Stalk mount testing\Type 1e Quality Assurance\CRYO-2082-2510 1585","folder")</f>
        <v>folder</v>
      </c>
      <c r="T308" t="s">
        <v>1498</v>
      </c>
      <c r="U308" t="s">
        <v>1670</v>
      </c>
      <c r="V308" s="407" t="s">
        <v>2294</v>
      </c>
      <c r="W308" s="29">
        <v>6</v>
      </c>
      <c r="X308">
        <v>1</v>
      </c>
    </row>
    <row r="309" spans="1:24">
      <c r="A309" s="371">
        <v>1588</v>
      </c>
      <c r="B309" s="134">
        <v>18</v>
      </c>
      <c r="C309">
        <v>1.52</v>
      </c>
      <c r="D309">
        <v>7.15</v>
      </c>
      <c r="E309">
        <v>24.42</v>
      </c>
      <c r="F309" s="19" t="s">
        <v>1658</v>
      </c>
      <c r="G309">
        <v>16.3</v>
      </c>
      <c r="H309">
        <v>69</v>
      </c>
      <c r="I309" s="217">
        <v>42019</v>
      </c>
      <c r="J309" t="s">
        <v>130</v>
      </c>
      <c r="K309">
        <v>33.53</v>
      </c>
      <c r="L309">
        <v>0.54200000000000004</v>
      </c>
      <c r="M309">
        <v>388</v>
      </c>
      <c r="Q309" s="4" t="str">
        <f>HYPERLINK("\\HOPI-FS\shares\users\dhar\Stalk mount testing\Type 1e Quality Assurance\CRYO-2080-2498 1588  1E","folder")</f>
        <v>folder</v>
      </c>
      <c r="T309" t="s">
        <v>1498</v>
      </c>
      <c r="U309" t="s">
        <v>1670</v>
      </c>
      <c r="V309" s="407" t="s">
        <v>2288</v>
      </c>
      <c r="W309" s="29">
        <v>0</v>
      </c>
      <c r="X309">
        <v>1</v>
      </c>
    </row>
    <row r="310" spans="1:24">
      <c r="A310" s="371">
        <v>1589</v>
      </c>
      <c r="B310" s="134">
        <v>16</v>
      </c>
      <c r="C310">
        <v>1.5</v>
      </c>
      <c r="D310">
        <v>7.21</v>
      </c>
      <c r="E310">
        <v>24.34</v>
      </c>
      <c r="F310" s="290" t="s">
        <v>1659</v>
      </c>
      <c r="G310">
        <v>16.3</v>
      </c>
      <c r="H310">
        <v>69</v>
      </c>
      <c r="I310" s="217">
        <v>42019</v>
      </c>
      <c r="J310" t="s">
        <v>130</v>
      </c>
      <c r="K310">
        <v>33.53</v>
      </c>
      <c r="L310">
        <v>0.56699999999999995</v>
      </c>
      <c r="M310">
        <v>360</v>
      </c>
      <c r="Q310" s="4" t="str">
        <f>HYPERLINK("\\HOPI-FS\shares\users\dhar\Stalk mount testing\Type 1e Quality Assurance\CRYO-2080-2499 1589  1E","folder")</f>
        <v>folder</v>
      </c>
      <c r="T310" t="s">
        <v>1498</v>
      </c>
      <c r="U310" t="s">
        <v>1670</v>
      </c>
    </row>
    <row r="311" spans="1:24">
      <c r="A311" s="371">
        <v>1593</v>
      </c>
      <c r="B311" s="134">
        <v>17.399999999999999</v>
      </c>
      <c r="C311">
        <v>1.5</v>
      </c>
      <c r="D311">
        <v>7.1</v>
      </c>
      <c r="E311">
        <v>24.41</v>
      </c>
      <c r="F311" s="176" t="s">
        <v>1660</v>
      </c>
      <c r="G311">
        <v>16.3</v>
      </c>
      <c r="H311">
        <v>69</v>
      </c>
      <c r="I311" s="217">
        <v>42019</v>
      </c>
      <c r="J311" t="s">
        <v>130</v>
      </c>
      <c r="K311">
        <v>33.46</v>
      </c>
      <c r="L311">
        <v>0.73499999999999999</v>
      </c>
      <c r="Q311" s="4" t="str">
        <f>HYPERLINK("\\HOPI-FS\shares\users\dhar\Stalk mount testing\Type 1e Quality Assurance\CRYO-2080-2500 1593  1E","folder")</f>
        <v>folder</v>
      </c>
      <c r="T311" t="s">
        <v>1498</v>
      </c>
    </row>
    <row r="312" spans="1:24">
      <c r="A312" s="371">
        <v>1593</v>
      </c>
      <c r="B312" s="134">
        <v>17.2</v>
      </c>
      <c r="C312">
        <v>1.54</v>
      </c>
      <c r="D312">
        <v>7.13</v>
      </c>
      <c r="E312">
        <v>24.42</v>
      </c>
      <c r="F312" s="351" t="s">
        <v>1668</v>
      </c>
      <c r="G312">
        <v>23</v>
      </c>
      <c r="H312">
        <v>68.3</v>
      </c>
      <c r="I312" s="217">
        <v>42027</v>
      </c>
      <c r="J312" t="s">
        <v>130</v>
      </c>
      <c r="K312">
        <v>33.53</v>
      </c>
      <c r="L312">
        <v>0.53200000000000003</v>
      </c>
      <c r="M312" s="13">
        <v>417</v>
      </c>
      <c r="Q312" s="4" t="str">
        <f>HYPERLINK("\\HOPI-FS\shares\users\dhar\Stalk mount testing\Type 1e Quality Assurance\CRYO-2081-2490  1593 1E","folder")</f>
        <v>folder</v>
      </c>
      <c r="T312" t="s">
        <v>1498</v>
      </c>
      <c r="U312" t="s">
        <v>1670</v>
      </c>
    </row>
    <row r="313" spans="1:24">
      <c r="A313" s="371">
        <v>1594</v>
      </c>
      <c r="B313" s="134">
        <v>16.8</v>
      </c>
      <c r="C313">
        <v>1.52</v>
      </c>
      <c r="D313">
        <v>7.14</v>
      </c>
      <c r="E313">
        <v>24.36</v>
      </c>
      <c r="F313" s="290" t="s">
        <v>1661</v>
      </c>
      <c r="G313">
        <v>16.3</v>
      </c>
      <c r="H313">
        <v>69</v>
      </c>
      <c r="I313" s="217">
        <v>42019</v>
      </c>
      <c r="J313" t="s">
        <v>130</v>
      </c>
      <c r="K313">
        <v>33.46</v>
      </c>
      <c r="L313">
        <v>0.373</v>
      </c>
      <c r="M313">
        <v>388</v>
      </c>
      <c r="Q313" s="4" t="str">
        <f>HYPERLINK("\\HOPI-FS\shares\users\dhar\Stalk mount testing\Type 1e Quality Assurance\CRYO-2078-2501 1594  1E","folder")</f>
        <v>folder</v>
      </c>
      <c r="T313" t="s">
        <v>1498</v>
      </c>
      <c r="U313" t="s">
        <v>1670</v>
      </c>
    </row>
    <row r="314" spans="1:24">
      <c r="A314" s="371">
        <v>1596</v>
      </c>
      <c r="B314" s="134">
        <v>17.8</v>
      </c>
      <c r="C314">
        <v>1.53</v>
      </c>
      <c r="D314">
        <v>7.09</v>
      </c>
      <c r="E314">
        <v>24.35</v>
      </c>
      <c r="F314" s="176" t="s">
        <v>1662</v>
      </c>
      <c r="G314">
        <v>21.8</v>
      </c>
      <c r="H314">
        <v>68</v>
      </c>
      <c r="I314" s="217">
        <v>42026</v>
      </c>
      <c r="J314" t="s">
        <v>130</v>
      </c>
      <c r="K314">
        <v>33.409999999999997</v>
      </c>
      <c r="L314">
        <v>0.59499999999999997</v>
      </c>
      <c r="Q314" s="4" t="str">
        <f>HYPERLINK("\\HOPI-FS\shares\users\dhar\Stalk mount testing\Type 1e Quality Assurance\CRYO-2080-2502  1596 1E","folder")</f>
        <v>folder</v>
      </c>
      <c r="T314" t="s">
        <v>1498</v>
      </c>
    </row>
    <row r="315" spans="1:24">
      <c r="A315" s="371">
        <v>1597</v>
      </c>
      <c r="B315" s="134">
        <v>16.600000000000001</v>
      </c>
      <c r="C315">
        <v>1.51</v>
      </c>
      <c r="D315">
        <v>7.14</v>
      </c>
      <c r="E315">
        <v>24.38</v>
      </c>
      <c r="F315" s="428" t="s">
        <v>1663</v>
      </c>
      <c r="G315">
        <v>21.8</v>
      </c>
      <c r="H315">
        <v>68</v>
      </c>
      <c r="I315" s="217">
        <v>42026</v>
      </c>
      <c r="J315" t="s">
        <v>130</v>
      </c>
      <c r="K315">
        <v>33.47</v>
      </c>
      <c r="L315">
        <v>0.19800000000000001</v>
      </c>
      <c r="Q315" s="4" t="str">
        <f>HYPERLINK("\\HOPI-FS\shares\users\dhar\Stalk mount testing\Type 1e Quality Assurance\CRYO-2082-2503  1597 1E","folder")</f>
        <v>folder</v>
      </c>
      <c r="T315" t="s">
        <v>1498</v>
      </c>
    </row>
    <row r="316" spans="1:24">
      <c r="A316" s="371">
        <v>1599</v>
      </c>
      <c r="B316" s="134">
        <v>19</v>
      </c>
      <c r="C316">
        <v>1.54</v>
      </c>
      <c r="D316">
        <v>7.13</v>
      </c>
      <c r="E316">
        <v>24.4</v>
      </c>
      <c r="F316" s="428" t="s">
        <v>1664</v>
      </c>
      <c r="G316">
        <v>21.8</v>
      </c>
      <c r="H316">
        <v>68</v>
      </c>
      <c r="I316" s="217">
        <v>42026</v>
      </c>
      <c r="J316" t="s">
        <v>130</v>
      </c>
      <c r="K316">
        <v>33.520000000000003</v>
      </c>
      <c r="L316">
        <v>0.5</v>
      </c>
      <c r="Q316" s="4" t="str">
        <f>HYPERLINK("\\HOPI-FS\shares\users\dhar\Stalk mount testing\Type 1e Quality Assurance\CRYO-2080-2505  1599 1E","folder")</f>
        <v>folder</v>
      </c>
      <c r="T316" t="s">
        <v>1498</v>
      </c>
    </row>
    <row r="317" spans="1:24">
      <c r="A317" s="371">
        <v>1600</v>
      </c>
      <c r="B317" s="134">
        <v>16</v>
      </c>
      <c r="C317">
        <v>1.53</v>
      </c>
      <c r="D317">
        <v>7.03</v>
      </c>
      <c r="E317">
        <v>24.42</v>
      </c>
      <c r="F317" s="290" t="s">
        <v>1665</v>
      </c>
      <c r="G317">
        <v>21.8</v>
      </c>
      <c r="H317">
        <v>68</v>
      </c>
      <c r="I317" s="217">
        <v>42026</v>
      </c>
      <c r="J317" t="s">
        <v>130</v>
      </c>
      <c r="K317">
        <v>33.42</v>
      </c>
      <c r="L317">
        <v>0.46600000000000003</v>
      </c>
      <c r="M317">
        <v>341</v>
      </c>
      <c r="Q317" s="4" t="str">
        <f>HYPERLINK("\\HOPI-FS\shares\users\dhar\Stalk mount testing\Type 1e Quality Assurance\CRYO-2080-2507  1600 1E","folder")</f>
        <v>folder</v>
      </c>
      <c r="T317" t="s">
        <v>1498</v>
      </c>
      <c r="U317" t="s">
        <v>1670</v>
      </c>
    </row>
    <row r="318" spans="1:24" ht="42" customHeight="1">
      <c r="A318" s="371">
        <v>1586</v>
      </c>
      <c r="B318" s="134">
        <v>17.600000000000001</v>
      </c>
      <c r="C318">
        <v>1.52</v>
      </c>
      <c r="D318">
        <v>7.13</v>
      </c>
      <c r="E318">
        <v>24.4</v>
      </c>
      <c r="F318" s="19" t="s">
        <v>1686</v>
      </c>
      <c r="G318">
        <v>17.399999999999999</v>
      </c>
      <c r="H318">
        <v>67.900000000000006</v>
      </c>
      <c r="I318" s="217">
        <v>42040</v>
      </c>
      <c r="J318" t="s">
        <v>130</v>
      </c>
      <c r="K318">
        <v>33.549999999999997</v>
      </c>
      <c r="L318">
        <v>0.27</v>
      </c>
      <c r="M318" t="s">
        <v>1707</v>
      </c>
      <c r="Q318" s="4" t="str">
        <f>HYPERLINK("\\HOPI-FS\shares\users\dhar\Stalk mount testing\Type 1e Quality Assurance\CRYO-2086-2527  1586 1E","folder")</f>
        <v>folder</v>
      </c>
      <c r="T318" t="s">
        <v>1498</v>
      </c>
      <c r="U318" s="64" t="s">
        <v>1690</v>
      </c>
      <c r="V318" s="407" t="s">
        <v>1710</v>
      </c>
    </row>
    <row r="319" spans="1:24">
      <c r="A319" s="371">
        <v>1587</v>
      </c>
      <c r="B319" s="134">
        <v>16.600000000000001</v>
      </c>
      <c r="C319">
        <v>1.51</v>
      </c>
      <c r="D319">
        <v>7.17</v>
      </c>
      <c r="E319">
        <v>24.65</v>
      </c>
      <c r="F319" s="19" t="s">
        <v>1687</v>
      </c>
      <c r="G319">
        <v>17.399999999999999</v>
      </c>
      <c r="H319">
        <v>67.900000000000006</v>
      </c>
      <c r="I319" s="217">
        <v>42040</v>
      </c>
      <c r="J319" t="s">
        <v>130</v>
      </c>
      <c r="K319">
        <v>33.78</v>
      </c>
      <c r="L319">
        <v>0.29099999999999998</v>
      </c>
      <c r="M319" t="s">
        <v>1708</v>
      </c>
      <c r="Q319" s="4" t="str">
        <f>HYPERLINK("\\HOPI-FS\shares\users\dhar\Stalk mount testing\Type 1e Quality Assurance\CRYO-2086-2528  1587 1E","folder")</f>
        <v>folder</v>
      </c>
      <c r="T319" t="s">
        <v>1498</v>
      </c>
      <c r="U319" s="64" t="s">
        <v>1690</v>
      </c>
      <c r="V319" s="407" t="s">
        <v>1710</v>
      </c>
    </row>
    <row r="320" spans="1:24">
      <c r="A320" s="371">
        <v>1592</v>
      </c>
      <c r="B320" s="134">
        <v>17.8</v>
      </c>
      <c r="C320">
        <v>1.5</v>
      </c>
      <c r="D320">
        <v>7.24</v>
      </c>
      <c r="E320">
        <v>24.34</v>
      </c>
      <c r="F320" s="19" t="s">
        <v>1688</v>
      </c>
      <c r="G320">
        <v>17.399999999999999</v>
      </c>
      <c r="H320">
        <v>67.900000000000006</v>
      </c>
      <c r="I320" s="217">
        <v>42040</v>
      </c>
      <c r="J320" t="s">
        <v>130</v>
      </c>
      <c r="K320">
        <v>33.549999999999997</v>
      </c>
      <c r="L320">
        <v>0.60499999999999998</v>
      </c>
      <c r="M320" t="s">
        <v>1709</v>
      </c>
      <c r="Q320" s="4" t="str">
        <f>HYPERLINK("\\HOPI-FS\shares\users\dhar\Stalk mount testing\Type 1e Quality Assurance\CRYO-2085-2529  1592 1E","folder")</f>
        <v>folder</v>
      </c>
      <c r="T320" t="s">
        <v>1498</v>
      </c>
      <c r="U320" s="64" t="s">
        <v>1690</v>
      </c>
      <c r="V320" s="407" t="s">
        <v>1694</v>
      </c>
    </row>
    <row r="321" spans="1:22">
      <c r="A321" s="371">
        <v>1595</v>
      </c>
      <c r="B321" s="134">
        <v>17</v>
      </c>
      <c r="C321">
        <v>1.55</v>
      </c>
      <c r="D321">
        <v>7.2</v>
      </c>
      <c r="E321">
        <v>24.41</v>
      </c>
      <c r="F321" s="45" t="s">
        <v>1689</v>
      </c>
      <c r="G321">
        <v>17.399999999999999</v>
      </c>
      <c r="H321">
        <v>67.900000000000006</v>
      </c>
      <c r="I321" s="217">
        <v>42040</v>
      </c>
      <c r="J321" t="s">
        <v>130</v>
      </c>
      <c r="K321">
        <v>33.619999999999997</v>
      </c>
      <c r="L321">
        <v>0.61599999999999999</v>
      </c>
      <c r="M321">
        <v>345</v>
      </c>
      <c r="Q321" s="4" t="str">
        <f>HYPERLINK("\\HOPI-FS\shares\users\dhar\Stalk mount testing\Type 1e Quality Assurance\CRYO-2086-2530  1595 1E","folder")</f>
        <v>folder</v>
      </c>
      <c r="T321" t="s">
        <v>1498</v>
      </c>
      <c r="U321" s="64" t="s">
        <v>1690</v>
      </c>
      <c r="V321" s="407" t="s">
        <v>1694</v>
      </c>
    </row>
    <row r="322" spans="1:22">
      <c r="A322" s="371">
        <v>1642</v>
      </c>
      <c r="B322" s="134">
        <v>17</v>
      </c>
      <c r="C322">
        <v>1.52</v>
      </c>
      <c r="D322">
        <v>7.11</v>
      </c>
      <c r="E322">
        <v>24.39</v>
      </c>
      <c r="F322" s="290" t="s">
        <v>1695</v>
      </c>
      <c r="G322">
        <v>12.9</v>
      </c>
      <c r="H322">
        <v>67.900000000000006</v>
      </c>
      <c r="I322" s="217">
        <v>42058</v>
      </c>
      <c r="J322" t="s">
        <v>130</v>
      </c>
      <c r="K322">
        <v>33.47</v>
      </c>
      <c r="L322">
        <v>0.41699999999999998</v>
      </c>
      <c r="M322">
        <v>352</v>
      </c>
      <c r="Q322" s="4" t="str">
        <f>HYPERLINK("\\hopi-fs\shares\users\dhar\Stalk mount testing\Type 1e Quality Assurance\CRYO-2085-2531  1642 1E","folder")</f>
        <v>folder</v>
      </c>
      <c r="T322" t="s">
        <v>1498</v>
      </c>
      <c r="U322" s="13" t="s">
        <v>1730</v>
      </c>
    </row>
    <row r="323" spans="1:22">
      <c r="A323" s="371">
        <v>1643</v>
      </c>
      <c r="B323" s="134">
        <v>18.2</v>
      </c>
      <c r="C323">
        <v>1.48</v>
      </c>
      <c r="D323">
        <v>7.18</v>
      </c>
      <c r="E323">
        <v>24.4</v>
      </c>
      <c r="F323" s="19" t="s">
        <v>1696</v>
      </c>
      <c r="G323">
        <v>12.9</v>
      </c>
      <c r="H323">
        <v>67.900000000000006</v>
      </c>
      <c r="I323" s="217">
        <v>42058</v>
      </c>
      <c r="J323" t="s">
        <v>130</v>
      </c>
      <c r="K323">
        <v>33.53</v>
      </c>
      <c r="L323">
        <v>0.67700000000000005</v>
      </c>
      <c r="M323">
        <v>403</v>
      </c>
      <c r="Q323" s="4" t="str">
        <f>HYPERLINK("\\hopi-fs\shares\users\dhar\Stalk mount testing\Type 1e Quality Assurance\CRYO-2084-2532  1643 1E","folder")</f>
        <v>folder</v>
      </c>
      <c r="T323" t="s">
        <v>1498</v>
      </c>
      <c r="U323" s="13" t="s">
        <v>1730</v>
      </c>
    </row>
    <row r="324" spans="1:22">
      <c r="A324" s="371">
        <v>1644</v>
      </c>
      <c r="B324" s="134">
        <v>17</v>
      </c>
      <c r="C324">
        <v>1.5</v>
      </c>
      <c r="D324">
        <v>7.11</v>
      </c>
      <c r="E324">
        <v>24.5</v>
      </c>
      <c r="F324" s="290" t="s">
        <v>1697</v>
      </c>
      <c r="G324">
        <v>12.9</v>
      </c>
      <c r="H324">
        <v>67.900000000000006</v>
      </c>
      <c r="I324" s="217">
        <v>42058</v>
      </c>
      <c r="J324" t="s">
        <v>130</v>
      </c>
      <c r="K324">
        <v>33.57</v>
      </c>
      <c r="L324">
        <v>0.55000000000000004</v>
      </c>
      <c r="M324">
        <v>390</v>
      </c>
      <c r="Q324" s="4" t="str">
        <f>HYPERLINK("\\hopi-fs\shares\users\dhar\Stalk mount testing\Type 1e Quality Assurance\CRYO-2087-2533  1644 1E","folder")</f>
        <v>folder</v>
      </c>
      <c r="T324" t="s">
        <v>1498</v>
      </c>
      <c r="U324" s="13" t="s">
        <v>1730</v>
      </c>
    </row>
    <row r="325" spans="1:22">
      <c r="A325" s="371">
        <v>1645</v>
      </c>
      <c r="B325" s="134">
        <v>18.2</v>
      </c>
      <c r="C325">
        <v>1.54</v>
      </c>
      <c r="D325">
        <v>7.09</v>
      </c>
      <c r="E325">
        <v>24.38</v>
      </c>
      <c r="F325" s="270" t="s">
        <v>1698</v>
      </c>
      <c r="G325">
        <v>12.9</v>
      </c>
      <c r="H325">
        <v>67.900000000000006</v>
      </c>
      <c r="I325" s="217">
        <v>42058</v>
      </c>
      <c r="J325" t="s">
        <v>130</v>
      </c>
      <c r="K325">
        <v>33.47</v>
      </c>
      <c r="L325">
        <v>0.56899999999999995</v>
      </c>
      <c r="Q325" s="4" t="str">
        <f>HYPERLINK("\\HOPI-FS\shares\users\dhar\Stalk mount testing\Type 1e Quality Assurance\CRYO-2087-2534  1645 1E","folder")</f>
        <v>folder</v>
      </c>
      <c r="T325" t="s">
        <v>1498</v>
      </c>
    </row>
    <row r="326" spans="1:22">
      <c r="A326" s="371">
        <v>1645</v>
      </c>
      <c r="B326" s="134">
        <v>18.399999999999999</v>
      </c>
      <c r="C326">
        <v>1.49</v>
      </c>
      <c r="D326">
        <v>7.08</v>
      </c>
      <c r="E326">
        <v>24.37</v>
      </c>
      <c r="F326" s="45" t="s">
        <v>1705</v>
      </c>
      <c r="G326" s="13">
        <v>16.3</v>
      </c>
      <c r="H326" s="13">
        <v>68.099999999999994</v>
      </c>
      <c r="I326" s="217">
        <v>42060</v>
      </c>
      <c r="J326" t="s">
        <v>130</v>
      </c>
      <c r="K326">
        <v>33.4</v>
      </c>
      <c r="L326">
        <v>0.38500000000000001</v>
      </c>
      <c r="M326">
        <v>425</v>
      </c>
      <c r="Q326" s="4" t="str">
        <f>HYPERLINK("\\HOPI-FS\shares\users\dhar\Stalk mount testing\Type 1e Quality Assurance\CRYO-2087-2541  1645 1E","folder")</f>
        <v>folder</v>
      </c>
      <c r="T326" t="s">
        <v>1498</v>
      </c>
    </row>
    <row r="327" spans="1:22">
      <c r="A327" s="371">
        <v>1646</v>
      </c>
      <c r="B327" s="134">
        <v>18.600000000000001</v>
      </c>
      <c r="C327">
        <v>1.52</v>
      </c>
      <c r="D327">
        <v>7.06</v>
      </c>
      <c r="E327">
        <v>24.36</v>
      </c>
      <c r="F327" s="270" t="s">
        <v>1699</v>
      </c>
      <c r="G327">
        <v>12.9</v>
      </c>
      <c r="H327">
        <v>67.900000000000006</v>
      </c>
      <c r="I327" s="217">
        <v>42058</v>
      </c>
      <c r="J327" t="s">
        <v>130</v>
      </c>
      <c r="K327">
        <v>33.409999999999997</v>
      </c>
      <c r="L327">
        <v>0.64400000000000002</v>
      </c>
      <c r="Q327" s="4" t="str">
        <f>HYPERLINK("\\HOPI-FS\shares\users\dhar\Stalk mount testing\Type 1e Quality Assurance\CRYO-2087-2535  1646 1E","folder")</f>
        <v>folder</v>
      </c>
      <c r="T327" t="s">
        <v>1498</v>
      </c>
    </row>
    <row r="328" spans="1:22">
      <c r="A328" s="371">
        <v>1647</v>
      </c>
      <c r="B328" s="134">
        <v>18.8</v>
      </c>
      <c r="C328">
        <v>1.51</v>
      </c>
      <c r="D328">
        <v>7.12</v>
      </c>
      <c r="E328">
        <v>24.38</v>
      </c>
      <c r="F328" s="270" t="s">
        <v>1700</v>
      </c>
      <c r="G328">
        <v>12.9</v>
      </c>
      <c r="H328">
        <v>67.900000000000006</v>
      </c>
      <c r="I328" s="217">
        <v>42058</v>
      </c>
      <c r="J328" t="s">
        <v>130</v>
      </c>
      <c r="K328">
        <v>33.47</v>
      </c>
      <c r="L328">
        <v>0.55000000000000004</v>
      </c>
      <c r="Q328" s="4" t="str">
        <f>HYPERLINK("\\HOPI-FS\shares\users\dhar\Stalk mount testing\Type 1e Quality Assurance\CRYO-2088-2536  1647 1E","folder")</f>
        <v>folder</v>
      </c>
      <c r="T328" t="s">
        <v>1498</v>
      </c>
    </row>
    <row r="329" spans="1:22">
      <c r="A329" s="371">
        <v>1648</v>
      </c>
      <c r="B329" s="134">
        <v>17.2</v>
      </c>
      <c r="C329">
        <v>1.53</v>
      </c>
      <c r="D329">
        <v>7.15</v>
      </c>
      <c r="E329">
        <v>24.38</v>
      </c>
      <c r="F329" s="290" t="s">
        <v>1701</v>
      </c>
      <c r="G329" s="13">
        <v>16.3</v>
      </c>
      <c r="H329" s="13">
        <v>68.099999999999994</v>
      </c>
      <c r="I329" s="217">
        <v>42060</v>
      </c>
      <c r="J329" t="s">
        <v>130</v>
      </c>
      <c r="K329">
        <v>33.51</v>
      </c>
      <c r="L329">
        <v>0.20799999999999999</v>
      </c>
      <c r="M329">
        <v>361</v>
      </c>
      <c r="Q329" s="4" t="str">
        <f>HYPERLINK("\\HOPI-FS\shares\users\dhar\Stalk mount testing\Type 1e Quality Assurance\CRYO-2087-2537  1648 1E","folder")</f>
        <v>folder</v>
      </c>
      <c r="T329" t="s">
        <v>1498</v>
      </c>
      <c r="U329" s="13" t="s">
        <v>1730</v>
      </c>
    </row>
    <row r="330" spans="1:22">
      <c r="A330" s="371">
        <v>1649</v>
      </c>
      <c r="B330" s="134">
        <v>17</v>
      </c>
      <c r="C330">
        <v>1.53</v>
      </c>
      <c r="D330">
        <v>7.15</v>
      </c>
      <c r="E330">
        <v>24.39</v>
      </c>
      <c r="F330" s="19" t="s">
        <v>1702</v>
      </c>
      <c r="G330" s="13">
        <v>16.3</v>
      </c>
      <c r="H330" s="13">
        <v>68.099999999999994</v>
      </c>
      <c r="I330" s="217">
        <v>42060</v>
      </c>
      <c r="J330" t="s">
        <v>130</v>
      </c>
      <c r="K330">
        <v>33.53</v>
      </c>
      <c r="L330">
        <v>0.45100000000000001</v>
      </c>
      <c r="Q330" s="4" t="str">
        <f>HYPERLINK("\\HOPI-FS\shares\users\dhar\Stalk mount testing\Type 1e Quality Assurance\CRYO-2087-2538  1649 1E","folder")</f>
        <v>folder</v>
      </c>
      <c r="T330" t="s">
        <v>1498</v>
      </c>
    </row>
    <row r="331" spans="1:22">
      <c r="A331" s="371">
        <v>1650</v>
      </c>
      <c r="F331" s="270" t="s">
        <v>1703</v>
      </c>
      <c r="I331" s="217">
        <v>42060</v>
      </c>
      <c r="J331" t="s">
        <v>130</v>
      </c>
      <c r="T331" t="s">
        <v>1678</v>
      </c>
    </row>
    <row r="332" spans="1:22">
      <c r="A332" s="371">
        <v>1650</v>
      </c>
      <c r="B332" s="134">
        <v>17</v>
      </c>
      <c r="C332">
        <v>1.51</v>
      </c>
      <c r="D332">
        <v>7.13</v>
      </c>
      <c r="E332">
        <v>24.4</v>
      </c>
      <c r="F332" s="19" t="s">
        <v>1706</v>
      </c>
      <c r="G332">
        <v>16.3</v>
      </c>
      <c r="H332">
        <v>67.599999999999994</v>
      </c>
      <c r="I332" s="217">
        <v>42061</v>
      </c>
      <c r="J332" t="s">
        <v>130</v>
      </c>
      <c r="K332">
        <v>33.49</v>
      </c>
      <c r="L332">
        <v>0.45600000000000002</v>
      </c>
      <c r="M332">
        <v>399</v>
      </c>
      <c r="Q332" s="4" t="str">
        <f>HYPERLINK("\\HOPI-FS\shares\users\dhar\Stalk mount testing\Type 1e Quality Assurance\CRYO-2086-2542  1650 1E","folder")</f>
        <v>folder</v>
      </c>
      <c r="T332" t="s">
        <v>1498</v>
      </c>
      <c r="U332" t="s">
        <v>2125</v>
      </c>
    </row>
    <row r="333" spans="1:22">
      <c r="A333" s="371">
        <v>1596</v>
      </c>
      <c r="B333" s="136">
        <v>17.8</v>
      </c>
      <c r="C333">
        <v>1.5</v>
      </c>
      <c r="D333">
        <v>7.1</v>
      </c>
      <c r="E333">
        <v>24.36</v>
      </c>
      <c r="F333" s="19" t="s">
        <v>1704</v>
      </c>
      <c r="G333" s="13">
        <v>16.3</v>
      </c>
      <c r="H333" s="13">
        <v>68.099999999999994</v>
      </c>
      <c r="I333" s="217">
        <v>42060</v>
      </c>
      <c r="J333" t="s">
        <v>130</v>
      </c>
      <c r="K333">
        <v>33.46</v>
      </c>
      <c r="L333">
        <v>0.35199999999999998</v>
      </c>
      <c r="M333">
        <v>395</v>
      </c>
      <c r="Q333" s="4" t="str">
        <f>HYPERLINK("\\HOPI-FS\shares\users\dhar\Stalk mount testing\Type 1e Quality Assurance\CRYO-2089-2540  1596 1E","folder")</f>
        <v>folder</v>
      </c>
      <c r="T333" t="s">
        <v>1498</v>
      </c>
      <c r="U333" s="507" t="s">
        <v>3846</v>
      </c>
    </row>
    <row r="334" spans="1:22">
      <c r="A334" s="371">
        <v>1621</v>
      </c>
      <c r="B334" s="134">
        <v>18.2</v>
      </c>
      <c r="C334">
        <v>1.52</v>
      </c>
      <c r="D334">
        <v>7.2</v>
      </c>
      <c r="E334">
        <v>24.39</v>
      </c>
      <c r="F334" s="375" t="s">
        <v>1714</v>
      </c>
      <c r="G334" s="13">
        <v>24.1</v>
      </c>
      <c r="H334" s="13">
        <v>69.099999999999994</v>
      </c>
      <c r="I334" s="217">
        <v>42067</v>
      </c>
      <c r="J334" t="s">
        <v>130</v>
      </c>
      <c r="K334">
        <v>33.54</v>
      </c>
      <c r="L334">
        <v>0.28599999999999998</v>
      </c>
      <c r="Q334" s="4" t="str">
        <f>HYPERLINK("\\hopi-fs\shares\users\dhar\Stalk mount testing\Type 1e Quality Assurance\CRYO-2123-1919  1621 1E","folder")</f>
        <v>folder</v>
      </c>
      <c r="T334" t="s">
        <v>1498</v>
      </c>
    </row>
    <row r="335" spans="1:22">
      <c r="A335" s="371">
        <v>1622</v>
      </c>
      <c r="B335" s="134">
        <v>17</v>
      </c>
      <c r="C335">
        <v>1.49</v>
      </c>
      <c r="D335">
        <v>7.1</v>
      </c>
      <c r="E335">
        <v>24.41</v>
      </c>
      <c r="F335" s="428" t="s">
        <v>1715</v>
      </c>
      <c r="G335" s="13">
        <v>24.1</v>
      </c>
      <c r="H335" s="13">
        <v>69.099999999999994</v>
      </c>
      <c r="I335" s="217">
        <v>42067</v>
      </c>
      <c r="J335" t="s">
        <v>130</v>
      </c>
      <c r="K335">
        <v>33.44</v>
      </c>
      <c r="L335">
        <v>0.28599999999999998</v>
      </c>
      <c r="Q335" s="4" t="str">
        <f>HYPERLINK("\\hopi-fs\shares\users\dhar\Stalk mount testing\Type 1e Quality Assurance\CRYO-2122-1920  1622 1E","folder")</f>
        <v>folder</v>
      </c>
      <c r="T335" t="s">
        <v>1498</v>
      </c>
    </row>
    <row r="336" spans="1:22">
      <c r="A336" s="371">
        <v>1621</v>
      </c>
      <c r="F336" s="344" t="s">
        <v>1781</v>
      </c>
      <c r="G336" s="13"/>
      <c r="H336" s="13"/>
      <c r="I336" s="217">
        <v>42136</v>
      </c>
      <c r="J336" t="s">
        <v>130</v>
      </c>
      <c r="Q336" s="4" t="str">
        <f>HYPERLINK("\\HOPI-FS\shares\users\dhar\Stalk mount testing\Type 1e Quality Assurance\CRYO-2121-1903  1621 1E Harding","folder")</f>
        <v>folder</v>
      </c>
      <c r="T336" t="s">
        <v>1498</v>
      </c>
      <c r="U336" t="s">
        <v>1783</v>
      </c>
    </row>
    <row r="337" spans="1:24">
      <c r="A337" s="371">
        <v>1622</v>
      </c>
      <c r="F337" s="344" t="s">
        <v>1782</v>
      </c>
      <c r="G337" s="13"/>
      <c r="H337" s="13"/>
      <c r="I337" s="217">
        <v>42136</v>
      </c>
      <c r="J337" t="s">
        <v>130</v>
      </c>
      <c r="Q337" s="4" t="str">
        <f>HYPERLINK("\\HOPI-FS\shares\users\dhar\Stalk mount testing\Type 1e Quality Assurance\CRYO-2123-1904  1622 1E Harding","folder")</f>
        <v>folder</v>
      </c>
      <c r="T337" t="s">
        <v>1498</v>
      </c>
      <c r="U337" t="s">
        <v>1783</v>
      </c>
    </row>
    <row r="338" spans="1:24" ht="45" customHeight="1">
      <c r="A338" s="371">
        <v>1664</v>
      </c>
      <c r="B338" s="134">
        <v>17</v>
      </c>
      <c r="C338">
        <v>1.53</v>
      </c>
      <c r="D338">
        <v>7.09</v>
      </c>
      <c r="E338">
        <v>24.37</v>
      </c>
      <c r="F338" s="45" t="s">
        <v>1763</v>
      </c>
      <c r="G338" s="13">
        <v>25.2</v>
      </c>
      <c r="H338" s="13">
        <v>69.3</v>
      </c>
      <c r="I338" s="217">
        <v>42096</v>
      </c>
      <c r="J338" t="s">
        <v>130</v>
      </c>
      <c r="K338">
        <v>33.42</v>
      </c>
      <c r="L338">
        <v>0.45900000000000002</v>
      </c>
      <c r="M338">
        <v>306</v>
      </c>
      <c r="Q338" s="4" t="str">
        <f>HYPERLINK("\\HOPI-FS\shares\users\dhar\Stalk mount testing\Type 1e Quality Assurance\ISE-1Q14-07-14  1664 1E MEQ","folder")</f>
        <v>folder</v>
      </c>
      <c r="T338" t="s">
        <v>1498</v>
      </c>
      <c r="U338" s="64" t="s">
        <v>1765</v>
      </c>
    </row>
    <row r="339" spans="1:24">
      <c r="A339" s="371">
        <v>1666</v>
      </c>
      <c r="B339" s="134">
        <v>16</v>
      </c>
      <c r="C339">
        <v>1.51</v>
      </c>
      <c r="D339">
        <v>7.11</v>
      </c>
      <c r="E339">
        <v>24.31</v>
      </c>
      <c r="F339" s="45" t="s">
        <v>1764</v>
      </c>
      <c r="G339" s="13">
        <v>25.2</v>
      </c>
      <c r="H339" s="13">
        <v>69.3</v>
      </c>
      <c r="I339" s="217">
        <v>42096</v>
      </c>
      <c r="J339" t="s">
        <v>130</v>
      </c>
      <c r="K339">
        <v>33.380000000000003</v>
      </c>
      <c r="L339">
        <v>0.21</v>
      </c>
      <c r="M339">
        <v>278</v>
      </c>
      <c r="Q339" s="4" t="str">
        <f>HYPERLINK("\\HOPI-FS\shares\users\dhar\Stalk mount testing\Type 1e Quality Assurance\ISE-1Q14-07-15  1666 1E MEQ","folder")</f>
        <v>folder</v>
      </c>
      <c r="T339" t="s">
        <v>1498</v>
      </c>
      <c r="U339" s="64" t="s">
        <v>1765</v>
      </c>
    </row>
    <row r="340" spans="1:24" ht="20.25" customHeight="1">
      <c r="A340" s="371">
        <v>1668</v>
      </c>
      <c r="B340" s="136">
        <v>18</v>
      </c>
      <c r="C340">
        <v>1.48</v>
      </c>
      <c r="D340">
        <v>7.07</v>
      </c>
      <c r="E340">
        <v>24.34</v>
      </c>
      <c r="F340" s="290" t="s">
        <v>1733</v>
      </c>
      <c r="G340" s="13">
        <v>45.4</v>
      </c>
      <c r="H340" s="13">
        <v>70</v>
      </c>
      <c r="I340" s="217">
        <v>42097</v>
      </c>
      <c r="J340" t="s">
        <v>130</v>
      </c>
      <c r="K340">
        <v>33.33</v>
      </c>
      <c r="L340">
        <v>0.20100000000000001</v>
      </c>
      <c r="M340" t="s">
        <v>1838</v>
      </c>
      <c r="Q340" s="4" t="str">
        <f>HYPERLINK("\\HOPI-FS\shares\users\dhar\Stalk mount testing\Type 1e Quality Assurance\CRYO-2080-2562  1668 1E","folder")</f>
        <v>folder</v>
      </c>
      <c r="T340" t="s">
        <v>1498</v>
      </c>
      <c r="U340" t="s">
        <v>3846</v>
      </c>
    </row>
    <row r="341" spans="1:24">
      <c r="A341" s="371">
        <v>1669</v>
      </c>
      <c r="B341" s="134">
        <v>17.399999999999999</v>
      </c>
      <c r="C341">
        <v>1.5</v>
      </c>
      <c r="D341">
        <v>7.11</v>
      </c>
      <c r="E341">
        <v>24.37</v>
      </c>
      <c r="F341" s="176" t="s">
        <v>1734</v>
      </c>
      <c r="G341" s="13">
        <v>45.4</v>
      </c>
      <c r="H341" s="13">
        <v>70</v>
      </c>
      <c r="I341" s="217">
        <v>42097</v>
      </c>
      <c r="J341" t="s">
        <v>130</v>
      </c>
      <c r="K341">
        <v>33.4</v>
      </c>
      <c r="L341">
        <v>0.36499999999999999</v>
      </c>
      <c r="Q341" s="4" t="str">
        <f>HYPERLINK("\\HOPI-FS\shares\users\dhar\Stalk mount testing\Type 1e Quality Assurance\CRYO-2080-2564  1669 1E","folder")</f>
        <v>folder</v>
      </c>
      <c r="T341" t="s">
        <v>1498</v>
      </c>
    </row>
    <row r="342" spans="1:24">
      <c r="A342" s="371">
        <v>1670</v>
      </c>
      <c r="B342" s="134">
        <v>19.600000000000001</v>
      </c>
      <c r="C342">
        <v>1.48</v>
      </c>
      <c r="D342">
        <v>7.07</v>
      </c>
      <c r="E342">
        <v>24.32</v>
      </c>
      <c r="F342" s="176" t="s">
        <v>1735</v>
      </c>
      <c r="G342" s="13">
        <v>45.4</v>
      </c>
      <c r="H342" s="13">
        <v>70</v>
      </c>
      <c r="I342" s="217">
        <v>42097</v>
      </c>
      <c r="J342" t="s">
        <v>130</v>
      </c>
      <c r="K342">
        <v>33.29</v>
      </c>
      <c r="L342">
        <v>0.13500000000000001</v>
      </c>
      <c r="Q342" s="4" t="str">
        <f>HYPERLINK("\\HOPI-FS\shares\users\dhar\Stalk mount testing\Type 1e Quality Assurance\CRYO-2080-2565  1670 1E","folder")</f>
        <v>folder</v>
      </c>
      <c r="T342" t="s">
        <v>1498</v>
      </c>
    </row>
    <row r="343" spans="1:24">
      <c r="A343" s="371">
        <v>1672</v>
      </c>
      <c r="B343" s="134">
        <v>18.2</v>
      </c>
      <c r="C343">
        <v>1.52</v>
      </c>
      <c r="D343">
        <v>7.08</v>
      </c>
      <c r="E343">
        <v>24.34</v>
      </c>
      <c r="F343" s="290" t="s">
        <v>1736</v>
      </c>
      <c r="G343" s="13">
        <v>45.4</v>
      </c>
      <c r="H343" s="13">
        <v>70</v>
      </c>
      <c r="I343" s="217">
        <v>42097</v>
      </c>
      <c r="J343" t="s">
        <v>130</v>
      </c>
      <c r="K343">
        <v>33.369999999999997</v>
      </c>
      <c r="L343">
        <v>0.36499999999999999</v>
      </c>
      <c r="M343">
        <v>431</v>
      </c>
      <c r="Q343" s="4" t="str">
        <f>HYPERLINK("\\HOPI-FS\shares\users\dhar\Stalk mount testing\Type 1e Quality Assurance\CRYO-2081-2567  1672 1E","folder")</f>
        <v>folder</v>
      </c>
      <c r="T343" t="s">
        <v>1498</v>
      </c>
      <c r="U343" t="s">
        <v>1750</v>
      </c>
      <c r="V343" s="407" t="s">
        <v>2489</v>
      </c>
      <c r="W343" s="29">
        <v>5</v>
      </c>
      <c r="X343">
        <v>1</v>
      </c>
    </row>
    <row r="344" spans="1:24">
      <c r="A344" s="371">
        <v>1673</v>
      </c>
      <c r="B344" s="134">
        <v>16.600000000000001</v>
      </c>
      <c r="C344">
        <v>1.53</v>
      </c>
      <c r="D344">
        <v>7.05</v>
      </c>
      <c r="E344">
        <v>24.33</v>
      </c>
      <c r="F344" s="19" t="s">
        <v>1737</v>
      </c>
      <c r="G344" s="13">
        <v>45.4</v>
      </c>
      <c r="H344" s="13">
        <v>70</v>
      </c>
      <c r="I344" s="217">
        <v>42097</v>
      </c>
      <c r="J344" t="s">
        <v>130</v>
      </c>
      <c r="K344">
        <v>33.35</v>
      </c>
      <c r="L344">
        <v>0.66800000000000004</v>
      </c>
      <c r="M344">
        <v>419</v>
      </c>
      <c r="Q344" s="4" t="str">
        <f>HYPERLINK("\\HOPI-FS\shares\users\dhar\Stalk mount testing\Type 1e Quality Assurance\CRYO-2077-2568  1673 1E","folder")</f>
        <v>folder</v>
      </c>
      <c r="T344" t="s">
        <v>1498</v>
      </c>
      <c r="U344" t="s">
        <v>1750</v>
      </c>
    </row>
    <row r="345" spans="1:24">
      <c r="A345" s="371">
        <v>1674</v>
      </c>
      <c r="B345" s="134">
        <v>16</v>
      </c>
      <c r="C345">
        <v>1.48</v>
      </c>
      <c r="D345">
        <v>7.05</v>
      </c>
      <c r="E345">
        <v>24.39</v>
      </c>
      <c r="F345" s="290" t="s">
        <v>1738</v>
      </c>
      <c r="G345" s="13">
        <v>45.4</v>
      </c>
      <c r="H345" s="13">
        <v>70</v>
      </c>
      <c r="I345" s="217">
        <v>42097</v>
      </c>
      <c r="J345" t="s">
        <v>130</v>
      </c>
      <c r="K345">
        <v>33.369999999999997</v>
      </c>
      <c r="L345">
        <v>0.68899999999999995</v>
      </c>
      <c r="M345">
        <v>394</v>
      </c>
      <c r="Q345" s="4" t="str">
        <f>HYPERLINK("\\HOPI-FS\shares\users\dhar\Stalk mount testing\Type 1e Quality Assurance\CRYO-2078-2569  1674 1E","folder")</f>
        <v>folder</v>
      </c>
      <c r="T345" t="s">
        <v>1498</v>
      </c>
      <c r="U345" t="s">
        <v>1750</v>
      </c>
      <c r="V345" s="407" t="s">
        <v>2549</v>
      </c>
      <c r="W345" s="29">
        <v>2</v>
      </c>
      <c r="X345">
        <v>1</v>
      </c>
    </row>
    <row r="346" spans="1:24">
      <c r="A346" s="371">
        <v>1597</v>
      </c>
      <c r="B346" s="134">
        <v>18.8</v>
      </c>
      <c r="C346">
        <v>1.53</v>
      </c>
      <c r="D346">
        <v>7.15</v>
      </c>
      <c r="E346">
        <v>24.37</v>
      </c>
      <c r="F346" s="19" t="s">
        <v>1741</v>
      </c>
      <c r="G346" s="13">
        <v>35.5</v>
      </c>
      <c r="H346" s="13">
        <v>71</v>
      </c>
      <c r="I346" s="217">
        <v>42100</v>
      </c>
      <c r="J346" t="s">
        <v>130</v>
      </c>
      <c r="K346">
        <v>33.5</v>
      </c>
      <c r="L346">
        <v>0.24399999999999999</v>
      </c>
      <c r="M346">
        <v>441</v>
      </c>
      <c r="Q346" s="4" t="str">
        <f>HYPERLINK("\\HOPI-FS\shares\users\dhar\Stalk mount testing\Type 1e Quality Assurance\CRYO-2079-2559  1597 1E","folder")</f>
        <v>folder</v>
      </c>
      <c r="T346" t="s">
        <v>1498</v>
      </c>
      <c r="U346" t="s">
        <v>1750</v>
      </c>
    </row>
    <row r="347" spans="1:24">
      <c r="A347" s="371">
        <v>1599</v>
      </c>
      <c r="B347" s="136">
        <v>16.600000000000001</v>
      </c>
      <c r="C347">
        <v>1.51</v>
      </c>
      <c r="D347">
        <v>7.16</v>
      </c>
      <c r="E347">
        <v>24.35</v>
      </c>
      <c r="F347" s="19" t="s">
        <v>1742</v>
      </c>
      <c r="G347" s="13">
        <v>35.5</v>
      </c>
      <c r="H347" s="13">
        <v>71</v>
      </c>
      <c r="I347" s="217">
        <v>42100</v>
      </c>
      <c r="J347" t="s">
        <v>130</v>
      </c>
      <c r="K347">
        <v>33.46</v>
      </c>
      <c r="L347">
        <v>0.58899999999999997</v>
      </c>
      <c r="M347">
        <v>383</v>
      </c>
      <c r="Q347" s="4" t="str">
        <f>HYPERLINK("\\HOPI-FS\shares\users\dhar\Stalk mount testing\Type 1e Quality Assurance\CRYO-2080-2560  1599 1E","folder")</f>
        <v>folder</v>
      </c>
      <c r="T347" t="s">
        <v>1498</v>
      </c>
      <c r="U347" t="s">
        <v>3846</v>
      </c>
    </row>
    <row r="348" spans="1:24">
      <c r="A348" s="371">
        <v>1649</v>
      </c>
      <c r="B348" s="136">
        <v>17.8</v>
      </c>
      <c r="C348" s="3">
        <v>1.84</v>
      </c>
      <c r="D348">
        <v>7.17</v>
      </c>
      <c r="E348">
        <v>24.71</v>
      </c>
      <c r="F348" s="176" t="s">
        <v>1743</v>
      </c>
      <c r="G348" s="13">
        <v>35.5</v>
      </c>
      <c r="H348" s="13">
        <v>71</v>
      </c>
      <c r="I348" s="217">
        <v>42100</v>
      </c>
      <c r="J348" t="s">
        <v>130</v>
      </c>
      <c r="K348">
        <v>34.17</v>
      </c>
      <c r="L348">
        <v>0.48499999999999999</v>
      </c>
      <c r="Q348" s="4" t="str">
        <f>HYPERLINK("\\HOPI-FS\shares\users\dhar\Stalk mount testing\Type 1e Quality Assurance\CRYO-2079-2561  1649 1E","folder")</f>
        <v>folder</v>
      </c>
      <c r="T348" t="s">
        <v>1498</v>
      </c>
      <c r="U348" t="s">
        <v>3846</v>
      </c>
    </row>
    <row r="349" spans="1:24">
      <c r="A349" s="371">
        <v>1623</v>
      </c>
      <c r="B349" s="134">
        <v>18.399999999999999</v>
      </c>
      <c r="C349">
        <v>1.51</v>
      </c>
      <c r="D349">
        <v>7.17</v>
      </c>
      <c r="E349">
        <v>24.39</v>
      </c>
      <c r="F349" s="290" t="s">
        <v>1744</v>
      </c>
      <c r="G349" s="13">
        <v>28.5</v>
      </c>
      <c r="H349" s="13">
        <v>68.400000000000006</v>
      </c>
      <c r="I349" s="217">
        <v>42101</v>
      </c>
      <c r="J349" t="s">
        <v>130</v>
      </c>
      <c r="K349">
        <v>33.520000000000003</v>
      </c>
      <c r="L349">
        <v>0.42299999999999999</v>
      </c>
      <c r="M349">
        <v>436</v>
      </c>
      <c r="Q349" s="4" t="str">
        <f>HYPERLINK("\\HOPI-FS\shares\users\dhar\Stalk mount testing\Type 1e Quality Assurance\CRYO-2078-2571  1623 1E","folder")</f>
        <v>folder</v>
      </c>
      <c r="T349" t="s">
        <v>1498</v>
      </c>
      <c r="U349" t="s">
        <v>1750</v>
      </c>
      <c r="V349" s="407" t="s">
        <v>2441</v>
      </c>
      <c r="W349" s="29">
        <v>3</v>
      </c>
      <c r="X349">
        <v>1</v>
      </c>
    </row>
    <row r="350" spans="1:24">
      <c r="A350" s="371">
        <v>1625</v>
      </c>
      <c r="B350" s="134">
        <v>18</v>
      </c>
      <c r="C350">
        <v>1.52</v>
      </c>
      <c r="D350">
        <v>7.14</v>
      </c>
      <c r="E350">
        <v>24.38</v>
      </c>
      <c r="F350" s="290" t="s">
        <v>1745</v>
      </c>
      <c r="G350" s="13">
        <v>28.5</v>
      </c>
      <c r="H350" s="13">
        <v>68.400000000000006</v>
      </c>
      <c r="I350" s="217">
        <v>42101</v>
      </c>
      <c r="J350" t="s">
        <v>130</v>
      </c>
      <c r="K350">
        <v>33.479999999999997</v>
      </c>
      <c r="L350">
        <v>0.45400000000000001</v>
      </c>
      <c r="M350">
        <v>400</v>
      </c>
      <c r="Q350" s="4" t="str">
        <f>HYPERLINK("\\HOPI-FS\shares\users\dhar\Stalk mount testing\Type 1e Quality Assurance\CRYO-2080-2572  1625 1E","folder")</f>
        <v>folder</v>
      </c>
      <c r="T350" t="s">
        <v>1498</v>
      </c>
      <c r="U350" t="s">
        <v>1750</v>
      </c>
      <c r="V350" s="407" t="s">
        <v>2293</v>
      </c>
      <c r="W350" s="29">
        <v>3</v>
      </c>
      <c r="X350">
        <v>1</v>
      </c>
    </row>
    <row r="351" spans="1:24">
      <c r="A351" s="371">
        <v>1626</v>
      </c>
      <c r="B351" s="134">
        <v>19</v>
      </c>
      <c r="C351">
        <v>1.51</v>
      </c>
      <c r="D351">
        <v>7.15</v>
      </c>
      <c r="E351">
        <v>24.4</v>
      </c>
      <c r="F351" s="290" t="s">
        <v>1746</v>
      </c>
      <c r="G351" s="13">
        <v>28.5</v>
      </c>
      <c r="H351" s="13">
        <v>68.400000000000006</v>
      </c>
      <c r="I351" s="217">
        <v>42101</v>
      </c>
      <c r="J351" t="s">
        <v>130</v>
      </c>
      <c r="K351">
        <v>33.5</v>
      </c>
      <c r="L351">
        <v>0.47899999999999998</v>
      </c>
      <c r="M351" t="s">
        <v>1836</v>
      </c>
      <c r="Q351" s="4" t="str">
        <f>HYPERLINK("\\HOPI-FS\shares\users\dhar\Stalk mount testing\Type 1e Quality Assurance\CRYO-2079-2574  1626 1E","folder")</f>
        <v>folder</v>
      </c>
      <c r="T351" t="s">
        <v>1498</v>
      </c>
      <c r="U351" t="s">
        <v>1854</v>
      </c>
      <c r="V351" s="407" t="s">
        <v>2309</v>
      </c>
      <c r="W351" s="29">
        <v>2</v>
      </c>
      <c r="X351">
        <v>1</v>
      </c>
    </row>
    <row r="352" spans="1:24" ht="27.75" customHeight="1">
      <c r="A352" s="371">
        <v>1366</v>
      </c>
      <c r="B352" s="134">
        <v>17</v>
      </c>
      <c r="C352">
        <v>1.52</v>
      </c>
      <c r="D352">
        <v>7.01</v>
      </c>
      <c r="E352">
        <v>24.43</v>
      </c>
      <c r="F352" s="428" t="s">
        <v>1747</v>
      </c>
      <c r="G352" s="13">
        <v>45.9</v>
      </c>
      <c r="H352" s="13">
        <v>69.099999999999994</v>
      </c>
      <c r="I352" s="217">
        <v>42103</v>
      </c>
      <c r="J352" t="s">
        <v>130</v>
      </c>
      <c r="K352">
        <v>33.4</v>
      </c>
      <c r="L352">
        <v>0.19</v>
      </c>
      <c r="M352">
        <v>263</v>
      </c>
      <c r="Q352" s="4" t="str">
        <f>HYPERLINK("\\HOPI-FS\shares\users\dhar\Stalk mount testing\Type 1e Quality Assurance\ISE-3Q03-06-05  1366 1E MEQ","folder")</f>
        <v>folder</v>
      </c>
      <c r="T352" t="s">
        <v>1498</v>
      </c>
    </row>
    <row r="353" spans="1:24">
      <c r="A353" s="371">
        <v>1382</v>
      </c>
      <c r="B353" s="134">
        <v>16.600000000000001</v>
      </c>
      <c r="C353">
        <v>1.51</v>
      </c>
      <c r="D353">
        <v>7.13</v>
      </c>
      <c r="E353">
        <v>24.34</v>
      </c>
      <c r="F353" s="428" t="s">
        <v>1748</v>
      </c>
      <c r="G353" s="13">
        <v>45.9</v>
      </c>
      <c r="H353" s="13">
        <v>69.099999999999994</v>
      </c>
      <c r="I353" s="217">
        <v>42103</v>
      </c>
      <c r="J353" t="s">
        <v>130</v>
      </c>
      <c r="K353">
        <v>33.43</v>
      </c>
      <c r="L353">
        <v>0.35799999999999998</v>
      </c>
      <c r="M353">
        <v>259</v>
      </c>
      <c r="Q353" s="4" t="str">
        <f>HYPERLINK("\\HOPI-FS\shares\users\dhar\Stalk mount testing\Type 1e Quality Assurance\ISE-3Q03-06-08  1382 1E MEQ","folder")</f>
        <v>folder</v>
      </c>
      <c r="T353" t="s">
        <v>1498</v>
      </c>
    </row>
    <row r="354" spans="1:24">
      <c r="A354" s="371">
        <v>1483</v>
      </c>
      <c r="B354" s="134">
        <v>16.2</v>
      </c>
      <c r="C354">
        <v>1.52</v>
      </c>
      <c r="D354">
        <v>7.12</v>
      </c>
      <c r="E354">
        <v>24.31</v>
      </c>
      <c r="F354" s="176" t="s">
        <v>1749</v>
      </c>
      <c r="G354" s="13">
        <v>45.9</v>
      </c>
      <c r="H354" s="13">
        <v>69.099999999999994</v>
      </c>
      <c r="I354" s="217">
        <v>42103</v>
      </c>
      <c r="J354" t="s">
        <v>130</v>
      </c>
      <c r="K354">
        <v>33.39</v>
      </c>
      <c r="L354">
        <v>0.63600000000000001</v>
      </c>
      <c r="M354">
        <v>278</v>
      </c>
      <c r="Q354" s="4" t="str">
        <f>HYPERLINK("\\HOPI-FS\shares\users\dhar\Stalk mount testing\Type 1e Quality Assurance\ISE-3Q03-06-09  1483 1E MEQ","folder")</f>
        <v>folder</v>
      </c>
      <c r="T354" t="s">
        <v>1498</v>
      </c>
    </row>
    <row r="355" spans="1:24" ht="30" customHeight="1">
      <c r="A355" s="371">
        <v>1676</v>
      </c>
      <c r="B355" s="134">
        <v>16.8</v>
      </c>
      <c r="C355">
        <v>1.52</v>
      </c>
      <c r="D355">
        <v>7.11</v>
      </c>
      <c r="E355">
        <v>24.36</v>
      </c>
      <c r="F355" s="290" t="s">
        <v>1766</v>
      </c>
      <c r="G355" s="13">
        <v>33.9</v>
      </c>
      <c r="H355" s="13">
        <v>68.8</v>
      </c>
      <c r="I355" s="217">
        <v>42118</v>
      </c>
      <c r="J355" t="s">
        <v>130</v>
      </c>
      <c r="K355">
        <v>33.39</v>
      </c>
      <c r="L355">
        <v>0.317</v>
      </c>
      <c r="M355">
        <v>452</v>
      </c>
      <c r="Q355" s="4" t="str">
        <f>HYPERLINK("\\HOPI-FS\shares\users\dhar\Stalk mount testing\Type 1e Quality Assurance\CRYO-2078-2576  1676 1E","folder")</f>
        <v>folder</v>
      </c>
      <c r="T355" t="s">
        <v>1498</v>
      </c>
      <c r="U355" t="s">
        <v>1776</v>
      </c>
    </row>
    <row r="356" spans="1:24">
      <c r="A356" s="371">
        <v>1678</v>
      </c>
      <c r="B356" s="134">
        <v>16</v>
      </c>
      <c r="C356">
        <v>1.51</v>
      </c>
      <c r="D356">
        <v>7.08</v>
      </c>
      <c r="E356">
        <v>24.33</v>
      </c>
      <c r="F356" s="176" t="s">
        <v>1767</v>
      </c>
      <c r="G356" s="13">
        <v>33.9</v>
      </c>
      <c r="H356" s="13">
        <v>68.8</v>
      </c>
      <c r="I356" s="217">
        <v>42118</v>
      </c>
      <c r="J356" t="s">
        <v>130</v>
      </c>
      <c r="K356">
        <v>33.33</v>
      </c>
      <c r="L356">
        <v>0.38700000000000001</v>
      </c>
      <c r="Q356" s="4" t="str">
        <f>HYPERLINK("\\HOPI-FS\shares\users\dhar\Stalk mount testing\Type 1e Quality Assurance\CRYO-2077-2577  1678 1E","folder")</f>
        <v>folder</v>
      </c>
      <c r="T356" t="s">
        <v>1498</v>
      </c>
    </row>
    <row r="357" spans="1:24">
      <c r="A357" s="371">
        <v>1680</v>
      </c>
      <c r="B357" s="134">
        <v>14.4</v>
      </c>
      <c r="C357">
        <v>1.51</v>
      </c>
      <c r="D357">
        <v>7.1</v>
      </c>
      <c r="E357">
        <v>24.42</v>
      </c>
      <c r="F357" s="176" t="s">
        <v>1768</v>
      </c>
      <c r="G357" s="13">
        <v>33.9</v>
      </c>
      <c r="H357" s="13">
        <v>68.8</v>
      </c>
      <c r="I357" s="217">
        <v>42118</v>
      </c>
      <c r="J357" t="s">
        <v>130</v>
      </c>
      <c r="K357">
        <v>33.44</v>
      </c>
      <c r="L357">
        <v>0.59599999999999997</v>
      </c>
      <c r="Q357" s="4" t="str">
        <f>HYPERLINK("\\HOPI-FS\shares\users\dhar\Stalk mount testing\Type 1e Quality Assurance\CRYO-2079-2578  1680 1E","folder")</f>
        <v>folder</v>
      </c>
      <c r="T357" t="s">
        <v>1498</v>
      </c>
    </row>
    <row r="358" spans="1:24">
      <c r="A358" s="371">
        <v>1682</v>
      </c>
      <c r="B358" s="134">
        <v>16</v>
      </c>
      <c r="C358">
        <v>1.49</v>
      </c>
      <c r="D358">
        <v>7.07</v>
      </c>
      <c r="E358">
        <v>24.32</v>
      </c>
      <c r="F358" s="290" t="s">
        <v>1769</v>
      </c>
      <c r="G358" s="13">
        <v>33.9</v>
      </c>
      <c r="H358" s="13">
        <v>68.8</v>
      </c>
      <c r="I358" s="217">
        <v>42118</v>
      </c>
      <c r="J358" t="s">
        <v>130</v>
      </c>
      <c r="K358">
        <v>33.29</v>
      </c>
      <c r="L358">
        <v>0.38700000000000001</v>
      </c>
      <c r="M358">
        <v>392</v>
      </c>
      <c r="Q358" s="4" t="str">
        <f>HYPERLINK("\\HOPI-FS\shares\users\dhar\Stalk mount testing\Type 1e Quality Assurance\CRYO-2078-2579  1682 1E","folder")</f>
        <v>folder</v>
      </c>
      <c r="T358" t="s">
        <v>1498</v>
      </c>
      <c r="U358" t="s">
        <v>1776</v>
      </c>
    </row>
    <row r="359" spans="1:24">
      <c r="A359" s="371">
        <v>1683</v>
      </c>
      <c r="B359" s="134">
        <v>16.399999999999999</v>
      </c>
      <c r="C359">
        <v>1.52</v>
      </c>
      <c r="D359">
        <v>7.08</v>
      </c>
      <c r="E359">
        <v>24.32</v>
      </c>
      <c r="F359" s="19" t="s">
        <v>1770</v>
      </c>
      <c r="G359" s="13">
        <v>33.9</v>
      </c>
      <c r="H359" s="13">
        <v>68.8</v>
      </c>
      <c r="I359" s="217">
        <v>42118</v>
      </c>
      <c r="J359" t="s">
        <v>130</v>
      </c>
      <c r="K359">
        <v>33.33</v>
      </c>
      <c r="L359">
        <v>0.39900000000000002</v>
      </c>
      <c r="M359">
        <v>418</v>
      </c>
      <c r="Q359" s="4" t="str">
        <f>HYPERLINK("\\HOPI-FS\shares\users\dhar\Stalk mount testing\Type 1e Quality Assurance\CRYO-2078-2580  1683 1E","folder")</f>
        <v>folder</v>
      </c>
      <c r="T359" t="s">
        <v>1498</v>
      </c>
      <c r="U359" t="s">
        <v>1776</v>
      </c>
      <c r="V359" s="407" t="s">
        <v>2897</v>
      </c>
      <c r="W359" s="29">
        <v>3</v>
      </c>
      <c r="X359">
        <v>1</v>
      </c>
    </row>
    <row r="360" spans="1:24">
      <c r="A360" s="371">
        <v>1685</v>
      </c>
      <c r="B360" s="134">
        <v>16.8</v>
      </c>
      <c r="C360">
        <v>1.49</v>
      </c>
      <c r="D360">
        <v>7.05</v>
      </c>
      <c r="E360">
        <v>24.33</v>
      </c>
      <c r="F360" s="290" t="s">
        <v>1771</v>
      </c>
      <c r="G360" s="13">
        <v>33.9</v>
      </c>
      <c r="H360" s="13">
        <v>68.8</v>
      </c>
      <c r="I360" s="217">
        <v>42118</v>
      </c>
      <c r="J360" t="s">
        <v>130</v>
      </c>
      <c r="K360">
        <v>33.28</v>
      </c>
      <c r="L360">
        <v>0.58699999999999997</v>
      </c>
      <c r="M360">
        <v>457</v>
      </c>
      <c r="Q360" s="4" t="str">
        <f>HYPERLINK("\\HOPI-FS\shares\users\dhar\Stalk mount testing\Type 1e Quality Assurance\CRYO-2078-2582  1685 1E","folder")</f>
        <v>folder</v>
      </c>
      <c r="T360" t="s">
        <v>1498</v>
      </c>
      <c r="U360" t="s">
        <v>1776</v>
      </c>
      <c r="V360" s="407" t="s">
        <v>2317</v>
      </c>
      <c r="W360" s="29">
        <v>1</v>
      </c>
      <c r="X360">
        <v>1</v>
      </c>
    </row>
    <row r="361" spans="1:24">
      <c r="A361" s="371">
        <v>1686</v>
      </c>
      <c r="B361" s="134">
        <v>17</v>
      </c>
      <c r="C361">
        <v>1.52</v>
      </c>
      <c r="D361">
        <v>7.1</v>
      </c>
      <c r="E361">
        <v>24.31</v>
      </c>
      <c r="F361" s="19" t="s">
        <v>1772</v>
      </c>
      <c r="G361" s="13">
        <v>33.9</v>
      </c>
      <c r="H361" s="13">
        <v>68.8</v>
      </c>
      <c r="I361" s="217">
        <v>42118</v>
      </c>
      <c r="J361" t="s">
        <v>130</v>
      </c>
      <c r="K361">
        <v>33.32</v>
      </c>
      <c r="L361">
        <v>0.436</v>
      </c>
      <c r="M361">
        <v>442</v>
      </c>
      <c r="Q361" s="4" t="str">
        <f>HYPERLINK("\\HOPI-FS\shares\users\dhar\Stalk mount testing\Type 1e Quality Assurance\CRYO-2078-2583  1686 1E","folder")</f>
        <v>folder</v>
      </c>
      <c r="T361" t="s">
        <v>1498</v>
      </c>
      <c r="U361" t="s">
        <v>1776</v>
      </c>
    </row>
    <row r="362" spans="1:24">
      <c r="A362" s="371">
        <v>1687</v>
      </c>
      <c r="B362" s="134">
        <v>17.2</v>
      </c>
      <c r="C362">
        <v>1.52</v>
      </c>
      <c r="D362">
        <v>7.07</v>
      </c>
      <c r="E362">
        <v>24.33</v>
      </c>
      <c r="F362" s="19" t="s">
        <v>1773</v>
      </c>
      <c r="G362" s="13">
        <v>33.9</v>
      </c>
      <c r="H362" s="13">
        <v>68.8</v>
      </c>
      <c r="I362" s="217">
        <v>42118</v>
      </c>
      <c r="J362" t="s">
        <v>130</v>
      </c>
      <c r="K362">
        <v>33.32</v>
      </c>
      <c r="L362">
        <v>0.11</v>
      </c>
      <c r="M362" t="s">
        <v>1775</v>
      </c>
      <c r="Q362" s="4" t="str">
        <f>HYPERLINK("\\HOPI-FS\shares\users\dhar\Stalk mount testing\Type 1e Quality Assurance\CRYO-2080-2584  1687 1E","folder")</f>
        <v>folder</v>
      </c>
      <c r="T362" t="s">
        <v>1498</v>
      </c>
      <c r="U362" t="s">
        <v>1776</v>
      </c>
      <c r="V362" s="407" t="s">
        <v>2898</v>
      </c>
    </row>
    <row r="363" spans="1:24">
      <c r="A363" s="371">
        <v>1688</v>
      </c>
      <c r="B363" s="134">
        <v>17.399999999999999</v>
      </c>
      <c r="C363">
        <v>1.52</v>
      </c>
      <c r="D363">
        <v>7.11</v>
      </c>
      <c r="E363">
        <v>24.48</v>
      </c>
      <c r="F363" s="19" t="s">
        <v>1774</v>
      </c>
      <c r="G363" s="13">
        <v>33.9</v>
      </c>
      <c r="H363" s="13">
        <v>68.8</v>
      </c>
      <c r="I363" s="217">
        <v>42118</v>
      </c>
      <c r="J363" t="s">
        <v>130</v>
      </c>
      <c r="K363">
        <v>33.53</v>
      </c>
      <c r="L363">
        <v>0.54</v>
      </c>
      <c r="M363">
        <v>443</v>
      </c>
      <c r="Q363" s="4" t="str">
        <f>HYPERLINK("\\HOPI-FS\shares\users\dhar\Stalk mount testing\Type 1e Quality Assurance\CRYO-2078-2585  1688 1E","folder")</f>
        <v>folder</v>
      </c>
      <c r="T363" t="s">
        <v>1498</v>
      </c>
    </row>
    <row r="364" spans="1:24">
      <c r="A364" s="371">
        <v>1627</v>
      </c>
      <c r="B364" s="136">
        <v>18</v>
      </c>
      <c r="C364">
        <v>1.73</v>
      </c>
      <c r="D364">
        <v>7.16</v>
      </c>
      <c r="E364">
        <v>24.39</v>
      </c>
      <c r="F364" s="428" t="s">
        <v>1777</v>
      </c>
      <c r="G364" s="13">
        <v>33.9</v>
      </c>
      <c r="H364" s="13">
        <v>68.8</v>
      </c>
      <c r="I364" s="217">
        <v>42118</v>
      </c>
      <c r="J364" t="s">
        <v>130</v>
      </c>
      <c r="K364">
        <v>33.700000000000003</v>
      </c>
      <c r="L364">
        <v>0.253</v>
      </c>
      <c r="Q364" s="4" t="str">
        <f>HYPERLINK("\\HOPI-FS\shares\users\dhar\Stalk mount testing\Type 1e Quality Assurance\CRYO-2079-2587  1627 1E Au","folder")</f>
        <v>folder</v>
      </c>
      <c r="T364" t="s">
        <v>1498</v>
      </c>
      <c r="U364" s="64" t="s">
        <v>3876</v>
      </c>
    </row>
    <row r="365" spans="1:24">
      <c r="A365" s="371">
        <v>1646</v>
      </c>
      <c r="B365" s="136">
        <v>17</v>
      </c>
      <c r="C365">
        <v>1.52</v>
      </c>
      <c r="D365">
        <v>7.08</v>
      </c>
      <c r="E365">
        <v>24.35</v>
      </c>
      <c r="F365" s="428" t="s">
        <v>1778</v>
      </c>
      <c r="G365" s="13">
        <v>33.9</v>
      </c>
      <c r="H365" s="13">
        <v>68.8</v>
      </c>
      <c r="I365" s="217">
        <v>42118</v>
      </c>
      <c r="J365" t="s">
        <v>130</v>
      </c>
      <c r="K365">
        <v>33.35</v>
      </c>
      <c r="L365">
        <v>0.51</v>
      </c>
      <c r="Q365" s="4" t="str">
        <f>HYPERLINK("\\HOPI-FS\shares\users\dhar\Stalk mount testing\Type 1e Quality Assurance\CRYO-2080-2588  1646 1E Au","folder")</f>
        <v>folder</v>
      </c>
      <c r="T365" t="s">
        <v>1498</v>
      </c>
      <c r="U365" s="64" t="s">
        <v>3876</v>
      </c>
    </row>
    <row r="366" spans="1:24">
      <c r="A366" s="371">
        <v>1689</v>
      </c>
      <c r="B366" s="134">
        <v>15.6</v>
      </c>
      <c r="C366">
        <v>1.5</v>
      </c>
      <c r="D366">
        <v>7.09</v>
      </c>
      <c r="E366">
        <v>24.38</v>
      </c>
      <c r="F366" s="19" t="s">
        <v>1779</v>
      </c>
      <c r="G366" s="13">
        <v>33.9</v>
      </c>
      <c r="H366" s="13">
        <v>68.8</v>
      </c>
      <c r="I366" s="217">
        <v>42118</v>
      </c>
      <c r="J366" t="s">
        <v>130</v>
      </c>
      <c r="K366">
        <v>33.39</v>
      </c>
      <c r="L366">
        <v>0.61099999999999999</v>
      </c>
      <c r="M366">
        <v>374</v>
      </c>
      <c r="Q366" s="4" t="str">
        <f>HYPERLINK("\\HOPI-FS\shares\users\dhar\Stalk mount testing\Type 1e Quality Assurance\CRYO-2079-1589  1689 1E Au","folder")</f>
        <v>folder</v>
      </c>
      <c r="T366" t="s">
        <v>1498</v>
      </c>
      <c r="U366" s="64" t="s">
        <v>1780</v>
      </c>
    </row>
    <row r="367" spans="1:24" ht="30.75" customHeight="1">
      <c r="A367" s="371">
        <v>1690</v>
      </c>
      <c r="B367" s="134">
        <v>16.399999999999999</v>
      </c>
      <c r="C367">
        <v>1.5</v>
      </c>
      <c r="D367">
        <v>7.11</v>
      </c>
      <c r="E367">
        <v>24.32</v>
      </c>
      <c r="F367" s="176" t="s">
        <v>1784</v>
      </c>
      <c r="G367" s="13">
        <v>57.6</v>
      </c>
      <c r="H367" s="13">
        <v>70</v>
      </c>
      <c r="I367" s="217">
        <v>42142</v>
      </c>
      <c r="J367" t="s">
        <v>130</v>
      </c>
      <c r="K367">
        <v>33.380000000000003</v>
      </c>
      <c r="L367">
        <v>0.73799999999999999</v>
      </c>
      <c r="M367">
        <v>372</v>
      </c>
      <c r="Q367" s="4" t="str">
        <f>HYPERLINK("\\HOPI-FS\shares\users\dhar\Stalk mount testing\Type 1e Quality Assurance\CRYO-2088-2602  1690 1E","folder")</f>
        <v>folder</v>
      </c>
      <c r="T367" t="s">
        <v>1498</v>
      </c>
      <c r="V367" s="407" t="s">
        <v>1801</v>
      </c>
    </row>
    <row r="368" spans="1:24">
      <c r="A368" s="371">
        <v>1691</v>
      </c>
      <c r="B368" s="134">
        <v>17.600000000000001</v>
      </c>
      <c r="C368">
        <v>1.47</v>
      </c>
      <c r="D368">
        <v>7.16</v>
      </c>
      <c r="E368">
        <v>24.4</v>
      </c>
      <c r="F368" s="290" t="s">
        <v>1785</v>
      </c>
      <c r="G368" s="13">
        <v>57.6</v>
      </c>
      <c r="H368" s="13">
        <v>70</v>
      </c>
      <c r="I368" s="217">
        <v>42142</v>
      </c>
      <c r="J368" t="s">
        <v>130</v>
      </c>
      <c r="K368">
        <v>33.5</v>
      </c>
      <c r="L368">
        <v>0.77600000000000002</v>
      </c>
      <c r="M368">
        <v>405</v>
      </c>
      <c r="Q368" s="4" t="str">
        <f>HYPERLINK("\\HOPI-FS\shares\users\dhar\Stalk mount testing\Type 1e Quality Assurance\CRYO-2087-2603  1691 1E","folder")</f>
        <v>folder</v>
      </c>
      <c r="T368" t="s">
        <v>1498</v>
      </c>
      <c r="U368" s="13" t="s">
        <v>1800</v>
      </c>
      <c r="V368" s="407" t="s">
        <v>1802</v>
      </c>
    </row>
    <row r="369" spans="1:22">
      <c r="A369" s="371">
        <v>1692</v>
      </c>
      <c r="B369" s="134">
        <v>17.600000000000001</v>
      </c>
      <c r="C369">
        <v>1.51</v>
      </c>
      <c r="D369">
        <v>7.16</v>
      </c>
      <c r="E369">
        <v>24.37</v>
      </c>
      <c r="F369" s="19" t="s">
        <v>1786</v>
      </c>
      <c r="G369" s="13">
        <v>57.6</v>
      </c>
      <c r="H369" s="13">
        <v>70</v>
      </c>
      <c r="I369" s="217">
        <v>42142</v>
      </c>
      <c r="J369" t="s">
        <v>130</v>
      </c>
      <c r="K369">
        <v>33.5</v>
      </c>
      <c r="L369">
        <v>0.71299999999999997</v>
      </c>
      <c r="M369">
        <v>363</v>
      </c>
      <c r="Q369" s="4" t="str">
        <f>HYPERLINK("\\HOPI-FS\shares\users\dhar\Stalk mount testing\Type 1e Quality Assurance\CRYO-2087-2604  1692 1E","folder")</f>
        <v>folder</v>
      </c>
      <c r="T369" t="s">
        <v>1498</v>
      </c>
      <c r="U369" s="13" t="s">
        <v>1800</v>
      </c>
      <c r="V369" s="407" t="s">
        <v>1803</v>
      </c>
    </row>
    <row r="370" spans="1:22">
      <c r="A370" s="371">
        <v>1693</v>
      </c>
      <c r="B370" s="134">
        <v>17</v>
      </c>
      <c r="C370">
        <v>1.51</v>
      </c>
      <c r="D370">
        <v>7.11</v>
      </c>
      <c r="E370">
        <v>24.29</v>
      </c>
      <c r="F370" s="428" t="s">
        <v>1787</v>
      </c>
      <c r="G370" s="13">
        <v>57.6</v>
      </c>
      <c r="H370" s="13">
        <v>70</v>
      </c>
      <c r="I370" s="217">
        <v>42142</v>
      </c>
      <c r="J370" t="s">
        <v>130</v>
      </c>
      <c r="K370">
        <v>33.36</v>
      </c>
      <c r="L370">
        <v>0.3</v>
      </c>
      <c r="M370">
        <v>365</v>
      </c>
      <c r="Q370" s="4" t="str">
        <f>HYPERLINK("\\HOPI-FS\shares\users\dhar\Stalk mount testing\Type 1e Quality Assurance\CRYO-2089-2605  1693 1E","folder")</f>
        <v>folder</v>
      </c>
      <c r="T370" t="s">
        <v>1498</v>
      </c>
      <c r="V370" s="407" t="s">
        <v>1804</v>
      </c>
    </row>
    <row r="371" spans="1:22">
      <c r="A371" s="371">
        <v>1696</v>
      </c>
      <c r="B371" s="134">
        <v>17.8</v>
      </c>
      <c r="C371">
        <v>1.52</v>
      </c>
      <c r="D371">
        <v>7.01</v>
      </c>
      <c r="E371">
        <v>24.35</v>
      </c>
      <c r="F371" s="19" t="s">
        <v>1788</v>
      </c>
      <c r="G371" s="13">
        <v>57.6</v>
      </c>
      <c r="H371" s="13">
        <v>70</v>
      </c>
      <c r="I371" s="217">
        <v>42142</v>
      </c>
      <c r="J371" t="s">
        <v>130</v>
      </c>
      <c r="K371">
        <v>33.33</v>
      </c>
      <c r="L371">
        <v>0.73399999999999999</v>
      </c>
      <c r="M371">
        <v>404</v>
      </c>
      <c r="Q371" s="4" t="str">
        <f>HYPERLINK("\\HOPI-FS\shares\users\dhar\Stalk mount testing\Type 1e Quality Assurance\CRYO-2088-2606  1696 1E","FOLDER")</f>
        <v>FOLDER</v>
      </c>
      <c r="T371" t="s">
        <v>1498</v>
      </c>
      <c r="U371" s="13" t="s">
        <v>1800</v>
      </c>
      <c r="V371" s="407" t="s">
        <v>1805</v>
      </c>
    </row>
    <row r="372" spans="1:22">
      <c r="A372" s="371">
        <v>1697</v>
      </c>
      <c r="B372" s="134">
        <v>18.8</v>
      </c>
      <c r="C372">
        <v>1.49</v>
      </c>
      <c r="D372">
        <v>7.07</v>
      </c>
      <c r="E372">
        <v>24.34</v>
      </c>
      <c r="F372" s="428" t="s">
        <v>1789</v>
      </c>
      <c r="G372" s="13">
        <v>57.6</v>
      </c>
      <c r="H372" s="13">
        <v>70</v>
      </c>
      <c r="I372" s="217">
        <v>42142</v>
      </c>
      <c r="J372" t="s">
        <v>130</v>
      </c>
      <c r="K372">
        <v>33.35</v>
      </c>
      <c r="L372">
        <v>0.28499999999999998</v>
      </c>
      <c r="M372" s="313">
        <v>293</v>
      </c>
      <c r="Q372" s="4" t="str">
        <f>HYPERLINK("\\HOPI-FS\shares\users\dhar\Stalk mount testing\Type 1e Quality Assurance\CRYO-2089-2607  1697 1E","folder")</f>
        <v>folder</v>
      </c>
      <c r="T372" t="s">
        <v>1498</v>
      </c>
    </row>
    <row r="373" spans="1:22">
      <c r="A373" s="371">
        <v>1697</v>
      </c>
      <c r="F373" s="327" t="s">
        <v>1797</v>
      </c>
      <c r="G373">
        <v>34.799999999999997</v>
      </c>
      <c r="H373" s="13">
        <v>70.3</v>
      </c>
      <c r="I373" s="217">
        <v>42146</v>
      </c>
      <c r="J373" t="s">
        <v>130</v>
      </c>
      <c r="M373" s="13"/>
      <c r="Q373" s="4"/>
    </row>
    <row r="374" spans="1:22">
      <c r="A374" s="371">
        <v>1697</v>
      </c>
      <c r="B374" s="134">
        <v>17.399999999999999</v>
      </c>
      <c r="C374">
        <v>1.51</v>
      </c>
      <c r="D374">
        <v>7.06</v>
      </c>
      <c r="E374">
        <v>24.35</v>
      </c>
      <c r="F374" s="69" t="s">
        <v>1798</v>
      </c>
      <c r="G374">
        <v>34.799999999999997</v>
      </c>
      <c r="H374" s="13">
        <v>70.3</v>
      </c>
      <c r="I374" s="217">
        <v>42146</v>
      </c>
      <c r="J374" t="s">
        <v>130</v>
      </c>
      <c r="K374">
        <v>33.35</v>
      </c>
      <c r="L374">
        <v>0.63600000000000001</v>
      </c>
      <c r="M374" s="13">
        <v>339</v>
      </c>
      <c r="Q374" s="4" t="str">
        <f>HYPERLINK("\\hopi-fs\shares\users\dhar\Stalk mount testing\Type 1e Quality Assurance\CRYO-2085-2613 1697 1E","folder")</f>
        <v>folder</v>
      </c>
      <c r="U374" s="13" t="s">
        <v>1800</v>
      </c>
      <c r="V374" s="407" t="s">
        <v>1806</v>
      </c>
    </row>
    <row r="375" spans="1:22">
      <c r="A375" s="371">
        <v>1698</v>
      </c>
      <c r="B375" s="134">
        <v>16.399999999999999</v>
      </c>
      <c r="C375">
        <v>1.52</v>
      </c>
      <c r="D375">
        <v>7.14</v>
      </c>
      <c r="E375">
        <v>24.39</v>
      </c>
      <c r="F375" s="290" t="s">
        <v>1790</v>
      </c>
      <c r="G375">
        <v>61.5</v>
      </c>
      <c r="H375" s="13">
        <v>68</v>
      </c>
      <c r="I375" s="217">
        <v>42143</v>
      </c>
      <c r="J375" t="s">
        <v>130</v>
      </c>
      <c r="K375">
        <v>33.5</v>
      </c>
      <c r="L375">
        <v>0.15</v>
      </c>
      <c r="M375">
        <v>352</v>
      </c>
      <c r="Q375" s="4" t="str">
        <f>HYPERLINK("\\HOPI-FS\shares\users\dhar\Stalk mount testing\Type 1e Quality Assurance\CRYO-2087-2608  1698 1E","folder")</f>
        <v>folder</v>
      </c>
      <c r="T375" t="s">
        <v>1498</v>
      </c>
    </row>
    <row r="376" spans="1:22">
      <c r="A376" s="371">
        <v>1699</v>
      </c>
      <c r="B376" s="134">
        <v>16.399999999999999</v>
      </c>
      <c r="C376">
        <v>1.55</v>
      </c>
      <c r="D376">
        <v>7.11</v>
      </c>
      <c r="E376">
        <v>24.6</v>
      </c>
      <c r="F376" s="176" t="s">
        <v>1791</v>
      </c>
      <c r="G376">
        <v>61.5</v>
      </c>
      <c r="H376" s="13">
        <v>68</v>
      </c>
      <c r="I376" s="217">
        <v>42143</v>
      </c>
      <c r="J376" t="s">
        <v>130</v>
      </c>
      <c r="K376">
        <v>33.729999999999997</v>
      </c>
      <c r="L376">
        <v>0.73699999999999999</v>
      </c>
      <c r="M376">
        <v>368</v>
      </c>
      <c r="Q376" s="4" t="str">
        <f>HYPERLINK("\\HOPI-FS\shares\users\dhar\Stalk mount testing\Type 1e Quality Assurance\CRYO-2088-2609  1699 1E","folder")</f>
        <v>folder</v>
      </c>
      <c r="T376" t="s">
        <v>1498</v>
      </c>
    </row>
    <row r="377" spans="1:22">
      <c r="A377" s="371">
        <v>1699</v>
      </c>
      <c r="B377" s="136">
        <v>17</v>
      </c>
      <c r="C377">
        <v>1.49</v>
      </c>
      <c r="D377">
        <v>7.11</v>
      </c>
      <c r="E377">
        <v>24.6</v>
      </c>
      <c r="F377" s="69" t="s">
        <v>1799</v>
      </c>
      <c r="G377">
        <v>34.799999999999997</v>
      </c>
      <c r="H377" s="13">
        <v>70.3</v>
      </c>
      <c r="I377" s="217">
        <v>42146</v>
      </c>
      <c r="J377" t="s">
        <v>130</v>
      </c>
      <c r="K377">
        <v>33.700000000000003</v>
      </c>
      <c r="L377">
        <v>0.83</v>
      </c>
      <c r="M377">
        <v>367</v>
      </c>
      <c r="Q377" s="4" t="str">
        <f>HYPERLINK("\\HOPI-FS\shares\users\dhar\Stalk mount testing\Type 1e Quality Assurance\CRYO-2086-2614 1699 1E","folder")</f>
        <v>folder</v>
      </c>
      <c r="U377" s="13" t="s">
        <v>1800</v>
      </c>
    </row>
    <row r="378" spans="1:22">
      <c r="A378" s="371">
        <v>1701</v>
      </c>
      <c r="B378" s="134">
        <v>16.399999999999999</v>
      </c>
      <c r="C378">
        <v>1.53</v>
      </c>
      <c r="D378">
        <v>7.11</v>
      </c>
      <c r="E378">
        <v>24.33</v>
      </c>
      <c r="F378" s="176" t="s">
        <v>1792</v>
      </c>
      <c r="G378">
        <v>61.5</v>
      </c>
      <c r="H378" s="13">
        <v>68</v>
      </c>
      <c r="I378" s="217">
        <v>42143</v>
      </c>
      <c r="J378" t="s">
        <v>130</v>
      </c>
      <c r="K378">
        <v>33.43</v>
      </c>
      <c r="L378">
        <v>0.52500000000000002</v>
      </c>
      <c r="M378" t="s">
        <v>448</v>
      </c>
      <c r="Q378" s="4" t="str">
        <f>HYPERLINK("\\HOPI-FS\shares\users\dhar\Stalk mount testing\Type 1e Quality Assurance\CRYO-2087-2610  1701 1E","folder")</f>
        <v>folder</v>
      </c>
      <c r="T378" t="s">
        <v>1498</v>
      </c>
    </row>
    <row r="379" spans="1:22">
      <c r="A379" s="371">
        <v>1701</v>
      </c>
      <c r="B379" s="134">
        <v>17</v>
      </c>
      <c r="C379">
        <v>1.52</v>
      </c>
      <c r="D379">
        <v>7.1</v>
      </c>
      <c r="E379">
        <v>24.3</v>
      </c>
      <c r="F379" s="69" t="s">
        <v>1796</v>
      </c>
      <c r="G379">
        <v>34.799999999999997</v>
      </c>
      <c r="H379" s="13">
        <v>70.3</v>
      </c>
      <c r="I379" s="217">
        <v>42146</v>
      </c>
      <c r="J379" t="s">
        <v>130</v>
      </c>
      <c r="K379">
        <v>33.4</v>
      </c>
      <c r="L379">
        <v>0.85</v>
      </c>
      <c r="M379">
        <v>358</v>
      </c>
      <c r="Q379" s="4" t="str">
        <f>HYPERLINK("\\hopi-fs\shares\users\dhar\Stalk mount testing\Type 1e Quality Assurance\CRYO-2087-2611 1701 1E","folder")</f>
        <v>folder</v>
      </c>
      <c r="U379" s="13" t="s">
        <v>1800</v>
      </c>
    </row>
    <row r="380" spans="1:22" ht="29.25" customHeight="1">
      <c r="A380" s="371">
        <v>1703</v>
      </c>
      <c r="B380" s="134">
        <v>17.600000000000001</v>
      </c>
      <c r="C380">
        <v>1.51</v>
      </c>
      <c r="D380">
        <v>7.11</v>
      </c>
      <c r="E380">
        <v>24.37</v>
      </c>
      <c r="F380" s="19" t="s">
        <v>1793</v>
      </c>
      <c r="G380">
        <v>36</v>
      </c>
      <c r="H380" s="13">
        <v>68</v>
      </c>
      <c r="I380" s="217">
        <v>42195</v>
      </c>
      <c r="J380" t="s">
        <v>130</v>
      </c>
      <c r="K380">
        <v>33.43</v>
      </c>
      <c r="L380">
        <v>0.34</v>
      </c>
      <c r="M380" t="s">
        <v>1815</v>
      </c>
      <c r="Q380" s="4" t="str">
        <f>HYPERLINK("\\hopi-fs\shares\users\dhar\Stalk mount testing\Type 1e Quality Assurance\CRYO-ME-1238-0249  1703 1E MEQ","folder")</f>
        <v>folder</v>
      </c>
      <c r="T380" t="s">
        <v>1498</v>
      </c>
      <c r="U380" t="s">
        <v>1816</v>
      </c>
    </row>
    <row r="381" spans="1:22">
      <c r="A381" s="371">
        <v>1705</v>
      </c>
      <c r="B381" s="134">
        <v>17.399999999999999</v>
      </c>
      <c r="C381">
        <v>1.5</v>
      </c>
      <c r="D381">
        <v>7.09</v>
      </c>
      <c r="E381">
        <v>24.36</v>
      </c>
      <c r="F381" s="19" t="s">
        <v>1794</v>
      </c>
      <c r="G381">
        <v>36</v>
      </c>
      <c r="H381" s="13">
        <v>68</v>
      </c>
      <c r="I381" s="217">
        <v>42144</v>
      </c>
      <c r="J381" t="s">
        <v>130</v>
      </c>
      <c r="K381">
        <v>33.39</v>
      </c>
      <c r="L381">
        <v>0.41099999999999998</v>
      </c>
      <c r="M381" t="s">
        <v>1814</v>
      </c>
      <c r="Q381" s="4" t="str">
        <f>HYPERLINK("\\hopi-fs\shares\users\dhar\Stalk mount testing\Type 1e Quality Assurance\CRYO-ME-1235-0250  1705 1E MEQ","folder")</f>
        <v>folder</v>
      </c>
      <c r="T381" t="s">
        <v>1498</v>
      </c>
      <c r="U381" t="s">
        <v>1813</v>
      </c>
    </row>
    <row r="382" spans="1:22">
      <c r="A382" s="371">
        <v>1706</v>
      </c>
      <c r="B382" s="134">
        <v>17.2</v>
      </c>
      <c r="C382">
        <v>1.51</v>
      </c>
      <c r="D382">
        <v>7.06</v>
      </c>
      <c r="E382">
        <v>24.41</v>
      </c>
      <c r="F382" s="19" t="s">
        <v>1795</v>
      </c>
      <c r="G382">
        <v>36</v>
      </c>
      <c r="H382" s="13">
        <v>68</v>
      </c>
      <c r="I382" s="217">
        <v>42144</v>
      </c>
      <c r="J382" t="s">
        <v>130</v>
      </c>
      <c r="K382">
        <v>33.409999999999997</v>
      </c>
      <c r="L382">
        <v>0.61799999999999999</v>
      </c>
      <c r="M382">
        <v>320</v>
      </c>
      <c r="Q382" s="4" t="str">
        <f>HYPERLINK("\\hopi-fs\shares\users\dhar\Stalk mount testing\Type 1e Quality Assurance\CRYO-ME-1234-0251  1706 1E MEQ","folder")</f>
        <v>folder</v>
      </c>
      <c r="T382" t="s">
        <v>1498</v>
      </c>
      <c r="U382" t="s">
        <v>1817</v>
      </c>
    </row>
    <row r="383" spans="1:22" ht="38.25" customHeight="1">
      <c r="A383" s="371">
        <v>1514</v>
      </c>
      <c r="B383" s="134">
        <v>19</v>
      </c>
      <c r="C383">
        <v>1.5149999999999999</v>
      </c>
      <c r="D383">
        <v>7.09</v>
      </c>
      <c r="E383">
        <v>24.33</v>
      </c>
      <c r="F383" s="344" t="s">
        <v>1808</v>
      </c>
      <c r="G383" t="s">
        <v>169</v>
      </c>
      <c r="H383" t="s">
        <v>169</v>
      </c>
      <c r="I383" s="217">
        <v>42157</v>
      </c>
      <c r="J383" t="s">
        <v>130</v>
      </c>
      <c r="K383">
        <v>33.39</v>
      </c>
      <c r="L383">
        <v>0.3</v>
      </c>
      <c r="M383">
        <v>232</v>
      </c>
      <c r="Q383" s="4" t="str">
        <f>HYPERLINK("\\hopi-fs\shares\users\dhar\Stalk mount testing\Type 1e Quality Assurance\ISE-4Q09-05-115 1514","FOLDER")</f>
        <v>FOLDER</v>
      </c>
      <c r="T383" t="s">
        <v>1498</v>
      </c>
      <c r="U383" t="s">
        <v>1812</v>
      </c>
    </row>
    <row r="384" spans="1:22">
      <c r="A384" s="371">
        <v>1515</v>
      </c>
      <c r="B384" s="134">
        <v>19</v>
      </c>
      <c r="C384">
        <v>1.5</v>
      </c>
      <c r="D384">
        <v>7.3</v>
      </c>
      <c r="E384">
        <v>24.28</v>
      </c>
      <c r="F384" s="428" t="s">
        <v>1809</v>
      </c>
      <c r="G384" t="s">
        <v>169</v>
      </c>
      <c r="H384" t="s">
        <v>169</v>
      </c>
      <c r="I384" s="217">
        <v>42173</v>
      </c>
      <c r="J384" t="s">
        <v>130</v>
      </c>
      <c r="K384">
        <v>33.6</v>
      </c>
      <c r="L384">
        <v>1.5</v>
      </c>
      <c r="M384">
        <v>219</v>
      </c>
      <c r="Q384" s="4" t="str">
        <f>HYPERLINK("\\hopi-fs\shares\users\dhar\Stalk mount testing\Type 1e Quality Assurance\ISE-4Q15-06-01 1515 dendrite","folder")</f>
        <v>folder</v>
      </c>
      <c r="T384" t="s">
        <v>1498</v>
      </c>
      <c r="U384" t="s">
        <v>1812</v>
      </c>
    </row>
    <row r="385" spans="1:24">
      <c r="A385" s="371">
        <v>1527</v>
      </c>
      <c r="B385" s="134">
        <v>21</v>
      </c>
      <c r="C385">
        <v>1.53</v>
      </c>
      <c r="D385">
        <v>7.12</v>
      </c>
      <c r="E385">
        <v>24.33</v>
      </c>
      <c r="F385" s="428" t="s">
        <v>1810</v>
      </c>
      <c r="G385" t="s">
        <v>169</v>
      </c>
      <c r="H385" t="s">
        <v>169</v>
      </c>
      <c r="I385" s="217">
        <v>42173</v>
      </c>
      <c r="J385" t="s">
        <v>130</v>
      </c>
      <c r="K385">
        <v>33.4</v>
      </c>
      <c r="L385">
        <v>0.55700000000000005</v>
      </c>
      <c r="M385" t="s">
        <v>1807</v>
      </c>
      <c r="Q385" s="4" t="str">
        <f>HYPERLINK("\\hopi-fs\shares\users\dhar\Stalk mount testing\Type 1e Quality Assurance\ISE-4Q15-06-02 1527 dendrite","folder")</f>
        <v>folder</v>
      </c>
      <c r="T385" t="s">
        <v>1498</v>
      </c>
      <c r="U385" t="s">
        <v>1812</v>
      </c>
    </row>
    <row r="386" spans="1:24">
      <c r="A386" s="371">
        <v>1545</v>
      </c>
      <c r="B386" s="134">
        <v>15.8</v>
      </c>
      <c r="C386">
        <v>1.53</v>
      </c>
      <c r="D386">
        <v>7.12</v>
      </c>
      <c r="E386">
        <v>24.33</v>
      </c>
      <c r="F386" s="375" t="s">
        <v>1811</v>
      </c>
      <c r="G386" t="s">
        <v>169</v>
      </c>
      <c r="H386" t="s">
        <v>169</v>
      </c>
      <c r="I386" s="217">
        <v>42173</v>
      </c>
      <c r="J386" t="s">
        <v>130</v>
      </c>
      <c r="K386">
        <v>33.450000000000003</v>
      </c>
      <c r="L386">
        <v>0.56000000000000005</v>
      </c>
      <c r="M386">
        <v>164</v>
      </c>
      <c r="Q386" s="4" t="str">
        <f>HYPERLINK("\\hopi-fs\shares\users\dhar\Stalk mount testing\Type 1e Quality Assurance\ISE-4Q15-06-03 1545","FOLDER")</f>
        <v>FOLDER</v>
      </c>
      <c r="T386" t="s">
        <v>1498</v>
      </c>
      <c r="U386" t="s">
        <v>1812</v>
      </c>
    </row>
    <row r="387" spans="1:24">
      <c r="A387" s="371">
        <v>1708</v>
      </c>
      <c r="B387" s="134">
        <v>16.399999999999999</v>
      </c>
      <c r="C387">
        <v>1.5</v>
      </c>
      <c r="D387">
        <v>7.07</v>
      </c>
      <c r="E387">
        <v>24.3</v>
      </c>
      <c r="F387" s="428" t="s">
        <v>1818</v>
      </c>
      <c r="G387">
        <v>58.6</v>
      </c>
      <c r="H387">
        <v>69.400000000000006</v>
      </c>
      <c r="I387" s="217">
        <v>42202</v>
      </c>
      <c r="J387" t="s">
        <v>130</v>
      </c>
      <c r="K387">
        <v>33.340000000000003</v>
      </c>
      <c r="L387">
        <v>0.65</v>
      </c>
      <c r="M387">
        <v>238</v>
      </c>
      <c r="Q387" s="4" t="str">
        <f>HYPERLINK("\\hopi-fs\shares\users\dhar\Stalk mount testing\Type 1e Quality Assurance\CRYO-ME-1241-0252  1708 1E MEQ","folder")</f>
        <v>folder</v>
      </c>
      <c r="T387" t="s">
        <v>1498</v>
      </c>
      <c r="U387" t="s">
        <v>2098</v>
      </c>
    </row>
    <row r="388" spans="1:24" ht="34.5" customHeight="1">
      <c r="A388" s="371">
        <v>1709</v>
      </c>
      <c r="B388" s="136">
        <v>18.8</v>
      </c>
      <c r="C388">
        <v>1.52</v>
      </c>
      <c r="D388">
        <v>7.14</v>
      </c>
      <c r="E388">
        <v>24.33</v>
      </c>
      <c r="F388" s="290" t="s">
        <v>1820</v>
      </c>
      <c r="G388">
        <v>59.6</v>
      </c>
      <c r="H388">
        <v>68.400000000000006</v>
      </c>
      <c r="I388" s="217">
        <v>42207</v>
      </c>
      <c r="J388" t="s">
        <v>130</v>
      </c>
      <c r="K388">
        <v>33.43</v>
      </c>
      <c r="L388">
        <v>0.53300000000000003</v>
      </c>
      <c r="Q388" s="4" t="str">
        <f>HYPERLINK("\\hopi-fs\shares\users\dhar\Stalk mount testing\Type 1e Quality Assurance\CRYO-2079-2622  1709 1E","folder")</f>
        <v>folder</v>
      </c>
      <c r="T388" t="s">
        <v>1498</v>
      </c>
      <c r="U388" t="s">
        <v>3846</v>
      </c>
    </row>
    <row r="389" spans="1:24">
      <c r="A389" s="371">
        <v>1710</v>
      </c>
      <c r="B389" s="134">
        <v>16</v>
      </c>
      <c r="C389">
        <v>1.57</v>
      </c>
      <c r="D389">
        <v>7.08</v>
      </c>
      <c r="E389">
        <v>31.45</v>
      </c>
      <c r="F389" s="299" t="s">
        <v>1821</v>
      </c>
      <c r="G389">
        <v>59.6</v>
      </c>
      <c r="H389">
        <v>68.400000000000006</v>
      </c>
      <c r="I389" s="217">
        <v>42207</v>
      </c>
      <c r="J389" t="s">
        <v>130</v>
      </c>
      <c r="K389">
        <v>33.46</v>
      </c>
      <c r="L389">
        <v>0.622</v>
      </c>
      <c r="Q389" s="4" t="str">
        <f>HYPERLINK("\\hopi-fs\shares\users\dhar\Stalk mount testing\Type 1e Quality Assurance\CRYO-2081-2625  1710 1E","folder")</f>
        <v>folder</v>
      </c>
      <c r="T389" t="s">
        <v>1498</v>
      </c>
    </row>
    <row r="390" spans="1:24">
      <c r="A390" s="371">
        <v>1711</v>
      </c>
      <c r="B390" s="134">
        <v>16</v>
      </c>
      <c r="C390">
        <v>1.52</v>
      </c>
      <c r="D390">
        <v>7.17</v>
      </c>
      <c r="E390">
        <v>24.33</v>
      </c>
      <c r="F390" s="176" t="s">
        <v>1822</v>
      </c>
      <c r="G390">
        <v>59.6</v>
      </c>
      <c r="H390">
        <v>68.400000000000006</v>
      </c>
      <c r="I390" s="217">
        <v>42207</v>
      </c>
      <c r="J390" t="s">
        <v>130</v>
      </c>
      <c r="K390">
        <v>33.46</v>
      </c>
      <c r="L390">
        <v>0.186</v>
      </c>
      <c r="Q390" s="4" t="str">
        <f>HYPERLINK("\\hopi-fs\shares\users\dhar\Stalk mount testing\Type 1e Quality Assurance\CRYO-2079-2627  1711 1E","folder")</f>
        <v>folder</v>
      </c>
      <c r="T390" t="s">
        <v>1498</v>
      </c>
    </row>
    <row r="391" spans="1:24">
      <c r="A391" s="371">
        <v>1711</v>
      </c>
      <c r="B391" s="134">
        <v>18.399999999999999</v>
      </c>
      <c r="C391">
        <v>1.49</v>
      </c>
      <c r="D391">
        <v>7.17</v>
      </c>
      <c r="E391">
        <v>24.34</v>
      </c>
      <c r="F391" s="380" t="s">
        <v>1833</v>
      </c>
      <c r="G391">
        <v>59.6</v>
      </c>
      <c r="H391">
        <v>69.3</v>
      </c>
      <c r="I391" s="217">
        <v>42213</v>
      </c>
      <c r="J391" t="s">
        <v>130</v>
      </c>
      <c r="K391">
        <v>33.46</v>
      </c>
      <c r="L391">
        <v>0.34200000000000003</v>
      </c>
      <c r="Q391" s="4" t="str">
        <f>HYPERLINK("\\HOPI-FS\shares\users\dhar\Stalk mount testing\Type 1e Quality Assurance\CRYO-2081-2491  1711 1E","folder")</f>
        <v>folder</v>
      </c>
      <c r="T391" t="s">
        <v>1831</v>
      </c>
    </row>
    <row r="392" spans="1:24">
      <c r="A392" s="371">
        <v>1711</v>
      </c>
      <c r="B392" s="134">
        <v>17.399999999999999</v>
      </c>
      <c r="C392">
        <v>1.52</v>
      </c>
      <c r="D392">
        <v>7.17</v>
      </c>
      <c r="E392">
        <v>24.34</v>
      </c>
      <c r="F392" s="249" t="s">
        <v>1840</v>
      </c>
      <c r="G392">
        <v>58.6</v>
      </c>
      <c r="H392">
        <v>69.900000000000006</v>
      </c>
      <c r="I392" s="217">
        <v>42214</v>
      </c>
      <c r="J392" t="s">
        <v>130</v>
      </c>
      <c r="K392">
        <v>33.450000000000003</v>
      </c>
      <c r="L392">
        <v>0.33800000000000002</v>
      </c>
      <c r="M392">
        <v>435</v>
      </c>
      <c r="Q392" s="4" t="str">
        <f>HYPERLINK("\\hopi-fs\shares\users\dhar\Stalk mount testing\Type 1e Quality Assurance\CRYO-2078-2626 1711","FOLDER")</f>
        <v>FOLDER</v>
      </c>
      <c r="T392" t="s">
        <v>1831</v>
      </c>
      <c r="U392" t="s">
        <v>1854</v>
      </c>
      <c r="V392" s="407" t="s">
        <v>2317</v>
      </c>
      <c r="W392" s="29">
        <v>4</v>
      </c>
      <c r="X392">
        <v>1</v>
      </c>
    </row>
    <row r="393" spans="1:24">
      <c r="A393" s="371">
        <v>1712</v>
      </c>
      <c r="B393" s="134" t="s">
        <v>169</v>
      </c>
      <c r="C393" s="134" t="s">
        <v>169</v>
      </c>
      <c r="D393" s="134" t="s">
        <v>169</v>
      </c>
      <c r="E393" s="134" t="s">
        <v>169</v>
      </c>
      <c r="F393" s="176" t="s">
        <v>1823</v>
      </c>
      <c r="G393">
        <v>59.6</v>
      </c>
      <c r="H393">
        <v>68.400000000000006</v>
      </c>
      <c r="I393" s="217">
        <v>42207</v>
      </c>
      <c r="J393" t="s">
        <v>130</v>
      </c>
      <c r="Q393" s="4" t="str">
        <f>HYPERLINK("\\hopi-fs\shares\users\dhar\Stalk mount testing\Type 1e Quality Assurance\CRYO-2080-2628  1712 1E","folder")</f>
        <v>folder</v>
      </c>
      <c r="T393" t="s">
        <v>1498</v>
      </c>
      <c r="U393" s="29" t="s">
        <v>1832</v>
      </c>
    </row>
    <row r="394" spans="1:24">
      <c r="A394" s="371">
        <v>1712</v>
      </c>
      <c r="B394" s="134">
        <v>17</v>
      </c>
      <c r="C394">
        <v>1.51</v>
      </c>
      <c r="D394">
        <v>7.21</v>
      </c>
      <c r="E394">
        <v>24.38</v>
      </c>
      <c r="F394" s="380" t="s">
        <v>1834</v>
      </c>
      <c r="G394">
        <v>59.6</v>
      </c>
      <c r="H394">
        <v>69.3</v>
      </c>
      <c r="I394" s="217">
        <v>42213</v>
      </c>
      <c r="J394" t="s">
        <v>130</v>
      </c>
      <c r="K394">
        <v>33.53</v>
      </c>
      <c r="L394">
        <v>0.52200000000000002</v>
      </c>
      <c r="Q394" s="4" t="str">
        <f>HYPERLINK("\\HOPI-FS\shares\users\dhar\Stalk mount testing\Type 1e Quality Assurance\CRYO-2080-2492  1712 1E","folder")</f>
        <v>folder</v>
      </c>
      <c r="T394" t="s">
        <v>1831</v>
      </c>
      <c r="U394" s="29"/>
    </row>
    <row r="395" spans="1:24">
      <c r="A395" s="371">
        <v>1713</v>
      </c>
      <c r="B395" s="134">
        <v>18.600000000000001</v>
      </c>
      <c r="C395">
        <v>1.53</v>
      </c>
      <c r="D395">
        <v>7.09</v>
      </c>
      <c r="E395">
        <v>24.3</v>
      </c>
      <c r="F395" s="176" t="s">
        <v>1824</v>
      </c>
      <c r="G395">
        <v>59.6</v>
      </c>
      <c r="H395">
        <v>68.400000000000006</v>
      </c>
      <c r="I395" s="217">
        <v>42207</v>
      </c>
      <c r="J395" t="s">
        <v>130</v>
      </c>
      <c r="K395">
        <v>33.369999999999997</v>
      </c>
      <c r="L395">
        <v>0.52400000000000002</v>
      </c>
      <c r="Q395" s="4" t="str">
        <f>HYPERLINK("\\hopi-fs\shares\users\dhar\Stalk mount testing\Type 1e Quality Assurance\CRYO-2078-2630  1713 1E","folder")</f>
        <v>folder</v>
      </c>
      <c r="T395" t="s">
        <v>1498</v>
      </c>
    </row>
    <row r="396" spans="1:24">
      <c r="A396" s="371">
        <v>1714</v>
      </c>
      <c r="B396" s="134">
        <v>16.600000000000001</v>
      </c>
      <c r="C396">
        <v>1.5</v>
      </c>
      <c r="D396">
        <v>7.1</v>
      </c>
      <c r="E396">
        <v>24.42</v>
      </c>
      <c r="F396" s="19" t="s">
        <v>1825</v>
      </c>
      <c r="G396">
        <v>59.6</v>
      </c>
      <c r="H396">
        <v>68.400000000000006</v>
      </c>
      <c r="I396" s="217">
        <v>42207</v>
      </c>
      <c r="J396" t="s">
        <v>130</v>
      </c>
      <c r="K396">
        <v>33.479999999999997</v>
      </c>
      <c r="L396">
        <v>0.14199999999999999</v>
      </c>
      <c r="M396">
        <v>390</v>
      </c>
      <c r="Q396" s="4" t="str">
        <f>HYPERLINK("\\hopi-fs\shares\users\dhar\Stalk mount testing\Type 1e Quality Assurance\CRYO-2078-2631  1714 1E","folder")</f>
        <v>folder</v>
      </c>
      <c r="T396" t="s">
        <v>1498</v>
      </c>
      <c r="U396" t="s">
        <v>1854</v>
      </c>
    </row>
    <row r="397" spans="1:24">
      <c r="A397" s="371">
        <v>1715</v>
      </c>
      <c r="B397" s="134">
        <v>16.8</v>
      </c>
      <c r="C397">
        <v>1.51</v>
      </c>
      <c r="D397">
        <v>7.16</v>
      </c>
      <c r="E397">
        <v>24.41</v>
      </c>
      <c r="F397" s="176" t="s">
        <v>1826</v>
      </c>
      <c r="G397">
        <v>59.6</v>
      </c>
      <c r="H397">
        <v>68.400000000000006</v>
      </c>
      <c r="I397" s="217">
        <v>42207</v>
      </c>
      <c r="J397" t="s">
        <v>130</v>
      </c>
      <c r="K397">
        <v>33.51</v>
      </c>
      <c r="L397">
        <v>0.11899999999999999</v>
      </c>
      <c r="Q397" s="4" t="str">
        <f>HYPERLINK("\\hopi-fs\shares\users\dhar\Stalk mount testing\Type 1e Quality Assurance\CRYO-2078-2632  1715 1E","folder")</f>
        <v>folder</v>
      </c>
      <c r="T397" t="s">
        <v>1498</v>
      </c>
    </row>
    <row r="398" spans="1:24">
      <c r="A398" s="371">
        <v>1715</v>
      </c>
      <c r="B398" s="134">
        <v>17.8</v>
      </c>
      <c r="C398">
        <v>1.53</v>
      </c>
      <c r="D398">
        <v>7.15</v>
      </c>
      <c r="E398">
        <v>24.41</v>
      </c>
      <c r="F398" s="290" t="s">
        <v>1835</v>
      </c>
      <c r="G398">
        <v>59.6</v>
      </c>
      <c r="H398">
        <v>69.3</v>
      </c>
      <c r="I398" s="217">
        <v>42213</v>
      </c>
      <c r="J398" t="s">
        <v>130</v>
      </c>
      <c r="K398">
        <v>33.53</v>
      </c>
      <c r="L398">
        <v>0.34200000000000003</v>
      </c>
      <c r="M398">
        <v>442</v>
      </c>
      <c r="Q398" s="4" t="str">
        <f>HYPERLINK("\\HOPI-FS\shares\users\dhar\Stalk mount testing\Type 1e Quality Assurance\CRYO-2080-2493  1715 1E","folder")</f>
        <v>folder</v>
      </c>
      <c r="T398" t="s">
        <v>1831</v>
      </c>
      <c r="U398" t="s">
        <v>1854</v>
      </c>
      <c r="V398" s="407" t="s">
        <v>2503</v>
      </c>
      <c r="W398" s="29">
        <v>5</v>
      </c>
      <c r="X398">
        <v>1</v>
      </c>
    </row>
    <row r="399" spans="1:24">
      <c r="A399" s="371">
        <v>1716</v>
      </c>
      <c r="B399" s="134">
        <v>16</v>
      </c>
      <c r="C399">
        <v>1.52</v>
      </c>
      <c r="D399">
        <v>7.1</v>
      </c>
      <c r="E399">
        <v>24.4</v>
      </c>
      <c r="F399" s="428" t="s">
        <v>1827</v>
      </c>
      <c r="G399">
        <v>59.6</v>
      </c>
      <c r="H399">
        <v>68.400000000000006</v>
      </c>
      <c r="I399" s="217">
        <v>42207</v>
      </c>
      <c r="J399" t="s">
        <v>130</v>
      </c>
      <c r="K399">
        <v>33.47</v>
      </c>
      <c r="L399">
        <v>0.36799999999999999</v>
      </c>
      <c r="Q399" s="4" t="str">
        <f>HYPERLINK("\\hopi-fs\shares\users\dhar\Stalk mount testing\Type 1e Quality Assurance\CRYO-2079-2633  1716 1E","folder")</f>
        <v>folder</v>
      </c>
      <c r="T399" t="s">
        <v>1498</v>
      </c>
      <c r="U399" t="s">
        <v>2126</v>
      </c>
    </row>
    <row r="400" spans="1:24">
      <c r="A400" s="371">
        <v>1719</v>
      </c>
      <c r="B400" s="134">
        <v>18</v>
      </c>
      <c r="C400">
        <v>1.5</v>
      </c>
      <c r="D400">
        <v>7.06</v>
      </c>
      <c r="E400">
        <v>24.48</v>
      </c>
      <c r="F400" s="176" t="s">
        <v>1828</v>
      </c>
      <c r="G400">
        <v>62</v>
      </c>
      <c r="H400">
        <v>67.900000000000006</v>
      </c>
      <c r="I400" s="217">
        <v>42209</v>
      </c>
      <c r="J400" t="s">
        <v>130</v>
      </c>
      <c r="K400">
        <v>33.47</v>
      </c>
      <c r="L400">
        <v>0.433</v>
      </c>
      <c r="Q400" s="4" t="str">
        <f>HYPERLINK("\\HOPI-FS\shares\users\dhar\Stalk mount testing\Type 1e Quality Assurance\CRYO-2078-2634  1719 1E","folder")</f>
        <v>folder</v>
      </c>
      <c r="T400" t="s">
        <v>1831</v>
      </c>
    </row>
    <row r="401" spans="1:24">
      <c r="A401" s="371">
        <v>1720</v>
      </c>
      <c r="B401" s="134">
        <v>18.2</v>
      </c>
      <c r="C401">
        <v>1.49</v>
      </c>
      <c r="D401">
        <v>7.1</v>
      </c>
      <c r="E401">
        <v>24.45</v>
      </c>
      <c r="F401" s="290" t="s">
        <v>1829</v>
      </c>
      <c r="G401">
        <v>62</v>
      </c>
      <c r="H401">
        <v>67.900000000000006</v>
      </c>
      <c r="I401" s="217">
        <v>42209</v>
      </c>
      <c r="J401" t="s">
        <v>130</v>
      </c>
      <c r="K401">
        <v>33.47</v>
      </c>
      <c r="L401">
        <v>0.32100000000000001</v>
      </c>
      <c r="M401" s="13">
        <v>398</v>
      </c>
      <c r="Q401" s="4" t="str">
        <f>HYPERLINK("\\HOPI-FS\shares\users\dhar\Stalk mount testing\Type 1e Quality Assurance\CRYO-2078-2635  1720 1E","folder")</f>
        <v>folder</v>
      </c>
      <c r="T401" t="s">
        <v>1831</v>
      </c>
      <c r="U401" t="s">
        <v>1854</v>
      </c>
    </row>
    <row r="402" spans="1:24">
      <c r="A402" s="371">
        <v>1721</v>
      </c>
      <c r="B402" s="134">
        <v>16.8</v>
      </c>
      <c r="C402">
        <v>1.55</v>
      </c>
      <c r="D402">
        <v>7.06</v>
      </c>
      <c r="E402">
        <v>24.41</v>
      </c>
      <c r="F402" s="176" t="s">
        <v>1830</v>
      </c>
      <c r="G402">
        <v>62</v>
      </c>
      <c r="H402">
        <v>67.900000000000006</v>
      </c>
      <c r="I402" s="217">
        <v>42209</v>
      </c>
      <c r="J402" t="s">
        <v>130</v>
      </c>
      <c r="K402">
        <v>33.450000000000003</v>
      </c>
      <c r="L402">
        <v>0.72899999999999998</v>
      </c>
      <c r="Q402" s="4" t="str">
        <f>HYPERLINK("\\HOPI-FS\shares\users\dhar\Stalk mount testing\Type 1e Quality Assurance\CRYO-2078-2636  1721 1E","folder")</f>
        <v>folder</v>
      </c>
      <c r="T402" t="s">
        <v>1831</v>
      </c>
    </row>
    <row r="403" spans="1:24">
      <c r="A403" s="371">
        <v>1669</v>
      </c>
      <c r="F403" s="176" t="s">
        <v>1837</v>
      </c>
      <c r="I403" s="217">
        <v>42214</v>
      </c>
      <c r="J403" t="s">
        <v>130</v>
      </c>
    </row>
    <row r="404" spans="1:24">
      <c r="A404" s="371">
        <v>1670</v>
      </c>
      <c r="B404" s="134">
        <v>19</v>
      </c>
      <c r="C404">
        <v>1.49</v>
      </c>
      <c r="D404">
        <v>7.06</v>
      </c>
      <c r="E404">
        <v>24.33</v>
      </c>
      <c r="F404" s="19" t="s">
        <v>1839</v>
      </c>
      <c r="G404">
        <v>58.6</v>
      </c>
      <c r="H404">
        <v>69.900000000000006</v>
      </c>
      <c r="I404" s="217">
        <v>42214</v>
      </c>
      <c r="J404" t="s">
        <v>130</v>
      </c>
      <c r="K404">
        <v>33.299999999999997</v>
      </c>
      <c r="L404">
        <v>0.222</v>
      </c>
      <c r="M404">
        <v>470</v>
      </c>
      <c r="Q404" s="4" t="str">
        <f>HYPERLINK("\\hopi-fs\shares\users\dhar\Stalk mount testing\Type 1e Quality Assurance\CRYO-2079-2624 1670","FOLDER")</f>
        <v>FOLDER</v>
      </c>
      <c r="T404" t="s">
        <v>1831</v>
      </c>
      <c r="U404" t="s">
        <v>1854</v>
      </c>
      <c r="V404" s="407" t="s">
        <v>2288</v>
      </c>
      <c r="W404" s="29">
        <v>3</v>
      </c>
      <c r="X404">
        <v>1</v>
      </c>
    </row>
    <row r="405" spans="1:24" ht="39" customHeight="1">
      <c r="A405" s="371">
        <v>1678</v>
      </c>
      <c r="B405" s="134">
        <v>16</v>
      </c>
      <c r="C405">
        <v>1.5</v>
      </c>
      <c r="D405">
        <v>7.08</v>
      </c>
      <c r="E405">
        <v>24.35</v>
      </c>
      <c r="F405" s="19" t="s">
        <v>1843</v>
      </c>
      <c r="G405">
        <v>60.1</v>
      </c>
      <c r="H405">
        <v>68.900000000000006</v>
      </c>
      <c r="I405" s="217">
        <v>42230</v>
      </c>
      <c r="J405" t="s">
        <v>130</v>
      </c>
      <c r="K405">
        <v>33.369999999999997</v>
      </c>
      <c r="L405">
        <v>0.70099999999999996</v>
      </c>
      <c r="M405">
        <v>402</v>
      </c>
      <c r="Q405" s="4" t="str">
        <f>HYPERLINK("\\hopi-fs\shares\users\dhar\Stalk mount testing\Type 1e Quality Assurance\CRYO-1076-003  1678 1E","folder")</f>
        <v>folder</v>
      </c>
      <c r="T405" t="s">
        <v>1831</v>
      </c>
      <c r="U405" t="s">
        <v>1856</v>
      </c>
      <c r="V405" s="407" t="s">
        <v>2912</v>
      </c>
      <c r="W405" s="29">
        <v>3</v>
      </c>
      <c r="X405">
        <v>1</v>
      </c>
    </row>
    <row r="406" spans="1:24">
      <c r="A406" s="371">
        <v>1680</v>
      </c>
      <c r="B406" s="134">
        <v>17.8</v>
      </c>
      <c r="C406">
        <v>1.5</v>
      </c>
      <c r="D406">
        <v>7.11</v>
      </c>
      <c r="E406">
        <v>24.44</v>
      </c>
      <c r="F406" s="428" t="s">
        <v>1844</v>
      </c>
      <c r="G406">
        <v>60.1</v>
      </c>
      <c r="H406">
        <v>68.900000000000006</v>
      </c>
      <c r="I406" s="217">
        <v>42230</v>
      </c>
      <c r="J406" t="s">
        <v>130</v>
      </c>
      <c r="K406">
        <v>33.5</v>
      </c>
      <c r="L406">
        <v>0.42599999999999999</v>
      </c>
      <c r="M406" s="317">
        <v>302</v>
      </c>
      <c r="Q406" s="4" t="str">
        <f>HYPERLINK("\\hopi-fs\shares\users\dhar\Stalk mount testing\Type 1e Quality Assurance\CRYO-1076-005  1680 1E","folder")</f>
        <v>folder</v>
      </c>
      <c r="T406" t="s">
        <v>1831</v>
      </c>
      <c r="U406" t="s">
        <v>1909</v>
      </c>
    </row>
    <row r="407" spans="1:24" ht="34.5" customHeight="1">
      <c r="A407" s="134">
        <v>1722</v>
      </c>
      <c r="B407" s="134">
        <v>17.2</v>
      </c>
      <c r="C407">
        <v>1.53</v>
      </c>
      <c r="D407">
        <v>7.19</v>
      </c>
      <c r="E407">
        <v>24.38</v>
      </c>
      <c r="F407" s="176" t="s">
        <v>1845</v>
      </c>
      <c r="G407">
        <v>58.1</v>
      </c>
      <c r="H407">
        <v>69.7</v>
      </c>
      <c r="I407" s="217">
        <v>42234</v>
      </c>
      <c r="J407" t="s">
        <v>130</v>
      </c>
      <c r="K407">
        <v>33.53</v>
      </c>
      <c r="L407">
        <v>0.313</v>
      </c>
      <c r="Q407" s="4" t="str">
        <f>HYPERLINK("\\hopi-fs\shares\users\dhar\Stalk mount testing\Type 1e Quality Assurance\CRYO-2080-2652  1722 1E","folder")</f>
        <v>folder</v>
      </c>
      <c r="T407" t="s">
        <v>1831</v>
      </c>
    </row>
    <row r="408" spans="1:24">
      <c r="A408" s="134">
        <v>1723</v>
      </c>
      <c r="B408" s="134">
        <v>16.399999999999999</v>
      </c>
      <c r="C408">
        <v>1.52</v>
      </c>
      <c r="D408">
        <v>7.13</v>
      </c>
      <c r="E408">
        <v>24.43</v>
      </c>
      <c r="F408" s="176" t="s">
        <v>1846</v>
      </c>
      <c r="G408">
        <v>58.1</v>
      </c>
      <c r="H408">
        <v>69.7</v>
      </c>
      <c r="I408" s="217">
        <v>42234</v>
      </c>
      <c r="J408" t="s">
        <v>130</v>
      </c>
      <c r="K408">
        <v>33.520000000000003</v>
      </c>
      <c r="L408">
        <v>0.65200000000000002</v>
      </c>
      <c r="Q408" s="4" t="str">
        <f>HYPERLINK("\\hopi-fs\shares\users\dhar\Stalk mount testing\Type 1e Quality Assurance\CRYO-2081-2653  1723 1E","folder")</f>
        <v>folder</v>
      </c>
      <c r="T408" t="s">
        <v>1831</v>
      </c>
    </row>
    <row r="409" spans="1:24">
      <c r="A409" s="134">
        <v>1724</v>
      </c>
      <c r="B409" s="134">
        <v>18.8</v>
      </c>
      <c r="C409">
        <v>1.49</v>
      </c>
      <c r="D409">
        <v>7.15</v>
      </c>
      <c r="E409">
        <v>24.42</v>
      </c>
      <c r="F409" s="176" t="s">
        <v>1847</v>
      </c>
      <c r="G409">
        <v>58.1</v>
      </c>
      <c r="H409">
        <v>69.7</v>
      </c>
      <c r="I409" s="217">
        <v>42234</v>
      </c>
      <c r="J409" t="s">
        <v>130</v>
      </c>
      <c r="K409">
        <v>33.5</v>
      </c>
      <c r="L409">
        <v>0.188</v>
      </c>
      <c r="Q409" s="4" t="str">
        <f>HYPERLINK("\\hopi-fs\shares\users\dhar\Stalk mount testing\Type 1e Quality Assurance\CRYO-2080-2654  1724 1e","folder")</f>
        <v>folder</v>
      </c>
      <c r="T409" t="s">
        <v>1831</v>
      </c>
    </row>
    <row r="410" spans="1:24">
      <c r="A410" s="134">
        <v>1725</v>
      </c>
      <c r="B410" s="134">
        <v>17.2</v>
      </c>
      <c r="C410">
        <v>1.53</v>
      </c>
      <c r="D410">
        <v>7.14</v>
      </c>
      <c r="E410">
        <v>24.45</v>
      </c>
      <c r="F410" s="19" t="s">
        <v>1848</v>
      </c>
      <c r="G410">
        <v>58.1</v>
      </c>
      <c r="H410">
        <v>69.7</v>
      </c>
      <c r="I410" s="217">
        <v>42234</v>
      </c>
      <c r="J410" t="s">
        <v>130</v>
      </c>
      <c r="K410">
        <v>33.549999999999997</v>
      </c>
      <c r="L410">
        <v>0.128</v>
      </c>
      <c r="M410">
        <v>405</v>
      </c>
      <c r="Q410" s="4" t="str">
        <f>HYPERLINK("\\hopi-fs\shares\users\dhar\Stalk mount testing\Type 1e Quality Assurance\CRYO-2081-2655  1725 1E","folder")</f>
        <v>folder</v>
      </c>
      <c r="T410" t="s">
        <v>1831</v>
      </c>
      <c r="U410" t="s">
        <v>1856</v>
      </c>
    </row>
    <row r="411" spans="1:24">
      <c r="A411" s="134">
        <v>1726</v>
      </c>
      <c r="B411" s="134">
        <v>16.8</v>
      </c>
      <c r="C411">
        <v>1.53</v>
      </c>
      <c r="D411">
        <v>7.15</v>
      </c>
      <c r="E411">
        <v>24.42</v>
      </c>
      <c r="F411" s="19" t="s">
        <v>1849</v>
      </c>
      <c r="G411">
        <v>58.1</v>
      </c>
      <c r="H411">
        <v>69.7</v>
      </c>
      <c r="I411" s="217">
        <v>42234</v>
      </c>
      <c r="J411" t="s">
        <v>130</v>
      </c>
      <c r="K411">
        <v>33.53</v>
      </c>
      <c r="L411">
        <v>0.29699999999999999</v>
      </c>
      <c r="M411">
        <v>376</v>
      </c>
      <c r="Q411" s="4" t="str">
        <f>HYPERLINK("\\hopi-fs\shares\users\dhar\Stalk mount testing\Type 1e Quality Assurance\CRYO-2081-2656  1726 1E","folder")</f>
        <v>folder</v>
      </c>
      <c r="T411" t="s">
        <v>1831</v>
      </c>
      <c r="U411" t="s">
        <v>1856</v>
      </c>
    </row>
    <row r="412" spans="1:24">
      <c r="A412" s="134">
        <v>1727</v>
      </c>
      <c r="B412" s="134">
        <v>16.2</v>
      </c>
      <c r="C412">
        <v>1.53</v>
      </c>
      <c r="D412">
        <v>7.14</v>
      </c>
      <c r="E412">
        <v>24.37</v>
      </c>
      <c r="F412" s="19" t="s">
        <v>1850</v>
      </c>
      <c r="G412">
        <v>58.1</v>
      </c>
      <c r="H412">
        <v>69.7</v>
      </c>
      <c r="I412" s="217">
        <v>42234</v>
      </c>
      <c r="J412" t="s">
        <v>130</v>
      </c>
      <c r="K412">
        <v>33.47</v>
      </c>
      <c r="L412">
        <v>0.223</v>
      </c>
      <c r="M412">
        <v>394</v>
      </c>
      <c r="Q412" s="4" t="str">
        <f>HYPERLINK("\\hopi-fs\shares\users\dhar\Stalk mount testing\Type 1e Quality Assurance\CRYO-2081-2658  1727 1E","folder")</f>
        <v>folder</v>
      </c>
      <c r="T412" t="s">
        <v>1831</v>
      </c>
      <c r="U412" t="s">
        <v>1856</v>
      </c>
      <c r="V412" s="407" t="s">
        <v>2317</v>
      </c>
      <c r="W412" s="29">
        <v>1</v>
      </c>
      <c r="X412">
        <v>1</v>
      </c>
    </row>
    <row r="413" spans="1:24" ht="30.75" customHeight="1">
      <c r="A413" s="134">
        <v>1728</v>
      </c>
      <c r="B413" s="134">
        <v>16</v>
      </c>
      <c r="C413">
        <v>1.51</v>
      </c>
      <c r="D413">
        <v>7.27</v>
      </c>
      <c r="E413">
        <v>24.42</v>
      </c>
      <c r="F413" s="19" t="s">
        <v>1851</v>
      </c>
      <c r="G413">
        <v>58.1</v>
      </c>
      <c r="H413">
        <v>70.2</v>
      </c>
      <c r="I413" s="217">
        <v>42235</v>
      </c>
      <c r="J413" t="s">
        <v>130</v>
      </c>
      <c r="K413">
        <v>33.64</v>
      </c>
      <c r="L413">
        <v>0.16900000000000001</v>
      </c>
      <c r="M413" t="s">
        <v>1855</v>
      </c>
      <c r="Q413" s="4" t="str">
        <f>HYPERLINK("\\HOPI-FS\shares\users\dhar\Stalk mount testing\Type 1e Quality Assurance\CRYO-2079-2659  1728 1E","folder")</f>
        <v>folder</v>
      </c>
      <c r="T413" t="s">
        <v>1831</v>
      </c>
      <c r="U413" t="s">
        <v>1856</v>
      </c>
    </row>
    <row r="414" spans="1:24">
      <c r="A414" s="134">
        <v>1729</v>
      </c>
      <c r="B414" s="134">
        <v>17.8</v>
      </c>
      <c r="C414">
        <v>1.49</v>
      </c>
      <c r="D414">
        <v>7.18</v>
      </c>
      <c r="E414">
        <v>24.38</v>
      </c>
      <c r="F414" s="19" t="s">
        <v>1852</v>
      </c>
      <c r="G414">
        <v>58.1</v>
      </c>
      <c r="H414">
        <v>70.2</v>
      </c>
      <c r="I414" s="217">
        <v>42235</v>
      </c>
      <c r="J414" t="s">
        <v>130</v>
      </c>
      <c r="K414">
        <v>33.479999999999997</v>
      </c>
      <c r="L414">
        <v>0.123</v>
      </c>
      <c r="M414">
        <v>401</v>
      </c>
      <c r="Q414" s="4" t="str">
        <f>HYPERLINK("\\hopi-fs\shares\users\dhar\Stalk mount testing\Type 1e Quality Assurance\CRYO-2080-2663  1729 1E","folder")</f>
        <v>folder</v>
      </c>
      <c r="T414" t="s">
        <v>1831</v>
      </c>
      <c r="U414" t="s">
        <v>1857</v>
      </c>
    </row>
    <row r="415" spans="1:24">
      <c r="A415" s="134">
        <v>1731</v>
      </c>
      <c r="B415" s="134">
        <v>18</v>
      </c>
      <c r="C415">
        <v>1.52</v>
      </c>
      <c r="D415">
        <v>7.19</v>
      </c>
      <c r="E415">
        <v>24.37</v>
      </c>
      <c r="F415" s="19" t="s">
        <v>1853</v>
      </c>
      <c r="G415">
        <v>58.1</v>
      </c>
      <c r="H415">
        <v>70.2</v>
      </c>
      <c r="I415" s="217">
        <v>42235</v>
      </c>
      <c r="J415" t="s">
        <v>130</v>
      </c>
      <c r="K415">
        <v>33.520000000000003</v>
      </c>
      <c r="L415">
        <v>0.18099999999999999</v>
      </c>
      <c r="M415">
        <v>405</v>
      </c>
      <c r="Q415" s="4" t="str">
        <f>HYPERLINK("\\hopi-fs\shares\users\dhar\Stalk mount testing\Type 1e Quality Assurance\CRYO-2080-2665  1731 1E","folder")</f>
        <v>folder</v>
      </c>
      <c r="T415" t="s">
        <v>1831</v>
      </c>
      <c r="U415" t="s">
        <v>1858</v>
      </c>
    </row>
    <row r="416" spans="1:24">
      <c r="A416" s="134">
        <v>1524</v>
      </c>
      <c r="B416" s="134">
        <v>18.399999999999999</v>
      </c>
      <c r="C416">
        <v>1.51</v>
      </c>
      <c r="D416">
        <v>7.17</v>
      </c>
      <c r="E416">
        <v>24.36</v>
      </c>
      <c r="F416" s="19" t="s">
        <v>1859</v>
      </c>
      <c r="G416">
        <v>61</v>
      </c>
      <c r="H416">
        <v>68.8</v>
      </c>
      <c r="I416" s="217">
        <v>42248</v>
      </c>
      <c r="J416" t="s">
        <v>130</v>
      </c>
      <c r="K416">
        <v>33.47</v>
      </c>
      <c r="L416">
        <v>0.34300000000000003</v>
      </c>
      <c r="M416" t="s">
        <v>1863</v>
      </c>
      <c r="Q416" s="4" t="str">
        <f>HYPERLINK("\\hopi-fs\shares\users\dhar\Stalk mount testing\Type 1e Quality Assurance\CRYO-2079-2666 1524 1E","folder")</f>
        <v>folder</v>
      </c>
      <c r="T416" t="s">
        <v>1831</v>
      </c>
      <c r="U416" t="s">
        <v>1864</v>
      </c>
    </row>
    <row r="417" spans="1:24">
      <c r="A417" s="134">
        <v>1712</v>
      </c>
      <c r="F417" s="270" t="s">
        <v>1860</v>
      </c>
      <c r="G417">
        <v>61</v>
      </c>
      <c r="H417">
        <v>68.8</v>
      </c>
      <c r="I417" s="217">
        <v>42248</v>
      </c>
      <c r="J417" t="s">
        <v>130</v>
      </c>
      <c r="Q417" s="4" t="str">
        <f>HYPERLINK("\\hopi-fs\shares\users\dhar\Stalk mount testing\Type 1e Quality Assurance\CRYO-2080-2668 1712 1E","FOLDER")</f>
        <v>FOLDER</v>
      </c>
      <c r="T417" t="s">
        <v>1831</v>
      </c>
    </row>
    <row r="418" spans="1:24">
      <c r="A418" s="134">
        <v>1667</v>
      </c>
      <c r="B418" s="134">
        <v>16.5</v>
      </c>
      <c r="C418">
        <v>1.51</v>
      </c>
      <c r="D418">
        <v>7.07</v>
      </c>
      <c r="E418">
        <v>24.31</v>
      </c>
      <c r="F418" s="19" t="s">
        <v>1861</v>
      </c>
      <c r="G418">
        <v>61</v>
      </c>
      <c r="H418">
        <v>68.8</v>
      </c>
      <c r="I418" s="217">
        <v>42248</v>
      </c>
      <c r="J418" t="s">
        <v>130</v>
      </c>
      <c r="K418">
        <v>33.36</v>
      </c>
      <c r="L418">
        <v>0.68600000000000005</v>
      </c>
      <c r="M418">
        <v>411</v>
      </c>
      <c r="Q418" s="4" t="str">
        <f>HYPERLINK("\\HOPI-FS\shares\users\dhar\Stalk mount testing\Type 1e Quality Assurance\CRYO-2079-2669  1667 1E","folder")</f>
        <v>folder</v>
      </c>
      <c r="T418" t="s">
        <v>1831</v>
      </c>
      <c r="U418" t="s">
        <v>1862</v>
      </c>
    </row>
    <row r="419" spans="1:24" ht="31.5" customHeight="1">
      <c r="A419" s="134">
        <v>1732</v>
      </c>
      <c r="B419" s="134">
        <v>17</v>
      </c>
      <c r="C419">
        <v>1.46</v>
      </c>
      <c r="D419">
        <v>7.1</v>
      </c>
      <c r="E419">
        <v>24.48</v>
      </c>
      <c r="F419" s="270" t="s">
        <v>1865</v>
      </c>
      <c r="G419">
        <v>61</v>
      </c>
      <c r="H419">
        <v>68.3</v>
      </c>
      <c r="I419" s="217">
        <v>42255</v>
      </c>
      <c r="J419" t="s">
        <v>130</v>
      </c>
      <c r="K419">
        <v>33.479999999999997</v>
      </c>
      <c r="L419">
        <v>0.79300000000000004</v>
      </c>
      <c r="Q419" s="4" t="str">
        <f>HYPERLINK("\\HOPI-FS\shares\users\dhar\Stalk mount testing\Type 1e Quality Assurance\CRYO-2081-2676  1732 1E","folder")</f>
        <v>folder</v>
      </c>
      <c r="T419" t="s">
        <v>1831</v>
      </c>
      <c r="U419" t="s">
        <v>1883</v>
      </c>
    </row>
    <row r="420" spans="1:24">
      <c r="A420" s="134">
        <v>1733</v>
      </c>
      <c r="B420" s="134">
        <v>16.8</v>
      </c>
      <c r="C420">
        <v>1.51</v>
      </c>
      <c r="D420">
        <v>7.11</v>
      </c>
      <c r="E420">
        <v>24.33</v>
      </c>
      <c r="F420" s="19" t="s">
        <v>1866</v>
      </c>
      <c r="G420">
        <v>61</v>
      </c>
      <c r="H420">
        <v>68.3</v>
      </c>
      <c r="I420" s="217">
        <v>42255</v>
      </c>
      <c r="J420" t="s">
        <v>130</v>
      </c>
      <c r="K420">
        <v>33.39</v>
      </c>
      <c r="L420">
        <v>0.70699999999999996</v>
      </c>
      <c r="M420">
        <v>390</v>
      </c>
      <c r="Q420" s="4" t="str">
        <f>HYPERLINK("\\HOPI-FS\shares\users\dhar\Stalk mount testing\Type 1e Quality Assurance\CRYO-2079-2677  1733 1E","folder")</f>
        <v>folder</v>
      </c>
      <c r="T420" t="s">
        <v>1831</v>
      </c>
      <c r="U420" t="s">
        <v>1885</v>
      </c>
      <c r="V420" s="407" t="s">
        <v>2384</v>
      </c>
      <c r="W420" s="29">
        <v>5</v>
      </c>
      <c r="X420">
        <v>1</v>
      </c>
    </row>
    <row r="421" spans="1:24">
      <c r="A421" s="134">
        <v>1736</v>
      </c>
      <c r="B421" s="134">
        <v>18</v>
      </c>
      <c r="C421">
        <v>1.49</v>
      </c>
      <c r="D421">
        <v>7.14</v>
      </c>
      <c r="E421">
        <v>24.33</v>
      </c>
      <c r="F421" s="184" t="s">
        <v>1881</v>
      </c>
      <c r="G421">
        <v>60.1</v>
      </c>
      <c r="H421">
        <v>68.900000000000006</v>
      </c>
      <c r="I421" s="217">
        <v>42257</v>
      </c>
      <c r="J421" t="s">
        <v>130</v>
      </c>
      <c r="K421">
        <v>33.409999999999997</v>
      </c>
      <c r="L421">
        <v>0.377</v>
      </c>
      <c r="M421">
        <v>398</v>
      </c>
      <c r="Q421" s="4" t="str">
        <f>HYPERLINK("\\HOPI-FS\shares\users\dhar\Stalk mount testing\Type 1e Quality Assurance\CRYO-2079-2698  1736 1E","folder")</f>
        <v>folder</v>
      </c>
      <c r="T421" t="s">
        <v>1831</v>
      </c>
      <c r="U421" t="s">
        <v>1885</v>
      </c>
      <c r="V421" s="407" t="s">
        <v>2900</v>
      </c>
      <c r="W421" s="29">
        <v>3</v>
      </c>
      <c r="X421">
        <v>1</v>
      </c>
    </row>
    <row r="422" spans="1:24">
      <c r="A422" s="134">
        <v>1736</v>
      </c>
      <c r="B422" s="134">
        <v>18.2</v>
      </c>
      <c r="C422">
        <v>1.5</v>
      </c>
      <c r="D422">
        <v>7.14</v>
      </c>
      <c r="E422">
        <v>24.32</v>
      </c>
      <c r="F422" s="270" t="s">
        <v>1877</v>
      </c>
      <c r="G422" s="207">
        <v>58.1</v>
      </c>
      <c r="H422" s="207">
        <v>70</v>
      </c>
      <c r="I422" s="217">
        <v>42256</v>
      </c>
      <c r="J422" t="s">
        <v>130</v>
      </c>
      <c r="K422">
        <v>33.409999999999997</v>
      </c>
      <c r="L422">
        <v>0.57799999999999996</v>
      </c>
      <c r="Q422" s="4" t="str">
        <f>HYPERLINK("\\HOPI-FS\shares\users\dhar\Stalk mount testing\Type 1e Quality Assurance\CRYO-2081-2693  1736 1E","folder")</f>
        <v>folder</v>
      </c>
      <c r="T422" t="s">
        <v>1831</v>
      </c>
    </row>
    <row r="423" spans="1:24">
      <c r="A423" s="134">
        <v>1736</v>
      </c>
      <c r="B423" s="134">
        <v>17.2</v>
      </c>
      <c r="C423">
        <v>1.52</v>
      </c>
      <c r="D423">
        <v>7.12</v>
      </c>
      <c r="E423">
        <v>24.2</v>
      </c>
      <c r="F423" s="270" t="s">
        <v>1867</v>
      </c>
      <c r="G423">
        <v>61</v>
      </c>
      <c r="H423">
        <v>68.3</v>
      </c>
      <c r="I423" s="217">
        <v>42255</v>
      </c>
      <c r="J423" t="s">
        <v>130</v>
      </c>
      <c r="K423">
        <v>33.28</v>
      </c>
      <c r="L423">
        <v>0.28399999999999997</v>
      </c>
      <c r="Q423" s="4" t="str">
        <f>HYPERLINK("\\HOPI-FS\shares\users\dhar\Stalk mount testing\Type 1e Quality Assurance\CRYO-2080-2678  1736 1E","folder")</f>
        <v>folder</v>
      </c>
      <c r="T423" t="s">
        <v>1831</v>
      </c>
    </row>
    <row r="424" spans="1:24">
      <c r="A424" s="134">
        <v>1737</v>
      </c>
      <c r="B424" s="134">
        <v>19</v>
      </c>
      <c r="C424">
        <v>1.5</v>
      </c>
      <c r="D424">
        <v>7.13</v>
      </c>
      <c r="E424">
        <v>24.38</v>
      </c>
      <c r="F424" s="270" t="s">
        <v>1882</v>
      </c>
      <c r="G424">
        <v>60.1</v>
      </c>
      <c r="H424">
        <v>68.900000000000006</v>
      </c>
      <c r="I424" s="217">
        <v>42257</v>
      </c>
      <c r="J424" t="s">
        <v>130</v>
      </c>
      <c r="K424">
        <v>33.47</v>
      </c>
      <c r="L424">
        <v>5.3999999999999999E-2</v>
      </c>
      <c r="Q424" s="4" t="str">
        <f>HYPERLINK("\\HOPI-FS\shares\users\dhar\Stalk mount testing\Type 1e Quality Assurance\CRYO-2079-2699  1737 1E","folder")</f>
        <v>folder</v>
      </c>
      <c r="T424" t="s">
        <v>1831</v>
      </c>
    </row>
    <row r="425" spans="1:24">
      <c r="A425" s="134">
        <v>1737</v>
      </c>
      <c r="B425" s="134">
        <v>17.8</v>
      </c>
      <c r="C425">
        <v>1.51</v>
      </c>
      <c r="D425">
        <v>7.13</v>
      </c>
      <c r="E425">
        <v>24.36</v>
      </c>
      <c r="F425" s="270" t="s">
        <v>1878</v>
      </c>
      <c r="G425">
        <v>58.1</v>
      </c>
      <c r="H425">
        <v>70</v>
      </c>
      <c r="I425" s="217">
        <v>42256</v>
      </c>
      <c r="J425" t="s">
        <v>130</v>
      </c>
      <c r="K425">
        <v>33.47</v>
      </c>
      <c r="L425">
        <v>0.216</v>
      </c>
      <c r="Q425" s="4" t="str">
        <f>HYPERLINK("\\HOPI-FS\shares\users\dhar\Stalk mount testing\Type 1e Quality Assurance\CRYO-2081-2694  1737 1E","folder")</f>
        <v>folder</v>
      </c>
      <c r="T425" t="s">
        <v>1831</v>
      </c>
    </row>
    <row r="426" spans="1:24">
      <c r="A426" s="134">
        <v>1737</v>
      </c>
      <c r="B426" s="134">
        <v>18.8</v>
      </c>
      <c r="C426">
        <v>1.52</v>
      </c>
      <c r="D426">
        <v>7.13</v>
      </c>
      <c r="E426">
        <v>24.36</v>
      </c>
      <c r="F426" s="270" t="s">
        <v>1868</v>
      </c>
      <c r="G426">
        <v>61</v>
      </c>
      <c r="H426">
        <v>68.3</v>
      </c>
      <c r="I426" s="217">
        <v>42255</v>
      </c>
      <c r="J426" t="s">
        <v>130</v>
      </c>
      <c r="K426">
        <v>33.44</v>
      </c>
      <c r="L426">
        <v>0.68400000000000005</v>
      </c>
      <c r="Q426" s="4" t="str">
        <f>HYPERLINK("\\HOPI-FS\shares\users\dhar\Stalk mount testing\Type 1e Quality Assurance\CRYO-2078-2680  1737 1E","folder")</f>
        <v>folder</v>
      </c>
      <c r="T426" t="s">
        <v>1831</v>
      </c>
    </row>
    <row r="427" spans="1:24">
      <c r="A427" s="134">
        <v>1738</v>
      </c>
      <c r="B427" s="134">
        <v>18.399999999999999</v>
      </c>
      <c r="C427">
        <v>1.51</v>
      </c>
      <c r="D427">
        <v>7.13</v>
      </c>
      <c r="E427">
        <v>24.41</v>
      </c>
      <c r="F427" s="184" t="s">
        <v>1879</v>
      </c>
      <c r="G427">
        <v>58.1</v>
      </c>
      <c r="H427">
        <v>70</v>
      </c>
      <c r="I427" s="217">
        <v>42256</v>
      </c>
      <c r="J427" t="s">
        <v>130</v>
      </c>
      <c r="K427">
        <v>33.51</v>
      </c>
      <c r="L427">
        <v>0.58099999999999996</v>
      </c>
      <c r="M427">
        <v>438</v>
      </c>
      <c r="Q427" s="4" t="str">
        <f>HYPERLINK("\\HOPI-FS\shares\users\dhar\Stalk mount testing\Type 1e Quality Assurance\CRYO-2080-2695  1738 1E","folder")</f>
        <v>folder</v>
      </c>
      <c r="T427" t="s">
        <v>1831</v>
      </c>
      <c r="U427" t="s">
        <v>1885</v>
      </c>
      <c r="V427" s="407" t="s">
        <v>2317</v>
      </c>
      <c r="W427" s="29">
        <v>2</v>
      </c>
      <c r="X427">
        <v>1</v>
      </c>
    </row>
    <row r="428" spans="1:24">
      <c r="A428" s="134">
        <v>1738</v>
      </c>
      <c r="B428" s="134">
        <v>17.399999999999999</v>
      </c>
      <c r="C428">
        <v>1.53</v>
      </c>
      <c r="D428">
        <v>7.12</v>
      </c>
      <c r="E428">
        <v>24.42</v>
      </c>
      <c r="F428" s="270" t="s">
        <v>1869</v>
      </c>
      <c r="G428">
        <v>61</v>
      </c>
      <c r="H428">
        <v>68.3</v>
      </c>
      <c r="I428" s="217">
        <v>42255</v>
      </c>
      <c r="J428" t="s">
        <v>130</v>
      </c>
      <c r="K428">
        <v>33.5</v>
      </c>
      <c r="L428">
        <v>0.40300000000000002</v>
      </c>
      <c r="Q428" s="4" t="str">
        <f>HYPERLINK("\\HOPI-FS\shares\users\dhar\Stalk mount testing\Type 1e Quality Assurance\CRYO-2079-2681  1738 1E","folder")</f>
        <v>folder</v>
      </c>
      <c r="T428" t="s">
        <v>1831</v>
      </c>
    </row>
    <row r="429" spans="1:24">
      <c r="A429" s="134">
        <v>1739</v>
      </c>
      <c r="B429" s="134">
        <v>17</v>
      </c>
      <c r="C429">
        <v>1.51</v>
      </c>
      <c r="D429">
        <v>7.14</v>
      </c>
      <c r="E429">
        <v>24.34</v>
      </c>
      <c r="F429" s="270" t="s">
        <v>1870</v>
      </c>
      <c r="G429">
        <v>61</v>
      </c>
      <c r="H429">
        <v>68.3</v>
      </c>
      <c r="I429" s="217">
        <v>42255</v>
      </c>
      <c r="J429" t="s">
        <v>130</v>
      </c>
      <c r="K429">
        <v>33.409999999999997</v>
      </c>
      <c r="L429">
        <v>0.22800000000000001</v>
      </c>
      <c r="Q429" s="4" t="str">
        <f>HYPERLINK("\\HOPI-FS\shares\users\dhar\Stalk mount testing\Type 1e Quality Assurance\CRYO-2079-2682  1739 1E","folder")</f>
        <v>folder</v>
      </c>
      <c r="T429" t="s">
        <v>1831</v>
      </c>
      <c r="U429" t="s">
        <v>1884</v>
      </c>
    </row>
    <row r="430" spans="1:24">
      <c r="A430" s="134">
        <v>1740</v>
      </c>
      <c r="B430" s="134">
        <v>16.8</v>
      </c>
      <c r="C430">
        <v>1.52</v>
      </c>
      <c r="D430">
        <v>7.13</v>
      </c>
      <c r="E430">
        <v>24.42</v>
      </c>
      <c r="F430" s="356" t="s">
        <v>1880</v>
      </c>
      <c r="G430">
        <v>58.1</v>
      </c>
      <c r="H430">
        <v>70</v>
      </c>
      <c r="I430" s="217">
        <v>42256</v>
      </c>
      <c r="J430" t="s">
        <v>130</v>
      </c>
      <c r="K430">
        <v>33.51</v>
      </c>
      <c r="L430">
        <v>0.23100000000000001</v>
      </c>
      <c r="M430">
        <v>378</v>
      </c>
      <c r="Q430" s="4" t="str">
        <f>HYPERLINK("\\HOPI-FS\shares\users\dhar\Stalk mount testing\Type 1e Quality Assurance\CRYO-2081-2697  1740 1E","folder")</f>
        <v>folder</v>
      </c>
      <c r="T430" t="s">
        <v>1831</v>
      </c>
    </row>
    <row r="431" spans="1:24">
      <c r="A431" s="134">
        <v>1740</v>
      </c>
      <c r="B431" s="134">
        <v>18.600000000000001</v>
      </c>
      <c r="C431">
        <v>1.5</v>
      </c>
      <c r="D431">
        <v>7.08</v>
      </c>
      <c r="E431">
        <v>24.25</v>
      </c>
      <c r="F431" s="184" t="s">
        <v>1871</v>
      </c>
      <c r="G431">
        <v>61</v>
      </c>
      <c r="H431">
        <v>68.3</v>
      </c>
      <c r="I431" s="217">
        <v>42255</v>
      </c>
      <c r="J431" t="s">
        <v>130</v>
      </c>
      <c r="K431">
        <v>33.270000000000003</v>
      </c>
      <c r="L431">
        <v>0.32400000000000001</v>
      </c>
      <c r="Q431" s="4" t="str">
        <f>HYPERLINK("\\HOPI-FS\shares\users\dhar\Stalk mount testing\Type 1e Quality Assurance\CRYO-2079-2683  1740 1E","folder")</f>
        <v>folder</v>
      </c>
      <c r="T431" t="s">
        <v>1831</v>
      </c>
    </row>
    <row r="432" spans="1:24">
      <c r="A432" s="134">
        <v>1741</v>
      </c>
      <c r="B432" s="134">
        <v>16.399999999999999</v>
      </c>
      <c r="C432">
        <v>1.48</v>
      </c>
      <c r="D432">
        <v>7.01</v>
      </c>
      <c r="E432">
        <v>23.96</v>
      </c>
      <c r="F432" s="184" t="s">
        <v>1872</v>
      </c>
      <c r="G432">
        <v>61</v>
      </c>
      <c r="H432">
        <v>68.3</v>
      </c>
      <c r="I432" s="217">
        <v>42255</v>
      </c>
      <c r="J432" t="s">
        <v>130</v>
      </c>
      <c r="K432">
        <v>32.89</v>
      </c>
      <c r="L432">
        <v>0.65800000000000003</v>
      </c>
      <c r="M432">
        <v>410</v>
      </c>
      <c r="Q432" s="4" t="str">
        <f>HYPERLINK("\\HOPI-FS\shares\users\dhar\Stalk mount testing\Type 1e Quality Assurance\CRYO-2079-2686  1741 1E","folder")</f>
        <v>folder</v>
      </c>
      <c r="T432" t="s">
        <v>1831</v>
      </c>
      <c r="U432" t="s">
        <v>1885</v>
      </c>
    </row>
    <row r="433" spans="1:24">
      <c r="A433" s="134">
        <v>1743</v>
      </c>
      <c r="B433" s="134">
        <v>16.399999999999999</v>
      </c>
      <c r="C433">
        <v>1.51</v>
      </c>
      <c r="D433">
        <v>7.03</v>
      </c>
      <c r="E433">
        <v>24.03</v>
      </c>
      <c r="F433" s="184" t="s">
        <v>1873</v>
      </c>
      <c r="G433">
        <v>61</v>
      </c>
      <c r="H433">
        <v>68.3</v>
      </c>
      <c r="I433" s="217">
        <v>42255</v>
      </c>
      <c r="J433" t="s">
        <v>130</v>
      </c>
      <c r="K433">
        <v>33</v>
      </c>
      <c r="L433">
        <v>0.57699999999999996</v>
      </c>
      <c r="M433">
        <v>380</v>
      </c>
      <c r="Q433" s="4" t="str">
        <f>HYPERLINK("\\HOPI-FS\shares\users\dhar\Stalk mount testing\Type 1e Quality Assurance\CRYO-2077-2687  1743 1E","folder")</f>
        <v>folder</v>
      </c>
      <c r="T433" t="s">
        <v>1831</v>
      </c>
      <c r="U433" t="s">
        <v>1885</v>
      </c>
    </row>
    <row r="434" spans="1:24">
      <c r="A434" s="134">
        <v>1744</v>
      </c>
      <c r="B434" s="134">
        <v>18</v>
      </c>
      <c r="C434">
        <v>1.51</v>
      </c>
      <c r="D434">
        <v>7.11</v>
      </c>
      <c r="E434">
        <v>24.35</v>
      </c>
      <c r="F434" s="184" t="s">
        <v>1874</v>
      </c>
      <c r="G434">
        <v>61</v>
      </c>
      <c r="H434">
        <v>68.3</v>
      </c>
      <c r="I434" s="217">
        <v>42255</v>
      </c>
      <c r="J434" t="s">
        <v>130</v>
      </c>
      <c r="K434">
        <v>33.409999999999997</v>
      </c>
      <c r="L434">
        <v>0.56299999999999994</v>
      </c>
      <c r="M434">
        <v>419</v>
      </c>
      <c r="Q434" s="4" t="str">
        <f>HYPERLINK("\\HOPI-FS\shares\users\dhar\Stalk mount testing\Type 1e Quality Assurance\CRYO-2080-2689  1744 1E","folder")</f>
        <v>folder</v>
      </c>
      <c r="T434" t="s">
        <v>1831</v>
      </c>
      <c r="U434" t="s">
        <v>1885</v>
      </c>
      <c r="V434" s="407" t="s">
        <v>2899</v>
      </c>
      <c r="W434" s="29">
        <v>1</v>
      </c>
      <c r="X434">
        <v>1</v>
      </c>
    </row>
    <row r="435" spans="1:24">
      <c r="A435" s="134">
        <v>1745</v>
      </c>
      <c r="B435" s="134">
        <v>17.600000000000001</v>
      </c>
      <c r="C435">
        <v>1.49</v>
      </c>
      <c r="D435">
        <v>7.14</v>
      </c>
      <c r="E435">
        <v>24.26</v>
      </c>
      <c r="F435" s="270" t="s">
        <v>1875</v>
      </c>
      <c r="G435">
        <v>61</v>
      </c>
      <c r="H435">
        <v>68.3</v>
      </c>
      <c r="I435" s="217">
        <v>42255</v>
      </c>
      <c r="J435" t="s">
        <v>130</v>
      </c>
      <c r="K435">
        <v>33.340000000000003</v>
      </c>
      <c r="L435">
        <v>0.65300000000000002</v>
      </c>
      <c r="Q435" s="4" t="str">
        <f>HYPERLINK("\\HOPI-FS\shares\users\dhar\Stalk mount testing\Type 1e Quality Assurance\CRYO-2081-2690  1745 1E","folder")</f>
        <v>folder</v>
      </c>
      <c r="T435" t="s">
        <v>1831</v>
      </c>
    </row>
    <row r="436" spans="1:24">
      <c r="A436" s="134">
        <v>1746</v>
      </c>
      <c r="B436" s="136">
        <v>18.600000000000001</v>
      </c>
      <c r="C436">
        <v>1.5</v>
      </c>
      <c r="D436">
        <v>7.12</v>
      </c>
      <c r="E436">
        <v>24.42</v>
      </c>
      <c r="F436" s="184" t="s">
        <v>1876</v>
      </c>
      <c r="G436">
        <v>61</v>
      </c>
      <c r="H436">
        <v>68.3</v>
      </c>
      <c r="I436" s="217">
        <v>42255</v>
      </c>
      <c r="J436" t="s">
        <v>130</v>
      </c>
      <c r="K436">
        <v>33.47</v>
      </c>
      <c r="L436">
        <v>0.74199999999999999</v>
      </c>
      <c r="M436">
        <v>435</v>
      </c>
      <c r="Q436" s="4" t="str">
        <f>HYPERLINK("\\HOPI-FS\shares\users\dhar\Stalk mount testing\Type 1e Quality Assurance\CRYO-2081-2691  1746 1E","folder")</f>
        <v>folder</v>
      </c>
      <c r="T436" t="s">
        <v>1831</v>
      </c>
      <c r="U436" t="s">
        <v>3855</v>
      </c>
    </row>
    <row r="437" spans="1:24" ht="36.75" customHeight="1">
      <c r="A437" s="134">
        <v>1647</v>
      </c>
      <c r="B437" s="134">
        <v>19</v>
      </c>
      <c r="C437">
        <v>1.53</v>
      </c>
      <c r="D437">
        <v>7.11</v>
      </c>
      <c r="E437">
        <v>24.37</v>
      </c>
      <c r="F437" s="184" t="s">
        <v>1892</v>
      </c>
      <c r="G437" t="s">
        <v>169</v>
      </c>
      <c r="H437" t="s">
        <v>169</v>
      </c>
      <c r="I437" s="217">
        <v>42282</v>
      </c>
      <c r="J437" t="s">
        <v>130</v>
      </c>
      <c r="K437">
        <v>33.479999999999997</v>
      </c>
      <c r="L437">
        <v>0.443</v>
      </c>
      <c r="Q437" s="4" t="str">
        <f>HYPERLINK("\\hopi-fs\shares\users\dhar\Stalk mount testing\Type 1e Quality Assurance\Si bead-1 B","folder")</f>
        <v>folder</v>
      </c>
      <c r="T437" t="s">
        <v>1831</v>
      </c>
      <c r="U437" s="319">
        <f>AVERAGE(0.862, 0.8634, 0.865, 0.8634)</f>
        <v>0.86344999999999994</v>
      </c>
    </row>
    <row r="438" spans="1:24">
      <c r="A438" s="134">
        <v>1412</v>
      </c>
      <c r="B438" s="134">
        <v>18.5</v>
      </c>
      <c r="C438">
        <v>1.51</v>
      </c>
      <c r="D438">
        <v>7.1</v>
      </c>
      <c r="E438">
        <v>24.4</v>
      </c>
      <c r="F438" s="184" t="s">
        <v>1915</v>
      </c>
      <c r="G438">
        <v>32.799999999999997</v>
      </c>
      <c r="H438">
        <v>68.2</v>
      </c>
      <c r="I438" s="217">
        <v>42306</v>
      </c>
      <c r="J438" t="s">
        <v>130</v>
      </c>
      <c r="K438">
        <v>33.5</v>
      </c>
      <c r="Q438" s="4" t="str">
        <f>HYPERLINK("\\hopi-fs\shares\users\dhar\Stalk mount testing\Type 1e Quality Assurance\Si Bead-2 C","folder")</f>
        <v>folder</v>
      </c>
      <c r="T438" t="s">
        <v>1914</v>
      </c>
      <c r="U438" s="319">
        <f>AVERAGE(864.2, 862.8, 865.2, 862.6)/1000</f>
        <v>0.86369999999999991</v>
      </c>
      <c r="V438" s="407" t="s">
        <v>1928</v>
      </c>
    </row>
    <row r="439" spans="1:24">
      <c r="A439" s="134">
        <v>1675</v>
      </c>
      <c r="B439" s="134" t="s">
        <v>1678</v>
      </c>
      <c r="F439" s="428" t="s">
        <v>1891</v>
      </c>
      <c r="G439" t="s">
        <v>169</v>
      </c>
      <c r="H439" t="s">
        <v>169</v>
      </c>
      <c r="I439" s="217">
        <v>42282</v>
      </c>
      <c r="J439" t="s">
        <v>130</v>
      </c>
      <c r="T439" t="s">
        <v>1831</v>
      </c>
      <c r="U439" s="319"/>
    </row>
    <row r="440" spans="1:24">
      <c r="A440" s="134">
        <v>1690</v>
      </c>
      <c r="F440" s="428" t="s">
        <v>1890</v>
      </c>
      <c r="G440" t="s">
        <v>169</v>
      </c>
      <c r="H440" t="s">
        <v>169</v>
      </c>
      <c r="I440" s="217">
        <v>42282</v>
      </c>
      <c r="J440" t="s">
        <v>130</v>
      </c>
      <c r="Q440" s="4" t="str">
        <f>HYPERLINK("\\hopi-fs\shares\users\dhar\Stalk mount testing\Type 1e Quality Assurance\SCD47G-21  F  1690","folder")</f>
        <v>folder</v>
      </c>
      <c r="T440" t="s">
        <v>1831</v>
      </c>
      <c r="U440" s="319">
        <f>AVERAGE(0.8798, 0.8794, 0.8782, 0.8782)</f>
        <v>0.87890000000000001</v>
      </c>
    </row>
    <row r="441" spans="1:24" ht="30" customHeight="1">
      <c r="A441" s="134">
        <v>1341</v>
      </c>
      <c r="F441" s="176" t="s">
        <v>1893</v>
      </c>
      <c r="G441">
        <v>61.5</v>
      </c>
      <c r="H441">
        <v>68.400000000000006</v>
      </c>
      <c r="I441" s="217">
        <v>42286</v>
      </c>
      <c r="J441" t="s">
        <v>130</v>
      </c>
      <c r="Q441" s="4" t="str">
        <f>HYPERLINK("\\hopi-fs\shares\users\dhar\Stalk mount testing\Type 1e Quality Assurance\CRYO-2079-2700","folder")</f>
        <v>folder</v>
      </c>
      <c r="T441" t="s">
        <v>1831</v>
      </c>
      <c r="U441" t="s">
        <v>1905</v>
      </c>
    </row>
    <row r="442" spans="1:24">
      <c r="A442" s="134">
        <v>1342</v>
      </c>
      <c r="B442" s="134">
        <v>16.399999999999999</v>
      </c>
      <c r="C442">
        <v>1.53</v>
      </c>
      <c r="D442">
        <v>7.13</v>
      </c>
      <c r="E442">
        <v>24.44</v>
      </c>
      <c r="F442" s="19" t="s">
        <v>1894</v>
      </c>
      <c r="G442">
        <v>61.5</v>
      </c>
      <c r="H442">
        <v>68.400000000000006</v>
      </c>
      <c r="I442" s="217">
        <v>42286</v>
      </c>
      <c r="J442" t="s">
        <v>130</v>
      </c>
      <c r="K442">
        <v>33.54</v>
      </c>
      <c r="L442">
        <v>0.188</v>
      </c>
      <c r="M442" t="s">
        <v>1910</v>
      </c>
      <c r="Q442" s="4" t="str">
        <f>HYPERLINK("\\HOPI-FS\shares\users\dhar\Stalk mount testing\Type 1e Quality Assurance\CRYO-2078-2701  1342 1E","folder")</f>
        <v>folder</v>
      </c>
      <c r="T442" t="s">
        <v>1831</v>
      </c>
      <c r="U442" t="s">
        <v>1911</v>
      </c>
      <c r="V442" s="407" t="s">
        <v>2294</v>
      </c>
      <c r="W442" s="29">
        <v>3</v>
      </c>
      <c r="X442">
        <v>1</v>
      </c>
    </row>
    <row r="443" spans="1:24">
      <c r="A443" s="134">
        <v>1712</v>
      </c>
      <c r="B443" s="134">
        <v>17</v>
      </c>
      <c r="C443">
        <v>1.54</v>
      </c>
      <c r="D443">
        <v>7.11</v>
      </c>
      <c r="E443">
        <v>24.34</v>
      </c>
      <c r="F443" s="19" t="s">
        <v>1895</v>
      </c>
      <c r="G443">
        <v>61.5</v>
      </c>
      <c r="H443">
        <v>68.400000000000006</v>
      </c>
      <c r="I443" s="217">
        <v>42286</v>
      </c>
      <c r="J443" t="s">
        <v>130</v>
      </c>
      <c r="K443">
        <v>33.450000000000003</v>
      </c>
      <c r="L443">
        <v>0.31</v>
      </c>
      <c r="M443">
        <v>432</v>
      </c>
      <c r="Q443" s="4" t="str">
        <f>HYPERLINK("\\HOPI-FS\shares\users\dhar\Stalk mount testing\Type 1e Quality Assurance\CRYO-2079-2702  1712 1E","folder")</f>
        <v>folder</v>
      </c>
      <c r="T443" t="s">
        <v>1831</v>
      </c>
      <c r="U443" t="s">
        <v>1911</v>
      </c>
      <c r="V443" s="407" t="s">
        <v>2288</v>
      </c>
      <c r="W443" s="29">
        <v>3</v>
      </c>
      <c r="X443">
        <v>1</v>
      </c>
    </row>
    <row r="444" spans="1:24">
      <c r="A444" s="134">
        <v>1422</v>
      </c>
      <c r="B444" s="134">
        <v>17.8</v>
      </c>
      <c r="C444">
        <v>1.5</v>
      </c>
      <c r="D444">
        <v>7.23</v>
      </c>
      <c r="E444">
        <v>24.38</v>
      </c>
      <c r="F444" s="378" t="s">
        <v>1896</v>
      </c>
      <c r="G444">
        <v>61.5</v>
      </c>
      <c r="H444">
        <v>68.400000000000006</v>
      </c>
      <c r="I444" s="217">
        <v>42286</v>
      </c>
      <c r="J444" t="s">
        <v>130</v>
      </c>
      <c r="K444">
        <v>33.549999999999997</v>
      </c>
      <c r="L444">
        <v>0.37</v>
      </c>
      <c r="M444">
        <v>383</v>
      </c>
      <c r="Q444" s="4" t="str">
        <f>HYPERLINK("\\hopi-fs\shares\users\dhar\Stalk mount testing\Type 1e Quality Assurance\CRYO-2079-2703  1422 1E","folder")</f>
        <v>folder</v>
      </c>
      <c r="T444" t="s">
        <v>1831</v>
      </c>
      <c r="U444" t="s">
        <v>1911</v>
      </c>
    </row>
    <row r="445" spans="1:24">
      <c r="A445" s="134">
        <v>1710</v>
      </c>
      <c r="B445" s="134">
        <v>16.399999999999999</v>
      </c>
      <c r="C445">
        <v>1.5</v>
      </c>
      <c r="D445">
        <v>7.19</v>
      </c>
      <c r="E445">
        <v>24.34</v>
      </c>
      <c r="F445" s="19" t="s">
        <v>1897</v>
      </c>
      <c r="G445">
        <v>61.5</v>
      </c>
      <c r="H445">
        <v>68.400000000000006</v>
      </c>
      <c r="I445" s="217">
        <v>42286</v>
      </c>
      <c r="J445" t="s">
        <v>130</v>
      </c>
      <c r="K445">
        <v>33.46</v>
      </c>
      <c r="L445">
        <v>0.59599999999999997</v>
      </c>
      <c r="M445">
        <v>391</v>
      </c>
      <c r="Q445" s="4" t="str">
        <f>HYPERLINK("\\hopi-fs\shares\users\dhar\Stalk mount testing\Type 1e Quality Assurance\CRYO-2078-2704  1710 1E","folder")</f>
        <v>folder</v>
      </c>
      <c r="T445" t="s">
        <v>1831</v>
      </c>
      <c r="U445" t="s">
        <v>1912</v>
      </c>
    </row>
    <row r="446" spans="1:24">
      <c r="A446" s="134">
        <v>1713</v>
      </c>
      <c r="B446" s="134">
        <v>18.8</v>
      </c>
      <c r="C446">
        <v>1.52</v>
      </c>
      <c r="D446">
        <v>7.1</v>
      </c>
      <c r="E446">
        <v>24.3</v>
      </c>
      <c r="F446" s="428" t="s">
        <v>1898</v>
      </c>
      <c r="G446">
        <v>61.5</v>
      </c>
      <c r="H446">
        <v>68.400000000000006</v>
      </c>
      <c r="I446" s="217">
        <v>42286</v>
      </c>
      <c r="J446" t="s">
        <v>130</v>
      </c>
      <c r="K446">
        <v>33.35</v>
      </c>
      <c r="L446">
        <v>0.42599999999999999</v>
      </c>
      <c r="Q446" s="4" t="str">
        <f>HYPERLINK("\\hopi-fs\shares\users\dhar\Stalk mount testing\Type 1e Quality Assurance\CRYO-2079-2706  1713 1E","folder")</f>
        <v>folder</v>
      </c>
      <c r="T446" t="s">
        <v>1831</v>
      </c>
    </row>
    <row r="447" spans="1:24">
      <c r="A447" s="134">
        <v>1719</v>
      </c>
      <c r="B447" s="134">
        <v>18.399999999999999</v>
      </c>
      <c r="C447">
        <v>1.53</v>
      </c>
      <c r="D447">
        <v>7.07</v>
      </c>
      <c r="E447">
        <v>24.45</v>
      </c>
      <c r="F447" s="176" t="s">
        <v>1899</v>
      </c>
      <c r="G447">
        <v>61.5</v>
      </c>
      <c r="H447">
        <v>68.400000000000006</v>
      </c>
      <c r="I447" s="217">
        <v>42286</v>
      </c>
      <c r="J447" t="s">
        <v>130</v>
      </c>
      <c r="K447">
        <v>33.49</v>
      </c>
      <c r="L447">
        <v>0.63600000000000001</v>
      </c>
      <c r="Q447" s="4" t="str">
        <f>HYPERLINK("\\hopi-fs\shares\users\dhar\Stalk mount testing\Type 1e Quality Assurance\CRYO-2082-2707  1719 1E","folder")</f>
        <v>folder</v>
      </c>
      <c r="T447" t="s">
        <v>1831</v>
      </c>
    </row>
    <row r="448" spans="1:24">
      <c r="A448" s="134">
        <v>1721</v>
      </c>
      <c r="B448" s="134">
        <v>17.2</v>
      </c>
      <c r="C448">
        <v>1.53</v>
      </c>
      <c r="D448">
        <v>7.06</v>
      </c>
      <c r="E448">
        <v>24.4</v>
      </c>
      <c r="F448" s="19" t="s">
        <v>1900</v>
      </c>
      <c r="G448">
        <v>61.5</v>
      </c>
      <c r="H448">
        <v>68.400000000000006</v>
      </c>
      <c r="I448" s="217">
        <v>42286</v>
      </c>
      <c r="J448" t="s">
        <v>130</v>
      </c>
      <c r="K448">
        <v>33.42</v>
      </c>
      <c r="L448">
        <v>0.63500000000000001</v>
      </c>
      <c r="M448">
        <v>395</v>
      </c>
      <c r="Q448" s="4" t="str">
        <f>HYPERLINK("\\hopi-fs\shares\users\dhar\Stalk mount testing\Type 1e Quality Assurance\CRYO-2082-2708  1721 1E","folder")</f>
        <v>folder</v>
      </c>
      <c r="T448" t="s">
        <v>1831</v>
      </c>
      <c r="U448" t="s">
        <v>1913</v>
      </c>
    </row>
    <row r="449" spans="1:21">
      <c r="A449" s="134">
        <v>1722</v>
      </c>
      <c r="B449" s="134">
        <v>16.600000000000001</v>
      </c>
      <c r="C449">
        <v>1.52</v>
      </c>
      <c r="D449">
        <v>7.19</v>
      </c>
      <c r="E449">
        <v>24.35</v>
      </c>
      <c r="F449" s="176" t="s">
        <v>1901</v>
      </c>
      <c r="G449">
        <v>61.5</v>
      </c>
      <c r="H449">
        <v>68.400000000000006</v>
      </c>
      <c r="I449" s="217">
        <v>42286</v>
      </c>
      <c r="J449" t="s">
        <v>130</v>
      </c>
      <c r="K449">
        <v>33.5</v>
      </c>
      <c r="L449">
        <v>0.75600000000000001</v>
      </c>
      <c r="Q449" s="4" t="str">
        <f>HYPERLINK("\\hopi-fs\shares\users\dhar\Stalk mount testing\Type 1e Quality Assurance\CRYO-2083-2710  1722 1E","folder")</f>
        <v>folder</v>
      </c>
      <c r="T449" t="s">
        <v>1831</v>
      </c>
    </row>
    <row r="450" spans="1:21">
      <c r="A450" s="134">
        <v>1723</v>
      </c>
      <c r="B450" s="134">
        <v>18.600000000000001</v>
      </c>
      <c r="C450">
        <v>1.5</v>
      </c>
      <c r="D450">
        <v>7.13</v>
      </c>
      <c r="E450">
        <v>24.42</v>
      </c>
      <c r="F450" s="45" t="s">
        <v>1902</v>
      </c>
      <c r="G450">
        <v>61.5</v>
      </c>
      <c r="H450">
        <v>68.400000000000006</v>
      </c>
      <c r="I450" s="217">
        <v>42286</v>
      </c>
      <c r="J450" t="s">
        <v>130</v>
      </c>
      <c r="K450">
        <v>33.479999999999997</v>
      </c>
      <c r="L450">
        <v>0.52100000000000002</v>
      </c>
      <c r="M450">
        <v>414</v>
      </c>
      <c r="Q450" s="4" t="str">
        <f>HYPERLINK("\\hopi-fs\shares\users\dhar\Stalk mount testing\Type 1e Quality Assurance\CRYO-2082-2711  1723 1E","folder")</f>
        <v>folder</v>
      </c>
      <c r="T450" t="s">
        <v>1831</v>
      </c>
      <c r="U450" t="s">
        <v>1937</v>
      </c>
    </row>
    <row r="451" spans="1:21">
      <c r="A451" s="134">
        <v>1724</v>
      </c>
      <c r="B451" s="134">
        <v>19</v>
      </c>
      <c r="C451">
        <v>1.53</v>
      </c>
      <c r="D451">
        <v>7.15</v>
      </c>
      <c r="E451">
        <v>24.39</v>
      </c>
      <c r="F451" s="19" t="s">
        <v>1903</v>
      </c>
      <c r="G451">
        <v>61.5</v>
      </c>
      <c r="H451">
        <v>68.400000000000006</v>
      </c>
      <c r="I451" s="217">
        <v>42286</v>
      </c>
      <c r="J451" t="s">
        <v>130</v>
      </c>
      <c r="K451">
        <v>33.51</v>
      </c>
      <c r="L451">
        <v>0.311</v>
      </c>
      <c r="M451">
        <v>406</v>
      </c>
      <c r="Q451" s="4" t="str">
        <f>HYPERLINK("\\hopi-fs\shares\users\dhar\Stalk mount testing\Type 1e Quality Assurance\CRYO-2081-2714  1724 1E","folder")</f>
        <v>folder</v>
      </c>
      <c r="T451" t="s">
        <v>1831</v>
      </c>
      <c r="U451" t="s">
        <v>1913</v>
      </c>
    </row>
    <row r="452" spans="1:21">
      <c r="A452" s="134">
        <v>1745</v>
      </c>
      <c r="B452" s="134">
        <v>18</v>
      </c>
      <c r="C452">
        <v>1.5</v>
      </c>
      <c r="D452">
        <v>7.13</v>
      </c>
      <c r="E452">
        <v>24.28</v>
      </c>
      <c r="F452" s="19" t="s">
        <v>1904</v>
      </c>
      <c r="G452">
        <v>61.5</v>
      </c>
      <c r="H452">
        <v>68.400000000000006</v>
      </c>
      <c r="I452" s="217">
        <v>42286</v>
      </c>
      <c r="J452" t="s">
        <v>130</v>
      </c>
      <c r="K452">
        <v>33.35</v>
      </c>
      <c r="L452">
        <v>0.53600000000000003</v>
      </c>
      <c r="M452">
        <v>418</v>
      </c>
      <c r="Q452" s="4" t="str">
        <f>HYPERLINK("\\hopi-fs\shares\users\dhar\Stalk mount testing\Type 1e Quality Assurance\CRYO-2081-2716  1745 1E","folder")</f>
        <v>folder</v>
      </c>
      <c r="T452" t="s">
        <v>1831</v>
      </c>
      <c r="U452" s="300" t="s">
        <v>1913</v>
      </c>
    </row>
    <row r="453" spans="1:21" ht="31.5" customHeight="1">
      <c r="A453" s="134">
        <v>1758</v>
      </c>
      <c r="B453" s="136">
        <v>16.8</v>
      </c>
      <c r="C453">
        <v>1.5</v>
      </c>
      <c r="D453">
        <v>7.14</v>
      </c>
      <c r="E453">
        <v>24.44</v>
      </c>
      <c r="F453" s="270" t="s">
        <v>1916</v>
      </c>
      <c r="G453">
        <v>29</v>
      </c>
      <c r="H453">
        <v>68.900000000000006</v>
      </c>
      <c r="I453" s="217">
        <v>42317</v>
      </c>
      <c r="J453" t="s">
        <v>130</v>
      </c>
      <c r="K453">
        <v>33.51</v>
      </c>
      <c r="L453">
        <v>0.14499999999999999</v>
      </c>
      <c r="Q453" s="4" t="str">
        <f>HYPERLINK("\\hopi-fs\shares\users\dhar\Stalk mount testing\Type 1e Quality Assurance\CRYO-2081-2724  1758 1E","folder")</f>
        <v>folder</v>
      </c>
      <c r="T453" t="s">
        <v>1831</v>
      </c>
      <c r="U453" s="300" t="s">
        <v>2824</v>
      </c>
    </row>
    <row r="454" spans="1:21">
      <c r="A454" s="134">
        <v>1759</v>
      </c>
      <c r="B454" s="134">
        <v>17</v>
      </c>
      <c r="C454">
        <v>1.51</v>
      </c>
      <c r="D454">
        <v>7.1</v>
      </c>
      <c r="E454">
        <v>24.38</v>
      </c>
      <c r="F454" s="19" t="s">
        <v>1917</v>
      </c>
      <c r="G454">
        <v>29</v>
      </c>
      <c r="H454">
        <v>68.900000000000006</v>
      </c>
      <c r="I454" s="217">
        <v>42317</v>
      </c>
      <c r="J454" t="s">
        <v>130</v>
      </c>
      <c r="K454">
        <v>33.42</v>
      </c>
      <c r="L454">
        <v>0.72299999999999998</v>
      </c>
      <c r="M454">
        <v>398</v>
      </c>
      <c r="Q454" s="4" t="str">
        <f>HYPERLINK("\\hopi-fs\shares\users\dhar\Stalk mount testing\Type 1e Quality Assurance\CRYO-2081-2725  1759 1E","folder")</f>
        <v>folder</v>
      </c>
      <c r="T454" t="s">
        <v>1831</v>
      </c>
      <c r="U454" t="s">
        <v>1937</v>
      </c>
    </row>
    <row r="455" spans="1:21">
      <c r="A455" s="134">
        <v>1760</v>
      </c>
      <c r="B455" s="134">
        <v>17</v>
      </c>
      <c r="C455">
        <v>1.53</v>
      </c>
      <c r="D455">
        <v>7.13</v>
      </c>
      <c r="E455">
        <v>24.28</v>
      </c>
      <c r="F455" s="19" t="s">
        <v>1918</v>
      </c>
      <c r="G455">
        <v>29</v>
      </c>
      <c r="H455">
        <v>68.900000000000006</v>
      </c>
      <c r="I455" s="217">
        <v>42317</v>
      </c>
      <c r="J455" t="s">
        <v>130</v>
      </c>
      <c r="K455">
        <v>33.380000000000003</v>
      </c>
      <c r="L455">
        <v>0.50800000000000001</v>
      </c>
      <c r="M455">
        <v>403</v>
      </c>
      <c r="Q455" s="4" t="str">
        <f>HYPERLINK("\\hopi-fs\shares\users\dhar\Stalk mount testing\Type 1e Quality Assurance\CRYO-2081-2726  1760 1E","folder")</f>
        <v>folder</v>
      </c>
      <c r="T455" t="s">
        <v>1831</v>
      </c>
      <c r="U455" t="s">
        <v>1937</v>
      </c>
    </row>
    <row r="456" spans="1:21">
      <c r="A456" s="134">
        <v>1761</v>
      </c>
      <c r="B456" s="134">
        <v>17.399999999999999</v>
      </c>
      <c r="C456">
        <v>1.5</v>
      </c>
      <c r="D456">
        <v>7.16</v>
      </c>
      <c r="E456">
        <v>24.28</v>
      </c>
      <c r="F456" s="270" t="s">
        <v>1919</v>
      </c>
      <c r="G456">
        <v>29</v>
      </c>
      <c r="H456">
        <v>68.900000000000006</v>
      </c>
      <c r="I456" s="217">
        <v>42317</v>
      </c>
      <c r="J456" t="s">
        <v>130</v>
      </c>
      <c r="K456">
        <v>33.369999999999997</v>
      </c>
      <c r="L456">
        <v>0.621</v>
      </c>
      <c r="Q456" s="4" t="str">
        <f>HYPERLINK("\\hopi-fs\shares\users\dhar\Stalk mount testing\Type 1e Quality Assurance\CRYO-2080-2727  1761 1E","folder")</f>
        <v>folder</v>
      </c>
      <c r="T456" t="s">
        <v>1831</v>
      </c>
      <c r="U456" t="s">
        <v>2125</v>
      </c>
    </row>
    <row r="457" spans="1:21">
      <c r="A457" s="134">
        <v>1762</v>
      </c>
      <c r="B457" s="134">
        <v>16</v>
      </c>
      <c r="C457">
        <v>1.52</v>
      </c>
      <c r="D457">
        <v>7.13</v>
      </c>
      <c r="E457">
        <v>24.53</v>
      </c>
      <c r="F457" s="270" t="s">
        <v>1920</v>
      </c>
      <c r="G457">
        <v>29</v>
      </c>
      <c r="H457">
        <v>68.900000000000006</v>
      </c>
      <c r="I457" s="217">
        <v>42317</v>
      </c>
      <c r="J457" t="s">
        <v>130</v>
      </c>
      <c r="K457">
        <v>33.6</v>
      </c>
      <c r="L457">
        <v>0.441</v>
      </c>
      <c r="Q457" s="4" t="str">
        <f>HYPERLINK("\\hopi-fs\shares\users\dhar\Stalk mount testing\Type 1e Quality Assurance\CRYO-2081-2730  1762 1E","folder")</f>
        <v>folder</v>
      </c>
      <c r="T457" t="s">
        <v>1831</v>
      </c>
      <c r="U457" t="s">
        <v>2125</v>
      </c>
    </row>
    <row r="458" spans="1:21">
      <c r="A458" s="134">
        <v>1763</v>
      </c>
      <c r="B458" s="134">
        <v>16.5</v>
      </c>
      <c r="C458">
        <v>1.54</v>
      </c>
      <c r="D458">
        <v>7.12</v>
      </c>
      <c r="E458">
        <v>24.3</v>
      </c>
      <c r="F458" s="19" t="s">
        <v>1921</v>
      </c>
      <c r="G458">
        <v>29</v>
      </c>
      <c r="H458">
        <v>68.900000000000006</v>
      </c>
      <c r="I458" s="217">
        <v>42317</v>
      </c>
      <c r="J458" t="s">
        <v>130</v>
      </c>
      <c r="K458">
        <v>33.4</v>
      </c>
      <c r="L458">
        <v>0.53</v>
      </c>
      <c r="M458" t="s">
        <v>1931</v>
      </c>
      <c r="Q458" s="4" t="str">
        <f>HYPERLINK("\\hopi-fs\shares\users\dhar\Stalk mount testing\Type 1e Quality Assurance\CRYO-2081-2731  1763 1E","folder")</f>
        <v>folder</v>
      </c>
      <c r="T458" t="s">
        <v>1831</v>
      </c>
      <c r="U458" t="s">
        <v>1937</v>
      </c>
    </row>
    <row r="459" spans="1:21">
      <c r="A459" s="134">
        <v>1764</v>
      </c>
      <c r="B459" s="134">
        <v>17</v>
      </c>
      <c r="C459">
        <v>1.53</v>
      </c>
      <c r="D459">
        <v>7.14</v>
      </c>
      <c r="E459">
        <v>24.3</v>
      </c>
      <c r="F459" s="270" t="s">
        <v>1922</v>
      </c>
      <c r="G459">
        <v>29</v>
      </c>
      <c r="H459">
        <v>68.900000000000006</v>
      </c>
      <c r="I459" s="217">
        <v>42317</v>
      </c>
      <c r="J459" t="s">
        <v>130</v>
      </c>
      <c r="K459">
        <v>33.4</v>
      </c>
      <c r="L459" s="3">
        <v>0.61</v>
      </c>
      <c r="Q459" s="4" t="str">
        <f>HYPERLINK("\\hopi-fs\shares\users\dhar\Stalk mount testing\Type 1e Quality Assurance\CRYO-2080-2732  1764 1E","folder")</f>
        <v>folder</v>
      </c>
      <c r="T459" t="s">
        <v>1831</v>
      </c>
      <c r="U459" t="s">
        <v>1938</v>
      </c>
    </row>
    <row r="460" spans="1:21">
      <c r="A460" s="134">
        <v>1765</v>
      </c>
      <c r="B460" s="136">
        <v>16</v>
      </c>
      <c r="C460">
        <v>1.51</v>
      </c>
      <c r="D460">
        <v>7.15</v>
      </c>
      <c r="E460">
        <v>24.33</v>
      </c>
      <c r="F460" s="270" t="s">
        <v>1923</v>
      </c>
      <c r="G460">
        <v>29</v>
      </c>
      <c r="H460">
        <v>68.900000000000006</v>
      </c>
      <c r="I460" s="217">
        <v>42317</v>
      </c>
      <c r="J460" t="s">
        <v>130</v>
      </c>
      <c r="K460">
        <v>33.4</v>
      </c>
      <c r="Q460" s="4" t="str">
        <f>HYPERLINK("\\hopi-fs\shares\users\dhar\Stalk mount testing\Type 1e Quality Assurance\CRYO-2080-2733  1765 1E","folder")</f>
        <v>folder</v>
      </c>
      <c r="T460" t="s">
        <v>1831</v>
      </c>
      <c r="U460" t="s">
        <v>3511</v>
      </c>
    </row>
    <row r="461" spans="1:21">
      <c r="A461" s="134">
        <v>1766</v>
      </c>
      <c r="B461" s="134" t="s">
        <v>1930</v>
      </c>
      <c r="C461">
        <v>1.49</v>
      </c>
      <c r="D461">
        <v>7.12</v>
      </c>
      <c r="E461">
        <v>24.3</v>
      </c>
      <c r="F461" s="19" t="s">
        <v>1924</v>
      </c>
      <c r="G461">
        <v>29</v>
      </c>
      <c r="H461">
        <v>68.900000000000006</v>
      </c>
      <c r="I461" s="217">
        <v>42317</v>
      </c>
      <c r="J461" t="s">
        <v>130</v>
      </c>
      <c r="K461">
        <v>33.36</v>
      </c>
      <c r="L461">
        <v>0.36899999999999999</v>
      </c>
      <c r="M461">
        <v>405</v>
      </c>
      <c r="Q461" s="4" t="str">
        <f>HYPERLINK("\\hopi-fs\shares\users\dhar\Stalk mount testing\Type 1e Quality Assurance\CRYO-2082-2734  1766 1E","folder")</f>
        <v>folder</v>
      </c>
      <c r="T461" t="s">
        <v>1831</v>
      </c>
      <c r="U461" t="s">
        <v>1937</v>
      </c>
    </row>
    <row r="462" spans="1:21">
      <c r="A462" s="134">
        <v>1767</v>
      </c>
      <c r="B462" s="136"/>
      <c r="F462" s="270" t="s">
        <v>1925</v>
      </c>
      <c r="G462">
        <v>29</v>
      </c>
      <c r="H462">
        <v>68.900000000000006</v>
      </c>
      <c r="I462" s="217">
        <v>42317</v>
      </c>
      <c r="J462" t="s">
        <v>130</v>
      </c>
      <c r="K462">
        <v>33.340000000000003</v>
      </c>
      <c r="L462" s="13">
        <v>0.65300000000000002</v>
      </c>
      <c r="Q462" s="4" t="str">
        <f>HYPERLINK("\\hopi-fs\shares\users\dhar\Stalk mount testing\Type 1e Quality Assurance\CRYO-2080-2735  1767 1E","folder")</f>
        <v>folder</v>
      </c>
      <c r="T462" t="s">
        <v>1831</v>
      </c>
      <c r="U462" t="s">
        <v>3511</v>
      </c>
    </row>
    <row r="463" spans="1:21">
      <c r="A463" s="134">
        <v>1768</v>
      </c>
      <c r="B463" s="136"/>
      <c r="F463" s="19" t="s">
        <v>1926</v>
      </c>
      <c r="G463">
        <v>29</v>
      </c>
      <c r="H463">
        <v>68.900000000000006</v>
      </c>
      <c r="I463" s="217">
        <v>42317</v>
      </c>
      <c r="J463" t="s">
        <v>130</v>
      </c>
      <c r="K463">
        <v>33.299999999999997</v>
      </c>
      <c r="L463" s="3" t="s">
        <v>1929</v>
      </c>
      <c r="Q463" s="4" t="str">
        <f>HYPERLINK("\\hopi-fs\shares\users\dhar\Stalk mount testing\Type 1e Quality Assurance\CRYO-2083-2737  1768 1E","folder")</f>
        <v>folder</v>
      </c>
      <c r="T463" t="s">
        <v>1831</v>
      </c>
      <c r="U463" t="s">
        <v>3164</v>
      </c>
    </row>
    <row r="464" spans="1:21">
      <c r="A464" s="134">
        <v>1769</v>
      </c>
      <c r="B464" s="136"/>
      <c r="F464" s="270" t="s">
        <v>1927</v>
      </c>
      <c r="G464">
        <v>29</v>
      </c>
      <c r="H464">
        <v>68.900000000000006</v>
      </c>
      <c r="I464" s="217">
        <v>42317</v>
      </c>
      <c r="J464" t="s">
        <v>130</v>
      </c>
      <c r="K464">
        <v>33.450000000000003</v>
      </c>
      <c r="L464">
        <v>0.98599999999999999</v>
      </c>
      <c r="Q464" s="4" t="str">
        <f>HYPERLINK("\\hopi-fs\shares\users\dhar\Stalk mount testing\Type 1e Quality Assurance\CRYO-2080-2739  1769 1E","folder")</f>
        <v>folder</v>
      </c>
      <c r="T464" t="s">
        <v>1831</v>
      </c>
    </row>
    <row r="465" spans="1:21">
      <c r="A465" s="134">
        <v>1747</v>
      </c>
      <c r="B465" s="134">
        <v>16.2</v>
      </c>
      <c r="C465">
        <v>1.51</v>
      </c>
      <c r="D465">
        <v>7.13</v>
      </c>
      <c r="E465">
        <v>24.43</v>
      </c>
      <c r="F465" s="270" t="s">
        <v>1932</v>
      </c>
      <c r="G465">
        <v>57.6</v>
      </c>
      <c r="H465">
        <v>68.900000000000006</v>
      </c>
      <c r="I465" s="217">
        <v>42327</v>
      </c>
      <c r="J465" t="s">
        <v>130</v>
      </c>
      <c r="K465">
        <v>33.51</v>
      </c>
      <c r="L465">
        <v>0.66</v>
      </c>
      <c r="Q465" s="4" t="str">
        <f>HYPERLINK("\\HOPI-FS\shares\users\dhar\Stalk mount testing\Type 1e Quality Assurance\CRYO-2080-2740  1747 1E","folder")</f>
        <v>folder</v>
      </c>
      <c r="T465" t="s">
        <v>1831</v>
      </c>
      <c r="U465" t="s">
        <v>2050</v>
      </c>
    </row>
    <row r="466" spans="1:21">
      <c r="A466" s="134">
        <v>1749</v>
      </c>
      <c r="B466" s="134">
        <v>16</v>
      </c>
      <c r="C466">
        <v>1.5</v>
      </c>
      <c r="D466">
        <v>7.13</v>
      </c>
      <c r="E466">
        <v>24.37</v>
      </c>
      <c r="F466" s="176" t="s">
        <v>1933</v>
      </c>
      <c r="G466">
        <v>57.6</v>
      </c>
      <c r="H466">
        <v>68.900000000000006</v>
      </c>
      <c r="I466" s="217">
        <v>42327</v>
      </c>
      <c r="J466" t="s">
        <v>130</v>
      </c>
      <c r="K466">
        <v>33.44</v>
      </c>
      <c r="L466">
        <v>0.64600000000000002</v>
      </c>
      <c r="Q466" s="4" t="str">
        <f>HYPERLINK("\\HOPI-FS\shares\users\dhar\Stalk mount testing\Type 1e Quality Assurance\CRYO-2078-2746  1749 1E","folder")</f>
        <v>folder</v>
      </c>
      <c r="T466" t="s">
        <v>1831</v>
      </c>
    </row>
    <row r="467" spans="1:21">
      <c r="A467" s="134">
        <v>1750</v>
      </c>
      <c r="F467" s="176" t="s">
        <v>1934</v>
      </c>
      <c r="G467">
        <v>57.6</v>
      </c>
      <c r="H467">
        <v>68.900000000000006</v>
      </c>
      <c r="I467" s="217">
        <v>42327</v>
      </c>
      <c r="J467" t="s">
        <v>130</v>
      </c>
      <c r="L467">
        <v>0.79</v>
      </c>
      <c r="T467" t="s">
        <v>1831</v>
      </c>
      <c r="U467" t="s">
        <v>2050</v>
      </c>
    </row>
    <row r="468" spans="1:21">
      <c r="A468" s="134">
        <v>1752</v>
      </c>
      <c r="B468" s="134">
        <v>18</v>
      </c>
      <c r="C468">
        <v>1.54</v>
      </c>
      <c r="D468">
        <v>7.16</v>
      </c>
      <c r="E468">
        <v>24.45</v>
      </c>
      <c r="F468" s="428" t="s">
        <v>1935</v>
      </c>
      <c r="G468">
        <v>57.6</v>
      </c>
      <c r="H468">
        <v>68.900000000000006</v>
      </c>
      <c r="I468" s="217">
        <v>42327</v>
      </c>
      <c r="J468" t="s">
        <v>130</v>
      </c>
      <c r="K468">
        <v>33.6</v>
      </c>
      <c r="L468">
        <v>0.81899999999999995</v>
      </c>
      <c r="Q468" s="4" t="str">
        <f>HYPERLINK("\\hopi-fs\shares\users\dhar\Stalk mount testing\Type 1e Quality Assurance\CRYO-2082-2717 1752 1E","folder")</f>
        <v>folder</v>
      </c>
      <c r="T468" t="s">
        <v>1831</v>
      </c>
      <c r="U468" t="s">
        <v>2050</v>
      </c>
    </row>
    <row r="469" spans="1:21">
      <c r="A469" s="134">
        <v>1559</v>
      </c>
      <c r="B469" s="134">
        <v>18.600000000000001</v>
      </c>
      <c r="C469">
        <v>1.5</v>
      </c>
      <c r="D469">
        <v>7.09</v>
      </c>
      <c r="E469">
        <v>24.35</v>
      </c>
      <c r="F469" s="19" t="s">
        <v>1936</v>
      </c>
      <c r="G469">
        <v>57.6</v>
      </c>
      <c r="H469">
        <v>68.900000000000006</v>
      </c>
      <c r="I469" s="217">
        <v>42327</v>
      </c>
      <c r="J469" t="s">
        <v>130</v>
      </c>
      <c r="K469">
        <v>33.39</v>
      </c>
      <c r="L469">
        <v>0.79</v>
      </c>
      <c r="M469">
        <v>438</v>
      </c>
      <c r="Q469" s="4" t="str">
        <f>HYPERLINK("\\HOPI-FS\shares\users\dhar\Stalk mount testing\Type 1e Quality Assurance\CRYO-2082-2718 1559 1E","folder")</f>
        <v>folder</v>
      </c>
      <c r="T469" t="s">
        <v>1831</v>
      </c>
      <c r="U469" t="s">
        <v>1937</v>
      </c>
    </row>
    <row r="470" spans="1:21" ht="30" customHeight="1">
      <c r="A470" s="134">
        <v>1770</v>
      </c>
      <c r="B470" s="134">
        <v>16.399999999999999</v>
      </c>
      <c r="C470">
        <v>1.49</v>
      </c>
      <c r="D470">
        <v>7.11</v>
      </c>
      <c r="E470">
        <v>24.34</v>
      </c>
      <c r="F470" s="249" t="s">
        <v>1939</v>
      </c>
      <c r="G470">
        <v>20.2</v>
      </c>
      <c r="H470">
        <v>67.400000000000006</v>
      </c>
      <c r="I470" s="217">
        <v>42356</v>
      </c>
      <c r="J470" s="13" t="s">
        <v>130</v>
      </c>
      <c r="K470">
        <v>33.39</v>
      </c>
      <c r="L470">
        <v>0.67500000000000004</v>
      </c>
      <c r="M470">
        <v>263</v>
      </c>
      <c r="Q470" s="4" t="str">
        <f>HYPERLINK("\\HOPI-FS\shares\users\dhar\Stalk mount testing\Type 1e Quality Assurance\CRYO-ME-4Q13-3  1770 1E MEQ","folder")</f>
        <v>folder</v>
      </c>
      <c r="T470" t="s">
        <v>1831</v>
      </c>
      <c r="U470" t="s">
        <v>1963</v>
      </c>
    </row>
    <row r="471" spans="1:21">
      <c r="A471" s="134">
        <v>1771</v>
      </c>
      <c r="B471" s="134">
        <v>17.8</v>
      </c>
      <c r="C471">
        <v>1.51</v>
      </c>
      <c r="D471">
        <v>7.13</v>
      </c>
      <c r="E471">
        <v>24.31</v>
      </c>
      <c r="F471" s="19" t="s">
        <v>1940</v>
      </c>
      <c r="G471">
        <v>20.2</v>
      </c>
      <c r="H471">
        <v>67.400000000000006</v>
      </c>
      <c r="I471" s="217">
        <v>42356</v>
      </c>
      <c r="J471" t="s">
        <v>130</v>
      </c>
      <c r="K471">
        <v>33.39</v>
      </c>
      <c r="L471">
        <v>0.50600000000000001</v>
      </c>
      <c r="M471">
        <v>307</v>
      </c>
      <c r="Q471" s="4" t="str">
        <f>HYPERLINK("\\HOPI-FS\shares\users\dhar\Stalk mount testing\Type 1e Quality Assurance\CRYO-ME-4Q13-5  1771 1E MEQ","folder")</f>
        <v>folder</v>
      </c>
      <c r="T471" t="s">
        <v>1831</v>
      </c>
      <c r="U471" t="s">
        <v>1963</v>
      </c>
    </row>
    <row r="472" spans="1:21">
      <c r="A472" s="134">
        <v>1772</v>
      </c>
      <c r="B472" s="134">
        <v>17.2</v>
      </c>
      <c r="C472">
        <v>1.48</v>
      </c>
      <c r="D472">
        <v>7.12</v>
      </c>
      <c r="E472">
        <v>24.35</v>
      </c>
      <c r="F472" s="428" t="s">
        <v>1941</v>
      </c>
      <c r="G472">
        <v>20.2</v>
      </c>
      <c r="H472">
        <v>67.400000000000006</v>
      </c>
      <c r="I472" s="217">
        <v>42356</v>
      </c>
      <c r="J472" t="s">
        <v>130</v>
      </c>
      <c r="K472">
        <v>33.380000000000003</v>
      </c>
      <c r="L472">
        <v>0.73799999999999999</v>
      </c>
      <c r="Q472" s="4" t="str">
        <f>HYPERLINK("\\HOPI-B473 B473FS\shares\users\dhar\Stalk mount testing\Type 1e Quality Assurance\CRYO-ME-4Q13-7  1772 1E MEQ","folder")</f>
        <v>folder</v>
      </c>
      <c r="T472" t="s">
        <v>1831</v>
      </c>
    </row>
    <row r="473" spans="1:21">
      <c r="A473" s="134">
        <v>1773</v>
      </c>
      <c r="B473" s="134">
        <v>17.399999999999999</v>
      </c>
      <c r="C473">
        <v>1.49</v>
      </c>
      <c r="D473">
        <v>7.19</v>
      </c>
      <c r="E473">
        <v>24.46</v>
      </c>
      <c r="F473" s="19" t="s">
        <v>1942</v>
      </c>
      <c r="G473">
        <v>20.2</v>
      </c>
      <c r="H473">
        <v>67.400000000000006</v>
      </c>
      <c r="I473" s="217">
        <v>42356</v>
      </c>
      <c r="J473" t="s">
        <v>130</v>
      </c>
      <c r="K473">
        <v>33.61</v>
      </c>
      <c r="L473">
        <v>0.754</v>
      </c>
      <c r="M473">
        <v>285</v>
      </c>
      <c r="Q473" s="4" t="str">
        <f>HYPERLINK("\\HOPI-FS\shares\users\dhar\Stalk mount testing\Type 1e Quality Assurance\CRYO-ME-4Q13-8  1773 1E MEQ","folder")</f>
        <v>folder</v>
      </c>
      <c r="T473" t="s">
        <v>1831</v>
      </c>
      <c r="U473" t="s">
        <v>1963</v>
      </c>
    </row>
    <row r="474" spans="1:21">
      <c r="A474" s="134">
        <v>1778</v>
      </c>
      <c r="B474" s="134">
        <v>17.2</v>
      </c>
      <c r="C474">
        <v>1.51</v>
      </c>
      <c r="D474">
        <v>7.12</v>
      </c>
      <c r="E474">
        <v>24.31</v>
      </c>
      <c r="F474" s="19" t="s">
        <v>1943</v>
      </c>
      <c r="G474">
        <v>20.2</v>
      </c>
      <c r="H474">
        <v>67.400000000000006</v>
      </c>
      <c r="I474" s="217">
        <v>42356</v>
      </c>
      <c r="J474" t="s">
        <v>130</v>
      </c>
      <c r="K474">
        <v>33.39</v>
      </c>
      <c r="L474">
        <v>0.32200000000000001</v>
      </c>
      <c r="M474" s="321">
        <v>294318</v>
      </c>
      <c r="Q474" s="4" t="str">
        <f>HYPERLINK("\\HOPI-FS\shares\users\dhar\Stalk mount testing\Type 1e Quality Assurance\CRYO-ME-4Q13-10  1778 1E MEQ","folder")</f>
        <v>folder</v>
      </c>
      <c r="T474" t="s">
        <v>1831</v>
      </c>
      <c r="U474" t="s">
        <v>1963</v>
      </c>
    </row>
    <row r="475" spans="1:21">
      <c r="A475" s="134">
        <v>1777</v>
      </c>
      <c r="B475" s="134">
        <v>17.600000000000001</v>
      </c>
      <c r="C475">
        <v>1.52</v>
      </c>
      <c r="D475">
        <v>7.17</v>
      </c>
      <c r="E475">
        <v>24.35</v>
      </c>
      <c r="F475" s="19" t="s">
        <v>1944</v>
      </c>
      <c r="G475">
        <v>20.2</v>
      </c>
      <c r="H475">
        <v>67.400000000000006</v>
      </c>
      <c r="I475" s="217">
        <v>42356</v>
      </c>
      <c r="J475" t="s">
        <v>130</v>
      </c>
      <c r="K475">
        <v>33.49</v>
      </c>
      <c r="L475">
        <v>0.70099999999999996</v>
      </c>
      <c r="M475">
        <v>287</v>
      </c>
      <c r="Q475" s="4" t="str">
        <f>HYPERLINK("\\HOPI-FS\shares\users\dhar\Stalk mount testing\Type 1e Quality Assurance\CRYO-ME-4Q13-12  1777 1E MEQ","folder")</f>
        <v>folder</v>
      </c>
      <c r="T475" t="s">
        <v>1831</v>
      </c>
      <c r="U475" t="s">
        <v>1964</v>
      </c>
    </row>
    <row r="476" spans="1:21">
      <c r="A476" s="134">
        <v>1592</v>
      </c>
      <c r="B476" s="134">
        <v>17.8</v>
      </c>
      <c r="C476">
        <v>1.53</v>
      </c>
      <c r="D476">
        <v>7.2</v>
      </c>
      <c r="E476">
        <v>24.38</v>
      </c>
      <c r="F476" s="19" t="s">
        <v>1945</v>
      </c>
      <c r="G476">
        <v>20.2</v>
      </c>
      <c r="H476">
        <v>67.400000000000006</v>
      </c>
      <c r="I476" s="217">
        <v>42359</v>
      </c>
      <c r="J476" t="s">
        <v>130</v>
      </c>
      <c r="K476">
        <v>33.54</v>
      </c>
      <c r="L476">
        <v>0.24399999999999999</v>
      </c>
      <c r="M476">
        <v>303</v>
      </c>
      <c r="Q476" s="4" t="str">
        <f>HYPERLINK("\\HOPI-FS\shares\users\dhar\Stalk mount testing\Type 1e Quality Assurance\CRYO-ME-4Q13-15  1592 1E MEQ","folder")</f>
        <v>folder</v>
      </c>
      <c r="T476" t="s">
        <v>1831</v>
      </c>
      <c r="U476" t="s">
        <v>1964</v>
      </c>
    </row>
    <row r="477" spans="1:21" ht="30" customHeight="1">
      <c r="A477" s="134">
        <v>1737</v>
      </c>
      <c r="B477" s="134">
        <v>16.8</v>
      </c>
      <c r="C477">
        <v>1.51</v>
      </c>
      <c r="D477">
        <v>7.12</v>
      </c>
      <c r="E477">
        <v>24.41</v>
      </c>
      <c r="F477" s="19" t="s">
        <v>1996</v>
      </c>
      <c r="G477">
        <v>30.1</v>
      </c>
      <c r="H477">
        <v>67.900000000000006</v>
      </c>
      <c r="I477" s="217">
        <v>42394</v>
      </c>
      <c r="J477" t="s">
        <v>130</v>
      </c>
      <c r="K477">
        <v>33.47</v>
      </c>
      <c r="L477">
        <v>0.106</v>
      </c>
      <c r="M477">
        <v>261</v>
      </c>
      <c r="Q477" s="4" t="str">
        <f>HYPERLINK("\\HOPI-FS\shares\users\dhar\Stalk mount testing\Type 1e Quality Assurance\CRYO-ME-4Q13-27  1737 1E MEQ","folder")</f>
        <v>folder</v>
      </c>
      <c r="T477" t="s">
        <v>1831</v>
      </c>
      <c r="U477" t="s">
        <v>1999</v>
      </c>
    </row>
    <row r="478" spans="1:21">
      <c r="A478" s="134">
        <v>1749</v>
      </c>
      <c r="B478" s="134">
        <v>16.399999999999999</v>
      </c>
      <c r="C478">
        <v>1.56</v>
      </c>
      <c r="D478">
        <v>7.11</v>
      </c>
      <c r="E478">
        <v>24.37</v>
      </c>
      <c r="F478" s="19" t="s">
        <v>1997</v>
      </c>
      <c r="G478">
        <v>30.1</v>
      </c>
      <c r="H478">
        <v>67.900000000000006</v>
      </c>
      <c r="I478" s="217">
        <v>42394</v>
      </c>
      <c r="J478" t="s">
        <v>130</v>
      </c>
      <c r="K478">
        <v>33.47</v>
      </c>
      <c r="L478">
        <v>0.73299999999999998</v>
      </c>
      <c r="M478">
        <v>248</v>
      </c>
      <c r="Q478" s="4" t="str">
        <f>HYPERLINK("\\HOPI-FS\shares\users\dhar\Stalk mount testing\Type 1e Quality Assurance\CRYO-ME-4Q13-22  1749 1E MEQ","folder")</f>
        <v>folder</v>
      </c>
      <c r="T478" t="s">
        <v>1831</v>
      </c>
      <c r="U478" t="s">
        <v>1999</v>
      </c>
    </row>
    <row r="479" spans="1:21">
      <c r="A479" s="134">
        <v>3123</v>
      </c>
      <c r="B479" s="134">
        <v>20</v>
      </c>
      <c r="C479">
        <v>1.5</v>
      </c>
      <c r="D479">
        <v>7.08</v>
      </c>
      <c r="E479">
        <v>24.39</v>
      </c>
      <c r="F479" s="19" t="s">
        <v>1998</v>
      </c>
      <c r="G479">
        <v>28.5</v>
      </c>
      <c r="H479">
        <v>67.5</v>
      </c>
      <c r="I479" s="217">
        <v>42397</v>
      </c>
      <c r="J479" t="s">
        <v>130</v>
      </c>
      <c r="K479">
        <v>33.39</v>
      </c>
      <c r="L479">
        <v>0.27300000000000002</v>
      </c>
      <c r="M479">
        <v>330</v>
      </c>
      <c r="Q479" s="4" t="str">
        <f>HYPERLINK("\\HOPI-FS\shares\users\dhar\Stalk mount testing\Type 1e Quality Assurance\CRYO-ME-4Q13-29  3123 1E MEQ","folder")</f>
        <v>folder</v>
      </c>
      <c r="T479" t="s">
        <v>1831</v>
      </c>
      <c r="U479" t="s">
        <v>2088</v>
      </c>
    </row>
    <row r="480" spans="1:21" ht="30" customHeight="1">
      <c r="A480" s="134">
        <v>1784</v>
      </c>
      <c r="B480" s="136">
        <v>17.399999999999999</v>
      </c>
      <c r="C480">
        <v>1.53</v>
      </c>
      <c r="D480">
        <v>7.22</v>
      </c>
      <c r="E480">
        <v>24.32</v>
      </c>
      <c r="F480" s="290" t="s">
        <v>2015</v>
      </c>
      <c r="G480" s="13">
        <v>30.6</v>
      </c>
      <c r="H480" s="13">
        <v>68.3</v>
      </c>
      <c r="I480" s="217">
        <v>42401</v>
      </c>
      <c r="J480" t="s">
        <v>130</v>
      </c>
      <c r="K480">
        <v>33.53</v>
      </c>
      <c r="L480">
        <v>0.625</v>
      </c>
      <c r="M480">
        <v>387</v>
      </c>
      <c r="Q480" s="4" t="str">
        <f>HYPERLINK("\\HOPI-FS\shares\users\dhar\Stalk mount testing\Type 1e Quality Assurance\CRYO-5080-0001  1784 1E","folder")</f>
        <v>folder</v>
      </c>
      <c r="T480" t="s">
        <v>1831</v>
      </c>
      <c r="U480" t="s">
        <v>3846</v>
      </c>
    </row>
    <row r="481" spans="1:23">
      <c r="A481" s="134">
        <v>1785</v>
      </c>
      <c r="B481" s="134">
        <v>17.399999999999999</v>
      </c>
      <c r="C481">
        <v>1.55</v>
      </c>
      <c r="D481">
        <v>7.13</v>
      </c>
      <c r="E481">
        <v>24.31</v>
      </c>
      <c r="F481" s="290" t="s">
        <v>2003</v>
      </c>
      <c r="G481" s="13">
        <v>30.6</v>
      </c>
      <c r="H481" s="13">
        <v>68.3</v>
      </c>
      <c r="I481" s="217">
        <v>42401</v>
      </c>
      <c r="J481" t="s">
        <v>130</v>
      </c>
      <c r="K481">
        <v>33.43</v>
      </c>
      <c r="L481">
        <v>0.67900000000000005</v>
      </c>
      <c r="M481" t="s">
        <v>2017</v>
      </c>
      <c r="Q481" s="4" t="str">
        <f>HYPERLINK("\\HOPI-FS\shares\users\dhar\Stalk mount testing\Type 1e Quality Assurance\CRYO-5081-0002  1785 1E","folder")</f>
        <v>folder</v>
      </c>
      <c r="T481" t="s">
        <v>1831</v>
      </c>
      <c r="U481" t="s">
        <v>2018</v>
      </c>
    </row>
    <row r="482" spans="1:23">
      <c r="A482" s="134">
        <v>1786</v>
      </c>
      <c r="B482" s="134">
        <v>18.399999999999999</v>
      </c>
      <c r="C482">
        <v>1.51</v>
      </c>
      <c r="D482">
        <v>7.17</v>
      </c>
      <c r="E482">
        <v>24.33</v>
      </c>
      <c r="F482" s="290" t="s">
        <v>2011</v>
      </c>
      <c r="G482" s="13">
        <v>33.299999999999997</v>
      </c>
      <c r="H482" s="13">
        <v>68.900000000000006</v>
      </c>
      <c r="I482" s="217">
        <v>42402</v>
      </c>
      <c r="J482" t="s">
        <v>130</v>
      </c>
      <c r="K482">
        <v>33.44</v>
      </c>
      <c r="L482">
        <v>0.45700000000000002</v>
      </c>
      <c r="M482">
        <v>417</v>
      </c>
      <c r="Q482" s="4" t="str">
        <f>HYPERLINK("\\HOPI-FS\shares\users\dhar\Stalk mount testing\Type 1e Quality Assurance\CRYO-5080-0006  1786 1E","folder")</f>
        <v>folder</v>
      </c>
      <c r="T482" t="s">
        <v>1831</v>
      </c>
      <c r="U482" t="s">
        <v>2018</v>
      </c>
    </row>
    <row r="483" spans="1:23">
      <c r="A483" s="134">
        <v>1786</v>
      </c>
      <c r="B483" s="134">
        <v>16.600000000000001</v>
      </c>
      <c r="C483">
        <v>1.5</v>
      </c>
      <c r="D483">
        <v>7.17</v>
      </c>
      <c r="E483">
        <v>24.32</v>
      </c>
      <c r="F483" s="270" t="s">
        <v>2004</v>
      </c>
      <c r="G483" s="13">
        <v>30.6</v>
      </c>
      <c r="H483" s="13">
        <v>68.3</v>
      </c>
      <c r="I483" s="217">
        <v>42401</v>
      </c>
      <c r="J483" t="s">
        <v>130</v>
      </c>
      <c r="K483">
        <v>33.450000000000003</v>
      </c>
      <c r="L483">
        <v>0.68100000000000005</v>
      </c>
      <c r="Q483" s="4" t="str">
        <f>HYPERLINK("\\HOPI-FS\shares\users\dhar\Stalk mount testing\Type 1e Quality Assurance\CRYO-5081-0003  1786 1E","folder")</f>
        <v>folder</v>
      </c>
      <c r="T483" t="s">
        <v>1831</v>
      </c>
    </row>
    <row r="484" spans="1:23" ht="38.25" customHeight="1">
      <c r="A484" s="134">
        <v>1787</v>
      </c>
      <c r="B484" s="136">
        <v>16.8</v>
      </c>
      <c r="C484">
        <v>1.53</v>
      </c>
      <c r="D484">
        <v>7.22</v>
      </c>
      <c r="E484">
        <v>24.32</v>
      </c>
      <c r="F484" s="290" t="s">
        <v>2016</v>
      </c>
      <c r="G484" s="13">
        <v>30.6</v>
      </c>
      <c r="H484" s="13">
        <v>68.3</v>
      </c>
      <c r="I484" s="217">
        <v>42401</v>
      </c>
      <c r="J484" t="s">
        <v>130</v>
      </c>
      <c r="K484">
        <v>33.520000000000003</v>
      </c>
      <c r="L484">
        <v>0.56299999999999994</v>
      </c>
      <c r="M484">
        <v>350</v>
      </c>
      <c r="Q484" s="4" t="str">
        <f>HYPERLINK("\\HOPI-FS\shares\users\dhar\Stalk mount testing\CRYO-5084-0013  1787 1E","folder")</f>
        <v>folder</v>
      </c>
      <c r="T484" t="s">
        <v>1831</v>
      </c>
      <c r="U484" t="s">
        <v>3857</v>
      </c>
    </row>
    <row r="485" spans="1:23" ht="16.5" customHeight="1">
      <c r="A485" s="134">
        <v>1788</v>
      </c>
      <c r="B485" s="134">
        <v>17.2</v>
      </c>
      <c r="C485">
        <v>1.53</v>
      </c>
      <c r="D485">
        <v>7.22</v>
      </c>
      <c r="E485">
        <v>24.28</v>
      </c>
      <c r="F485" s="290" t="s">
        <v>2014</v>
      </c>
      <c r="G485" s="13">
        <v>29.5</v>
      </c>
      <c r="H485" s="13">
        <v>67.5</v>
      </c>
      <c r="I485" s="217">
        <v>42404</v>
      </c>
      <c r="J485" t="s">
        <v>130</v>
      </c>
      <c r="K485">
        <v>33.479999999999997</v>
      </c>
      <c r="L485">
        <v>0.69199999999999995</v>
      </c>
      <c r="M485">
        <v>397</v>
      </c>
      <c r="Q485" s="4" t="str">
        <f>HYPERLINK("\\HOPI-FS\shares\users\dhar\Stalk mount testing\Type 1e Quality Assurance\CRYO-5080-0020  1788 1E","folder")</f>
        <v>folder</v>
      </c>
      <c r="T485" t="s">
        <v>1831</v>
      </c>
      <c r="U485" t="s">
        <v>2018</v>
      </c>
    </row>
    <row r="486" spans="1:23" ht="15" customHeight="1">
      <c r="A486" s="134">
        <v>1788</v>
      </c>
      <c r="B486" s="134">
        <v>17.600000000000001</v>
      </c>
      <c r="C486">
        <v>1.51</v>
      </c>
      <c r="D486">
        <v>7.22</v>
      </c>
      <c r="E486">
        <v>24.26</v>
      </c>
      <c r="F486" s="270" t="s">
        <v>2012</v>
      </c>
      <c r="G486" s="13">
        <v>33.299999999999997</v>
      </c>
      <c r="H486" s="13">
        <v>68.900000000000006</v>
      </c>
      <c r="I486" s="217">
        <v>42402</v>
      </c>
      <c r="J486" t="s">
        <v>130</v>
      </c>
      <c r="K486">
        <v>33.450000000000003</v>
      </c>
      <c r="L486">
        <v>0.46400000000000002</v>
      </c>
      <c r="Q486" s="4" t="str">
        <f>HYPERLINK("\\HOPI-FS\shares\users\dhar\Stalk mount testing\Type 1e Quality Assurance\CRYO-5083-0018  1788 1E","folder")</f>
        <v>folder</v>
      </c>
      <c r="T486" t="s">
        <v>1831</v>
      </c>
    </row>
    <row r="487" spans="1:23">
      <c r="A487" s="134">
        <v>1788</v>
      </c>
      <c r="B487" s="134">
        <v>19</v>
      </c>
      <c r="C487">
        <v>1.53</v>
      </c>
      <c r="D487">
        <v>7.22</v>
      </c>
      <c r="E487">
        <v>24.27</v>
      </c>
      <c r="F487" s="270" t="s">
        <v>2005</v>
      </c>
      <c r="G487" s="13">
        <v>30.6</v>
      </c>
      <c r="H487" s="13">
        <v>68.3</v>
      </c>
      <c r="I487" s="217">
        <v>42401</v>
      </c>
      <c r="J487" t="s">
        <v>130</v>
      </c>
      <c r="K487">
        <v>33.47</v>
      </c>
      <c r="L487">
        <v>0.69399999999999995</v>
      </c>
      <c r="Q487" s="4" t="str">
        <f>HYPERLINK("\\HOPI-FS\shares\users\dhar\Stalk mount testing\Type 1e Quality Assurance\CRYO-5082-0014  1788 1E","folder")</f>
        <v>folder</v>
      </c>
      <c r="T487" t="s">
        <v>1831</v>
      </c>
    </row>
    <row r="488" spans="1:23">
      <c r="A488" s="134">
        <v>1789</v>
      </c>
      <c r="B488" s="134">
        <v>16.399999999999999</v>
      </c>
      <c r="C488">
        <v>1.54</v>
      </c>
      <c r="D488">
        <v>7.23</v>
      </c>
      <c r="E488">
        <v>24.28</v>
      </c>
      <c r="F488" s="19" t="s">
        <v>2006</v>
      </c>
      <c r="G488" s="13">
        <v>30.6</v>
      </c>
      <c r="H488" s="13">
        <v>68.3</v>
      </c>
      <c r="I488" s="217">
        <v>42401</v>
      </c>
      <c r="J488" t="s">
        <v>130</v>
      </c>
      <c r="K488">
        <v>33.51</v>
      </c>
      <c r="L488">
        <v>0.60799999999999998</v>
      </c>
      <c r="M488">
        <v>373</v>
      </c>
      <c r="Q488" s="4" t="str">
        <f>HYPERLINK("\\HOPI-FS\shares\users\dhar\Stalk mount testing\Type 1e Quality Assurance\CRYO-5084-00015  1789 1E","folder")</f>
        <v>folder</v>
      </c>
      <c r="T488" t="s">
        <v>1831</v>
      </c>
      <c r="U488" t="s">
        <v>2018</v>
      </c>
    </row>
    <row r="489" spans="1:23">
      <c r="A489" s="134">
        <v>1790</v>
      </c>
      <c r="B489" s="134">
        <v>17</v>
      </c>
      <c r="C489">
        <v>1.49</v>
      </c>
      <c r="D489">
        <v>7.15</v>
      </c>
      <c r="E489">
        <v>24.26</v>
      </c>
      <c r="F489" s="19" t="s">
        <v>2013</v>
      </c>
      <c r="G489" s="13">
        <v>33.299999999999997</v>
      </c>
      <c r="H489" s="13">
        <v>68.900000000000006</v>
      </c>
      <c r="I489" s="217">
        <v>42403</v>
      </c>
      <c r="J489" t="s">
        <v>130</v>
      </c>
      <c r="K489">
        <v>33.35</v>
      </c>
      <c r="L489">
        <v>0.61499999999999999</v>
      </c>
      <c r="M489">
        <v>388</v>
      </c>
      <c r="Q489" s="4" t="str">
        <f>HYPERLINK("\\HOPI-FS\shares\users\dhar\Stalk mount testing\Type 1e Quality Assurance\CRYO-5083-0019  1790 1E","folder")</f>
        <v>folder</v>
      </c>
      <c r="T489" t="s">
        <v>1831</v>
      </c>
      <c r="U489" t="s">
        <v>2018</v>
      </c>
    </row>
    <row r="490" spans="1:23">
      <c r="A490" s="134">
        <v>1790</v>
      </c>
      <c r="B490" s="134">
        <v>16.8</v>
      </c>
      <c r="C490">
        <v>1.55</v>
      </c>
      <c r="D490">
        <v>7.16</v>
      </c>
      <c r="E490">
        <v>24.26</v>
      </c>
      <c r="F490" s="270" t="s">
        <v>2007</v>
      </c>
      <c r="G490" s="13">
        <v>30.6</v>
      </c>
      <c r="H490" s="13">
        <v>68.3</v>
      </c>
      <c r="I490" s="217">
        <v>42401</v>
      </c>
      <c r="J490" t="s">
        <v>130</v>
      </c>
      <c r="K490">
        <v>33.44</v>
      </c>
      <c r="L490">
        <v>0.751</v>
      </c>
      <c r="Q490" s="4" t="str">
        <f>HYPERLINK("\\HOPI-FS\shares\users\dhar\Stalk mount testing\Type 1e Quality Assurance\CRYO-5083-0016  1790 1E","folder")</f>
        <v>folder</v>
      </c>
      <c r="T490" t="s">
        <v>1831</v>
      </c>
    </row>
    <row r="491" spans="1:23">
      <c r="A491" s="134">
        <v>1791</v>
      </c>
      <c r="B491" s="134">
        <v>17</v>
      </c>
      <c r="C491">
        <v>1.53</v>
      </c>
      <c r="D491">
        <v>7.23</v>
      </c>
      <c r="E491">
        <v>24.37</v>
      </c>
      <c r="F491" s="290" t="s">
        <v>2008</v>
      </c>
      <c r="G491" s="13">
        <v>30.6</v>
      </c>
      <c r="H491" s="13">
        <v>68.3</v>
      </c>
      <c r="I491" s="217">
        <v>42401</v>
      </c>
      <c r="J491" t="s">
        <v>130</v>
      </c>
      <c r="K491">
        <v>33.590000000000003</v>
      </c>
      <c r="L491">
        <v>0.53500000000000003</v>
      </c>
      <c r="M491">
        <v>362</v>
      </c>
      <c r="Q491" s="4" t="str">
        <f>HYPERLINK("\\HOPI-FS\shares\users\dhar\Stalk mount testing\Type 1e Quality Assurance\CRYO-5083-0017  1791 1E","folder")</f>
        <v>folder</v>
      </c>
      <c r="T491" t="s">
        <v>1831</v>
      </c>
      <c r="U491" t="s">
        <v>2018</v>
      </c>
    </row>
    <row r="492" spans="1:23" ht="30" customHeight="1">
      <c r="A492" s="134">
        <v>1793</v>
      </c>
      <c r="B492" s="134">
        <v>17.8</v>
      </c>
      <c r="C492">
        <v>1.53</v>
      </c>
      <c r="D492">
        <v>6.96</v>
      </c>
      <c r="E492">
        <v>24.38</v>
      </c>
      <c r="F492" s="176" t="s">
        <v>2019</v>
      </c>
      <c r="G492" s="13">
        <v>20.8</v>
      </c>
      <c r="H492" s="13">
        <v>67.2</v>
      </c>
      <c r="I492" s="217">
        <v>42422</v>
      </c>
      <c r="J492" t="s">
        <v>130</v>
      </c>
      <c r="K492">
        <v>33.31</v>
      </c>
      <c r="L492">
        <v>0.53600000000000003</v>
      </c>
      <c r="Q492" s="4" t="str">
        <f>HYPERLINK("\\HOPI-FS\shares\users\dhar\Stalk mount testing\Type 1e Quality Assurance\CRYO-1080-008  1793 1E","folder")</f>
        <v>folder</v>
      </c>
      <c r="T492" t="s">
        <v>1831</v>
      </c>
      <c r="U492" t="s">
        <v>2219</v>
      </c>
    </row>
    <row r="493" spans="1:23" s="13" customFormat="1" ht="30" customHeight="1">
      <c r="A493" s="136">
        <v>1794</v>
      </c>
      <c r="B493" s="136">
        <v>16.8</v>
      </c>
      <c r="C493" s="13">
        <v>1.51</v>
      </c>
      <c r="D493" s="13">
        <v>7.12</v>
      </c>
      <c r="E493" s="13">
        <v>24.3</v>
      </c>
      <c r="F493" s="290" t="s">
        <v>2031</v>
      </c>
      <c r="G493" s="13">
        <v>30.6</v>
      </c>
      <c r="H493" s="13">
        <v>68.3</v>
      </c>
      <c r="I493" s="426">
        <v>42424</v>
      </c>
      <c r="J493" s="13" t="s">
        <v>130</v>
      </c>
      <c r="K493" s="13">
        <v>33.369999999999997</v>
      </c>
      <c r="L493" s="13">
        <v>0.155</v>
      </c>
      <c r="M493" s="13">
        <v>407</v>
      </c>
      <c r="Q493" s="34" t="str">
        <f>HYPERLINK("\\HOPI-FS\shares\users\dhar\Stalk mount testing\Type 1e Quality Assurance\CRYO-1078-020  1794 1E","folder")</f>
        <v>folder</v>
      </c>
      <c r="T493" s="13" t="s">
        <v>1831</v>
      </c>
      <c r="U493" s="508" t="s">
        <v>3846</v>
      </c>
      <c r="V493" s="19"/>
      <c r="W493" s="269"/>
    </row>
    <row r="494" spans="1:23">
      <c r="A494" s="134">
        <v>1794</v>
      </c>
      <c r="B494" s="134">
        <v>16.8</v>
      </c>
      <c r="C494">
        <v>1.51</v>
      </c>
      <c r="D494">
        <v>7.12</v>
      </c>
      <c r="E494">
        <v>24.3</v>
      </c>
      <c r="F494" s="381" t="s">
        <v>2020</v>
      </c>
      <c r="G494" s="13">
        <v>20.8</v>
      </c>
      <c r="H494" s="13">
        <v>67.2</v>
      </c>
      <c r="I494" s="217">
        <v>42422</v>
      </c>
      <c r="J494" t="s">
        <v>130</v>
      </c>
      <c r="K494">
        <v>33.369999999999997</v>
      </c>
      <c r="L494">
        <v>0.68799999999999994</v>
      </c>
      <c r="Q494" s="4" t="str">
        <f>HYPERLINK("\\HOPI-FS\shares\users\dhar\Stalk mount testing\Type 1e Quality Assurance\CRYO-1080-009  1794 1E","folder")</f>
        <v>folder</v>
      </c>
      <c r="T494" t="s">
        <v>1831</v>
      </c>
    </row>
    <row r="495" spans="1:23">
      <c r="A495" s="134">
        <v>1795</v>
      </c>
      <c r="B495" s="134">
        <v>17</v>
      </c>
      <c r="C495">
        <v>1.5</v>
      </c>
      <c r="D495">
        <v>7.11</v>
      </c>
      <c r="E495">
        <v>24.27</v>
      </c>
      <c r="F495" s="382" t="s">
        <v>2032</v>
      </c>
      <c r="G495" s="13">
        <v>30.6</v>
      </c>
      <c r="H495" s="13">
        <v>68.3</v>
      </c>
      <c r="I495" s="217">
        <v>42424</v>
      </c>
      <c r="J495" t="s">
        <v>130</v>
      </c>
      <c r="K495">
        <v>33.32</v>
      </c>
      <c r="L495">
        <v>0.37</v>
      </c>
      <c r="M495">
        <v>432</v>
      </c>
      <c r="Q495" s="4" t="str">
        <f>HYPERLINK("\\HOPI-FS\shares\users\dhar\Stalk mount testing\Type 1e Quality Assurance\CRYO-1080-021  1795 1E","folder")</f>
        <v>folder</v>
      </c>
      <c r="T495" t="s">
        <v>1831</v>
      </c>
      <c r="U495" t="s">
        <v>2039</v>
      </c>
    </row>
    <row r="496" spans="1:23">
      <c r="A496" s="134">
        <v>1795</v>
      </c>
      <c r="B496" s="134">
        <v>17.600000000000001</v>
      </c>
      <c r="C496">
        <v>1.56</v>
      </c>
      <c r="D496">
        <v>7.13</v>
      </c>
      <c r="E496">
        <v>24.25</v>
      </c>
      <c r="F496" s="381" t="s">
        <v>2024</v>
      </c>
      <c r="G496" s="13">
        <v>20.8</v>
      </c>
      <c r="H496" s="13">
        <v>67.2</v>
      </c>
      <c r="I496" s="217">
        <v>42422</v>
      </c>
      <c r="J496" t="s">
        <v>130</v>
      </c>
      <c r="K496">
        <v>33.380000000000003</v>
      </c>
      <c r="L496">
        <v>0.56599999999999995</v>
      </c>
      <c r="Q496" s="4" t="str">
        <f>HYPERLINK("\\HOPI-FS\shares\users\dhar\Stalk mount testing\Type 1e Quality Assurance\CRYO-1080-010  1795 1E","folder")</f>
        <v>folder</v>
      </c>
      <c r="T496" t="s">
        <v>1831</v>
      </c>
    </row>
    <row r="497" spans="1:21">
      <c r="A497" s="134">
        <v>1796</v>
      </c>
      <c r="F497" s="381" t="s">
        <v>2021</v>
      </c>
      <c r="G497" s="13">
        <v>20.8</v>
      </c>
      <c r="H497" s="13">
        <v>67.2</v>
      </c>
      <c r="I497" s="217">
        <v>42422</v>
      </c>
      <c r="J497" t="s">
        <v>130</v>
      </c>
      <c r="Q497" s="4" t="str">
        <f>HYPERLINK("\\HOPI-FS\shares\users\dhar\Stalk mount testing\Type 1e Quality Assurance\CRYO-1080-011  1796 1E","folder")</f>
        <v>folder</v>
      </c>
      <c r="T497" t="s">
        <v>1831</v>
      </c>
    </row>
    <row r="498" spans="1:21">
      <c r="A498" s="134">
        <v>1797</v>
      </c>
      <c r="B498" s="134">
        <v>16.8</v>
      </c>
      <c r="C498">
        <v>1.52</v>
      </c>
      <c r="D498">
        <v>7.11</v>
      </c>
      <c r="E498">
        <v>24.31</v>
      </c>
      <c r="F498" s="382" t="s">
        <v>2033</v>
      </c>
      <c r="G498" s="13">
        <v>30.6</v>
      </c>
      <c r="H498" s="13">
        <v>68.3</v>
      </c>
      <c r="I498" s="217">
        <v>42424</v>
      </c>
      <c r="J498" t="s">
        <v>130</v>
      </c>
      <c r="K498">
        <v>33.369999999999997</v>
      </c>
      <c r="L498">
        <v>0.45</v>
      </c>
      <c r="M498">
        <v>408</v>
      </c>
      <c r="Q498" s="4" t="str">
        <f>HYPERLINK("\\HOPI-FS\shares\users\dhar\Stalk mount testing\Type 1e Quality Assurance\CRYO-1079-022  1797 1E","folder")</f>
        <v>folder</v>
      </c>
      <c r="T498" t="s">
        <v>1831</v>
      </c>
      <c r="U498" t="s">
        <v>2039</v>
      </c>
    </row>
    <row r="499" spans="1:21">
      <c r="A499" s="134">
        <v>1797</v>
      </c>
      <c r="F499" s="381" t="s">
        <v>2022</v>
      </c>
      <c r="G499" s="13">
        <v>20.8</v>
      </c>
      <c r="H499" s="13">
        <v>67.2</v>
      </c>
      <c r="I499" s="217">
        <v>42422</v>
      </c>
      <c r="J499" t="s">
        <v>130</v>
      </c>
      <c r="Q499" s="4" t="str">
        <f>HYPERLINK("\\HOPI-FS\shares\users\dhar\Stalk mount testing\Type 1e Quality Assurance\CRYO-1080-012  1797 1E","folder")</f>
        <v>folder</v>
      </c>
      <c r="T499" t="s">
        <v>1831</v>
      </c>
    </row>
    <row r="500" spans="1:21">
      <c r="A500" s="134">
        <v>1799</v>
      </c>
      <c r="B500" s="134">
        <v>16.2</v>
      </c>
      <c r="C500">
        <v>1.52</v>
      </c>
      <c r="D500">
        <v>7.13</v>
      </c>
      <c r="E500">
        <v>24.31</v>
      </c>
      <c r="F500" s="218" t="s">
        <v>2023</v>
      </c>
      <c r="G500" s="13">
        <v>20.8</v>
      </c>
      <c r="H500" s="13">
        <v>67.2</v>
      </c>
      <c r="I500" s="217">
        <v>42422</v>
      </c>
      <c r="J500" t="s">
        <v>130</v>
      </c>
      <c r="K500">
        <v>33.42</v>
      </c>
      <c r="L500">
        <v>0.38</v>
      </c>
      <c r="M500">
        <v>377</v>
      </c>
      <c r="Q500" s="4" t="str">
        <f>HYPERLINK("\\HOPI-FS\shares\users\dhar\Stalk mount testing\Type 1e Quality Assurance\CRYO-1080-013  1799 1E","folder")</f>
        <v>folder</v>
      </c>
      <c r="T500" t="s">
        <v>1831</v>
      </c>
      <c r="U500" t="s">
        <v>2039</v>
      </c>
    </row>
    <row r="501" spans="1:21">
      <c r="A501" s="134">
        <v>1800</v>
      </c>
      <c r="B501" s="134">
        <v>18.399999999999999</v>
      </c>
      <c r="C501">
        <v>1.5</v>
      </c>
      <c r="D501">
        <v>7.15</v>
      </c>
      <c r="E501">
        <v>24.31</v>
      </c>
      <c r="F501" s="382" t="s">
        <v>2025</v>
      </c>
      <c r="G501" s="13">
        <v>20.8</v>
      </c>
      <c r="H501" s="13">
        <v>67.2</v>
      </c>
      <c r="I501" s="217">
        <v>42422</v>
      </c>
      <c r="J501" t="s">
        <v>130</v>
      </c>
      <c r="K501">
        <v>33.409999999999997</v>
      </c>
      <c r="L501">
        <v>0.372</v>
      </c>
      <c r="M501">
        <v>454</v>
      </c>
      <c r="Q501" s="4" t="str">
        <f>HYPERLINK("\\HOPI-FS\shares\users\dhar\Stalk mount testing\Type 1e Quality Assurance\CRYO-1080-014  1800 1E","folder")</f>
        <v>folder</v>
      </c>
      <c r="T501" t="s">
        <v>1831</v>
      </c>
      <c r="U501" t="s">
        <v>2039</v>
      </c>
    </row>
    <row r="502" spans="1:21">
      <c r="A502" s="134">
        <v>1801</v>
      </c>
      <c r="B502" s="136">
        <v>17.8</v>
      </c>
      <c r="C502">
        <v>1.51</v>
      </c>
      <c r="D502">
        <v>7.13</v>
      </c>
      <c r="E502">
        <v>24.34</v>
      </c>
      <c r="F502" s="382" t="s">
        <v>2034</v>
      </c>
      <c r="G502" s="13">
        <v>30.6</v>
      </c>
      <c r="H502" s="13">
        <v>68.3</v>
      </c>
      <c r="I502" s="217">
        <v>42424</v>
      </c>
      <c r="J502" t="s">
        <v>130</v>
      </c>
      <c r="K502">
        <v>33.4</v>
      </c>
      <c r="L502">
        <v>0.23300000000000001</v>
      </c>
      <c r="M502">
        <v>428</v>
      </c>
      <c r="Q502" s="4" t="str">
        <f>HYPERLINK("\\HOPI-FS\shares\users\dhar\Stalk mount testing\Type 1e Quality Assurance\CRYO-1078-023  1801 1E","folder")</f>
        <v>folder</v>
      </c>
      <c r="T502" t="s">
        <v>1831</v>
      </c>
      <c r="U502" t="s">
        <v>3846</v>
      </c>
    </row>
    <row r="503" spans="1:21">
      <c r="A503" s="134">
        <v>1801</v>
      </c>
      <c r="F503" s="381" t="s">
        <v>2026</v>
      </c>
      <c r="G503" s="13">
        <v>20.8</v>
      </c>
      <c r="H503" s="13">
        <v>67.2</v>
      </c>
      <c r="I503" s="217">
        <v>42422</v>
      </c>
      <c r="J503" t="s">
        <v>130</v>
      </c>
      <c r="Q503" s="4" t="str">
        <f>HYPERLINK("\\HOPI-FS\shares\users\dhar\Stalk mount testing\Type 1e Quality Assurance\CRYO-1080-015  1801 1E","folder")</f>
        <v>folder</v>
      </c>
      <c r="T503" t="s">
        <v>1831</v>
      </c>
    </row>
    <row r="504" spans="1:21">
      <c r="A504" s="134">
        <v>1802</v>
      </c>
      <c r="B504" s="134">
        <v>17.399999999999999</v>
      </c>
      <c r="C504">
        <v>1.55</v>
      </c>
      <c r="D504">
        <v>7.11</v>
      </c>
      <c r="E504">
        <v>24.34</v>
      </c>
      <c r="F504" s="383" t="s">
        <v>2027</v>
      </c>
      <c r="G504" s="13">
        <v>18.600000000000001</v>
      </c>
      <c r="H504" s="13">
        <v>67.5</v>
      </c>
      <c r="I504" s="217">
        <v>42423</v>
      </c>
      <c r="J504" t="s">
        <v>130</v>
      </c>
      <c r="K504">
        <v>33.450000000000003</v>
      </c>
      <c r="L504">
        <v>0.44600000000000001</v>
      </c>
      <c r="M504">
        <v>450</v>
      </c>
      <c r="Q504" s="4" t="str">
        <f>HYPERLINK("\\HOPI-FS\shares\users\dhar\Stalk mount testing\Type 1e Quality Assurance\CRYO-1077-016  1802 1E","folder")</f>
        <v>folder</v>
      </c>
      <c r="T504" t="s">
        <v>1831</v>
      </c>
      <c r="U504" t="s">
        <v>2039</v>
      </c>
    </row>
    <row r="505" spans="1:21">
      <c r="A505" s="134">
        <v>1803</v>
      </c>
      <c r="B505" s="134">
        <v>16.2</v>
      </c>
      <c r="C505">
        <v>1.53</v>
      </c>
      <c r="D505">
        <v>7.12</v>
      </c>
      <c r="E505">
        <v>24.26</v>
      </c>
      <c r="F505" s="19" t="s">
        <v>2028</v>
      </c>
      <c r="G505" s="13">
        <v>18.600000000000001</v>
      </c>
      <c r="H505" s="13">
        <v>67.5</v>
      </c>
      <c r="I505" s="217">
        <v>42423</v>
      </c>
      <c r="J505" t="s">
        <v>130</v>
      </c>
      <c r="K505">
        <v>33.35</v>
      </c>
      <c r="L505">
        <v>0.623</v>
      </c>
      <c r="M505">
        <v>392</v>
      </c>
      <c r="Q505" s="4" t="str">
        <f>HYPERLINK("\\HOPI-FS\shares\users\dhar\Stalk mount testing\Type 1e Quality Assurance\CRYO-1078-017  1803 1E","folder")</f>
        <v>folder</v>
      </c>
      <c r="T505" t="s">
        <v>1831</v>
      </c>
      <c r="U505" t="s">
        <v>2039</v>
      </c>
    </row>
    <row r="506" spans="1:21">
      <c r="A506" s="134">
        <v>1804</v>
      </c>
      <c r="B506" s="134">
        <v>16.399999999999999</v>
      </c>
      <c r="C506">
        <v>1.53</v>
      </c>
      <c r="D506">
        <v>7.13</v>
      </c>
      <c r="E506">
        <v>24.26</v>
      </c>
      <c r="F506" s="176" t="s">
        <v>2029</v>
      </c>
      <c r="G506" s="13">
        <v>18.600000000000001</v>
      </c>
      <c r="H506" s="13">
        <v>67.5</v>
      </c>
      <c r="I506" s="217">
        <v>42423</v>
      </c>
      <c r="J506" t="s">
        <v>130</v>
      </c>
      <c r="K506">
        <v>33.369999999999997</v>
      </c>
      <c r="L506">
        <v>0.65200000000000002</v>
      </c>
      <c r="Q506" s="4" t="str">
        <f>HYPERLINK("\\HOPI-FS\shares\users\dhar\Stalk mount testing\Type 1e Quality Assurance\CRYO-1079-018  1804 1E","folder")</f>
        <v>folder</v>
      </c>
      <c r="T506" t="s">
        <v>1831</v>
      </c>
    </row>
    <row r="507" spans="1:21">
      <c r="A507" s="134">
        <v>1805</v>
      </c>
      <c r="B507" s="134">
        <v>19</v>
      </c>
      <c r="C507">
        <v>1.53</v>
      </c>
      <c r="D507">
        <v>7.14</v>
      </c>
      <c r="E507">
        <v>24.26</v>
      </c>
      <c r="F507" s="176" t="s">
        <v>2030</v>
      </c>
      <c r="G507" s="13">
        <v>18.600000000000001</v>
      </c>
      <c r="H507" s="13">
        <v>67.5</v>
      </c>
      <c r="I507" s="217">
        <v>42423</v>
      </c>
      <c r="J507" t="s">
        <v>130</v>
      </c>
      <c r="K507">
        <v>33.369999999999997</v>
      </c>
      <c r="L507">
        <v>0.56200000000000006</v>
      </c>
      <c r="Q507" s="4" t="str">
        <f>HYPERLINK("\\HOPI-FS\shares\users\dhar\Stalk mount testing\Type 1e Quality Assurance\CRYO-1079-019  1805 1E","folder")</f>
        <v>folder</v>
      </c>
      <c r="T507" t="s">
        <v>1831</v>
      </c>
      <c r="U507" t="s">
        <v>2148</v>
      </c>
    </row>
    <row r="508" spans="1:21" ht="47.25" customHeight="1">
      <c r="A508" s="134">
        <v>1812</v>
      </c>
      <c r="B508" s="134">
        <v>17.2</v>
      </c>
      <c r="C508">
        <v>1.5</v>
      </c>
      <c r="D508">
        <v>7.15</v>
      </c>
      <c r="E508">
        <v>24.32</v>
      </c>
      <c r="F508" s="233" t="s">
        <v>2041</v>
      </c>
      <c r="G508" s="13">
        <v>24.1</v>
      </c>
      <c r="H508" s="13">
        <v>70.7</v>
      </c>
      <c r="I508" s="217">
        <v>42454</v>
      </c>
      <c r="J508" t="s">
        <v>130</v>
      </c>
      <c r="K508">
        <v>33.39</v>
      </c>
      <c r="L508">
        <v>0.70699999999999996</v>
      </c>
      <c r="M508" s="13">
        <v>412</v>
      </c>
      <c r="Q508" s="4" t="str">
        <f>HYPERLINK("\\hopi-fs\shares\users\mbon\100Gbar\Hamamatsu CH capsules\Production capsules\12","folder")</f>
        <v>folder</v>
      </c>
      <c r="T508" t="s">
        <v>1831</v>
      </c>
      <c r="U508" t="s">
        <v>2049</v>
      </c>
    </row>
    <row r="509" spans="1:21">
      <c r="A509" s="134">
        <v>1814</v>
      </c>
      <c r="B509" s="134">
        <v>17.399999999999999</v>
      </c>
      <c r="C509">
        <v>1.52</v>
      </c>
      <c r="D509">
        <v>7.11</v>
      </c>
      <c r="E509">
        <v>25.1</v>
      </c>
      <c r="F509" s="428" t="s">
        <v>2040</v>
      </c>
      <c r="G509">
        <v>26.8</v>
      </c>
      <c r="H509">
        <v>71</v>
      </c>
      <c r="I509" s="217">
        <v>42452</v>
      </c>
      <c r="J509" t="s">
        <v>130</v>
      </c>
      <c r="K509">
        <v>34.159999999999997</v>
      </c>
      <c r="L509">
        <v>0.47</v>
      </c>
      <c r="Q509" s="4" t="str">
        <f>HYPERLINK("\\hopi-fs\shares\users\mbon\100Gbar\Hamamatsu CH capsules\Production capsules\6","folder")</f>
        <v>folder</v>
      </c>
      <c r="T509" t="s">
        <v>1831</v>
      </c>
    </row>
    <row r="510" spans="1:21">
      <c r="A510" s="134">
        <v>1772</v>
      </c>
      <c r="B510" s="134">
        <v>16.8</v>
      </c>
      <c r="C510">
        <v>1.5</v>
      </c>
      <c r="D510">
        <v>7.11</v>
      </c>
      <c r="E510">
        <v>24.31</v>
      </c>
      <c r="F510" s="233" t="s">
        <v>2044</v>
      </c>
      <c r="G510">
        <v>24.1</v>
      </c>
      <c r="H510">
        <v>70.7</v>
      </c>
      <c r="I510" s="217">
        <v>42454</v>
      </c>
      <c r="J510" t="s">
        <v>130</v>
      </c>
      <c r="K510">
        <v>33.369999999999997</v>
      </c>
      <c r="L510">
        <v>0.71499999999999997</v>
      </c>
      <c r="M510" s="13">
        <v>419</v>
      </c>
      <c r="Q510" s="4" t="str">
        <f>HYPERLINK("\\hopi-fs\shares\users\mbon\100Gbar\Hamamatsu CH capsules\Production capsules\18","folder")</f>
        <v>folder</v>
      </c>
      <c r="T510" t="s">
        <v>1831</v>
      </c>
      <c r="U510" t="s">
        <v>2049</v>
      </c>
    </row>
    <row r="511" spans="1:21">
      <c r="A511" s="134">
        <v>1806</v>
      </c>
      <c r="B511" s="134">
        <v>16.399999999999999</v>
      </c>
      <c r="C511">
        <v>1.52</v>
      </c>
      <c r="D511">
        <v>7.07</v>
      </c>
      <c r="E511">
        <v>24.29</v>
      </c>
      <c r="F511" s="233" t="s">
        <v>2042</v>
      </c>
      <c r="G511">
        <v>24.1</v>
      </c>
      <c r="H511">
        <v>70.7</v>
      </c>
      <c r="I511" s="217">
        <v>42454</v>
      </c>
      <c r="J511" t="s">
        <v>130</v>
      </c>
      <c r="K511">
        <v>33.31</v>
      </c>
      <c r="L511">
        <v>0.74</v>
      </c>
      <c r="M511" s="13">
        <v>380</v>
      </c>
      <c r="Q511" s="4" t="str">
        <f>HYPERLINK("\\hopi-fs\shares\users\mbon\100Gbar\Hamamatsu CH capsules\Production capsules\26","folder")</f>
        <v>folder</v>
      </c>
      <c r="T511" t="s">
        <v>1831</v>
      </c>
    </row>
    <row r="512" spans="1:21">
      <c r="A512" s="134">
        <v>1816</v>
      </c>
      <c r="B512" s="134">
        <v>16</v>
      </c>
      <c r="C512">
        <v>1.5</v>
      </c>
      <c r="D512">
        <v>7.12</v>
      </c>
      <c r="E512">
        <v>24.34</v>
      </c>
      <c r="F512" s="233" t="s">
        <v>2043</v>
      </c>
      <c r="G512">
        <v>24.1</v>
      </c>
      <c r="H512">
        <v>70.7</v>
      </c>
      <c r="I512" s="217">
        <v>42454</v>
      </c>
      <c r="J512" t="s">
        <v>130</v>
      </c>
      <c r="K512">
        <v>33.369999999999997</v>
      </c>
      <c r="L512">
        <v>0.69799999999999995</v>
      </c>
      <c r="M512" s="13">
        <v>382</v>
      </c>
      <c r="Q512" s="4" t="str">
        <f>HYPERLINK("\\hopi-fs\shares\users\mbon\100Gbar\Hamamatsu CH capsules\Production capsules\23","folder")</f>
        <v>folder</v>
      </c>
      <c r="T512" t="s">
        <v>1831</v>
      </c>
      <c r="U512" t="s">
        <v>2049</v>
      </c>
    </row>
    <row r="513" spans="1:22">
      <c r="A513" s="134">
        <v>1817</v>
      </c>
      <c r="B513" s="134">
        <v>17.2</v>
      </c>
      <c r="C513">
        <v>1.5</v>
      </c>
      <c r="D513">
        <v>7.13</v>
      </c>
      <c r="E513">
        <v>24.29</v>
      </c>
      <c r="F513" s="233" t="s">
        <v>2045</v>
      </c>
      <c r="G513">
        <v>40.700000000000003</v>
      </c>
      <c r="H513">
        <v>70.3</v>
      </c>
      <c r="I513" s="217">
        <v>42457</v>
      </c>
      <c r="J513" t="s">
        <v>130</v>
      </c>
      <c r="K513">
        <v>33.35</v>
      </c>
      <c r="L513">
        <v>0.79100000000000004</v>
      </c>
      <c r="M513" s="13">
        <v>384</v>
      </c>
      <c r="Q513" s="4" t="str">
        <f>HYPERLINK("\\HOPI-FS\shares\users\mbon\100Gbar\Hamamatsu CH capsules\Production capsules\34","folder")</f>
        <v>folder</v>
      </c>
      <c r="T513" t="s">
        <v>1831</v>
      </c>
      <c r="U513" t="s">
        <v>2049</v>
      </c>
    </row>
    <row r="514" spans="1:22">
      <c r="A514" s="134">
        <v>1818</v>
      </c>
      <c r="B514" s="134">
        <v>17.2</v>
      </c>
      <c r="C514">
        <v>1.5</v>
      </c>
      <c r="D514">
        <v>7.12</v>
      </c>
      <c r="E514">
        <v>24.29</v>
      </c>
      <c r="F514" s="176" t="s">
        <v>2046</v>
      </c>
      <c r="G514">
        <v>40.700000000000003</v>
      </c>
      <c r="H514">
        <v>70.3</v>
      </c>
      <c r="I514" s="217">
        <v>42457</v>
      </c>
      <c r="J514" t="s">
        <v>130</v>
      </c>
      <c r="K514">
        <v>33.340000000000003</v>
      </c>
      <c r="L514">
        <v>0.498</v>
      </c>
      <c r="Q514" s="4" t="str">
        <f>HYPERLINK("\\HOPI-FS\shares\users\mbon\100Gbar\Hamamatsu CH capsules\Production capsules\36","folder")</f>
        <v>folder</v>
      </c>
      <c r="T514" t="s">
        <v>1831</v>
      </c>
      <c r="U514" t="s">
        <v>2240</v>
      </c>
    </row>
    <row r="515" spans="1:22">
      <c r="A515" s="134">
        <v>1822</v>
      </c>
      <c r="B515" s="134">
        <v>17</v>
      </c>
      <c r="C515">
        <v>1.51</v>
      </c>
      <c r="D515">
        <v>7.13</v>
      </c>
      <c r="E515" s="62">
        <v>24.29</v>
      </c>
      <c r="F515" s="379" t="s">
        <v>2047</v>
      </c>
      <c r="G515" s="62">
        <v>40.700000000000003</v>
      </c>
      <c r="H515">
        <v>70.3</v>
      </c>
      <c r="I515" s="217">
        <v>42457</v>
      </c>
      <c r="J515" t="s">
        <v>130</v>
      </c>
      <c r="K515">
        <v>33.35</v>
      </c>
      <c r="L515">
        <v>0.79700000000000004</v>
      </c>
      <c r="M515" s="13">
        <v>401</v>
      </c>
      <c r="Q515" s="4" t="str">
        <f>HYPERLINK("\\HOPI-FS\shares\users\mbon\100Gbar\Hamamatsu CH capsules\Production capsules\37","folder")</f>
        <v>folder</v>
      </c>
      <c r="T515" t="s">
        <v>1831</v>
      </c>
      <c r="U515" t="s">
        <v>2049</v>
      </c>
    </row>
    <row r="516" spans="1:22">
      <c r="A516" s="134">
        <v>1780</v>
      </c>
      <c r="B516" s="134">
        <v>18</v>
      </c>
      <c r="C516">
        <v>1.53</v>
      </c>
      <c r="D516">
        <v>7.13</v>
      </c>
      <c r="E516" s="62">
        <v>24.3</v>
      </c>
      <c r="F516" s="379" t="s">
        <v>2048</v>
      </c>
      <c r="G516" s="62">
        <v>40.700000000000003</v>
      </c>
      <c r="H516">
        <v>70.3</v>
      </c>
      <c r="I516" s="217">
        <v>42457</v>
      </c>
      <c r="J516" t="s">
        <v>130</v>
      </c>
      <c r="K516">
        <v>33.39</v>
      </c>
      <c r="L516">
        <v>0.68899999999999995</v>
      </c>
      <c r="M516" s="13">
        <v>400</v>
      </c>
      <c r="Q516" s="4" t="str">
        <f>HYPERLINK("\\HOPI-FS\shares\users\mbon\100Gbar\Hamamatsu CH capsules\Production capsules\38","folder")</f>
        <v>folder</v>
      </c>
      <c r="T516" t="s">
        <v>1831</v>
      </c>
      <c r="U516" t="s">
        <v>2049</v>
      </c>
    </row>
    <row r="517" spans="1:22" ht="27" customHeight="1">
      <c r="A517" s="134">
        <v>1669</v>
      </c>
      <c r="B517" s="134">
        <v>18.399999999999999</v>
      </c>
      <c r="C517">
        <v>1.51</v>
      </c>
      <c r="D517">
        <v>7.1</v>
      </c>
      <c r="E517" s="62">
        <v>24.36</v>
      </c>
      <c r="F517" s="327" t="s">
        <v>2051</v>
      </c>
      <c r="G517" s="62">
        <v>23</v>
      </c>
      <c r="H517">
        <v>69.5</v>
      </c>
      <c r="I517" s="217">
        <v>42472</v>
      </c>
      <c r="J517" t="s">
        <v>130</v>
      </c>
      <c r="K517">
        <v>33.409999999999997</v>
      </c>
      <c r="L517">
        <v>0.64600000000000002</v>
      </c>
      <c r="Q517" s="4" t="str">
        <f>HYPERLINK("\\HOPI-FS\shares\users\dhar\Stalk mount testing\Type 1e Quality Assurance\CRYO-1081-024  1669 1E","folder")</f>
        <v>folder</v>
      </c>
      <c r="T517" t="s">
        <v>1831</v>
      </c>
    </row>
    <row r="518" spans="1:22">
      <c r="A518" s="134">
        <v>1693</v>
      </c>
      <c r="B518" s="134">
        <v>17</v>
      </c>
      <c r="C518">
        <v>1.5</v>
      </c>
      <c r="D518">
        <v>7.1</v>
      </c>
      <c r="E518">
        <v>24.32</v>
      </c>
      <c r="F518" s="329" t="s">
        <v>2052</v>
      </c>
      <c r="G518">
        <v>23</v>
      </c>
      <c r="H518">
        <v>69.5</v>
      </c>
      <c r="I518" s="217">
        <v>42472</v>
      </c>
      <c r="J518" t="s">
        <v>130</v>
      </c>
      <c r="K518">
        <v>33.35</v>
      </c>
      <c r="L518">
        <v>0.34300000000000003</v>
      </c>
      <c r="M518">
        <v>402</v>
      </c>
      <c r="Q518" s="4" t="str">
        <f>HYPERLINK("\\hopi-fs\shares\users\dhar\Stalk mount testing\Type 1e Quality Assurance\CRYO-1081-025  1693 1E","folder")</f>
        <v>folder</v>
      </c>
      <c r="T518" t="s">
        <v>1831</v>
      </c>
      <c r="U518" t="s">
        <v>2066</v>
      </c>
      <c r="V518" s="407" t="s">
        <v>2063</v>
      </c>
    </row>
    <row r="519" spans="1:22">
      <c r="A519" s="134">
        <v>1713</v>
      </c>
      <c r="B519" s="134">
        <v>18</v>
      </c>
      <c r="C519">
        <v>1.51</v>
      </c>
      <c r="D519">
        <v>7.09</v>
      </c>
      <c r="E519">
        <v>24.3</v>
      </c>
      <c r="F519" s="327" t="s">
        <v>2053</v>
      </c>
      <c r="G519">
        <v>23</v>
      </c>
      <c r="H519">
        <v>69.5</v>
      </c>
      <c r="I519" s="217">
        <v>42472</v>
      </c>
      <c r="J519" t="s">
        <v>130</v>
      </c>
      <c r="K519">
        <v>33.35</v>
      </c>
      <c r="L519">
        <v>0.66</v>
      </c>
      <c r="Q519" s="4" t="str">
        <f>HYPERLINK("\\hopi-fs\shares\users\dhar\Stalk mount testing\Type 1e Quality Assurance\CRYO-1081-026  1713 1E","folder")</f>
        <v>folder</v>
      </c>
      <c r="T519" t="s">
        <v>1831</v>
      </c>
    </row>
    <row r="520" spans="1:22">
      <c r="A520" s="134">
        <v>1719</v>
      </c>
      <c r="B520" s="134">
        <v>17.8</v>
      </c>
      <c r="C520">
        <v>1.53</v>
      </c>
      <c r="D520">
        <v>7.07</v>
      </c>
      <c r="E520">
        <v>24.45</v>
      </c>
      <c r="F520" s="329" t="s">
        <v>2054</v>
      </c>
      <c r="G520">
        <v>23</v>
      </c>
      <c r="H520">
        <v>69.5</v>
      </c>
      <c r="I520" s="217">
        <v>42472</v>
      </c>
      <c r="J520" t="s">
        <v>130</v>
      </c>
      <c r="K520">
        <v>33.49</v>
      </c>
      <c r="L520">
        <v>0.49299999999999999</v>
      </c>
      <c r="M520">
        <v>399</v>
      </c>
      <c r="Q520" s="4" t="str">
        <f>HYPERLINK("\\hopi-fs\shares\users\dhar\Stalk mount testing\Type 1e Quality Assurance\CRYO-1081-027  1719 1E","folder")</f>
        <v>folder</v>
      </c>
      <c r="T520" t="s">
        <v>1831</v>
      </c>
      <c r="U520" t="s">
        <v>2066</v>
      </c>
      <c r="V520" s="407" t="s">
        <v>2064</v>
      </c>
    </row>
    <row r="521" spans="1:22">
      <c r="A521" s="134">
        <v>1722</v>
      </c>
      <c r="B521" s="134">
        <v>18</v>
      </c>
      <c r="C521">
        <v>1.53</v>
      </c>
      <c r="D521">
        <v>7.18</v>
      </c>
      <c r="E521">
        <v>24.36</v>
      </c>
      <c r="F521" s="327" t="s">
        <v>2055</v>
      </c>
      <c r="G521">
        <v>23</v>
      </c>
      <c r="H521">
        <v>69.5</v>
      </c>
      <c r="I521" s="217">
        <v>42472</v>
      </c>
      <c r="J521" t="s">
        <v>130</v>
      </c>
      <c r="K521">
        <v>33.5</v>
      </c>
      <c r="L521">
        <v>0.64600000000000002</v>
      </c>
      <c r="Q521" s="4" t="str">
        <f>HYPERLINK("\\hopi-fs\shares\users\dhar\Stalk mount testing\Type 1e Quality Assurance\CRYO-1081-028  1722 1E","folder")</f>
        <v>folder</v>
      </c>
      <c r="T521" t="s">
        <v>1831</v>
      </c>
    </row>
    <row r="522" spans="1:22">
      <c r="A522" s="134">
        <v>1796</v>
      </c>
      <c r="B522" s="134">
        <v>17.8</v>
      </c>
      <c r="C522">
        <v>1.53</v>
      </c>
      <c r="D522">
        <v>7.08</v>
      </c>
      <c r="E522">
        <v>24.38</v>
      </c>
      <c r="F522" s="329" t="s">
        <v>2056</v>
      </c>
      <c r="G522">
        <v>23</v>
      </c>
      <c r="H522">
        <v>69.5</v>
      </c>
      <c r="I522" s="217">
        <v>42472</v>
      </c>
      <c r="J522" t="s">
        <v>130</v>
      </c>
      <c r="K522">
        <v>33.42</v>
      </c>
      <c r="L522">
        <v>0.378</v>
      </c>
      <c r="M522">
        <v>417</v>
      </c>
      <c r="Q522" s="4" t="str">
        <f>HYPERLINK("\\hopi-fs\shares\users\dhar\Stalk mount testing\Type 1e Quality Assurance\CRYO-1081-029  1796 1E","folder")</f>
        <v>folder</v>
      </c>
      <c r="T522" t="s">
        <v>1831</v>
      </c>
      <c r="U522" t="s">
        <v>2066</v>
      </c>
      <c r="V522" s="407" t="s">
        <v>2065</v>
      </c>
    </row>
    <row r="523" spans="1:22">
      <c r="A523" s="134">
        <v>3045</v>
      </c>
      <c r="B523" s="134">
        <v>16.600000000000001</v>
      </c>
      <c r="C523">
        <v>1.49</v>
      </c>
      <c r="D523">
        <v>7.15</v>
      </c>
      <c r="E523">
        <v>24.41</v>
      </c>
      <c r="F523" s="327" t="s">
        <v>2057</v>
      </c>
      <c r="G523">
        <v>23</v>
      </c>
      <c r="H523">
        <v>69.5</v>
      </c>
      <c r="I523" s="217">
        <v>42472</v>
      </c>
      <c r="J523" t="s">
        <v>130</v>
      </c>
      <c r="K523">
        <v>33.49</v>
      </c>
      <c r="L523">
        <v>0.32900000000000001</v>
      </c>
      <c r="Q523" s="4" t="str">
        <f>HYPERLINK("\\hopi-fs\shares\users\dhar\Stalk mount testing\Type 1e Quality Assurance\CRYO-1082-031  3045 1E","folder")</f>
        <v>folder</v>
      </c>
      <c r="T523" t="s">
        <v>1831</v>
      </c>
    </row>
    <row r="524" spans="1:22">
      <c r="A524" s="134">
        <v>1823</v>
      </c>
      <c r="B524" s="134">
        <v>18.2</v>
      </c>
      <c r="C524">
        <v>1.51</v>
      </c>
      <c r="D524">
        <v>7.15</v>
      </c>
      <c r="E524">
        <v>24.29</v>
      </c>
      <c r="F524" s="327" t="s">
        <v>2058</v>
      </c>
      <c r="G524">
        <v>23</v>
      </c>
      <c r="H524">
        <v>69.5</v>
      </c>
      <c r="I524" s="217">
        <v>42472</v>
      </c>
      <c r="J524" t="s">
        <v>130</v>
      </c>
      <c r="K524">
        <v>33.409999999999997</v>
      </c>
      <c r="L524">
        <v>0.47299999999999998</v>
      </c>
      <c r="Q524" s="4" t="str">
        <f>HYPERLINK("\\hopi-fs\shares\users\dhar\Stalk mount testing\Type 1e Quality Assurance\CRYO-1081-032  1823 1E","folder")</f>
        <v>folder</v>
      </c>
      <c r="T524" t="s">
        <v>1831</v>
      </c>
    </row>
    <row r="525" spans="1:22" ht="29.25" customHeight="1">
      <c r="A525" s="134">
        <v>1669</v>
      </c>
      <c r="B525" s="134">
        <v>19</v>
      </c>
      <c r="C525">
        <v>1.49</v>
      </c>
      <c r="D525">
        <v>7.1</v>
      </c>
      <c r="E525">
        <v>24.37</v>
      </c>
      <c r="F525" s="328" t="s">
        <v>2059</v>
      </c>
      <c r="G525">
        <v>16.3</v>
      </c>
      <c r="H525">
        <v>69.599999999999994</v>
      </c>
      <c r="I525" s="217">
        <v>42473</v>
      </c>
      <c r="J525" t="s">
        <v>130</v>
      </c>
      <c r="K525">
        <v>33.39</v>
      </c>
      <c r="L525">
        <v>6.7000000000000004E-2</v>
      </c>
      <c r="M525">
        <v>440</v>
      </c>
      <c r="Q525" s="4" t="str">
        <f>HYPERLINK("\\hopi-fs\shares\users\dhar\Stalk mount testing\Type 1e Quality Assurance\CRYO-1082-033  1669 1E","folder")</f>
        <v>folder</v>
      </c>
      <c r="T525" t="s">
        <v>1831</v>
      </c>
    </row>
    <row r="526" spans="1:22">
      <c r="A526" s="134">
        <v>1713</v>
      </c>
      <c r="B526" s="134">
        <v>16.2</v>
      </c>
      <c r="C526">
        <v>1.49</v>
      </c>
      <c r="D526">
        <v>7.09</v>
      </c>
      <c r="E526">
        <v>24.32</v>
      </c>
      <c r="F526" s="330" t="s">
        <v>2060</v>
      </c>
      <c r="G526">
        <v>16.3</v>
      </c>
      <c r="H526">
        <v>69.599999999999994</v>
      </c>
      <c r="I526" s="217">
        <v>42473</v>
      </c>
      <c r="J526" t="s">
        <v>130</v>
      </c>
      <c r="K526">
        <v>33.340000000000003</v>
      </c>
      <c r="L526">
        <v>0.32600000000000001</v>
      </c>
      <c r="M526">
        <v>399</v>
      </c>
      <c r="Q526" s="4" t="str">
        <f>HYPERLINK("\\hopi-fs\shares\users\dhar\Stalk mount testing\Type 1e Quality Assurance\CRYO-1080-035  1713 1E","folder")</f>
        <v>folder</v>
      </c>
      <c r="T526" t="s">
        <v>1831</v>
      </c>
      <c r="U526" t="s">
        <v>2066</v>
      </c>
    </row>
    <row r="527" spans="1:22">
      <c r="A527" s="134">
        <v>1722</v>
      </c>
      <c r="B527" s="134">
        <v>19</v>
      </c>
      <c r="C527">
        <v>1.45</v>
      </c>
      <c r="D527">
        <v>7.18</v>
      </c>
      <c r="E527" s="63">
        <v>24.36</v>
      </c>
      <c r="F527" s="331" t="s">
        <v>2061</v>
      </c>
      <c r="G527" s="63">
        <v>16.3</v>
      </c>
      <c r="H527" s="63">
        <v>69.599999999999994</v>
      </c>
      <c r="I527" s="217">
        <v>42473</v>
      </c>
      <c r="J527" t="s">
        <v>130</v>
      </c>
      <c r="K527">
        <v>33.42</v>
      </c>
      <c r="L527">
        <v>0.42599999999999999</v>
      </c>
      <c r="M527">
        <v>436</v>
      </c>
      <c r="Q527" s="4" t="str">
        <f>HYPERLINK("\\hopi-fs\shares\users\dhar\Stalk mount testing\Type 1e Quality Assurance\CRYO-1080-036  1722 1E","folder")</f>
        <v>folder</v>
      </c>
      <c r="T527" t="s">
        <v>1831</v>
      </c>
      <c r="U527" t="s">
        <v>2066</v>
      </c>
    </row>
    <row r="528" spans="1:22">
      <c r="A528" s="134">
        <v>1823</v>
      </c>
      <c r="B528" s="134">
        <v>16.600000000000001</v>
      </c>
      <c r="C528">
        <v>1.52</v>
      </c>
      <c r="D528">
        <v>7.16</v>
      </c>
      <c r="E528" s="63">
        <v>24.31</v>
      </c>
      <c r="F528" s="332" t="s">
        <v>2062</v>
      </c>
      <c r="G528" s="63">
        <v>16.3</v>
      </c>
      <c r="H528" s="63">
        <v>69.599999999999994</v>
      </c>
      <c r="I528" s="217">
        <v>42473</v>
      </c>
      <c r="J528" t="s">
        <v>130</v>
      </c>
      <c r="K528">
        <v>33.43</v>
      </c>
      <c r="L528">
        <v>0.67800000000000005</v>
      </c>
      <c r="M528">
        <v>379</v>
      </c>
      <c r="Q528" s="4" t="str">
        <f>HYPERLINK("\\hopi-fs\shares\users\dhar\Stalk mount testing\Type 1e Quality Assurance\CRYO-1079-037  1823 1E","folder")</f>
        <v>folder</v>
      </c>
      <c r="T528" t="s">
        <v>1831</v>
      </c>
      <c r="U528" t="s">
        <v>2066</v>
      </c>
    </row>
    <row r="529" spans="1:21" ht="30.75" customHeight="1">
      <c r="A529" s="134">
        <v>1827</v>
      </c>
      <c r="E529" s="63"/>
      <c r="F529" s="327" t="s">
        <v>2070</v>
      </c>
      <c r="G529" s="63"/>
      <c r="H529" s="63"/>
      <c r="I529" s="217"/>
      <c r="J529" t="s">
        <v>130</v>
      </c>
      <c r="Q529" s="4"/>
      <c r="T529" t="s">
        <v>1831</v>
      </c>
    </row>
    <row r="530" spans="1:21" ht="15.75" customHeight="1">
      <c r="A530" s="134">
        <v>1827</v>
      </c>
      <c r="B530" s="134">
        <f>AVERAGE(14.8, 15.6)</f>
        <v>15.2</v>
      </c>
      <c r="C530">
        <v>1.54</v>
      </c>
      <c r="D530">
        <v>7.1</v>
      </c>
      <c r="E530" s="63">
        <v>24.37</v>
      </c>
      <c r="F530" s="69" t="s">
        <v>2073</v>
      </c>
      <c r="G530" s="63">
        <v>25.2</v>
      </c>
      <c r="H530" s="63">
        <v>69.5</v>
      </c>
      <c r="I530" s="217">
        <v>42489</v>
      </c>
      <c r="J530" t="s">
        <v>130</v>
      </c>
      <c r="K530">
        <v>33.450000000000003</v>
      </c>
      <c r="L530">
        <v>0.76</v>
      </c>
      <c r="M530" s="99">
        <v>300</v>
      </c>
      <c r="Q530" s="4" t="str">
        <f>HYPERLINK("\\hopi-fs\shares\users\dhar\Stalk mount testing\Type 1e Quality Assurance\CRYO-1116-0050 1827","folder")</f>
        <v>folder</v>
      </c>
      <c r="T530" t="s">
        <v>1831</v>
      </c>
    </row>
    <row r="531" spans="1:21" ht="15.75" customHeight="1">
      <c r="A531" s="134">
        <v>1828</v>
      </c>
      <c r="E531" s="63"/>
      <c r="F531" s="327" t="s">
        <v>2071</v>
      </c>
      <c r="G531" s="63"/>
      <c r="H531" s="63"/>
      <c r="I531" s="217"/>
      <c r="J531" t="s">
        <v>130</v>
      </c>
      <c r="Q531" s="4"/>
      <c r="T531" t="s">
        <v>1831</v>
      </c>
    </row>
    <row r="532" spans="1:21" ht="15.75" customHeight="1">
      <c r="A532" s="134">
        <v>1828</v>
      </c>
      <c r="B532" s="134">
        <v>16</v>
      </c>
      <c r="C532">
        <v>1.52</v>
      </c>
      <c r="D532">
        <v>7.13</v>
      </c>
      <c r="E532" s="63">
        <v>24.33</v>
      </c>
      <c r="F532" s="69" t="s">
        <v>2082</v>
      </c>
      <c r="G532" s="63">
        <v>25.2</v>
      </c>
      <c r="H532" s="63">
        <v>69.5</v>
      </c>
      <c r="I532" s="217">
        <v>42489</v>
      </c>
      <c r="J532" t="s">
        <v>130</v>
      </c>
      <c r="K532">
        <v>33.39</v>
      </c>
      <c r="L532">
        <v>0.81</v>
      </c>
      <c r="M532" s="146">
        <v>288</v>
      </c>
      <c r="Q532" s="4" t="str">
        <f>HYPERLINK("\\hopi-fs\shares\users\dhar\Stalk mount testing\Type 1e Quality Assurance\CRYO-1121-0056 1828","folder")</f>
        <v>folder</v>
      </c>
      <c r="T532" t="s">
        <v>1831</v>
      </c>
      <c r="U532" t="s">
        <v>2086</v>
      </c>
    </row>
    <row r="533" spans="1:21" ht="15.75" customHeight="1">
      <c r="A533" s="134">
        <v>1828</v>
      </c>
      <c r="E533" s="63"/>
      <c r="F533" s="327" t="s">
        <v>2079</v>
      </c>
      <c r="G533" s="63">
        <v>25.2</v>
      </c>
      <c r="H533" s="63">
        <v>69.5</v>
      </c>
      <c r="I533" s="217">
        <v>42489</v>
      </c>
      <c r="J533" t="s">
        <v>130</v>
      </c>
      <c r="M533" s="146"/>
      <c r="Q533" s="4"/>
    </row>
    <row r="534" spans="1:21" ht="15.75" customHeight="1">
      <c r="A534" s="134">
        <v>1828</v>
      </c>
      <c r="E534" s="63"/>
      <c r="F534" s="327" t="s">
        <v>2080</v>
      </c>
      <c r="G534" s="63">
        <v>25.2</v>
      </c>
      <c r="H534" s="63">
        <v>69.5</v>
      </c>
      <c r="I534" s="217">
        <v>42489</v>
      </c>
      <c r="J534" t="s">
        <v>130</v>
      </c>
      <c r="M534" s="146"/>
      <c r="Q534" s="4"/>
    </row>
    <row r="535" spans="1:21" ht="15.75" customHeight="1">
      <c r="A535" s="134">
        <v>1828</v>
      </c>
      <c r="E535" s="63"/>
      <c r="F535" s="327" t="s">
        <v>2081</v>
      </c>
      <c r="G535" s="63">
        <v>25.2</v>
      </c>
      <c r="H535" s="63">
        <v>69.5</v>
      </c>
      <c r="I535" s="217">
        <v>42489</v>
      </c>
      <c r="J535" t="s">
        <v>130</v>
      </c>
      <c r="M535" s="146"/>
      <c r="Q535" s="4"/>
    </row>
    <row r="536" spans="1:21" ht="15.75" customHeight="1">
      <c r="A536" s="134">
        <v>1828</v>
      </c>
      <c r="E536" s="63"/>
      <c r="F536" s="327" t="s">
        <v>2074</v>
      </c>
      <c r="G536" s="63">
        <v>25.2</v>
      </c>
      <c r="H536" s="63">
        <v>69.5</v>
      </c>
      <c r="I536" s="217">
        <v>42489</v>
      </c>
      <c r="J536" t="s">
        <v>130</v>
      </c>
      <c r="M536" s="146"/>
      <c r="Q536" s="4"/>
    </row>
    <row r="537" spans="1:21" ht="15.75" customHeight="1">
      <c r="A537" s="134">
        <v>1828</v>
      </c>
      <c r="E537" s="63"/>
      <c r="F537" s="327" t="s">
        <v>2083</v>
      </c>
      <c r="G537" s="63">
        <v>25.2</v>
      </c>
      <c r="H537" s="63">
        <v>69.5</v>
      </c>
      <c r="I537" s="217">
        <v>42489</v>
      </c>
      <c r="J537" t="s">
        <v>130</v>
      </c>
      <c r="M537" s="146"/>
      <c r="Q537" s="4"/>
    </row>
    <row r="538" spans="1:21" ht="14.25" customHeight="1">
      <c r="A538" s="134">
        <v>1831</v>
      </c>
      <c r="B538" s="134">
        <v>16.600000000000001</v>
      </c>
      <c r="C538">
        <v>1.52</v>
      </c>
      <c r="D538">
        <v>7.11</v>
      </c>
      <c r="E538" s="63">
        <v>24.29</v>
      </c>
      <c r="F538" s="327" t="s">
        <v>2067</v>
      </c>
      <c r="G538" s="63">
        <v>21.9</v>
      </c>
      <c r="H538" s="63">
        <v>70</v>
      </c>
      <c r="I538" s="217">
        <v>42487</v>
      </c>
      <c r="J538" t="s">
        <v>130</v>
      </c>
      <c r="K538">
        <v>33.340000000000003</v>
      </c>
      <c r="L538">
        <v>0.5</v>
      </c>
      <c r="Q538" s="4" t="str">
        <f>HYPERLINK("\\hopi-fs\shares\users\dhar\Stalk mount testing\Type 1e Quality Assurance\CRYO-1116-0043  1831 1E","folder")</f>
        <v>folder</v>
      </c>
      <c r="T538" t="s">
        <v>1831</v>
      </c>
    </row>
    <row r="539" spans="1:21" ht="14.25" customHeight="1">
      <c r="A539" s="134">
        <v>1831</v>
      </c>
      <c r="E539" s="63"/>
      <c r="F539" s="333" t="s">
        <v>2075</v>
      </c>
      <c r="G539" s="63">
        <v>25.2</v>
      </c>
      <c r="H539" s="63">
        <v>69.5</v>
      </c>
      <c r="I539" s="217">
        <v>42489</v>
      </c>
      <c r="J539" t="s">
        <v>130</v>
      </c>
      <c r="Q539" s="4"/>
      <c r="T539" t="s">
        <v>1831</v>
      </c>
    </row>
    <row r="540" spans="1:21" ht="14.25" customHeight="1">
      <c r="A540" s="134">
        <v>1831</v>
      </c>
      <c r="B540" s="134">
        <v>16.7</v>
      </c>
      <c r="C540">
        <v>1.51</v>
      </c>
      <c r="D540">
        <v>7.12</v>
      </c>
      <c r="E540" s="63">
        <v>24.28</v>
      </c>
      <c r="F540" s="334" t="s">
        <v>2076</v>
      </c>
      <c r="G540" s="63">
        <v>25.2</v>
      </c>
      <c r="H540" s="63">
        <v>69.5</v>
      </c>
      <c r="I540" s="217">
        <v>42489</v>
      </c>
      <c r="J540" t="s">
        <v>130</v>
      </c>
      <c r="K540">
        <v>33.35</v>
      </c>
      <c r="L540">
        <v>0.13</v>
      </c>
      <c r="M540">
        <v>351</v>
      </c>
      <c r="Q540" s="4" t="str">
        <f>HYPERLINK("\\hopi-fs\shares\users\dhar\Stalk mount testing\Type 1e Quality Assurance\CRYO-1115-0040 1831","folder")</f>
        <v>folder</v>
      </c>
      <c r="T540" t="s">
        <v>1831</v>
      </c>
      <c r="U540" t="s">
        <v>2086</v>
      </c>
    </row>
    <row r="541" spans="1:21">
      <c r="A541" s="134">
        <v>1835</v>
      </c>
      <c r="B541" s="134">
        <v>16.8</v>
      </c>
      <c r="C541">
        <v>1.53</v>
      </c>
      <c r="D541">
        <v>7.12</v>
      </c>
      <c r="E541" s="63">
        <v>24.35</v>
      </c>
      <c r="F541" s="334" t="s">
        <v>2068</v>
      </c>
      <c r="G541" s="63">
        <v>21.9</v>
      </c>
      <c r="H541" s="63">
        <v>70</v>
      </c>
      <c r="I541" s="217">
        <v>42487</v>
      </c>
      <c r="J541" t="s">
        <v>130</v>
      </c>
      <c r="K541">
        <v>33.46</v>
      </c>
      <c r="L541">
        <v>0.53800000000000003</v>
      </c>
      <c r="M541" s="99">
        <v>328</v>
      </c>
      <c r="Q541" s="4" t="str">
        <f>HYPERLINK("\\hopi-fs\shares\users\dhar\Stalk mount testing\Type 1e Quality Assurance\CRYO-1119-0045  1835 1E","folder")</f>
        <v>folder</v>
      </c>
      <c r="T541" t="s">
        <v>1831</v>
      </c>
      <c r="U541" t="s">
        <v>2086</v>
      </c>
    </row>
    <row r="542" spans="1:21">
      <c r="A542" s="134">
        <v>1837</v>
      </c>
      <c r="B542" s="134">
        <v>19</v>
      </c>
      <c r="C542">
        <v>1.54</v>
      </c>
      <c r="D542">
        <v>7.1</v>
      </c>
      <c r="E542" s="63">
        <v>24.45</v>
      </c>
      <c r="F542" s="332" t="s">
        <v>2069</v>
      </c>
      <c r="G542" s="63">
        <v>21.9</v>
      </c>
      <c r="H542" s="63">
        <v>70</v>
      </c>
      <c r="I542" s="217">
        <v>42487</v>
      </c>
      <c r="J542" t="s">
        <v>130</v>
      </c>
      <c r="K542">
        <v>33.54</v>
      </c>
      <c r="L542">
        <v>0.31</v>
      </c>
      <c r="M542">
        <v>375</v>
      </c>
      <c r="Q542" s="4" t="str">
        <f>HYPERLINK("\\hopi-fs\shares\users\dhar\Stalk mount testing\Type 1e Quality Assurance\CRYO-1117-0049 1837 1E","folder")</f>
        <v>folder</v>
      </c>
      <c r="T542" t="s">
        <v>1831</v>
      </c>
      <c r="U542" t="s">
        <v>2086</v>
      </c>
    </row>
    <row r="543" spans="1:21">
      <c r="A543" s="134">
        <v>1838</v>
      </c>
      <c r="B543" s="134">
        <v>17.5</v>
      </c>
      <c r="C543">
        <v>1.5</v>
      </c>
      <c r="D543">
        <v>7.09</v>
      </c>
      <c r="E543" s="63">
        <v>24.35</v>
      </c>
      <c r="F543" s="333" t="s">
        <v>2072</v>
      </c>
      <c r="G543" s="63">
        <v>21.9</v>
      </c>
      <c r="H543" s="63">
        <v>70</v>
      </c>
      <c r="I543" s="217">
        <v>42487</v>
      </c>
      <c r="J543" t="s">
        <v>130</v>
      </c>
      <c r="K543">
        <v>33.380000000000003</v>
      </c>
      <c r="L543">
        <v>0.61599999999999999</v>
      </c>
      <c r="M543">
        <v>349</v>
      </c>
      <c r="Q543" s="4" t="str">
        <f>HYPERLINK("\\hopi-fs\shares\users\dhar\Stalk mount testing\Type 1e Quality Assurance\CRYO-1118-0054 1838","folder")</f>
        <v>folder</v>
      </c>
      <c r="T543" t="s">
        <v>1831</v>
      </c>
      <c r="U543" t="s">
        <v>2201</v>
      </c>
    </row>
    <row r="544" spans="1:21">
      <c r="A544" s="134">
        <v>1839</v>
      </c>
      <c r="B544" s="134">
        <f>AVERAGE(17.8, 18.4)</f>
        <v>18.100000000000001</v>
      </c>
      <c r="C544">
        <v>1.53</v>
      </c>
      <c r="D544">
        <v>7.12</v>
      </c>
      <c r="E544" s="63">
        <v>24.34</v>
      </c>
      <c r="F544" s="336" t="s">
        <v>2077</v>
      </c>
      <c r="G544" s="63">
        <v>25.2</v>
      </c>
      <c r="H544" s="63">
        <v>69.5</v>
      </c>
      <c r="I544" s="217">
        <v>42489</v>
      </c>
      <c r="J544" t="s">
        <v>130</v>
      </c>
      <c r="K544">
        <v>33.5</v>
      </c>
      <c r="L544">
        <v>0.60799999999999998</v>
      </c>
      <c r="M544">
        <v>353</v>
      </c>
      <c r="Q544" s="4" t="str">
        <f>HYPERLINK("\\hopi-fs\shares\users\dhar\Stalk mount testing\Type 1e Quality Assurance\CRYO-1123-0044 1839","folder")</f>
        <v>folder</v>
      </c>
      <c r="T544" t="s">
        <v>1831</v>
      </c>
      <c r="U544" t="s">
        <v>2086</v>
      </c>
    </row>
    <row r="545" spans="1:21">
      <c r="A545" s="134">
        <v>1843</v>
      </c>
      <c r="B545" s="134">
        <f>AVERAGE(15.6, 16.2)</f>
        <v>15.899999999999999</v>
      </c>
      <c r="C545">
        <v>1.51</v>
      </c>
      <c r="D545">
        <v>7.11</v>
      </c>
      <c r="E545" s="63">
        <v>24.3</v>
      </c>
      <c r="F545" s="332" t="s">
        <v>2078</v>
      </c>
      <c r="G545" s="63">
        <v>25.2</v>
      </c>
      <c r="H545" s="63">
        <v>69.5</v>
      </c>
      <c r="I545" s="217">
        <v>42489</v>
      </c>
      <c r="J545" t="s">
        <v>130</v>
      </c>
      <c r="K545">
        <v>33.4</v>
      </c>
      <c r="L545" s="13">
        <v>0.434</v>
      </c>
      <c r="M545" s="146">
        <v>314</v>
      </c>
      <c r="Q545" s="4" t="str">
        <f>HYPERLINK("\\hopi-fs\shares\users\dhar\Stalk mount testing\Type 1e Quality Assurance\CRYO-1125-0046 1843","folder")</f>
        <v>folder</v>
      </c>
      <c r="T545" t="s">
        <v>1831</v>
      </c>
    </row>
    <row r="546" spans="1:21">
      <c r="A546" s="134">
        <v>1824</v>
      </c>
      <c r="B546" s="134">
        <v>16.8</v>
      </c>
      <c r="C546">
        <v>1.52</v>
      </c>
      <c r="D546">
        <v>7.12</v>
      </c>
      <c r="E546" s="63">
        <v>24.37</v>
      </c>
      <c r="F546" s="335" t="s">
        <v>2084</v>
      </c>
      <c r="G546" s="63">
        <v>31.7</v>
      </c>
      <c r="H546" s="63">
        <v>69</v>
      </c>
      <c r="I546" s="217">
        <v>42496</v>
      </c>
      <c r="J546" t="s">
        <v>130</v>
      </c>
      <c r="K546">
        <v>33.340000000000003</v>
      </c>
      <c r="L546" s="13">
        <v>0.48199999999999998</v>
      </c>
      <c r="M546" s="13">
        <v>337</v>
      </c>
      <c r="Q546" s="4" t="str">
        <f>HYPERLINK("\\hopi-fs\shares\users\dhar\Stalk mount testing\Type 1e Quality Assurance\CRYO-1118-0059 1824","folder")</f>
        <v>folder</v>
      </c>
      <c r="T546" t="s">
        <v>1831</v>
      </c>
      <c r="U546" t="s">
        <v>2086</v>
      </c>
    </row>
    <row r="547" spans="1:21">
      <c r="A547" s="134">
        <v>1825</v>
      </c>
      <c r="F547" s="176" t="s">
        <v>2085</v>
      </c>
      <c r="I547" s="217">
        <v>42496</v>
      </c>
      <c r="J547" t="s">
        <v>130</v>
      </c>
      <c r="Q547" s="4" t="str">
        <f>HYPERLINK("\\hopi-fs\shares\users\dhar\Stalk mount testing\Type 1e Quality Assurance\CRYO-1124-0048 1825","folder")</f>
        <v>folder</v>
      </c>
      <c r="T547" t="s">
        <v>1831</v>
      </c>
    </row>
    <row r="548" spans="1:21" ht="34.5" customHeight="1">
      <c r="A548" s="134">
        <v>1847</v>
      </c>
      <c r="B548" s="134">
        <v>18</v>
      </c>
      <c r="C548">
        <v>1.5</v>
      </c>
      <c r="D548">
        <v>7.13</v>
      </c>
      <c r="E548">
        <v>24.36</v>
      </c>
      <c r="F548" s="19" t="s">
        <v>2089</v>
      </c>
      <c r="G548">
        <v>44</v>
      </c>
      <c r="H548">
        <v>68</v>
      </c>
      <c r="I548" s="217">
        <v>42529</v>
      </c>
      <c r="J548" t="s">
        <v>130</v>
      </c>
      <c r="K548">
        <v>33.44</v>
      </c>
      <c r="L548">
        <v>0.68100000000000005</v>
      </c>
      <c r="M548">
        <v>369</v>
      </c>
      <c r="Q548" s="4" t="str">
        <f>HYPERLINK("\\hopi-fs\shares\users\dhar\Stalk mount testing\Type 1e Quality Assurance\CRYO-5079-0031","folder")</f>
        <v>folder</v>
      </c>
      <c r="T548" t="s">
        <v>1831</v>
      </c>
      <c r="U548" t="s">
        <v>2157</v>
      </c>
    </row>
    <row r="549" spans="1:21">
      <c r="A549" s="134">
        <v>1849</v>
      </c>
      <c r="B549" s="136"/>
      <c r="F549" s="176" t="s">
        <v>2090</v>
      </c>
      <c r="G549">
        <v>44</v>
      </c>
      <c r="H549">
        <v>68</v>
      </c>
      <c r="I549" s="217">
        <v>42529</v>
      </c>
      <c r="J549" t="s">
        <v>130</v>
      </c>
      <c r="Q549" s="4" t="str">
        <f>HYPERLINK("\\hopi-fs\shares\users\dhar\Stalk mount testing\Type 1e Quality Assurance\CRYO-2081-0041","folder")</f>
        <v>folder</v>
      </c>
      <c r="T549" t="s">
        <v>1831</v>
      </c>
      <c r="U549" t="s">
        <v>3510</v>
      </c>
    </row>
    <row r="550" spans="1:21">
      <c r="A550" s="134">
        <v>1852</v>
      </c>
      <c r="B550" s="134">
        <v>16</v>
      </c>
      <c r="C550">
        <v>1.52</v>
      </c>
      <c r="D550">
        <v>7.08</v>
      </c>
      <c r="E550">
        <v>24.31</v>
      </c>
      <c r="F550" s="19" t="s">
        <v>2091</v>
      </c>
      <c r="G550">
        <v>44</v>
      </c>
      <c r="H550">
        <v>68</v>
      </c>
      <c r="I550" s="217">
        <v>42529</v>
      </c>
      <c r="J550" t="s">
        <v>130</v>
      </c>
      <c r="K550">
        <v>33.35</v>
      </c>
      <c r="L550">
        <v>0.40799999999999997</v>
      </c>
      <c r="M550">
        <v>369</v>
      </c>
      <c r="Q550" s="4" t="str">
        <f>HYPERLINK("\\hopi-fs\shares\users\dhar\Stalk mount testing\Type 1e Quality Assurance\CRYO-2079-0034","folder")</f>
        <v>folder</v>
      </c>
      <c r="T550" t="s">
        <v>1831</v>
      </c>
      <c r="U550" t="s">
        <v>2157</v>
      </c>
    </row>
    <row r="551" spans="1:21">
      <c r="A551" s="134">
        <v>1854</v>
      </c>
      <c r="B551" s="134">
        <v>16</v>
      </c>
      <c r="C551">
        <v>1.49</v>
      </c>
      <c r="D551">
        <v>7.24</v>
      </c>
      <c r="E551">
        <v>24.36</v>
      </c>
      <c r="F551" s="19" t="s">
        <v>2092</v>
      </c>
      <c r="G551">
        <v>44</v>
      </c>
      <c r="H551">
        <v>68</v>
      </c>
      <c r="I551" s="217">
        <v>42529</v>
      </c>
      <c r="J551" t="s">
        <v>130</v>
      </c>
      <c r="K551">
        <v>33.54</v>
      </c>
      <c r="L551">
        <v>0.46800000000000003</v>
      </c>
      <c r="M551">
        <v>382</v>
      </c>
      <c r="Q551" s="4" t="str">
        <f>HYPERLINK("\\hopi-fs\shares\users\dhar\Stalk mount testing\Type 1e Quality Assurance\CRYO-2079-0039","folder")</f>
        <v>folder</v>
      </c>
      <c r="T551" t="s">
        <v>1831</v>
      </c>
      <c r="U551" t="s">
        <v>2157</v>
      </c>
    </row>
    <row r="552" spans="1:21" ht="28.5" customHeight="1">
      <c r="A552" s="134">
        <v>1858</v>
      </c>
      <c r="B552" s="134">
        <v>18.600000000000001</v>
      </c>
      <c r="C552">
        <v>1.54</v>
      </c>
      <c r="D552">
        <v>7.04</v>
      </c>
      <c r="E552">
        <v>24.27</v>
      </c>
      <c r="F552" s="290" t="s">
        <v>2093</v>
      </c>
      <c r="G552">
        <v>44</v>
      </c>
      <c r="H552">
        <v>68</v>
      </c>
      <c r="I552" s="217">
        <v>42529</v>
      </c>
      <c r="J552" t="s">
        <v>130</v>
      </c>
      <c r="K552">
        <v>33.28</v>
      </c>
      <c r="L552">
        <v>0.19700000000000001</v>
      </c>
      <c r="M552">
        <v>417</v>
      </c>
      <c r="Q552" s="4" t="str">
        <f>HYPERLINK("\\hopi-fs\shares\users\dhar\Stalk mount testing\Type 1e Quality Assurance\CRYO-5082-0007  1858 1E","folder")</f>
        <v>folder</v>
      </c>
      <c r="T552" t="s">
        <v>1831</v>
      </c>
      <c r="U552" t="s">
        <v>2157</v>
      </c>
    </row>
    <row r="553" spans="1:21">
      <c r="A553" s="134">
        <v>1860</v>
      </c>
      <c r="B553" s="134">
        <v>16.600000000000001</v>
      </c>
      <c r="C553">
        <v>1.5</v>
      </c>
      <c r="D553">
        <v>7.18</v>
      </c>
      <c r="E553">
        <v>24.31</v>
      </c>
      <c r="F553" s="270" t="s">
        <v>2094</v>
      </c>
      <c r="G553">
        <v>44</v>
      </c>
      <c r="H553">
        <v>68</v>
      </c>
      <c r="I553" s="217">
        <v>42529</v>
      </c>
      <c r="J553" t="s">
        <v>130</v>
      </c>
      <c r="K553">
        <v>33.44</v>
      </c>
      <c r="L553">
        <v>0.20599999999999999</v>
      </c>
      <c r="M553">
        <v>384</v>
      </c>
      <c r="Q553" s="4" t="str">
        <f>HYPERLINK("\\hopi-fs\shares\users\dhar\Stalk mount testing\Type 1e Quality Assurance\CRYO-5080-0008  1860 1E","folder")</f>
        <v>folder</v>
      </c>
      <c r="T553" t="s">
        <v>1831</v>
      </c>
    </row>
    <row r="554" spans="1:21">
      <c r="A554" s="134">
        <v>1855</v>
      </c>
      <c r="B554" s="134">
        <v>17.2</v>
      </c>
      <c r="C554">
        <v>1.5</v>
      </c>
      <c r="D554">
        <v>7.19</v>
      </c>
      <c r="E554">
        <v>24.31</v>
      </c>
      <c r="F554" s="290" t="s">
        <v>2095</v>
      </c>
      <c r="G554">
        <v>44</v>
      </c>
      <c r="H554">
        <v>68</v>
      </c>
      <c r="I554" s="217">
        <v>42529</v>
      </c>
      <c r="J554" t="s">
        <v>130</v>
      </c>
      <c r="K554">
        <v>33.450000000000003</v>
      </c>
      <c r="L554">
        <v>0.65700000000000003</v>
      </c>
      <c r="M554">
        <v>410</v>
      </c>
      <c r="Q554" s="4" t="str">
        <f>HYPERLINK("\\hopi-fs\shares\users\dhar\Stalk mount testing\Type 1e Quality Assurance\CRYO-5080-0010  1855 1E","folder")</f>
        <v>folder</v>
      </c>
      <c r="T554" t="s">
        <v>1831</v>
      </c>
      <c r="U554" t="s">
        <v>2157</v>
      </c>
    </row>
    <row r="555" spans="1:21">
      <c r="A555" s="134">
        <v>1856</v>
      </c>
      <c r="B555" s="136"/>
      <c r="F555" s="176" t="s">
        <v>2096</v>
      </c>
      <c r="G555">
        <v>44</v>
      </c>
      <c r="H555">
        <v>68</v>
      </c>
      <c r="I555" s="217">
        <v>42529</v>
      </c>
      <c r="J555" t="s">
        <v>130</v>
      </c>
      <c r="Q555" s="4" t="str">
        <f>HYPERLINK("\\hopi-fs\shares\users\dhar\Stalk mount testing\Type 1e Quality Assurance\CRYO-5081-0011  1856 1E","folder")</f>
        <v>folder</v>
      </c>
      <c r="T555" t="s">
        <v>1831</v>
      </c>
    </row>
    <row r="556" spans="1:21">
      <c r="A556" s="134">
        <v>1863</v>
      </c>
      <c r="B556" s="134">
        <v>17.8</v>
      </c>
      <c r="C556">
        <v>1.52</v>
      </c>
      <c r="D556">
        <v>7.1</v>
      </c>
      <c r="E556">
        <v>24.26</v>
      </c>
      <c r="F556" s="19" t="s">
        <v>2097</v>
      </c>
      <c r="G556">
        <v>44</v>
      </c>
      <c r="H556">
        <v>68</v>
      </c>
      <c r="I556" s="217">
        <v>42529</v>
      </c>
      <c r="J556" t="s">
        <v>130</v>
      </c>
      <c r="K556">
        <v>33.32</v>
      </c>
      <c r="L556">
        <v>0.55900000000000005</v>
      </c>
      <c r="M556">
        <v>411</v>
      </c>
      <c r="Q556" s="4" t="str">
        <f>HYPERLINK("\\hopi-fs\shares\users\dhar\Stalk mount testing\Type 1e Quality Assurance\CRYO-5080-0012  1863 1E","folder")</f>
        <v>folder</v>
      </c>
      <c r="T556" t="s">
        <v>1831</v>
      </c>
      <c r="U556" t="s">
        <v>2157</v>
      </c>
    </row>
    <row r="557" spans="1:21" ht="30.75" customHeight="1">
      <c r="A557" s="134">
        <v>1864</v>
      </c>
      <c r="B557" s="134">
        <v>17</v>
      </c>
      <c r="C557">
        <v>1.51</v>
      </c>
      <c r="D557">
        <v>7.19</v>
      </c>
      <c r="E557">
        <v>24.29</v>
      </c>
      <c r="F557" s="428" t="s">
        <v>2099</v>
      </c>
      <c r="G557">
        <v>33.9</v>
      </c>
      <c r="H557">
        <v>69.3</v>
      </c>
      <c r="I557" s="217">
        <v>42531</v>
      </c>
      <c r="J557" t="s">
        <v>130</v>
      </c>
      <c r="K557">
        <v>33.44</v>
      </c>
      <c r="L557">
        <v>0.53600000000000003</v>
      </c>
      <c r="M557">
        <v>278</v>
      </c>
      <c r="Q557" s="4" t="str">
        <f>HYPERLINK("\\hopi-fs\shares\users\dhar\Stalk mount testing\Type 1e Quality Assurance\CRYO-ME-4Q13-7  (MEQ)","folder")</f>
        <v>folder</v>
      </c>
      <c r="T557" t="s">
        <v>1831</v>
      </c>
      <c r="U557" t="s">
        <v>2101</v>
      </c>
    </row>
    <row r="558" spans="1:21">
      <c r="A558" s="134">
        <v>1865</v>
      </c>
      <c r="B558" s="134">
        <v>16.8</v>
      </c>
      <c r="C558">
        <v>1.54</v>
      </c>
      <c r="D558">
        <v>7.13</v>
      </c>
      <c r="E558">
        <v>24.26</v>
      </c>
      <c r="F558" s="19" t="s">
        <v>2100</v>
      </c>
      <c r="G558">
        <v>33.9</v>
      </c>
      <c r="H558">
        <v>69.3</v>
      </c>
      <c r="I558" s="217">
        <v>42531</v>
      </c>
      <c r="J558" t="s">
        <v>130</v>
      </c>
      <c r="K558">
        <v>33.380000000000003</v>
      </c>
      <c r="L558">
        <v>0.58199999999999996</v>
      </c>
      <c r="M558">
        <v>283</v>
      </c>
      <c r="Q558" s="4" t="str">
        <f>HYPERLINK("\\hopi-fs\shares\users\dhar\Stalk mount testing\Type 1e Quality Assurance\ISE-2Q16-10-A201 (MEQ)","folder")</f>
        <v>folder</v>
      </c>
      <c r="T558" t="s">
        <v>1831</v>
      </c>
      <c r="U558" t="s">
        <v>2296</v>
      </c>
    </row>
    <row r="559" spans="1:21" ht="42.75" customHeight="1">
      <c r="A559" s="134">
        <v>1868</v>
      </c>
      <c r="B559" s="134">
        <v>17.2</v>
      </c>
      <c r="C559">
        <v>1.51</v>
      </c>
      <c r="D559">
        <v>7.08</v>
      </c>
      <c r="E559">
        <v>24.23</v>
      </c>
      <c r="F559" s="428" t="s">
        <v>2102</v>
      </c>
      <c r="G559">
        <v>64.5</v>
      </c>
      <c r="H559">
        <v>67.5</v>
      </c>
      <c r="I559" s="217">
        <v>42551</v>
      </c>
      <c r="J559" t="s">
        <v>130</v>
      </c>
      <c r="K559">
        <v>33.270000000000003</v>
      </c>
      <c r="L559">
        <v>0.51300000000000001</v>
      </c>
      <c r="M559" s="44" t="s">
        <v>169</v>
      </c>
      <c r="Q559" s="4" t="str">
        <f>HYPERLINK("\\HOPI-FS\shares\users\dhar\Stalk mount testing\Type 1e Quality Assurance\ISE-2Q16-10-A205  1868 MEQ 1E","folder")</f>
        <v>folder</v>
      </c>
      <c r="T559" t="s">
        <v>1831</v>
      </c>
    </row>
    <row r="560" spans="1:21">
      <c r="A560" s="134">
        <v>1869</v>
      </c>
      <c r="B560" s="134">
        <v>16</v>
      </c>
      <c r="C560">
        <v>1.51</v>
      </c>
      <c r="D560">
        <v>7.11</v>
      </c>
      <c r="E560">
        <v>24.35</v>
      </c>
      <c r="F560" s="428" t="s">
        <v>2103</v>
      </c>
      <c r="G560">
        <v>64.5</v>
      </c>
      <c r="H560">
        <v>67.5</v>
      </c>
      <c r="I560" s="217">
        <v>42551</v>
      </c>
      <c r="J560" t="s">
        <v>130</v>
      </c>
      <c r="K560">
        <v>33.409999999999997</v>
      </c>
      <c r="L560">
        <v>0.61099999999999999</v>
      </c>
      <c r="M560" s="44" t="s">
        <v>169</v>
      </c>
      <c r="Q560" s="4" t="str">
        <f>HYPERLINK("\\HOPI-FS\shares\users\dhar\Stalk mount testing\Type 1e Quality Assurance\ISE-2Q16-10-A208  1869 MEQ 1E","folder")</f>
        <v>folder</v>
      </c>
      <c r="T560" t="s">
        <v>1831</v>
      </c>
    </row>
    <row r="561" spans="1:21">
      <c r="A561" s="134">
        <v>1870</v>
      </c>
      <c r="B561" s="134">
        <v>16.399999999999999</v>
      </c>
      <c r="C561">
        <v>1.51</v>
      </c>
      <c r="D561">
        <v>7.07</v>
      </c>
      <c r="E561">
        <v>24.31</v>
      </c>
      <c r="F561" s="428" t="s">
        <v>2104</v>
      </c>
      <c r="G561">
        <v>64.5</v>
      </c>
      <c r="H561">
        <v>67.5</v>
      </c>
      <c r="I561" s="217">
        <v>42551</v>
      </c>
      <c r="J561" t="s">
        <v>130</v>
      </c>
      <c r="K561">
        <v>33.340000000000003</v>
      </c>
      <c r="L561">
        <v>0.59799999999999998</v>
      </c>
      <c r="M561" s="44" t="s">
        <v>169</v>
      </c>
      <c r="Q561" s="4" t="str">
        <f>HYPERLINK("\\HOPI-FS\shares\users\dhar\Stalk mount testing\Type 1e Quality Assurance\ISE-2Q16-10-A212  1870 MEQ 1E","folder")</f>
        <v>folder</v>
      </c>
      <c r="T561" t="s">
        <v>1831</v>
      </c>
    </row>
    <row r="562" spans="1:21" ht="31.5" customHeight="1">
      <c r="A562" s="134">
        <v>1872</v>
      </c>
      <c r="B562" s="134">
        <v>16</v>
      </c>
      <c r="C562">
        <v>1.5</v>
      </c>
      <c r="D562">
        <v>7.1</v>
      </c>
      <c r="E562">
        <v>24.35</v>
      </c>
      <c r="F562" s="19" t="s">
        <v>2105</v>
      </c>
      <c r="G562">
        <v>63.5</v>
      </c>
      <c r="H562">
        <v>68.5</v>
      </c>
      <c r="I562" s="217">
        <v>42560</v>
      </c>
      <c r="J562" t="s">
        <v>130</v>
      </c>
      <c r="K562">
        <v>33.44</v>
      </c>
      <c r="L562">
        <v>0.68899999999999995</v>
      </c>
      <c r="M562">
        <v>391</v>
      </c>
      <c r="Q562" s="4" t="str">
        <f>HYPERLINK("\\HOPI-FS\shares\users\dhar\Stalk mount testing\Type 1e Quality Assurance\CRYO-1078-0061","folder")</f>
        <v>folder</v>
      </c>
      <c r="T562" t="s">
        <v>1831</v>
      </c>
      <c r="U562" t="s">
        <v>2127</v>
      </c>
    </row>
    <row r="563" spans="1:21">
      <c r="A563" s="134">
        <v>1873</v>
      </c>
      <c r="B563" s="134">
        <v>18</v>
      </c>
      <c r="C563">
        <v>1.5</v>
      </c>
      <c r="D563">
        <v>7.22</v>
      </c>
      <c r="E563">
        <v>24.28</v>
      </c>
      <c r="F563" s="19" t="s">
        <v>2106</v>
      </c>
      <c r="G563">
        <v>63.5</v>
      </c>
      <c r="H563">
        <v>68.5</v>
      </c>
      <c r="I563" s="217">
        <v>42560</v>
      </c>
      <c r="J563" t="s">
        <v>130</v>
      </c>
      <c r="K563">
        <v>33.46</v>
      </c>
      <c r="L563">
        <v>0.7</v>
      </c>
      <c r="M563">
        <v>421</v>
      </c>
      <c r="Q563" s="4" t="str">
        <f>HYPERLINK("\\HOPI-FS\shares\users\dhar\Stalk mount testing\Type 1e Quality Assurance\CRYO-1078-0063","folder")</f>
        <v>folder</v>
      </c>
      <c r="T563" t="s">
        <v>1831</v>
      </c>
      <c r="U563" t="s">
        <v>2127</v>
      </c>
    </row>
    <row r="564" spans="1:21">
      <c r="A564" s="134">
        <v>1874</v>
      </c>
      <c r="B564" s="134">
        <v>17</v>
      </c>
      <c r="C564">
        <v>1.4850000000000001</v>
      </c>
      <c r="D564">
        <v>7.14</v>
      </c>
      <c r="E564">
        <v>24.3</v>
      </c>
      <c r="F564" s="19" t="s">
        <v>2107</v>
      </c>
      <c r="G564">
        <v>63.5</v>
      </c>
      <c r="H564">
        <v>68.5</v>
      </c>
      <c r="I564" s="217">
        <v>42560</v>
      </c>
      <c r="J564" t="s">
        <v>130</v>
      </c>
      <c r="K564">
        <v>33.36</v>
      </c>
      <c r="L564">
        <v>0.99</v>
      </c>
      <c r="M564">
        <v>417</v>
      </c>
      <c r="Q564" s="4" t="str">
        <f>HYPERLINK("\\HOPI-FS\shares\users\dhar\Stalk mount testing\Type 1e Quality Assurance\CRYO-1079-0064","folder")</f>
        <v>folder</v>
      </c>
      <c r="T564" t="s">
        <v>1831</v>
      </c>
      <c r="U564" t="s">
        <v>2127</v>
      </c>
    </row>
    <row r="565" spans="1:21">
      <c r="A565" s="134">
        <v>1875</v>
      </c>
      <c r="B565" s="134">
        <v>18</v>
      </c>
      <c r="C565">
        <v>1.53</v>
      </c>
      <c r="D565">
        <v>7.1</v>
      </c>
      <c r="E565">
        <v>24.35</v>
      </c>
      <c r="F565" s="19" t="s">
        <v>2108</v>
      </c>
      <c r="G565">
        <v>63.5</v>
      </c>
      <c r="H565">
        <v>68.5</v>
      </c>
      <c r="I565" s="217">
        <v>42560</v>
      </c>
      <c r="J565" t="s">
        <v>130</v>
      </c>
      <c r="K565">
        <v>33.4</v>
      </c>
      <c r="L565">
        <v>0.36699999999999999</v>
      </c>
      <c r="M565">
        <v>425</v>
      </c>
      <c r="Q565" s="4" t="str">
        <f>HYPERLINK("\\HOPI-FS\shares\users\dhar\Stalk mount testing\Type 1e Quality Assurance\CRYO-1078-0065","folder")</f>
        <v>folder</v>
      </c>
      <c r="T565" t="s">
        <v>1831</v>
      </c>
      <c r="U565" t="s">
        <v>2127</v>
      </c>
    </row>
    <row r="566" spans="1:21">
      <c r="A566" s="134">
        <v>1877</v>
      </c>
      <c r="C566">
        <v>1.54</v>
      </c>
      <c r="D566">
        <v>7.24</v>
      </c>
      <c r="E566">
        <v>24.35</v>
      </c>
      <c r="F566" s="176" t="s">
        <v>2109</v>
      </c>
      <c r="G566">
        <v>63.5</v>
      </c>
      <c r="H566">
        <v>68.5</v>
      </c>
      <c r="I566" s="217">
        <v>42560</v>
      </c>
      <c r="J566" t="s">
        <v>130</v>
      </c>
      <c r="K566">
        <v>33.57</v>
      </c>
      <c r="L566">
        <v>0.73399999999999999</v>
      </c>
      <c r="Q566" s="4" t="str">
        <f>HYPERLINK("\\HOPI-FS\shares\users\dhar\Stalk mount testing\Type 1e Quality Assurance\CRYO-1078-0067","folder")</f>
        <v>folder</v>
      </c>
      <c r="T566" t="s">
        <v>1831</v>
      </c>
    </row>
    <row r="567" spans="1:21">
      <c r="A567" s="134">
        <v>1877</v>
      </c>
      <c r="B567" s="134">
        <v>17.5</v>
      </c>
      <c r="C567">
        <v>1.53</v>
      </c>
      <c r="D567">
        <v>7.24</v>
      </c>
      <c r="E567">
        <v>24.35</v>
      </c>
      <c r="F567" s="176" t="s">
        <v>2114</v>
      </c>
      <c r="G567">
        <v>61</v>
      </c>
      <c r="H567">
        <v>69.900000000000006</v>
      </c>
      <c r="I567" s="217">
        <v>42560</v>
      </c>
      <c r="J567" t="s">
        <v>130</v>
      </c>
      <c r="K567">
        <v>33.6</v>
      </c>
      <c r="L567">
        <v>0.98</v>
      </c>
      <c r="Q567" s="4" t="str">
        <f>HYPERLINK("\\HOPI-FS\shares\users\dhar\Stalk mount testing\Type 1e Quality Assurance\CRYO-1080-0072","FOLDER")</f>
        <v>FOLDER</v>
      </c>
      <c r="T567" t="s">
        <v>1831</v>
      </c>
    </row>
    <row r="568" spans="1:21">
      <c r="A568" s="134">
        <v>1878</v>
      </c>
      <c r="B568" s="134" t="s">
        <v>169</v>
      </c>
      <c r="C568" s="134" t="s">
        <v>169</v>
      </c>
      <c r="D568" s="134" t="s">
        <v>169</v>
      </c>
      <c r="E568" s="134" t="s">
        <v>169</v>
      </c>
      <c r="F568" s="176" t="s">
        <v>2110</v>
      </c>
      <c r="G568">
        <v>63.5</v>
      </c>
      <c r="H568">
        <v>68.5</v>
      </c>
      <c r="I568" s="217">
        <v>42560</v>
      </c>
      <c r="J568" t="s">
        <v>130</v>
      </c>
      <c r="K568" s="428" t="s">
        <v>169</v>
      </c>
      <c r="L568" s="428" t="s">
        <v>169</v>
      </c>
      <c r="Q568" s="4" t="str">
        <f>HYPERLINK("\\HOPI-FS\shares\users\dhar\Stalk mount testing\Type 1e Quality Assurance\CRYO-1079-0068","folder")</f>
        <v>folder</v>
      </c>
      <c r="T568" t="s">
        <v>1831</v>
      </c>
    </row>
    <row r="569" spans="1:21">
      <c r="A569" s="134">
        <v>1878</v>
      </c>
      <c r="B569" s="134">
        <v>17.5</v>
      </c>
      <c r="C569">
        <v>1.5</v>
      </c>
      <c r="D569">
        <v>7.16</v>
      </c>
      <c r="E569">
        <v>24.4</v>
      </c>
      <c r="F569" s="249" t="s">
        <v>2113</v>
      </c>
      <c r="G569">
        <v>61</v>
      </c>
      <c r="H569">
        <v>69.900000000000006</v>
      </c>
      <c r="I569" s="217">
        <v>42560</v>
      </c>
      <c r="J569" t="s">
        <v>130</v>
      </c>
      <c r="K569">
        <v>33.5</v>
      </c>
      <c r="L569">
        <v>0.68700000000000006</v>
      </c>
      <c r="M569">
        <v>425</v>
      </c>
      <c r="Q569" s="4" t="str">
        <f>HYPERLINK("\\HOPI-FS\shares\users\dhar\Stalk mount testing\Type 1e Quality Assurance\CRYO-1078-0071","FOLDER")</f>
        <v>FOLDER</v>
      </c>
      <c r="T569" t="s">
        <v>1831</v>
      </c>
      <c r="U569" t="s">
        <v>2127</v>
      </c>
    </row>
    <row r="570" spans="1:21">
      <c r="A570" s="134">
        <v>1879</v>
      </c>
      <c r="B570" s="134">
        <v>18.2</v>
      </c>
      <c r="C570">
        <v>1.5</v>
      </c>
      <c r="D570">
        <v>7.07</v>
      </c>
      <c r="E570">
        <v>24.4</v>
      </c>
      <c r="F570" s="176" t="s">
        <v>2111</v>
      </c>
      <c r="G570">
        <v>63.5</v>
      </c>
      <c r="H570">
        <v>68.5</v>
      </c>
      <c r="I570" s="217">
        <v>42560</v>
      </c>
      <c r="J570" t="s">
        <v>130</v>
      </c>
      <c r="K570">
        <v>33.380000000000003</v>
      </c>
      <c r="L570">
        <v>0.65500000000000003</v>
      </c>
      <c r="Q570" s="4" t="str">
        <f>HYPERLINK("\\HOPI-FS\shares\users\dhar\Stalk mount testing\Type 1e Quality Assurance\CRYO-1081-0069","folder")</f>
        <v>folder</v>
      </c>
      <c r="T570" t="s">
        <v>1831</v>
      </c>
    </row>
    <row r="571" spans="1:21">
      <c r="A571" s="134">
        <v>1880</v>
      </c>
      <c r="B571" s="134">
        <v>16.5</v>
      </c>
      <c r="C571">
        <v>1.5</v>
      </c>
      <c r="D571">
        <v>7.12</v>
      </c>
      <c r="E571">
        <v>24.3</v>
      </c>
      <c r="F571" s="290" t="s">
        <v>2112</v>
      </c>
      <c r="G571">
        <v>63.5</v>
      </c>
      <c r="H571">
        <v>68.5</v>
      </c>
      <c r="I571" s="217">
        <v>42560</v>
      </c>
      <c r="J571" t="s">
        <v>130</v>
      </c>
      <c r="K571">
        <v>33.340000000000003</v>
      </c>
      <c r="L571">
        <v>0.8</v>
      </c>
      <c r="M571">
        <v>409</v>
      </c>
      <c r="Q571" s="4" t="str">
        <f>HYPERLINK("\\HOPI-FS\shares\users\dhar\Stalk mount testing\Type 1e Quality Assurance\CRYO-1079-0070","folder")</f>
        <v>folder</v>
      </c>
      <c r="T571" t="s">
        <v>1831</v>
      </c>
      <c r="U571" t="s">
        <v>2127</v>
      </c>
    </row>
    <row r="572" spans="1:21" ht="33" customHeight="1">
      <c r="A572" s="134">
        <v>1882</v>
      </c>
      <c r="B572" s="134">
        <v>18</v>
      </c>
      <c r="C572">
        <v>1.51</v>
      </c>
      <c r="D572">
        <v>7.11</v>
      </c>
      <c r="E572">
        <v>24.28</v>
      </c>
      <c r="F572" s="69" t="s">
        <v>2128</v>
      </c>
      <c r="G572">
        <v>63</v>
      </c>
      <c r="H572">
        <v>69</v>
      </c>
      <c r="I572" s="217">
        <v>42587</v>
      </c>
      <c r="J572" t="s">
        <v>130</v>
      </c>
      <c r="K572">
        <v>33.4</v>
      </c>
      <c r="L572">
        <v>0.93500000000000005</v>
      </c>
      <c r="M572" s="13">
        <v>343</v>
      </c>
      <c r="Q572" s="4" t="str">
        <f>HYPERLINK("\\HOPI-FS\shares\users\dhar\Stalk mount testing\Type 1e Quality Assurance\CRYO-9104-0016","folder")</f>
        <v>folder</v>
      </c>
      <c r="T572" t="s">
        <v>1831</v>
      </c>
      <c r="U572" s="139" t="s">
        <v>3846</v>
      </c>
    </row>
    <row r="573" spans="1:21">
      <c r="A573" s="134">
        <v>1883</v>
      </c>
      <c r="B573" s="134">
        <v>19</v>
      </c>
      <c r="C573">
        <v>1.55</v>
      </c>
      <c r="D573">
        <v>7.04</v>
      </c>
      <c r="E573">
        <v>24.3</v>
      </c>
      <c r="F573" s="69" t="s">
        <v>2129</v>
      </c>
      <c r="G573">
        <v>64</v>
      </c>
      <c r="H573">
        <v>70</v>
      </c>
      <c r="I573" s="217">
        <v>42583</v>
      </c>
      <c r="J573" t="s">
        <v>130</v>
      </c>
      <c r="K573">
        <v>33.4</v>
      </c>
      <c r="L573">
        <v>0.62</v>
      </c>
      <c r="M573" s="13">
        <v>378</v>
      </c>
      <c r="Q573" s="4" t="str">
        <f>HYPERLINK("\\HOPI-FS\shares\users\dhar\Stalk mount testing\Type 1e Quality Assurance\CRYO-9107-0017","folder")</f>
        <v>folder</v>
      </c>
      <c r="T573" t="s">
        <v>1831</v>
      </c>
      <c r="U573" t="s">
        <v>2139</v>
      </c>
    </row>
    <row r="574" spans="1:21">
      <c r="A574" s="134">
        <v>1885</v>
      </c>
      <c r="B574" s="134">
        <v>17</v>
      </c>
      <c r="C574">
        <v>1.5</v>
      </c>
      <c r="D574">
        <v>7.13</v>
      </c>
      <c r="E574">
        <v>24.3</v>
      </c>
      <c r="F574" s="69" t="s">
        <v>2130</v>
      </c>
      <c r="G574">
        <v>63</v>
      </c>
      <c r="H574">
        <v>69</v>
      </c>
      <c r="I574" s="217">
        <v>42587</v>
      </c>
      <c r="J574" t="s">
        <v>130</v>
      </c>
      <c r="K574">
        <v>33.47</v>
      </c>
      <c r="L574">
        <v>0.65700000000000003</v>
      </c>
      <c r="M574" s="3">
        <v>321</v>
      </c>
      <c r="Q574" s="4" t="str">
        <f>HYPERLINK("\\HOPI-FS\shares\users\dhar\Stalk mount testing\Type 1e Quality Assurance\CRYO-9114-0018","folder")</f>
        <v>folder</v>
      </c>
      <c r="T574" t="s">
        <v>1831</v>
      </c>
      <c r="U574" t="s">
        <v>2139</v>
      </c>
    </row>
    <row r="575" spans="1:21">
      <c r="A575" s="134">
        <v>1888</v>
      </c>
      <c r="B575" s="134">
        <v>17</v>
      </c>
      <c r="C575">
        <v>1.54</v>
      </c>
      <c r="D575">
        <v>7.15</v>
      </c>
      <c r="E575">
        <v>24.31</v>
      </c>
      <c r="F575" s="69" t="s">
        <v>2131</v>
      </c>
      <c r="G575">
        <v>64</v>
      </c>
      <c r="H575">
        <v>70</v>
      </c>
      <c r="I575" s="217">
        <v>42583</v>
      </c>
      <c r="J575" t="s">
        <v>644</v>
      </c>
      <c r="K575">
        <v>33.49</v>
      </c>
      <c r="L575">
        <v>0.72499999999999998</v>
      </c>
      <c r="M575" s="13">
        <v>331</v>
      </c>
      <c r="Q575" s="4" t="str">
        <f>HYPERLINK("\\HOPI-FS\shares\users\dhar\Stalk mount testing\Type 1e Quality Assurance\CRYO-9106-0019","folder")</f>
        <v>folder</v>
      </c>
      <c r="T575" t="s">
        <v>1831</v>
      </c>
      <c r="U575" t="s">
        <v>2139</v>
      </c>
    </row>
    <row r="576" spans="1:21">
      <c r="A576" s="134">
        <v>1889</v>
      </c>
      <c r="B576" s="134">
        <v>19</v>
      </c>
      <c r="C576">
        <v>1.49</v>
      </c>
      <c r="D576">
        <v>7.09</v>
      </c>
      <c r="E576">
        <v>24.29</v>
      </c>
      <c r="F576" s="69" t="s">
        <v>2132</v>
      </c>
      <c r="G576">
        <v>64</v>
      </c>
      <c r="H576">
        <v>70</v>
      </c>
      <c r="I576" s="217">
        <v>42583</v>
      </c>
      <c r="J576" t="s">
        <v>644</v>
      </c>
      <c r="K576">
        <v>33.36</v>
      </c>
      <c r="L576">
        <v>0.64800000000000002</v>
      </c>
      <c r="M576" s="13">
        <v>377</v>
      </c>
      <c r="Q576" s="4" t="str">
        <f>HYPERLINK("\\HOPI-FS\shares\users\dhar\Stalk mount testing\Type 1e Quality Assurance\CRYO-9112-0020","folder")</f>
        <v>folder</v>
      </c>
      <c r="T576" t="s">
        <v>1831</v>
      </c>
      <c r="U576" t="s">
        <v>2139</v>
      </c>
    </row>
    <row r="577" spans="1:23">
      <c r="A577" s="134">
        <v>1890</v>
      </c>
      <c r="B577" s="134">
        <v>17</v>
      </c>
      <c r="C577">
        <v>1.48</v>
      </c>
      <c r="D577">
        <v>7.06</v>
      </c>
      <c r="E577">
        <v>24.35</v>
      </c>
      <c r="F577" s="69" t="s">
        <v>2133</v>
      </c>
      <c r="G577">
        <v>64</v>
      </c>
      <c r="H577">
        <v>70</v>
      </c>
      <c r="I577" s="217">
        <v>42583</v>
      </c>
      <c r="J577" t="s">
        <v>130</v>
      </c>
      <c r="K577">
        <v>33.4</v>
      </c>
      <c r="L577">
        <v>0.59599999999999997</v>
      </c>
      <c r="M577" s="13">
        <v>331</v>
      </c>
      <c r="Q577" s="4" t="str">
        <f>HYPERLINK("\\HOPI-FS\shares\users\dhar\Stalk mount testing\Type 1e Quality Assurance\CRYO-9116-0021","folder")</f>
        <v>folder</v>
      </c>
      <c r="T577" t="s">
        <v>1831</v>
      </c>
      <c r="U577" t="s">
        <v>2139</v>
      </c>
    </row>
    <row r="578" spans="1:23">
      <c r="A578" s="134">
        <v>1891</v>
      </c>
      <c r="B578" s="134">
        <v>17.5</v>
      </c>
      <c r="C578">
        <v>1.54</v>
      </c>
      <c r="D578">
        <v>7.11</v>
      </c>
      <c r="E578">
        <v>24.43</v>
      </c>
      <c r="F578" s="69" t="s">
        <v>2134</v>
      </c>
      <c r="G578">
        <v>64</v>
      </c>
      <c r="H578">
        <v>70</v>
      </c>
      <c r="I578" s="217">
        <v>42583</v>
      </c>
      <c r="J578" t="s">
        <v>130</v>
      </c>
      <c r="K578">
        <v>33.6</v>
      </c>
      <c r="L578">
        <v>0.81799999999999995</v>
      </c>
      <c r="M578" s="13">
        <v>354</v>
      </c>
      <c r="Q578" s="4" t="str">
        <f>HYPERLINK("\\HOPI-FS\shares\users\dhar\Stalk mount testing\Type 1e Quality Assurance\CRYO-9106-0022","folder")</f>
        <v>folder</v>
      </c>
      <c r="T578" t="s">
        <v>1831</v>
      </c>
    </row>
    <row r="579" spans="1:23">
      <c r="A579" s="134">
        <v>1887</v>
      </c>
      <c r="B579" s="134">
        <v>18</v>
      </c>
      <c r="C579" s="301">
        <v>1.52</v>
      </c>
      <c r="D579">
        <v>7.08</v>
      </c>
      <c r="E579">
        <v>24.34</v>
      </c>
      <c r="F579" s="69" t="s">
        <v>2135</v>
      </c>
      <c r="G579">
        <v>64</v>
      </c>
      <c r="H579">
        <v>70</v>
      </c>
      <c r="I579" s="217">
        <v>42583</v>
      </c>
      <c r="J579" t="s">
        <v>130</v>
      </c>
      <c r="K579">
        <v>33.5</v>
      </c>
      <c r="L579">
        <v>0.52200000000000002</v>
      </c>
      <c r="M579" s="13">
        <v>351</v>
      </c>
      <c r="Q579" s="4" t="str">
        <f>HYPERLINK("\\HOPI-FS\shares\users\dhar\Stalk mount testing\Type 1e Quality Assurance\CRYO-9107-0023","folder")</f>
        <v>folder</v>
      </c>
      <c r="T579" t="s">
        <v>1831</v>
      </c>
      <c r="U579" t="s">
        <v>2139</v>
      </c>
    </row>
    <row r="580" spans="1:23" ht="33" customHeight="1">
      <c r="A580" s="134">
        <v>1710</v>
      </c>
      <c r="B580" s="134">
        <v>16.2</v>
      </c>
      <c r="C580">
        <v>1.52</v>
      </c>
      <c r="D580">
        <v>7.14</v>
      </c>
      <c r="E580">
        <v>24.34</v>
      </c>
      <c r="F580" s="344" t="s">
        <v>2137</v>
      </c>
      <c r="G580">
        <v>62.5</v>
      </c>
      <c r="H580">
        <v>68.7</v>
      </c>
      <c r="I580" s="217">
        <v>42592</v>
      </c>
      <c r="J580" t="s">
        <v>644</v>
      </c>
      <c r="K580">
        <v>33.42</v>
      </c>
      <c r="L580">
        <v>0.48399999999999999</v>
      </c>
      <c r="M580" s="13">
        <v>275</v>
      </c>
      <c r="Q580" s="4" t="str">
        <f>HYPERLINK("\\hopi-fs\shares\users\dhar\Stalk mount testing\Type 1e Quality Assurance\ISE-2Q16-10-B117  1710 1E MEQ","folder")</f>
        <v>folder</v>
      </c>
      <c r="T580" t="s">
        <v>2136</v>
      </c>
      <c r="U580" t="s">
        <v>2138</v>
      </c>
    </row>
    <row r="581" spans="1:23" ht="33" customHeight="1">
      <c r="A581" s="134">
        <v>1892</v>
      </c>
      <c r="B581" s="139">
        <v>19</v>
      </c>
      <c r="C581">
        <v>1.49</v>
      </c>
      <c r="D581">
        <v>7.15</v>
      </c>
      <c r="E581">
        <v>24.3</v>
      </c>
      <c r="F581" s="69" t="s">
        <v>2140</v>
      </c>
      <c r="G581">
        <v>65</v>
      </c>
      <c r="H581">
        <v>69</v>
      </c>
      <c r="I581" s="217">
        <v>42622</v>
      </c>
      <c r="J581" t="s">
        <v>130</v>
      </c>
      <c r="K581">
        <v>33.4</v>
      </c>
      <c r="L581">
        <v>0.50900000000000001</v>
      </c>
      <c r="M581" s="13">
        <v>465</v>
      </c>
      <c r="Q581" s="4" t="str">
        <f>HYPERLINK("\\hopi-fs\shares\users\dhar\Stalk mount testing\Type 1e Quality Assurance\CRYO-2076-2748","folder")</f>
        <v>folder</v>
      </c>
      <c r="T581" t="s">
        <v>2136</v>
      </c>
      <c r="U581" t="s">
        <v>2152</v>
      </c>
    </row>
    <row r="582" spans="1:23">
      <c r="A582" s="134">
        <v>1893</v>
      </c>
      <c r="B582" s="345">
        <v>15</v>
      </c>
      <c r="C582">
        <v>1.55</v>
      </c>
      <c r="D582">
        <v>7.1</v>
      </c>
      <c r="E582">
        <v>24.4</v>
      </c>
      <c r="F582" s="69" t="s">
        <v>2141</v>
      </c>
      <c r="G582">
        <v>65</v>
      </c>
      <c r="H582">
        <v>69</v>
      </c>
      <c r="I582" s="217">
        <v>42622</v>
      </c>
      <c r="J582" t="s">
        <v>130</v>
      </c>
      <c r="K582">
        <v>33.4</v>
      </c>
      <c r="L582">
        <v>0.96499999999999997</v>
      </c>
      <c r="M582" s="13">
        <v>331</v>
      </c>
      <c r="Q582" s="4" t="str">
        <f>HYPERLINK("\\hopi-fs\shares\users\dhar\Stalk mount testing\Type 1e Quality Assurance\CRYO-2075-2750","folder")</f>
        <v>folder</v>
      </c>
      <c r="T582" t="s">
        <v>2136</v>
      </c>
      <c r="U582" t="s">
        <v>2552</v>
      </c>
      <c r="W582" s="29">
        <v>7</v>
      </c>
    </row>
    <row r="583" spans="1:23">
      <c r="A583" s="134">
        <v>1894</v>
      </c>
      <c r="B583" s="134">
        <v>15</v>
      </c>
      <c r="C583">
        <v>1.51</v>
      </c>
      <c r="D583">
        <v>7.13</v>
      </c>
      <c r="E583">
        <v>24.3</v>
      </c>
      <c r="F583" s="69" t="s">
        <v>2142</v>
      </c>
      <c r="G583">
        <v>65</v>
      </c>
      <c r="H583">
        <v>69</v>
      </c>
      <c r="I583" s="217">
        <v>42622</v>
      </c>
      <c r="J583" t="s">
        <v>130</v>
      </c>
      <c r="K583">
        <v>33.4</v>
      </c>
      <c r="L583">
        <v>0.79300000000000004</v>
      </c>
      <c r="M583" s="13">
        <v>343</v>
      </c>
      <c r="Q583" s="4" t="str">
        <f>HYPERLINK("\\hopi-fs\shares\users\dhar\Stalk mount testing\Type 1e Quality Assurance\CRYO-2075-2751","folder")</f>
        <v>folder</v>
      </c>
      <c r="T583" t="s">
        <v>2136</v>
      </c>
      <c r="U583" t="s">
        <v>2152</v>
      </c>
    </row>
    <row r="584" spans="1:23">
      <c r="A584" s="134">
        <v>1895</v>
      </c>
      <c r="B584" s="136">
        <v>18</v>
      </c>
      <c r="C584">
        <v>1.54</v>
      </c>
      <c r="D584">
        <v>7.17</v>
      </c>
      <c r="E584">
        <v>24.3</v>
      </c>
      <c r="F584" s="327" t="s">
        <v>2143</v>
      </c>
      <c r="G584">
        <v>65</v>
      </c>
      <c r="H584">
        <v>69</v>
      </c>
      <c r="I584" s="217">
        <v>42622</v>
      </c>
      <c r="J584" t="s">
        <v>130</v>
      </c>
      <c r="K584">
        <v>33.5</v>
      </c>
      <c r="L584">
        <v>0.13600000000000001</v>
      </c>
      <c r="Q584" s="4" t="str">
        <f>HYPERLINK("\\hopi-fs\shares\users\dhar\Stalk mount testing\Type 1e Quality Assurance\CRYO-2076-2752","folder")</f>
        <v>folder</v>
      </c>
      <c r="T584" t="s">
        <v>2136</v>
      </c>
    </row>
    <row r="585" spans="1:23">
      <c r="A585" s="134">
        <v>1896</v>
      </c>
      <c r="B585" s="134">
        <v>16.8</v>
      </c>
      <c r="C585">
        <v>1.56</v>
      </c>
      <c r="D585">
        <v>7.15</v>
      </c>
      <c r="E585">
        <v>24.3</v>
      </c>
      <c r="F585" s="69" t="s">
        <v>2144</v>
      </c>
      <c r="G585">
        <v>65</v>
      </c>
      <c r="H585">
        <v>69</v>
      </c>
      <c r="I585" s="217">
        <v>42622</v>
      </c>
      <c r="J585" t="s">
        <v>130</v>
      </c>
      <c r="K585">
        <v>33.5</v>
      </c>
      <c r="L585">
        <v>0.57499999999999996</v>
      </c>
      <c r="M585">
        <v>384</v>
      </c>
      <c r="Q585" s="4" t="str">
        <f>HYPERLINK("\\hopi-fs\shares\users\dhar\Stalk mount testing\Type 1e Quality Assurance\CRYO-2076-2754","folder")</f>
        <v>folder</v>
      </c>
      <c r="T585" t="s">
        <v>2136</v>
      </c>
      <c r="U585" t="s">
        <v>2152</v>
      </c>
    </row>
    <row r="586" spans="1:23">
      <c r="A586" s="134">
        <v>1897</v>
      </c>
      <c r="B586" s="134">
        <v>15.8</v>
      </c>
      <c r="C586">
        <v>1.47</v>
      </c>
      <c r="D586">
        <v>6.97</v>
      </c>
      <c r="E586">
        <v>24.2</v>
      </c>
      <c r="F586" s="69" t="s">
        <v>2145</v>
      </c>
      <c r="G586">
        <v>65</v>
      </c>
      <c r="H586">
        <v>69</v>
      </c>
      <c r="I586" s="217">
        <v>42622</v>
      </c>
      <c r="J586" t="s">
        <v>130</v>
      </c>
      <c r="K586">
        <v>33.4</v>
      </c>
      <c r="L586">
        <v>0.57999999999999996</v>
      </c>
      <c r="M586">
        <v>385</v>
      </c>
      <c r="Q586" s="4" t="str">
        <f>HYPERLINK("\\hopi-fs\shares\users\dhar\Stalk mount testing\Type 1e Quality Assurance\CRYO-2076-2755","folder")</f>
        <v>folder</v>
      </c>
      <c r="T586" t="s">
        <v>2136</v>
      </c>
      <c r="U586" t="s">
        <v>2152</v>
      </c>
    </row>
    <row r="587" spans="1:23">
      <c r="A587" s="134">
        <v>1898</v>
      </c>
      <c r="B587" s="134">
        <v>16.8</v>
      </c>
      <c r="C587">
        <v>1.51</v>
      </c>
      <c r="D587">
        <v>7.09</v>
      </c>
      <c r="E587">
        <v>24.3</v>
      </c>
      <c r="F587" s="69" t="s">
        <v>2146</v>
      </c>
      <c r="G587">
        <v>65</v>
      </c>
      <c r="H587">
        <v>69</v>
      </c>
      <c r="I587" s="217">
        <v>42622</v>
      </c>
      <c r="J587" t="s">
        <v>130</v>
      </c>
      <c r="K587">
        <v>33.299999999999997</v>
      </c>
      <c r="L587">
        <v>0.38800000000000001</v>
      </c>
      <c r="M587">
        <v>394</v>
      </c>
      <c r="Q587" s="4" t="str">
        <f>HYPERLINK("\\hopi-fs\shares\users\dhar\Stalk mount testing\Type 1e Quality Assurance\CRYO-2075-2757","folder")</f>
        <v>folder</v>
      </c>
      <c r="T587" t="s">
        <v>2136</v>
      </c>
      <c r="U587" t="s">
        <v>2152</v>
      </c>
    </row>
    <row r="588" spans="1:23">
      <c r="A588" s="134">
        <v>1899</v>
      </c>
      <c r="B588" s="134">
        <v>17</v>
      </c>
      <c r="C588">
        <v>1.55</v>
      </c>
      <c r="D588">
        <v>6.96</v>
      </c>
      <c r="E588">
        <v>24.3</v>
      </c>
      <c r="F588" s="69" t="s">
        <v>2147</v>
      </c>
      <c r="G588">
        <v>65</v>
      </c>
      <c r="H588">
        <v>69</v>
      </c>
      <c r="I588" s="217">
        <v>42622</v>
      </c>
      <c r="J588" t="s">
        <v>130</v>
      </c>
      <c r="K588">
        <v>33.4</v>
      </c>
      <c r="L588">
        <v>0.29499999999999998</v>
      </c>
      <c r="M588">
        <v>415</v>
      </c>
      <c r="Q588" s="4" t="str">
        <f>HYPERLINK("\\hopi-fs\shares\users\dhar\Stalk mount testing\Type 1e Quality Assurance\CRYO-2076-2759","folder")</f>
        <v>folder</v>
      </c>
      <c r="T588" t="s">
        <v>2136</v>
      </c>
      <c r="U588" t="s">
        <v>2152</v>
      </c>
    </row>
    <row r="589" spans="1:23" ht="25.5" customHeight="1">
      <c r="A589" s="134">
        <v>1901</v>
      </c>
      <c r="B589" s="134">
        <v>19</v>
      </c>
      <c r="C589">
        <v>1.52</v>
      </c>
      <c r="D589">
        <v>7.12</v>
      </c>
      <c r="E589">
        <v>24.26</v>
      </c>
      <c r="F589" s="69" t="s">
        <v>2149</v>
      </c>
      <c r="G589">
        <v>60.6</v>
      </c>
      <c r="H589">
        <v>69</v>
      </c>
      <c r="I589" s="217">
        <v>42626</v>
      </c>
      <c r="J589" t="s">
        <v>130</v>
      </c>
      <c r="K589">
        <v>33.340000000000003</v>
      </c>
      <c r="L589">
        <v>0.39100000000000001</v>
      </c>
      <c r="M589">
        <v>259</v>
      </c>
      <c r="Q589" s="4" t="str">
        <f>HYPERLINK("\\hopi-fs\shares\users\dhar\Stalk mount testing\Type 1e Quality Assurance\ISE-2Q16-10-A215  1E MEQ","FOLDER")</f>
        <v>FOLDER</v>
      </c>
      <c r="T589" t="s">
        <v>2136</v>
      </c>
      <c r="U589" t="s">
        <v>2151</v>
      </c>
    </row>
    <row r="590" spans="1:23">
      <c r="A590" s="134">
        <v>1902</v>
      </c>
      <c r="B590" s="134">
        <v>16.399999999999999</v>
      </c>
      <c r="C590">
        <v>1.55</v>
      </c>
      <c r="D590">
        <v>7.08</v>
      </c>
      <c r="E590">
        <v>24.32</v>
      </c>
      <c r="F590" s="69" t="s">
        <v>2150</v>
      </c>
      <c r="G590">
        <v>60.6</v>
      </c>
      <c r="H590">
        <v>69</v>
      </c>
      <c r="I590" s="217">
        <v>42626</v>
      </c>
      <c r="J590" s="13" t="s">
        <v>130</v>
      </c>
      <c r="K590">
        <v>33.4</v>
      </c>
      <c r="L590">
        <v>0.39600000000000002</v>
      </c>
      <c r="M590">
        <v>274</v>
      </c>
      <c r="Q590" s="4" t="str">
        <f>HYPERLINK("\\hopi-fs\shares\users\dhar\Stalk mount testing\Type 1e Quality Assurance\ISE-2Q16-10-A218  1E MEQ","FOLDER")</f>
        <v>FOLDER</v>
      </c>
      <c r="T590" t="s">
        <v>2136</v>
      </c>
      <c r="U590" t="s">
        <v>2151</v>
      </c>
    </row>
    <row r="591" spans="1:23" ht="27.75" customHeight="1">
      <c r="A591" s="134">
        <v>1877</v>
      </c>
      <c r="B591" s="396"/>
      <c r="F591" s="69" t="s">
        <v>2153</v>
      </c>
      <c r="I591" s="217">
        <v>42640</v>
      </c>
      <c r="J591" t="s">
        <v>644</v>
      </c>
      <c r="K591">
        <v>33.6</v>
      </c>
      <c r="Q591" s="4" t="str">
        <f>HYPERLINK("\\hopi-fs\shares\users\dhar\Stalk mount testing\Type 1e Quality Assurance\CRYO-ISE-1Q11-01-75 MEQ","folder")</f>
        <v>folder</v>
      </c>
      <c r="T591" t="s">
        <v>2136</v>
      </c>
      <c r="U591" t="s">
        <v>2846</v>
      </c>
    </row>
    <row r="592" spans="1:23">
      <c r="A592" s="134">
        <v>1895</v>
      </c>
      <c r="B592" s="396"/>
      <c r="F592" s="69" t="s">
        <v>2154</v>
      </c>
      <c r="I592" s="217">
        <v>42640</v>
      </c>
      <c r="J592" t="s">
        <v>644</v>
      </c>
      <c r="K592">
        <v>33.4</v>
      </c>
      <c r="Q592" s="4" t="str">
        <f>HYPERLINK("\\hopi-fs\shares\users\dhar\Stalk mount testing\Type 1e Quality Assurance\CRYO-ISE-1Q11-01-70 MEQ","FOLDER")</f>
        <v>FOLDER</v>
      </c>
      <c r="T592" t="s">
        <v>2136</v>
      </c>
      <c r="U592" t="s">
        <v>2991</v>
      </c>
      <c r="V592" s="407" t="s">
        <v>2957</v>
      </c>
    </row>
    <row r="593" spans="1:23">
      <c r="A593" s="134">
        <v>1879</v>
      </c>
      <c r="B593" s="396"/>
      <c r="F593" s="361" t="s">
        <v>2155</v>
      </c>
      <c r="I593" s="217">
        <v>42640</v>
      </c>
      <c r="J593" t="s">
        <v>644</v>
      </c>
      <c r="K593">
        <v>33.4</v>
      </c>
      <c r="Q593" s="4" t="str">
        <f>HYPERLINK("\\hopi-fs\shares\users\dhar\Stalk mount testing\Type 1e Quality Assurance\CRYO-ISE-1Q11-01-63 MEQ","FOLDER")</f>
        <v>FOLDER</v>
      </c>
      <c r="T593" t="s">
        <v>2136</v>
      </c>
      <c r="U593" t="s">
        <v>3215</v>
      </c>
    </row>
    <row r="594" spans="1:23">
      <c r="A594" s="134">
        <v>1903</v>
      </c>
      <c r="B594" s="396"/>
      <c r="F594" s="361" t="s">
        <v>2156</v>
      </c>
      <c r="I594" s="217">
        <v>42640</v>
      </c>
      <c r="J594" t="s">
        <v>644</v>
      </c>
      <c r="K594">
        <v>33.200000000000003</v>
      </c>
      <c r="Q594" s="4" t="str">
        <f>HYPERLINK("\\hopi-fs\shares\users\dhar\Stalk mount testing\Type 1e Quality Assurance\CRYO-ISE-1Q11-01-75","folder")</f>
        <v>folder</v>
      </c>
      <c r="T594" t="s">
        <v>2136</v>
      </c>
      <c r="U594" t="s">
        <v>3215</v>
      </c>
    </row>
    <row r="595" spans="1:23" ht="21.75" customHeight="1">
      <c r="A595" s="134">
        <v>1908</v>
      </c>
      <c r="B595" s="134">
        <v>17.2</v>
      </c>
      <c r="C595">
        <v>1.53</v>
      </c>
      <c r="D595">
        <v>7.1</v>
      </c>
      <c r="E595">
        <v>24.3</v>
      </c>
      <c r="F595" s="348" t="s">
        <v>2158</v>
      </c>
      <c r="G595">
        <v>31</v>
      </c>
      <c r="H595">
        <v>71</v>
      </c>
      <c r="I595" s="217">
        <v>42681</v>
      </c>
      <c r="J595" t="s">
        <v>130</v>
      </c>
      <c r="K595">
        <v>33.369999999999997</v>
      </c>
      <c r="L595">
        <v>0.53400000000000003</v>
      </c>
      <c r="M595">
        <v>258</v>
      </c>
      <c r="Q595" s="4" t="str">
        <f>HYPERLINK("\\hopi-fs\shares\users\dhar\Stalk mount testing\Type 1e Quality Assurance\ISE-2Q16-10-A220  1908 1E MEQ","folder")</f>
        <v>folder</v>
      </c>
      <c r="T595" t="s">
        <v>2136</v>
      </c>
      <c r="U595" t="s">
        <v>2166</v>
      </c>
    </row>
    <row r="596" spans="1:23">
      <c r="A596" s="134">
        <v>1909</v>
      </c>
      <c r="B596" s="134">
        <v>16.2</v>
      </c>
      <c r="C596">
        <v>1.51</v>
      </c>
      <c r="D596">
        <v>7.11</v>
      </c>
      <c r="E596">
        <v>24.33</v>
      </c>
      <c r="F596" s="347" t="s">
        <v>2159</v>
      </c>
      <c r="G596">
        <v>31</v>
      </c>
      <c r="H596">
        <v>71</v>
      </c>
      <c r="I596" s="217">
        <v>42681</v>
      </c>
      <c r="J596" t="s">
        <v>130</v>
      </c>
      <c r="K596">
        <v>33.4</v>
      </c>
      <c r="L596">
        <v>0.38200000000000001</v>
      </c>
      <c r="M596">
        <v>233</v>
      </c>
      <c r="Q596" s="4" t="str">
        <f>HYPERLINK("\\hopi-fs\shares\users\dhar\Stalk mount testing\Type 1e Quality Assurance\ISE-2Q16-10-B101  1909 1E MEQ","folder")</f>
        <v>folder</v>
      </c>
      <c r="T596" t="s">
        <v>2136</v>
      </c>
      <c r="U596" t="s">
        <v>2167</v>
      </c>
    </row>
    <row r="597" spans="1:23">
      <c r="A597" s="134">
        <v>1910</v>
      </c>
      <c r="B597" s="134">
        <v>17.600000000000001</v>
      </c>
      <c r="C597">
        <v>1.51</v>
      </c>
      <c r="D597">
        <v>7.09</v>
      </c>
      <c r="E597">
        <v>24.36</v>
      </c>
      <c r="F597" s="347" t="s">
        <v>2160</v>
      </c>
      <c r="G597">
        <v>31</v>
      </c>
      <c r="H597">
        <v>71</v>
      </c>
      <c r="I597" s="217">
        <v>42681</v>
      </c>
      <c r="J597" t="s">
        <v>130</v>
      </c>
      <c r="K597">
        <v>33.4</v>
      </c>
      <c r="L597">
        <v>0.66800000000000004</v>
      </c>
      <c r="M597" t="s">
        <v>2164</v>
      </c>
      <c r="Q597" s="4" t="str">
        <f>HYPERLINK("\\hopi-fs\shares\users\dhar\Stalk mount testing\Type 1e Quality Assurance\ISE-2Q16-10-B102  1910 1E MEQ","folder")</f>
        <v>folder</v>
      </c>
      <c r="T597" t="s">
        <v>2136</v>
      </c>
      <c r="U597" t="s">
        <v>2167</v>
      </c>
    </row>
    <row r="598" spans="1:23">
      <c r="A598" s="134">
        <v>1911</v>
      </c>
      <c r="B598" s="134">
        <v>18</v>
      </c>
      <c r="C598">
        <v>1.49</v>
      </c>
      <c r="D598">
        <v>7.13</v>
      </c>
      <c r="E598">
        <v>24.25</v>
      </c>
      <c r="F598" s="347" t="s">
        <v>2161</v>
      </c>
      <c r="G598">
        <v>31</v>
      </c>
      <c r="H598">
        <v>71</v>
      </c>
      <c r="I598" s="217">
        <v>42681</v>
      </c>
      <c r="J598" t="s">
        <v>130</v>
      </c>
      <c r="K598">
        <v>33.32</v>
      </c>
      <c r="L598">
        <v>0.59199999999999997</v>
      </c>
      <c r="M598">
        <v>264</v>
      </c>
      <c r="Q598" s="4" t="str">
        <f>HYPERLINK("\\hopi-fs\shares\users\dhar\Stalk mount testing\Type 1e Quality Assurance\ISE-2Q16-10-B107  1911 1E MEQ","folder")</f>
        <v>folder</v>
      </c>
      <c r="T598" t="s">
        <v>2136</v>
      </c>
      <c r="U598" t="s">
        <v>2168</v>
      </c>
    </row>
    <row r="599" spans="1:23">
      <c r="A599" s="134">
        <v>1912</v>
      </c>
      <c r="B599" s="134">
        <v>19</v>
      </c>
      <c r="C599">
        <v>1.51</v>
      </c>
      <c r="D599">
        <v>7.11</v>
      </c>
      <c r="E599">
        <v>24.34</v>
      </c>
      <c r="F599" s="347" t="s">
        <v>2162</v>
      </c>
      <c r="G599">
        <v>31</v>
      </c>
      <c r="H599">
        <v>71</v>
      </c>
      <c r="I599" s="217">
        <v>42681</v>
      </c>
      <c r="J599" t="s">
        <v>130</v>
      </c>
      <c r="K599">
        <v>33.4</v>
      </c>
      <c r="L599">
        <v>0.63800000000000001</v>
      </c>
      <c r="M599">
        <v>293</v>
      </c>
      <c r="Q599" s="4" t="str">
        <f>HYPERLINK("\\hopi-fs\shares\users\dhar\Stalk mount testing\Type 1e Quality Assurance\ISE-2Q16-10-B109  1912 1E MEQ","folder")</f>
        <v>folder</v>
      </c>
      <c r="T599" t="s">
        <v>2136</v>
      </c>
      <c r="U599" t="s">
        <v>2169</v>
      </c>
    </row>
    <row r="600" spans="1:23">
      <c r="A600" s="134">
        <v>1914</v>
      </c>
      <c r="B600" s="134">
        <v>16</v>
      </c>
      <c r="C600">
        <v>1.52</v>
      </c>
      <c r="D600">
        <v>7.14</v>
      </c>
      <c r="E600">
        <v>24.26</v>
      </c>
      <c r="F600" s="347" t="s">
        <v>2163</v>
      </c>
      <c r="G600">
        <v>31</v>
      </c>
      <c r="H600">
        <v>71</v>
      </c>
      <c r="I600" s="217">
        <v>42681</v>
      </c>
      <c r="J600" t="s">
        <v>130</v>
      </c>
      <c r="K600">
        <v>33.380000000000003</v>
      </c>
      <c r="L600">
        <v>0.58599999999999997</v>
      </c>
      <c r="M600" t="s">
        <v>2165</v>
      </c>
      <c r="Q600" s="4" t="str">
        <f>HYPERLINK("\\hopi-fs\shares\users\dhar\Stalk mount testing\Type 1e Quality Assurance\ISE-2Q16-10-B110  1914 1E MEQ","folder")</f>
        <v>folder</v>
      </c>
      <c r="T600" t="s">
        <v>2136</v>
      </c>
      <c r="U600" t="s">
        <v>2170</v>
      </c>
    </row>
    <row r="601" spans="1:23" ht="28.5" customHeight="1">
      <c r="A601" s="134">
        <v>1919</v>
      </c>
      <c r="B601" s="134">
        <v>18.399999999999999</v>
      </c>
      <c r="C601">
        <v>1.52</v>
      </c>
      <c r="D601">
        <v>7.11</v>
      </c>
      <c r="E601">
        <v>24.28</v>
      </c>
      <c r="F601" s="344" t="s">
        <v>2171</v>
      </c>
      <c r="G601">
        <v>27.4</v>
      </c>
      <c r="H601">
        <v>68</v>
      </c>
      <c r="I601" s="217">
        <v>42726</v>
      </c>
      <c r="J601" t="s">
        <v>130</v>
      </c>
      <c r="K601">
        <v>33.340000000000003</v>
      </c>
      <c r="L601">
        <v>0.65400000000000003</v>
      </c>
      <c r="M601">
        <v>300</v>
      </c>
      <c r="Q601" s="4" t="str">
        <f>HYPERLINK("\\HOPI-FS\shares\users\dhar\Stalk mount testing\Type 1e Quality Assurance\CRYO-ISE-2Q16-10-B112  1919 1E MEQ","folder")</f>
        <v>folder</v>
      </c>
      <c r="T601" t="s">
        <v>2136</v>
      </c>
      <c r="U601" t="s">
        <v>2183</v>
      </c>
    </row>
    <row r="602" spans="1:23">
      <c r="A602" s="134">
        <v>1920</v>
      </c>
      <c r="B602" s="136">
        <v>19</v>
      </c>
      <c r="C602">
        <v>1.51</v>
      </c>
      <c r="D602">
        <v>7.12</v>
      </c>
      <c r="E602">
        <v>24.31</v>
      </c>
      <c r="F602" s="351" t="s">
        <v>2172</v>
      </c>
      <c r="G602">
        <v>27.4</v>
      </c>
      <c r="H602">
        <v>68</v>
      </c>
      <c r="I602" s="217">
        <v>42726</v>
      </c>
      <c r="J602" t="s">
        <v>130</v>
      </c>
      <c r="K602">
        <v>33.380000000000003</v>
      </c>
      <c r="L602">
        <v>0.58399999999999996</v>
      </c>
      <c r="M602">
        <v>279</v>
      </c>
      <c r="Q602" s="4" t="str">
        <f>HYPERLINK("\\HOPI-FS\shares\users\dhar\Stalk mount testing\Type 1e Quality Assurance\CRYO-ISE-2Q16-10-B113  1920 1E MEQ","folder")</f>
        <v>folder</v>
      </c>
      <c r="T602" t="s">
        <v>2136</v>
      </c>
      <c r="U602" t="s">
        <v>2851</v>
      </c>
    </row>
    <row r="603" spans="1:23">
      <c r="A603" s="134">
        <v>1921</v>
      </c>
      <c r="B603" s="136">
        <v>18</v>
      </c>
      <c r="C603">
        <v>1.49</v>
      </c>
      <c r="D603">
        <v>7.12</v>
      </c>
      <c r="E603">
        <v>24.27</v>
      </c>
      <c r="F603" s="351" t="s">
        <v>2173</v>
      </c>
      <c r="G603">
        <v>27.4</v>
      </c>
      <c r="H603">
        <v>68</v>
      </c>
      <c r="I603" s="217">
        <v>42726</v>
      </c>
      <c r="J603" t="s">
        <v>130</v>
      </c>
      <c r="K603">
        <v>33.31</v>
      </c>
      <c r="L603">
        <v>0.315</v>
      </c>
      <c r="M603">
        <v>269</v>
      </c>
      <c r="Q603" s="4" t="str">
        <f>HYPERLINK("\\HOPI-FS\shares\users\dhar\Stalk mount testing\Type 1e Quality Assurance\CRYO-ISE-2Q16-10-B114  1921 1E MEQ","folder")</f>
        <v>folder</v>
      </c>
      <c r="T603" t="s">
        <v>2136</v>
      </c>
      <c r="U603" t="s">
        <v>2851</v>
      </c>
    </row>
    <row r="604" spans="1:23">
      <c r="A604" s="134">
        <v>1922</v>
      </c>
      <c r="B604" s="136">
        <v>19</v>
      </c>
      <c r="C604">
        <v>1.54</v>
      </c>
      <c r="D604">
        <v>7.1</v>
      </c>
      <c r="E604">
        <v>23.92</v>
      </c>
      <c r="F604" s="351" t="s">
        <v>2174</v>
      </c>
      <c r="G604">
        <v>27.4</v>
      </c>
      <c r="H604">
        <v>68</v>
      </c>
      <c r="I604" s="217">
        <v>42726</v>
      </c>
      <c r="J604" t="s">
        <v>130</v>
      </c>
      <c r="K604">
        <v>33</v>
      </c>
      <c r="L604">
        <v>0.34399999999999997</v>
      </c>
      <c r="M604">
        <v>222</v>
      </c>
      <c r="Q604" s="4" t="str">
        <f>HYPERLINK("\\HOPI-FS\shares\users\dhar\Stalk mount testing\Type 1e Quality Assurance\CRYO-ISE-2Q16-10-B115  1922 1E MEQ","folder")</f>
        <v>folder</v>
      </c>
      <c r="T604" t="s">
        <v>2136</v>
      </c>
      <c r="U604" t="s">
        <v>3215</v>
      </c>
    </row>
    <row r="605" spans="1:23" ht="34.5" customHeight="1">
      <c r="A605" s="134">
        <v>1923</v>
      </c>
      <c r="B605" s="134">
        <v>16.8</v>
      </c>
      <c r="C605">
        <v>1.49</v>
      </c>
      <c r="D605">
        <v>7.14</v>
      </c>
      <c r="E605">
        <v>24.32</v>
      </c>
      <c r="F605" s="351" t="s">
        <v>2175</v>
      </c>
      <c r="G605">
        <v>28.5</v>
      </c>
      <c r="H605">
        <v>69.099999999999994</v>
      </c>
      <c r="I605" s="217">
        <v>42733</v>
      </c>
      <c r="J605" t="s">
        <v>130</v>
      </c>
      <c r="K605">
        <v>33.39</v>
      </c>
      <c r="L605">
        <v>0.51500000000000001</v>
      </c>
      <c r="M605">
        <v>401</v>
      </c>
      <c r="Q605" s="4" t="str">
        <f>HYPERLINK("\\HOPI-FS\shares\users\dhar\Stalk mount testing\Type 1e Quality Assurance\CRYO-2076-2764  1923 1E","folder")</f>
        <v>folder</v>
      </c>
      <c r="T605" t="s">
        <v>2136</v>
      </c>
      <c r="U605" t="s">
        <v>2190</v>
      </c>
      <c r="V605" s="407">
        <v>29</v>
      </c>
      <c r="W605" s="29">
        <v>1</v>
      </c>
    </row>
    <row r="606" spans="1:23">
      <c r="A606" s="134">
        <v>1924</v>
      </c>
      <c r="B606" s="134">
        <v>16</v>
      </c>
      <c r="C606">
        <v>1.53</v>
      </c>
      <c r="D606">
        <v>7.11</v>
      </c>
      <c r="E606">
        <v>24.34</v>
      </c>
      <c r="F606" s="351" t="s">
        <v>2184</v>
      </c>
      <c r="G606">
        <v>28.5</v>
      </c>
      <c r="H606">
        <v>69.099999999999994</v>
      </c>
      <c r="I606" s="217">
        <v>42733</v>
      </c>
      <c r="J606" t="s">
        <v>130</v>
      </c>
      <c r="K606">
        <v>33.43</v>
      </c>
      <c r="L606">
        <v>0.69599999999999995</v>
      </c>
      <c r="M606">
        <v>362</v>
      </c>
      <c r="Q606" s="4" t="str">
        <f>HYPERLINK("\\HOPI-FS\shares\users\dhar\Stalk mount testing\Type 1e Quality Assurance\CRYO-2078-2775  1924 1E","folder")</f>
        <v>folder</v>
      </c>
      <c r="T606" t="s">
        <v>2136</v>
      </c>
      <c r="U606" t="s">
        <v>2218</v>
      </c>
      <c r="V606" s="407">
        <v>21</v>
      </c>
      <c r="W606" s="29">
        <v>1</v>
      </c>
    </row>
    <row r="607" spans="1:23">
      <c r="A607" s="134">
        <v>1925</v>
      </c>
      <c r="B607" s="134">
        <v>16.8</v>
      </c>
      <c r="C607">
        <v>1.53</v>
      </c>
      <c r="D607">
        <v>7.15</v>
      </c>
      <c r="E607">
        <v>24.3</v>
      </c>
      <c r="F607" s="351" t="s">
        <v>2176</v>
      </c>
      <c r="G607">
        <v>28.5</v>
      </c>
      <c r="H607">
        <v>69.099999999999994</v>
      </c>
      <c r="I607" s="217">
        <v>42733</v>
      </c>
      <c r="J607" t="s">
        <v>130</v>
      </c>
      <c r="K607">
        <v>33.409999999999997</v>
      </c>
      <c r="L607">
        <v>0.67500000000000004</v>
      </c>
      <c r="M607">
        <v>398</v>
      </c>
      <c r="Q607" s="4" t="str">
        <f>HYPERLINK("\\HOPI-FS\shares\users\dhar\Stalk mount testing\Type 1e Quality Assurance\CRYO-2077-2766  1925 1E","folder")</f>
        <v>folder</v>
      </c>
      <c r="T607" t="s">
        <v>2136</v>
      </c>
      <c r="U607" t="s">
        <v>2218</v>
      </c>
      <c r="V607" s="407">
        <v>23</v>
      </c>
      <c r="W607" s="29">
        <v>2</v>
      </c>
    </row>
    <row r="608" spans="1:23">
      <c r="A608" s="134">
        <v>1927</v>
      </c>
      <c r="B608" s="134">
        <v>19</v>
      </c>
      <c r="C608">
        <v>1.5</v>
      </c>
      <c r="D608">
        <v>7.19</v>
      </c>
      <c r="E608">
        <v>24.26</v>
      </c>
      <c r="F608" s="351" t="s">
        <v>2185</v>
      </c>
      <c r="G608">
        <v>20</v>
      </c>
      <c r="H608">
        <v>67</v>
      </c>
      <c r="I608" s="217">
        <v>42741</v>
      </c>
      <c r="J608" t="s">
        <v>130</v>
      </c>
      <c r="K608">
        <v>33.380000000000003</v>
      </c>
      <c r="L608">
        <v>0.623</v>
      </c>
      <c r="M608">
        <v>453</v>
      </c>
      <c r="Q608" s="4" t="str">
        <f>HYPERLINK("\\HOPI-FS\shares\users\dhar\Stalk mount testing\Type 1e Quality Assurance\CRYO-2076-2776  1927 1E","folder")</f>
        <v>folder</v>
      </c>
      <c r="T608" t="s">
        <v>2136</v>
      </c>
      <c r="U608" t="s">
        <v>2218</v>
      </c>
      <c r="V608" s="407">
        <v>30</v>
      </c>
      <c r="W608" s="29">
        <v>1</v>
      </c>
    </row>
    <row r="609" spans="1:24">
      <c r="A609" s="134">
        <v>1927</v>
      </c>
      <c r="B609" s="134">
        <v>19</v>
      </c>
      <c r="C609">
        <v>1.49</v>
      </c>
      <c r="D609">
        <v>7.19</v>
      </c>
      <c r="E609">
        <v>24.29</v>
      </c>
      <c r="F609" s="349" t="s">
        <v>2177</v>
      </c>
      <c r="G609">
        <v>28.5</v>
      </c>
      <c r="H609">
        <v>69.099999999999994</v>
      </c>
      <c r="I609" s="217">
        <v>42733</v>
      </c>
      <c r="J609" t="s">
        <v>130</v>
      </c>
      <c r="K609">
        <v>33.4</v>
      </c>
      <c r="L609">
        <v>0.54400000000000004</v>
      </c>
      <c r="Q609" s="4" t="str">
        <f>HYPERLINK("\\HOPI-FS\shares\users\dhar\Stalk mount testing\Type 1e Quality Assurance\CRYO-2076-2768  1927 1E","folder")</f>
        <v>folder</v>
      </c>
      <c r="T609" t="s">
        <v>2136</v>
      </c>
    </row>
    <row r="610" spans="1:24">
      <c r="A610" s="134">
        <v>1928</v>
      </c>
      <c r="B610" s="134">
        <v>17.600000000000001</v>
      </c>
      <c r="C610">
        <v>1.56</v>
      </c>
      <c r="D610">
        <v>7.15</v>
      </c>
      <c r="E610">
        <v>24.37</v>
      </c>
      <c r="F610" s="351" t="s">
        <v>2186</v>
      </c>
      <c r="G610">
        <v>20</v>
      </c>
      <c r="H610">
        <v>67</v>
      </c>
      <c r="I610" s="217">
        <v>42741</v>
      </c>
      <c r="J610" t="s">
        <v>130</v>
      </c>
      <c r="K610">
        <v>33.53</v>
      </c>
      <c r="L610">
        <v>0.22</v>
      </c>
      <c r="M610">
        <v>403</v>
      </c>
      <c r="Q610" s="4" t="str">
        <f>HYPERLINK("\\HOPI-FS\shares\users\dhar\Stalk mount testing\Type 1e Quality Assurance\CRYO-2077-2777  1928 1E","folder")</f>
        <v>folder</v>
      </c>
      <c r="T610" t="s">
        <v>2136</v>
      </c>
      <c r="U610" t="s">
        <v>2456</v>
      </c>
      <c r="V610" s="407">
        <v>22</v>
      </c>
      <c r="W610" s="29">
        <v>4</v>
      </c>
    </row>
    <row r="611" spans="1:24">
      <c r="A611" s="134">
        <v>1928</v>
      </c>
      <c r="B611" s="134">
        <v>18.399999999999999</v>
      </c>
      <c r="C611">
        <v>1.54</v>
      </c>
      <c r="D611">
        <v>7.14</v>
      </c>
      <c r="E611">
        <v>24.41</v>
      </c>
      <c r="F611" s="349" t="s">
        <v>2178</v>
      </c>
      <c r="G611">
        <v>28.5</v>
      </c>
      <c r="H611">
        <v>69.099999999999994</v>
      </c>
      <c r="I611" s="217">
        <v>42733</v>
      </c>
      <c r="J611" t="s">
        <v>130</v>
      </c>
      <c r="K611">
        <v>33.54</v>
      </c>
      <c r="L611">
        <v>0.54600000000000004</v>
      </c>
      <c r="Q611" s="4" t="str">
        <f>HYPERLINK("\\HOPI-FS\shares\users\dhar\Stalk mount testing\Type 1e Quality Assurance\CRYO-2077-2769  1928 1E","folder")</f>
        <v>folder</v>
      </c>
      <c r="T611" t="s">
        <v>2136</v>
      </c>
    </row>
    <row r="612" spans="1:24">
      <c r="A612" s="134">
        <v>1930</v>
      </c>
      <c r="B612" s="134">
        <v>19</v>
      </c>
      <c r="C612">
        <v>1.5</v>
      </c>
      <c r="D612">
        <v>7.11</v>
      </c>
      <c r="E612">
        <v>24.31</v>
      </c>
      <c r="F612" s="350" t="s">
        <v>2187</v>
      </c>
      <c r="G612">
        <v>20</v>
      </c>
      <c r="H612">
        <v>67</v>
      </c>
      <c r="I612" s="217">
        <v>42741</v>
      </c>
      <c r="J612" t="s">
        <v>130</v>
      </c>
      <c r="K612">
        <v>33.369999999999997</v>
      </c>
      <c r="L612">
        <v>0.71</v>
      </c>
      <c r="M612">
        <v>434</v>
      </c>
      <c r="Q612" s="4" t="str">
        <f>HYPERLINK("\\HOPI-FS\shares\users\dhar\Stalk mount testing\Type 1e Quality Assurance\CRYO-2077-2778  1930 1E","folder")</f>
        <v>folder</v>
      </c>
      <c r="T612" t="s">
        <v>2136</v>
      </c>
      <c r="V612" s="407">
        <v>24</v>
      </c>
      <c r="W612" s="29">
        <v>3</v>
      </c>
    </row>
    <row r="613" spans="1:24">
      <c r="A613" s="134">
        <v>1930</v>
      </c>
      <c r="B613" s="134">
        <v>18</v>
      </c>
      <c r="C613">
        <v>1.52</v>
      </c>
      <c r="D613">
        <v>7.11</v>
      </c>
      <c r="E613">
        <v>24.33</v>
      </c>
      <c r="F613" s="349" t="s">
        <v>2179</v>
      </c>
      <c r="G613">
        <v>28.5</v>
      </c>
      <c r="H613">
        <v>69.099999999999994</v>
      </c>
      <c r="I613" s="217">
        <v>42733</v>
      </c>
      <c r="J613" t="s">
        <v>130</v>
      </c>
      <c r="K613">
        <v>33.4</v>
      </c>
      <c r="L613">
        <v>0.17599999999999999</v>
      </c>
      <c r="Q613" s="4" t="str">
        <f>HYPERLINK("\\HOPI-FS\shares\users\dhar\Stalk mount testing\Type 1e Quality Assurance\CRYO-2077-2770  1930 1E","folder")</f>
        <v>folder</v>
      </c>
      <c r="T613" t="s">
        <v>2136</v>
      </c>
    </row>
    <row r="614" spans="1:24">
      <c r="A614" s="134">
        <v>1932</v>
      </c>
      <c r="B614" s="134">
        <v>16</v>
      </c>
      <c r="C614">
        <v>1.52</v>
      </c>
      <c r="D614">
        <v>7.18</v>
      </c>
      <c r="E614">
        <v>24.29</v>
      </c>
      <c r="F614" s="351" t="s">
        <v>2180</v>
      </c>
      <c r="G614">
        <v>28.5</v>
      </c>
      <c r="H614">
        <v>69.099999999999994</v>
      </c>
      <c r="I614" s="217">
        <v>42733</v>
      </c>
      <c r="J614" t="s">
        <v>130</v>
      </c>
      <c r="K614">
        <v>33.44</v>
      </c>
      <c r="L614">
        <v>0.73599999999999999</v>
      </c>
      <c r="M614">
        <v>382</v>
      </c>
      <c r="Q614" s="4" t="str">
        <f>HYPERLINK("\\HOPI-FS\shares\users\dhar\Stalk mount testing\Type 1e Quality Assurance\CRYO-2076-2771  1932 1E","folder")</f>
        <v>folder</v>
      </c>
      <c r="T614" t="s">
        <v>2136</v>
      </c>
      <c r="U614" t="s">
        <v>2218</v>
      </c>
      <c r="V614" s="407">
        <v>25</v>
      </c>
      <c r="W614" s="29">
        <v>2</v>
      </c>
    </row>
    <row r="615" spans="1:24">
      <c r="A615" s="134">
        <v>1933</v>
      </c>
      <c r="B615" s="134">
        <v>16.399999999999999</v>
      </c>
      <c r="C615">
        <v>1.52</v>
      </c>
      <c r="D615">
        <v>7.18</v>
      </c>
      <c r="E615">
        <v>24.26</v>
      </c>
      <c r="F615" s="351" t="s">
        <v>2181</v>
      </c>
      <c r="G615">
        <v>28.5</v>
      </c>
      <c r="H615">
        <v>69.099999999999994</v>
      </c>
      <c r="I615" s="217">
        <v>42733</v>
      </c>
      <c r="J615" t="s">
        <v>130</v>
      </c>
      <c r="K615">
        <v>33.4</v>
      </c>
      <c r="L615">
        <v>0.59199999999999997</v>
      </c>
      <c r="M615">
        <v>352</v>
      </c>
      <c r="Q615" s="4" t="str">
        <f>HYPERLINK("\\HOPI-FS\shares\users\dhar\Stalk mount testing\Type 1e Quality Assurance\CRYO-2078-2772  1933 1E","folder")</f>
        <v>folder</v>
      </c>
      <c r="T615" t="s">
        <v>2136</v>
      </c>
      <c r="U615" t="s">
        <v>2218</v>
      </c>
      <c r="V615" s="407">
        <v>26</v>
      </c>
      <c r="W615" s="29">
        <v>1</v>
      </c>
    </row>
    <row r="616" spans="1:24" ht="30" customHeight="1">
      <c r="A616" s="134">
        <v>1936</v>
      </c>
      <c r="B616" s="134">
        <v>18</v>
      </c>
      <c r="C616">
        <v>1.48</v>
      </c>
      <c r="D616">
        <v>7.12</v>
      </c>
      <c r="E616">
        <v>24.31</v>
      </c>
      <c r="F616" s="354" t="s">
        <v>2191</v>
      </c>
      <c r="G616">
        <v>24.1</v>
      </c>
      <c r="H616">
        <v>67.7</v>
      </c>
      <c r="I616" s="217">
        <v>42773</v>
      </c>
      <c r="J616" t="s">
        <v>130</v>
      </c>
      <c r="K616">
        <v>33.36</v>
      </c>
      <c r="L616">
        <v>0.53800000000000003</v>
      </c>
      <c r="M616">
        <v>472</v>
      </c>
      <c r="Q616" s="4" t="str">
        <f>HYPERLINK("\\hopi-fs\shares\users\dhar\Stalk mount testing\Type 1e Quality Assurance\CRYO-9079-0025  1936 1E","folder")</f>
        <v>folder</v>
      </c>
      <c r="T616" t="s">
        <v>2136</v>
      </c>
      <c r="U616" t="s">
        <v>2200</v>
      </c>
    </row>
    <row r="617" spans="1:24">
      <c r="A617" s="134">
        <v>1937</v>
      </c>
      <c r="B617" s="134">
        <v>16.399999999999999</v>
      </c>
      <c r="C617">
        <v>1.5</v>
      </c>
      <c r="D617">
        <v>7.11</v>
      </c>
      <c r="E617">
        <v>24.25</v>
      </c>
      <c r="F617" s="354" t="s">
        <v>2192</v>
      </c>
      <c r="G617">
        <v>24.1</v>
      </c>
      <c r="H617">
        <v>67.7</v>
      </c>
      <c r="I617" s="217">
        <v>42773</v>
      </c>
      <c r="J617" s="13" t="s">
        <v>130</v>
      </c>
      <c r="K617">
        <v>33.299999999999997</v>
      </c>
      <c r="L617">
        <v>0.67600000000000005</v>
      </c>
      <c r="M617">
        <v>384</v>
      </c>
      <c r="Q617" s="4" t="str">
        <f>HYPERLINK("\\hopi-fs\shares\users\dhar\Stalk mount testing\Type 1e Quality Assurance\CRYO-9079-0026  1937 1E","folder")</f>
        <v>folder</v>
      </c>
      <c r="T617" t="s">
        <v>2136</v>
      </c>
      <c r="U617" t="s">
        <v>2200</v>
      </c>
    </row>
    <row r="618" spans="1:24">
      <c r="A618" s="134">
        <v>1938</v>
      </c>
      <c r="B618" s="134">
        <v>18</v>
      </c>
      <c r="C618">
        <v>1.51</v>
      </c>
      <c r="D618">
        <v>7.1</v>
      </c>
      <c r="E618">
        <v>24.27</v>
      </c>
      <c r="F618" s="353" t="s">
        <v>2193</v>
      </c>
      <c r="G618">
        <v>24.1</v>
      </c>
      <c r="H618">
        <v>67.7</v>
      </c>
      <c r="I618" s="217">
        <v>42773</v>
      </c>
      <c r="J618" t="s">
        <v>130</v>
      </c>
      <c r="K618">
        <v>33.32</v>
      </c>
      <c r="L618">
        <v>0.39200000000000002</v>
      </c>
      <c r="M618">
        <v>418</v>
      </c>
      <c r="Q618" s="4" t="str">
        <f>HYPERLINK("\\hopi-fs\shares\users\dhar\Stalk mount testing\Type 1e Quality Assurance\CRYO-9080-0028  1938 1E","folder")</f>
        <v>folder</v>
      </c>
      <c r="T618" t="s">
        <v>2136</v>
      </c>
    </row>
    <row r="619" spans="1:24">
      <c r="A619" s="134">
        <v>1939</v>
      </c>
      <c r="B619" s="134">
        <v>17.2</v>
      </c>
      <c r="C619">
        <v>1.53</v>
      </c>
      <c r="D619">
        <v>7.11</v>
      </c>
      <c r="E619">
        <v>24.37</v>
      </c>
      <c r="F619" s="355" t="s">
        <v>2194</v>
      </c>
      <c r="G619">
        <v>24.1</v>
      </c>
      <c r="H619">
        <v>67.7</v>
      </c>
      <c r="I619" s="217">
        <v>42773</v>
      </c>
      <c r="J619" t="s">
        <v>130</v>
      </c>
      <c r="K619">
        <v>33.46</v>
      </c>
      <c r="L619">
        <v>0.66</v>
      </c>
      <c r="M619">
        <v>358</v>
      </c>
      <c r="Q619" s="4" t="str">
        <f>HYPERLINK("\\hopi-fs\shares\users\dhar\Stalk mount testing\Type 1e Quality Assurance\CRYO-9080-0029  1939 1E","folder")</f>
        <v>folder</v>
      </c>
      <c r="T619" t="s">
        <v>2136</v>
      </c>
      <c r="U619" t="s">
        <v>2200</v>
      </c>
      <c r="V619" s="407" t="s">
        <v>2292</v>
      </c>
      <c r="W619" s="29">
        <v>0</v>
      </c>
      <c r="X619">
        <v>1</v>
      </c>
    </row>
    <row r="620" spans="1:24">
      <c r="A620" s="134">
        <v>1940</v>
      </c>
      <c r="B620" s="134">
        <v>17.600000000000001</v>
      </c>
      <c r="C620">
        <v>1.5</v>
      </c>
      <c r="D620">
        <v>7.14</v>
      </c>
      <c r="E620">
        <v>24.28</v>
      </c>
      <c r="F620" s="355" t="s">
        <v>2195</v>
      </c>
      <c r="G620">
        <v>24.1</v>
      </c>
      <c r="H620">
        <v>67.7</v>
      </c>
      <c r="I620" s="217">
        <v>42773</v>
      </c>
      <c r="J620" t="s">
        <v>130</v>
      </c>
      <c r="K620">
        <v>33.36</v>
      </c>
      <c r="L620">
        <v>0.76500000000000001</v>
      </c>
      <c r="M620">
        <v>416</v>
      </c>
      <c r="Q620" s="4" t="str">
        <f>HYPERLINK("\\hopi-fs\shares\users\dhar\Stalk mount testing\Type 1e Quality Assurance\CRYO-9080-0034  1940 1E","folder")</f>
        <v>folder</v>
      </c>
      <c r="T620" t="s">
        <v>2136</v>
      </c>
      <c r="U620" t="s">
        <v>2200</v>
      </c>
    </row>
    <row r="621" spans="1:24">
      <c r="A621" s="134">
        <v>1946</v>
      </c>
      <c r="B621" s="136">
        <v>18</v>
      </c>
      <c r="C621">
        <v>1.5</v>
      </c>
      <c r="D621">
        <v>7.13</v>
      </c>
      <c r="E621">
        <v>24.32</v>
      </c>
      <c r="F621" s="353" t="s">
        <v>2196</v>
      </c>
      <c r="G621">
        <v>24.1</v>
      </c>
      <c r="H621">
        <v>67.7</v>
      </c>
      <c r="I621" s="217">
        <v>42773</v>
      </c>
      <c r="J621" t="s">
        <v>130</v>
      </c>
      <c r="K621">
        <v>33.39</v>
      </c>
      <c r="L621">
        <v>0.68700000000000006</v>
      </c>
      <c r="M621">
        <v>444</v>
      </c>
      <c r="Q621" s="4" t="str">
        <f>HYPERLINK("\\hopi-fs\shares\users\dhar\Stalk mount testing\Type 1e Quality Assurance\CRYO-9080-0033  1946 1E","folder")</f>
        <v>folder</v>
      </c>
      <c r="T621" t="s">
        <v>2136</v>
      </c>
      <c r="U621" t="s">
        <v>3915</v>
      </c>
    </row>
    <row r="622" spans="1:24">
      <c r="A622" s="134">
        <v>1948</v>
      </c>
      <c r="B622" s="134">
        <v>17.2</v>
      </c>
      <c r="C622">
        <v>1.5</v>
      </c>
      <c r="D622">
        <v>7.12</v>
      </c>
      <c r="E622">
        <v>24.33</v>
      </c>
      <c r="F622" s="355" t="s">
        <v>2197</v>
      </c>
      <c r="G622">
        <v>25.2</v>
      </c>
      <c r="H622">
        <v>71.099999999999994</v>
      </c>
      <c r="I622" s="217">
        <v>42774</v>
      </c>
      <c r="J622" t="s">
        <v>130</v>
      </c>
      <c r="K622">
        <v>33.39</v>
      </c>
      <c r="L622">
        <v>0.54700000000000004</v>
      </c>
      <c r="M622">
        <v>408</v>
      </c>
      <c r="Q622" s="4" t="str">
        <f>HYPERLINK("\\hopi-fs\shares\users\dhar\Stalk mount testing\Type 1e Quality Assurance\CRYO-9079-0030  1948 1E","folder")</f>
        <v>folder</v>
      </c>
      <c r="T622" t="s">
        <v>2136</v>
      </c>
      <c r="U622" t="s">
        <v>2200</v>
      </c>
    </row>
    <row r="623" spans="1:24">
      <c r="A623" s="134">
        <v>1949</v>
      </c>
      <c r="F623" s="352" t="s">
        <v>2198</v>
      </c>
      <c r="G623">
        <v>25.2</v>
      </c>
      <c r="H623">
        <v>71.099999999999994</v>
      </c>
      <c r="I623" s="217">
        <v>42774</v>
      </c>
      <c r="J623" t="s">
        <v>130</v>
      </c>
      <c r="T623" t="s">
        <v>2136</v>
      </c>
    </row>
    <row r="624" spans="1:24">
      <c r="A624" s="134">
        <v>1951</v>
      </c>
      <c r="B624" s="134">
        <v>18.399999999999999</v>
      </c>
      <c r="C624">
        <v>1.52</v>
      </c>
      <c r="D624">
        <v>7.12</v>
      </c>
      <c r="E624">
        <v>24.36</v>
      </c>
      <c r="F624" s="355" t="s">
        <v>2199</v>
      </c>
      <c r="G624">
        <v>17.399999999999999</v>
      </c>
      <c r="H624">
        <v>70.3</v>
      </c>
      <c r="I624" s="217">
        <v>42775</v>
      </c>
      <c r="J624" t="s">
        <v>130</v>
      </c>
      <c r="K624">
        <v>33.450000000000003</v>
      </c>
      <c r="L624">
        <v>0.39700000000000002</v>
      </c>
      <c r="M624">
        <v>429</v>
      </c>
      <c r="Q624" s="4" t="str">
        <f>HYPERLINK("\\hopi-fs\shares\users\dhar\Stalk mount testing\Type 1e Quality Assurance\CRYO-9079-0036  1951 1E","folder")</f>
        <v>folder</v>
      </c>
      <c r="T624" t="s">
        <v>2136</v>
      </c>
      <c r="U624" t="s">
        <v>2200</v>
      </c>
    </row>
    <row r="625" spans="1:24" ht="28.5" customHeight="1">
      <c r="A625" s="134">
        <v>1838</v>
      </c>
      <c r="B625" s="134">
        <v>18.8</v>
      </c>
      <c r="C625">
        <v>1.5</v>
      </c>
      <c r="D625">
        <v>7.08</v>
      </c>
      <c r="E625">
        <v>25</v>
      </c>
      <c r="F625" s="351" t="s">
        <v>2202</v>
      </c>
      <c r="G625">
        <v>24.6</v>
      </c>
      <c r="H625">
        <v>68.400000000000006</v>
      </c>
      <c r="I625" s="217">
        <v>42786</v>
      </c>
      <c r="J625" t="s">
        <v>130</v>
      </c>
      <c r="K625">
        <v>33.71</v>
      </c>
      <c r="L625">
        <v>0.60199999999999998</v>
      </c>
      <c r="M625" s="13">
        <v>287</v>
      </c>
      <c r="Q625" s="4" t="str">
        <f>HYPERLINK("\\hopi-fs\shares\users\dhar\Stalk mount testing\Type 1e Quality Assurance\ISE-2Q16-10-B116 (MEQ)  1838 1E","folder")</f>
        <v>folder</v>
      </c>
      <c r="T625" t="s">
        <v>2136</v>
      </c>
      <c r="U625" t="s">
        <v>2219</v>
      </c>
    </row>
    <row r="626" spans="1:24">
      <c r="A626" s="134">
        <v>1953</v>
      </c>
      <c r="B626" s="134">
        <v>17.600000000000001</v>
      </c>
      <c r="C626">
        <v>1.52</v>
      </c>
      <c r="D626">
        <v>7.13</v>
      </c>
      <c r="E626">
        <v>24.32</v>
      </c>
      <c r="F626" s="344" t="s">
        <v>2203</v>
      </c>
      <c r="G626">
        <v>24.6</v>
      </c>
      <c r="H626">
        <v>68.400000000000006</v>
      </c>
      <c r="I626" s="217">
        <v>42786</v>
      </c>
      <c r="J626" t="s">
        <v>130</v>
      </c>
      <c r="K626">
        <v>33.409999999999997</v>
      </c>
      <c r="L626">
        <v>0.26400000000000001</v>
      </c>
      <c r="M626" s="13">
        <v>278</v>
      </c>
      <c r="Q626" s="4" t="str">
        <f>HYPERLINK("\\hopi-fs\shares\users\dhar\Stalk mount testing\Type 1e Quality Assurance\ISE-2Q16-10-B118 (MEQ)  1953 1E","folder")</f>
        <v>folder</v>
      </c>
      <c r="T626" t="s">
        <v>2136</v>
      </c>
      <c r="U626" t="s">
        <v>2219</v>
      </c>
    </row>
    <row r="627" spans="1:24" ht="31.5" customHeight="1">
      <c r="A627" s="134">
        <v>1954</v>
      </c>
      <c r="B627" s="134">
        <v>19</v>
      </c>
      <c r="C627">
        <v>1.52</v>
      </c>
      <c r="D627">
        <v>7.18</v>
      </c>
      <c r="E627">
        <v>24.41</v>
      </c>
      <c r="F627" s="19" t="s">
        <v>2204</v>
      </c>
      <c r="G627">
        <v>41.8</v>
      </c>
      <c r="H627">
        <v>70.2</v>
      </c>
      <c r="I627" s="217">
        <v>42788</v>
      </c>
      <c r="J627" t="s">
        <v>130</v>
      </c>
      <c r="K627">
        <v>33.549999999999997</v>
      </c>
      <c r="L627">
        <v>0.48599999999999999</v>
      </c>
      <c r="M627">
        <v>425</v>
      </c>
      <c r="Q627" s="4" t="str">
        <f>HYPERLINK("\\hopi-fs\shares\users\dhar\Stalk mount testing\Type 1e Quality Assurance\CRYO-9077-0024  1954 1E","folder")</f>
        <v>folder</v>
      </c>
      <c r="T627" t="s">
        <v>2136</v>
      </c>
    </row>
    <row r="628" spans="1:24">
      <c r="A628" s="134">
        <v>1958</v>
      </c>
      <c r="B628" s="134">
        <v>18</v>
      </c>
      <c r="C628">
        <v>1.5</v>
      </c>
      <c r="D628">
        <v>7.14</v>
      </c>
      <c r="E628">
        <v>24.35</v>
      </c>
      <c r="F628" s="19" t="s">
        <v>2205</v>
      </c>
      <c r="G628">
        <v>41.8</v>
      </c>
      <c r="H628">
        <v>70.2</v>
      </c>
      <c r="I628" s="217">
        <v>42788</v>
      </c>
      <c r="J628" t="s">
        <v>130</v>
      </c>
      <c r="K628">
        <v>33.42</v>
      </c>
      <c r="L628">
        <v>0.67100000000000004</v>
      </c>
      <c r="M628" t="s">
        <v>2210</v>
      </c>
      <c r="Q628" s="4" t="str">
        <f>HYPERLINK("\\hopi-fs\shares\users\dhar\Stalk mount testing\Type 1e Quality Assurance\CRYO-9076-0027  1958 1E","folder")</f>
        <v>folder</v>
      </c>
      <c r="T628" t="s">
        <v>2136</v>
      </c>
      <c r="U628" t="s">
        <v>2217</v>
      </c>
    </row>
    <row r="629" spans="1:24">
      <c r="A629" s="134">
        <v>1960</v>
      </c>
      <c r="B629" s="134">
        <v>18.399999999999999</v>
      </c>
      <c r="C629">
        <v>1.52</v>
      </c>
      <c r="D629">
        <v>7.12</v>
      </c>
      <c r="E629">
        <v>24.35</v>
      </c>
      <c r="F629" s="19" t="s">
        <v>2206</v>
      </c>
      <c r="G629">
        <v>41.8</v>
      </c>
      <c r="H629">
        <v>70.2</v>
      </c>
      <c r="I629" s="217">
        <v>42788</v>
      </c>
      <c r="J629" t="s">
        <v>130</v>
      </c>
      <c r="K629">
        <v>33.42</v>
      </c>
      <c r="L629">
        <v>0.502</v>
      </c>
      <c r="M629">
        <v>435</v>
      </c>
      <c r="Q629" s="4" t="str">
        <f>HYPERLINK("\\hopi-fs\shares\users\dhar\Stalk mount testing\Type 1e Quality Assurance\CRYO-9077-0032  1960 1E","folder")</f>
        <v>folder</v>
      </c>
      <c r="T629" t="s">
        <v>2136</v>
      </c>
      <c r="U629" t="s">
        <v>2217</v>
      </c>
      <c r="V629" s="407" t="s">
        <v>2317</v>
      </c>
      <c r="W629" s="29">
        <v>0</v>
      </c>
      <c r="X629">
        <v>1</v>
      </c>
    </row>
    <row r="630" spans="1:24">
      <c r="A630" s="134">
        <v>1961</v>
      </c>
      <c r="B630" s="134">
        <v>18.8</v>
      </c>
      <c r="C630">
        <v>1.51</v>
      </c>
      <c r="D630">
        <v>7.16</v>
      </c>
      <c r="E630">
        <v>24.34</v>
      </c>
      <c r="F630" s="19" t="s">
        <v>2207</v>
      </c>
      <c r="G630">
        <v>41.8</v>
      </c>
      <c r="H630">
        <v>70.2</v>
      </c>
      <c r="I630" s="217">
        <v>42788</v>
      </c>
      <c r="J630" t="s">
        <v>130</v>
      </c>
      <c r="K630">
        <v>33.450000000000003</v>
      </c>
      <c r="L630">
        <v>0.59499999999999997</v>
      </c>
      <c r="M630">
        <v>422</v>
      </c>
      <c r="Q630" s="4" t="str">
        <f>HYPERLINK("\\hopi-fs\shares\users\dhar\Stalk mount testing\Type 1e Quality Assurance\CRYO-9077-0035  1961 1E","folder")</f>
        <v>folder</v>
      </c>
      <c r="T630" t="s">
        <v>2136</v>
      </c>
      <c r="U630" t="s">
        <v>2217</v>
      </c>
      <c r="V630" s="407" t="s">
        <v>2294</v>
      </c>
      <c r="W630" s="29">
        <v>0</v>
      </c>
      <c r="X630">
        <v>1</v>
      </c>
    </row>
    <row r="631" spans="1:24">
      <c r="A631" s="134">
        <v>1962</v>
      </c>
      <c r="B631" s="134">
        <v>18.399999999999999</v>
      </c>
      <c r="C631">
        <v>1.5</v>
      </c>
      <c r="D631">
        <v>7.26</v>
      </c>
      <c r="E631">
        <v>24.36</v>
      </c>
      <c r="F631" s="19" t="s">
        <v>2208</v>
      </c>
      <c r="G631">
        <v>41.8</v>
      </c>
      <c r="H631">
        <v>70.2</v>
      </c>
      <c r="I631" s="217">
        <v>42788</v>
      </c>
      <c r="J631" t="s">
        <v>130</v>
      </c>
      <c r="K631">
        <v>33.56</v>
      </c>
      <c r="L631">
        <v>0.622</v>
      </c>
      <c r="M631">
        <v>476</v>
      </c>
      <c r="Q631" s="4" t="str">
        <f>HYPERLINK("\\hopi-fs\shares\users\dhar\Stalk mount testing\Type 1e Quality Assurance\CRYO-9078-0038  1962 1E","folder")</f>
        <v>folder</v>
      </c>
      <c r="T631" t="s">
        <v>2136</v>
      </c>
      <c r="U631" t="s">
        <v>2298</v>
      </c>
    </row>
    <row r="632" spans="1:24">
      <c r="A632" s="134">
        <v>1967</v>
      </c>
      <c r="B632" s="134">
        <v>19</v>
      </c>
      <c r="C632">
        <v>1.5</v>
      </c>
      <c r="D632">
        <v>7.12</v>
      </c>
      <c r="E632">
        <v>24.4</v>
      </c>
      <c r="F632" s="19" t="s">
        <v>2209</v>
      </c>
      <c r="G632">
        <v>41.8</v>
      </c>
      <c r="H632">
        <v>70.2</v>
      </c>
      <c r="I632" s="217">
        <v>42788</v>
      </c>
      <c r="J632" t="s">
        <v>130</v>
      </c>
      <c r="K632">
        <v>33.47</v>
      </c>
      <c r="L632">
        <v>0.53300000000000003</v>
      </c>
      <c r="M632" t="s">
        <v>2213</v>
      </c>
      <c r="Q632" s="4" t="str">
        <f>HYPERLINK("\\hopi-fs\shares\users\dhar\Stalk mount testing\Type 1e Quality Assurance\CRYO-9077-0040  1967 1E","folder")</f>
        <v>folder</v>
      </c>
      <c r="T632" t="s">
        <v>2136</v>
      </c>
      <c r="U632" t="s">
        <v>2217</v>
      </c>
    </row>
    <row r="633" spans="1:24" ht="29.25" customHeight="1">
      <c r="A633" s="134">
        <v>1968</v>
      </c>
      <c r="F633" s="176" t="s">
        <v>2211</v>
      </c>
      <c r="G633">
        <v>50</v>
      </c>
      <c r="H633">
        <v>71.2</v>
      </c>
      <c r="I633" s="217">
        <v>42789</v>
      </c>
      <c r="J633" t="s">
        <v>130</v>
      </c>
      <c r="T633" t="s">
        <v>2136</v>
      </c>
    </row>
    <row r="634" spans="1:24">
      <c r="A634" s="134">
        <v>1968</v>
      </c>
      <c r="B634" s="134">
        <v>16</v>
      </c>
      <c r="C634">
        <v>1.5</v>
      </c>
      <c r="D634">
        <v>7.15</v>
      </c>
      <c r="E634">
        <v>24.32</v>
      </c>
      <c r="F634" s="19" t="s">
        <v>2214</v>
      </c>
      <c r="G634">
        <v>50</v>
      </c>
      <c r="H634">
        <v>71.2</v>
      </c>
      <c r="I634" s="217">
        <v>42789</v>
      </c>
      <c r="J634" t="s">
        <v>130</v>
      </c>
      <c r="K634">
        <v>33.4</v>
      </c>
      <c r="L634">
        <v>0.49</v>
      </c>
      <c r="M634">
        <v>381</v>
      </c>
      <c r="Q634" s="4" t="str">
        <f>HYPERLINK("\\hopi-fs\shares\users\dhar\Stalk mount testing\Type 1e Quality Assurance\CRYO-9080-0041  1968 1E","folder")</f>
        <v>folder</v>
      </c>
      <c r="T634" t="s">
        <v>2136</v>
      </c>
      <c r="U634" t="s">
        <v>2217</v>
      </c>
      <c r="V634" s="407" t="s">
        <v>2309</v>
      </c>
      <c r="W634" s="29">
        <v>0</v>
      </c>
      <c r="X634">
        <v>1</v>
      </c>
    </row>
    <row r="635" spans="1:24">
      <c r="A635" s="134">
        <v>1970</v>
      </c>
      <c r="B635" s="134">
        <v>16.8</v>
      </c>
      <c r="C635">
        <v>1.51</v>
      </c>
      <c r="D635">
        <v>7.08</v>
      </c>
      <c r="E635">
        <v>24.24</v>
      </c>
      <c r="F635" s="19" t="s">
        <v>2212</v>
      </c>
      <c r="G635">
        <v>50</v>
      </c>
      <c r="H635">
        <v>71.2</v>
      </c>
      <c r="I635" s="217">
        <v>42789</v>
      </c>
      <c r="J635" t="s">
        <v>130</v>
      </c>
      <c r="K635">
        <v>33.270000000000003</v>
      </c>
      <c r="L635">
        <v>0.28399999999999997</v>
      </c>
      <c r="M635">
        <v>408</v>
      </c>
      <c r="Q635" s="4" t="str">
        <f>HYPERLINK("\\hopi-fs\shares\users\dhar\Stalk mount testing\Type 1e Quality Assurance\CRYO-9079-0042  1070 1E","folder")</f>
        <v>folder</v>
      </c>
      <c r="T635" t="s">
        <v>2136</v>
      </c>
      <c r="U635" t="s">
        <v>2217</v>
      </c>
    </row>
    <row r="636" spans="1:24" ht="30" customHeight="1">
      <c r="A636" s="134">
        <v>1779</v>
      </c>
      <c r="E636" s="19" t="s">
        <v>2215</v>
      </c>
      <c r="F636" s="19" t="s">
        <v>2241</v>
      </c>
      <c r="I636" s="217">
        <v>42793</v>
      </c>
      <c r="J636" t="s">
        <v>130</v>
      </c>
      <c r="Q636" s="4" t="str">
        <f>HYPERLINK("\\hopi-fs\shares\users\dhar\Stalk mount testing\Type 1e Quality Assurance\fill tube test no1","folder")</f>
        <v>folder</v>
      </c>
      <c r="T636" t="s">
        <v>2136</v>
      </c>
      <c r="U636" t="s">
        <v>2269</v>
      </c>
    </row>
    <row r="637" spans="1:24">
      <c r="A637" s="134">
        <v>1809</v>
      </c>
      <c r="E637" s="19" t="s">
        <v>2216</v>
      </c>
      <c r="F637" s="19" t="s">
        <v>2242</v>
      </c>
      <c r="I637" s="217">
        <v>42793</v>
      </c>
      <c r="J637" t="s">
        <v>130</v>
      </c>
      <c r="Q637" s="4" t="str">
        <f>HYPERLINK("\\hopi-fs\shares\users\dhar\Stalk mount testing\Type 1e Quality Assurance\Fill tube test target no.2","folder")</f>
        <v>folder</v>
      </c>
      <c r="T637" t="s">
        <v>2136</v>
      </c>
      <c r="U637" t="s">
        <v>2269</v>
      </c>
    </row>
    <row r="638" spans="1:24" ht="33" customHeight="1">
      <c r="A638" s="134">
        <v>1978</v>
      </c>
      <c r="B638" s="134">
        <v>17.2</v>
      </c>
      <c r="C638">
        <v>1.53</v>
      </c>
      <c r="D638">
        <v>7.19</v>
      </c>
      <c r="E638">
        <v>24.3</v>
      </c>
      <c r="F638" s="270" t="s">
        <v>2228</v>
      </c>
      <c r="G638">
        <v>21.3</v>
      </c>
      <c r="H638">
        <v>70.7</v>
      </c>
      <c r="I638" s="217">
        <v>42802</v>
      </c>
      <c r="J638" t="s">
        <v>130</v>
      </c>
      <c r="K638">
        <v>33.47</v>
      </c>
      <c r="L638">
        <v>0.61</v>
      </c>
      <c r="Q638" s="4" t="str">
        <f>HYPERLINK("\\HOPI-FS\shares\users\dhar\Stalk mount testing\Type 1e Quality Assurance\CRYO-1080-0089  1978 1E","folder")</f>
        <v>folder</v>
      </c>
      <c r="T638" t="s">
        <v>2136</v>
      </c>
    </row>
    <row r="639" spans="1:24" ht="16.5" customHeight="1">
      <c r="A639" s="134">
        <v>1978</v>
      </c>
      <c r="B639" s="134">
        <v>17.600000000000001</v>
      </c>
      <c r="C639">
        <v>1.5</v>
      </c>
      <c r="D639">
        <v>7.19</v>
      </c>
      <c r="E639">
        <v>24.29</v>
      </c>
      <c r="F639" s="176" t="s">
        <v>2220</v>
      </c>
      <c r="G639">
        <v>47.5</v>
      </c>
      <c r="H639">
        <v>71</v>
      </c>
      <c r="I639" s="217">
        <v>42801</v>
      </c>
      <c r="J639" t="s">
        <v>130</v>
      </c>
      <c r="K639">
        <v>33.42</v>
      </c>
      <c r="L639">
        <v>0.17100000000000001</v>
      </c>
      <c r="Q639" s="4" t="str">
        <f>HYPERLINK("\\hopi-fs\shares\users\dhar\Stalk mount testing\Type 1e Quality Assurance\CRYO-2075-2749  1978 1E","folder")</f>
        <v>folder</v>
      </c>
      <c r="T639" t="s">
        <v>2136</v>
      </c>
    </row>
    <row r="640" spans="1:24" ht="16.5" customHeight="1">
      <c r="A640" s="134">
        <v>1978</v>
      </c>
      <c r="B640" s="134">
        <v>16.399999999999999</v>
      </c>
      <c r="C640">
        <v>1.53</v>
      </c>
      <c r="D640">
        <v>7.19</v>
      </c>
      <c r="E640">
        <v>24.28</v>
      </c>
      <c r="F640" s="270" t="s">
        <v>2231</v>
      </c>
      <c r="G640">
        <v>23</v>
      </c>
      <c r="H640">
        <v>67.599999999999994</v>
      </c>
      <c r="I640" s="217">
        <v>42804</v>
      </c>
      <c r="J640" t="s">
        <v>130</v>
      </c>
      <c r="K640">
        <v>33.450000000000003</v>
      </c>
      <c r="L640">
        <v>0.24</v>
      </c>
      <c r="M640">
        <v>398</v>
      </c>
      <c r="Q640" s="4" t="str">
        <f>HYPERLINK("\\HOPI-FS\shares\users\dhar\Stalk mount testing\Type 1e Quality Assurance\CRYO-1079-0093  1978 1E","folder")</f>
        <v>folder</v>
      </c>
      <c r="T640" t="s">
        <v>2136</v>
      </c>
    </row>
    <row r="641" spans="1:23" ht="16.5" customHeight="1">
      <c r="A641" s="134">
        <v>1980</v>
      </c>
      <c r="B641" s="134">
        <v>16.5</v>
      </c>
      <c r="C641">
        <v>1.54</v>
      </c>
      <c r="D641">
        <v>7.18</v>
      </c>
      <c r="E641">
        <v>24.34</v>
      </c>
      <c r="F641" s="184" t="s">
        <v>2229</v>
      </c>
      <c r="G641">
        <v>21.3</v>
      </c>
      <c r="H641">
        <v>70.7</v>
      </c>
      <c r="I641" s="217">
        <v>42802</v>
      </c>
      <c r="J641" t="s">
        <v>130</v>
      </c>
      <c r="K641">
        <v>33.5</v>
      </c>
      <c r="L641">
        <v>0.125</v>
      </c>
      <c r="M641">
        <v>402</v>
      </c>
      <c r="Q641" s="4" t="str">
        <f>HYPERLINK("\\hopi-fs\shares\users\dhar\Stalk mount testing\Type 1e Quality Assurance\CRYO-1080-0090  1980 1E","folder")</f>
        <v>folder</v>
      </c>
      <c r="T641" t="s">
        <v>2136</v>
      </c>
      <c r="U641" t="s">
        <v>2238</v>
      </c>
    </row>
    <row r="642" spans="1:23">
      <c r="A642" s="134">
        <v>1980</v>
      </c>
      <c r="B642" s="134">
        <v>18</v>
      </c>
      <c r="C642">
        <v>1.49</v>
      </c>
      <c r="D642">
        <v>7.19</v>
      </c>
      <c r="E642">
        <v>24.35</v>
      </c>
      <c r="F642" s="176" t="s">
        <v>2221</v>
      </c>
      <c r="G642">
        <v>47.5</v>
      </c>
      <c r="H642">
        <v>71</v>
      </c>
      <c r="I642" s="217">
        <v>42801</v>
      </c>
      <c r="J642" t="s">
        <v>130</v>
      </c>
      <c r="K642">
        <v>33.46</v>
      </c>
      <c r="L642">
        <v>0.64500000000000002</v>
      </c>
      <c r="Q642" s="4" t="str">
        <f>HYPERLINK("\\hopi-fs\shares\users\dhar\Stalk mount testing\Type 1e Quality Assurance\CRYO-2077-2753  1980 1E","folder")</f>
        <v>folder</v>
      </c>
      <c r="T642" t="s">
        <v>2136</v>
      </c>
      <c r="U642" t="s">
        <v>1678</v>
      </c>
    </row>
    <row r="643" spans="1:23">
      <c r="A643" s="134">
        <v>1982</v>
      </c>
      <c r="B643" s="134">
        <v>16.399999999999999</v>
      </c>
      <c r="C643">
        <v>1.53</v>
      </c>
      <c r="D643">
        <v>7.16</v>
      </c>
      <c r="E643">
        <v>24.31</v>
      </c>
      <c r="F643" s="184" t="s">
        <v>2230</v>
      </c>
      <c r="G643">
        <v>21.3</v>
      </c>
      <c r="H643">
        <v>70.7</v>
      </c>
      <c r="I643" s="217">
        <v>42802</v>
      </c>
      <c r="J643" t="s">
        <v>130</v>
      </c>
      <c r="K643">
        <v>33.450000000000003</v>
      </c>
      <c r="L643">
        <v>0.66500000000000004</v>
      </c>
      <c r="M643">
        <v>381</v>
      </c>
      <c r="Q643" s="4" t="str">
        <f>HYPERLINK("\\hopi-fs\shares\users\dhar\Stalk mount testing\Type 1e Quality Assurance\CRYO-1079-0091  1982 1E","folder")</f>
        <v>folder</v>
      </c>
      <c r="T643" t="s">
        <v>2136</v>
      </c>
      <c r="U643" t="s">
        <v>2355</v>
      </c>
    </row>
    <row r="644" spans="1:23">
      <c r="A644" s="134">
        <v>1982</v>
      </c>
      <c r="B644" s="134">
        <v>16</v>
      </c>
      <c r="C644">
        <v>1.54</v>
      </c>
      <c r="D644">
        <v>7.17</v>
      </c>
      <c r="E644">
        <v>24.27</v>
      </c>
      <c r="F644" s="176" t="s">
        <v>2222</v>
      </c>
      <c r="G644">
        <v>47.5</v>
      </c>
      <c r="H644">
        <v>71</v>
      </c>
      <c r="I644" s="217">
        <v>42801</v>
      </c>
      <c r="J644" t="s">
        <v>130</v>
      </c>
      <c r="K644">
        <v>33.42</v>
      </c>
      <c r="L644">
        <v>0.68600000000000005</v>
      </c>
      <c r="Q644" s="4" t="str">
        <f>HYPERLINK("\\hopi-fs\shares\users\dhar\Stalk mount testing\Type 1e Quality Assurance\CRYO-2076-2756  1982 1E","folder")</f>
        <v>folder</v>
      </c>
      <c r="T644" t="s">
        <v>2136</v>
      </c>
    </row>
    <row r="645" spans="1:23">
      <c r="A645" s="134">
        <v>1985</v>
      </c>
      <c r="B645" s="134">
        <v>18.399999999999999</v>
      </c>
      <c r="C645">
        <v>1.54</v>
      </c>
      <c r="D645">
        <v>7.15</v>
      </c>
      <c r="E645">
        <v>24.36</v>
      </c>
      <c r="F645" s="19" t="s">
        <v>2223</v>
      </c>
      <c r="G645">
        <v>47.5</v>
      </c>
      <c r="H645">
        <v>71</v>
      </c>
      <c r="I645" s="217">
        <v>42801</v>
      </c>
      <c r="J645" t="s">
        <v>130</v>
      </c>
      <c r="K645">
        <v>33.5</v>
      </c>
      <c r="L645">
        <v>0.67900000000000005</v>
      </c>
      <c r="M645">
        <v>433</v>
      </c>
      <c r="Q645" s="4" t="str">
        <f>HYPERLINK("\\hopi-fs\shares\users\dhar\Stalk mount testing\Type 1e Quality Assurance\CRYO-2076-2760  1985 1E","folder")</f>
        <v>folder</v>
      </c>
      <c r="T645" t="s">
        <v>2136</v>
      </c>
      <c r="U645" t="s">
        <v>2238</v>
      </c>
    </row>
    <row r="646" spans="1:23">
      <c r="A646" s="134">
        <v>1986</v>
      </c>
      <c r="B646" s="134">
        <v>16.8</v>
      </c>
      <c r="C646">
        <v>1.49</v>
      </c>
      <c r="D646">
        <v>7.19</v>
      </c>
      <c r="E646">
        <v>24.3</v>
      </c>
      <c r="F646" s="19" t="s">
        <v>2224</v>
      </c>
      <c r="G646">
        <v>47.5</v>
      </c>
      <c r="H646">
        <v>71</v>
      </c>
      <c r="I646" s="217">
        <v>42801</v>
      </c>
      <c r="J646" t="s">
        <v>130</v>
      </c>
      <c r="K646">
        <v>33.42</v>
      </c>
      <c r="L646">
        <v>0.27900000000000003</v>
      </c>
      <c r="M646">
        <v>410</v>
      </c>
      <c r="Q646" s="385" t="str">
        <f>HYPERLINK("\\hopi-fs\shares\users\dhar\Stalk mount testing\Type 1e Quality Assurance\CRYO-2075-2761  1986 1E","folder")</f>
        <v>folder</v>
      </c>
      <c r="T646" t="s">
        <v>2136</v>
      </c>
      <c r="U646" t="s">
        <v>2552</v>
      </c>
      <c r="V646" s="407" t="s">
        <v>2546</v>
      </c>
      <c r="W646" s="29">
        <v>5</v>
      </c>
    </row>
    <row r="647" spans="1:23">
      <c r="A647" s="134">
        <v>1992</v>
      </c>
      <c r="B647" s="134">
        <v>16.399999999999999</v>
      </c>
      <c r="C647">
        <v>1.52</v>
      </c>
      <c r="D647">
        <v>7.13</v>
      </c>
      <c r="E647">
        <v>24.3</v>
      </c>
      <c r="F647" s="19" t="s">
        <v>2225</v>
      </c>
      <c r="G647">
        <v>47.5</v>
      </c>
      <c r="H647">
        <v>71</v>
      </c>
      <c r="I647" s="217">
        <v>42801</v>
      </c>
      <c r="J647" t="s">
        <v>130</v>
      </c>
      <c r="K647">
        <v>33.380000000000003</v>
      </c>
      <c r="L647">
        <v>0.73799999999999999</v>
      </c>
      <c r="M647">
        <v>395</v>
      </c>
      <c r="Q647" s="4" t="str">
        <f>HYPERLINK("\\hopi-fs\shares\users\dhar\Stalk mount testing\Type 1e Quality Assurance\CRYO-2075-2762  1992 1E","folder")</f>
        <v>folder</v>
      </c>
      <c r="T647" t="s">
        <v>2136</v>
      </c>
      <c r="U647" t="s">
        <v>2238</v>
      </c>
    </row>
    <row r="648" spans="1:23">
      <c r="A648" s="134">
        <v>2002</v>
      </c>
      <c r="B648" s="134">
        <v>16</v>
      </c>
      <c r="C648">
        <v>1.52</v>
      </c>
      <c r="D648">
        <v>7.11</v>
      </c>
      <c r="E648">
        <v>24.31</v>
      </c>
      <c r="F648" s="19" t="s">
        <v>2226</v>
      </c>
      <c r="G648">
        <v>47.5</v>
      </c>
      <c r="H648">
        <v>71</v>
      </c>
      <c r="I648" s="217">
        <v>42801</v>
      </c>
      <c r="J648" t="s">
        <v>130</v>
      </c>
      <c r="K648">
        <v>33.380000000000003</v>
      </c>
      <c r="L648">
        <v>0.66400000000000003</v>
      </c>
      <c r="M648">
        <v>384</v>
      </c>
      <c r="Q648" s="4" t="str">
        <f>HYPERLINK("\\hopi-fs\shares\users\dhar\Stalk mount testing\Type 1e Quality Assurance\CRYO-2074-2763  2002 1E","folder")</f>
        <v>folder</v>
      </c>
      <c r="T648" t="s">
        <v>2136</v>
      </c>
      <c r="U648" t="s">
        <v>2238</v>
      </c>
    </row>
    <row r="649" spans="1:23">
      <c r="A649" s="134">
        <v>2003</v>
      </c>
      <c r="B649" s="134">
        <v>17.2</v>
      </c>
      <c r="C649">
        <v>1.54</v>
      </c>
      <c r="D649">
        <v>7.12</v>
      </c>
      <c r="E649">
        <v>24.34</v>
      </c>
      <c r="F649" s="19" t="s">
        <v>2227</v>
      </c>
      <c r="G649">
        <v>47.5</v>
      </c>
      <c r="H649">
        <v>71</v>
      </c>
      <c r="I649" s="217">
        <v>42801</v>
      </c>
      <c r="J649" t="s">
        <v>130</v>
      </c>
      <c r="K649">
        <v>33.44</v>
      </c>
      <c r="L649">
        <v>0.58599999999999997</v>
      </c>
      <c r="M649">
        <v>417</v>
      </c>
      <c r="Q649" s="4" t="str">
        <f>HYPERLINK("\\hopi-fs\shares\users\dhar\Stalk mount testing\Type 1e Quality Assurance\CRYO-2076-2779  2003 1E","folder")</f>
        <v>folder</v>
      </c>
      <c r="T649" t="s">
        <v>2136</v>
      </c>
      <c r="U649" t="s">
        <v>2238</v>
      </c>
    </row>
    <row r="650" spans="1:23">
      <c r="A650" s="134">
        <v>2006</v>
      </c>
      <c r="B650" s="134">
        <v>18</v>
      </c>
      <c r="C650">
        <v>1.54</v>
      </c>
      <c r="D650">
        <v>7.17</v>
      </c>
      <c r="E650">
        <v>24.32</v>
      </c>
      <c r="F650" s="270" t="s">
        <v>2234</v>
      </c>
      <c r="G650">
        <v>19.7</v>
      </c>
      <c r="H650">
        <v>69.400000000000006</v>
      </c>
      <c r="I650" s="217">
        <v>42810</v>
      </c>
      <c r="J650" t="s">
        <v>130</v>
      </c>
      <c r="K650">
        <v>33.479999999999997</v>
      </c>
      <c r="L650">
        <v>0.26</v>
      </c>
      <c r="Q650" s="4" t="str">
        <f>HYPERLINK("\\hopi-fs\shares\users\dhar\Stalk mount testing\Type 1e Quality Assurance\CRYO-1079-0095  2006 1E","folder")</f>
        <v>folder</v>
      </c>
      <c r="T650" t="s">
        <v>2136</v>
      </c>
    </row>
    <row r="651" spans="1:23">
      <c r="A651" s="134">
        <v>2006</v>
      </c>
      <c r="F651" s="270" t="s">
        <v>2233</v>
      </c>
      <c r="G651">
        <v>19.7</v>
      </c>
      <c r="H651">
        <v>69.400000000000006</v>
      </c>
      <c r="I651" s="217">
        <v>42810</v>
      </c>
      <c r="J651" t="s">
        <v>130</v>
      </c>
      <c r="Q651" s="4"/>
    </row>
    <row r="652" spans="1:23">
      <c r="A652" s="134">
        <v>2006</v>
      </c>
      <c r="F652" s="176" t="s">
        <v>2239</v>
      </c>
      <c r="G652">
        <v>47.5</v>
      </c>
      <c r="H652">
        <v>71</v>
      </c>
      <c r="I652" s="217">
        <v>42801</v>
      </c>
      <c r="J652" t="s">
        <v>130</v>
      </c>
    </row>
    <row r="653" spans="1:23">
      <c r="A653" s="134">
        <v>2006</v>
      </c>
      <c r="B653" s="134">
        <v>17.600000000000001</v>
      </c>
      <c r="C653">
        <v>1.54</v>
      </c>
      <c r="D653">
        <v>7.17</v>
      </c>
      <c r="E653">
        <v>24.32</v>
      </c>
      <c r="F653" s="270" t="s">
        <v>2232</v>
      </c>
      <c r="G653">
        <v>23</v>
      </c>
      <c r="H653">
        <v>67.599999999999994</v>
      </c>
      <c r="I653" s="217">
        <v>42804</v>
      </c>
      <c r="J653" t="s">
        <v>130</v>
      </c>
      <c r="K653">
        <v>33.47</v>
      </c>
      <c r="L653">
        <v>0.72799999999999998</v>
      </c>
      <c r="S653" t="s">
        <v>2136</v>
      </c>
    </row>
    <row r="654" spans="1:23" ht="30.75" customHeight="1">
      <c r="A654" s="134">
        <v>1867</v>
      </c>
      <c r="B654" s="134">
        <v>17.2</v>
      </c>
      <c r="C654">
        <v>1.51</v>
      </c>
      <c r="D654">
        <v>7.14</v>
      </c>
      <c r="E654">
        <v>24.23</v>
      </c>
      <c r="F654" s="358" t="s">
        <v>2237</v>
      </c>
      <c r="G654">
        <v>19.7</v>
      </c>
      <c r="H654">
        <v>69.400000000000006</v>
      </c>
      <c r="I654" s="217">
        <v>42810</v>
      </c>
      <c r="J654" t="s">
        <v>130</v>
      </c>
      <c r="K654">
        <v>33.32</v>
      </c>
      <c r="L654">
        <v>0.76400000000000001</v>
      </c>
      <c r="Q654" s="4" t="str">
        <f>HYPERLINK("\\hopi-fs\shares\users\dhar\Stalk mount testing\Type 1e Quality Assurance\ISE-2Q16-10-B122 MEQ  1867 1E","folder")</f>
        <v>folder</v>
      </c>
      <c r="T654" t="s">
        <v>2136</v>
      </c>
    </row>
    <row r="655" spans="1:23">
      <c r="A655" s="134">
        <v>1867</v>
      </c>
      <c r="B655" s="134">
        <v>16.399999999999999</v>
      </c>
      <c r="C655">
        <v>1.52</v>
      </c>
      <c r="D655">
        <v>7.14</v>
      </c>
      <c r="E655">
        <v>24.26</v>
      </c>
      <c r="F655" s="359" t="s">
        <v>2322</v>
      </c>
      <c r="G655" s="13">
        <v>58</v>
      </c>
      <c r="H655" s="13">
        <v>70</v>
      </c>
      <c r="I655" s="217">
        <v>42905</v>
      </c>
      <c r="J655" s="13" t="s">
        <v>130</v>
      </c>
      <c r="K655" s="13">
        <v>33.36</v>
      </c>
      <c r="L655" s="13">
        <v>0.72</v>
      </c>
      <c r="M655" s="13">
        <v>253</v>
      </c>
      <c r="Q655" s="4" t="str">
        <f>HYPERLINK("\\HOPI-FS\shares\users\dhar\Stalk mount testing\Type 1e Quality Assurance\ISE-2Q16-10-B126  1867 1E MEQ","folder")</f>
        <v>folder</v>
      </c>
      <c r="T655" t="s">
        <v>2136</v>
      </c>
      <c r="U655" t="s">
        <v>2324</v>
      </c>
    </row>
    <row r="656" spans="1:23">
      <c r="A656" s="134">
        <v>1904</v>
      </c>
      <c r="B656" s="134">
        <v>17.600000000000001</v>
      </c>
      <c r="C656">
        <v>1.5</v>
      </c>
      <c r="D656">
        <v>7.09</v>
      </c>
      <c r="E656">
        <v>24.26</v>
      </c>
      <c r="F656" s="359" t="s">
        <v>2323</v>
      </c>
      <c r="G656">
        <v>19.7</v>
      </c>
      <c r="H656">
        <v>69.400000000000006</v>
      </c>
      <c r="I656" s="217">
        <v>42810</v>
      </c>
      <c r="J656" t="s">
        <v>130</v>
      </c>
      <c r="K656">
        <v>33.299999999999997</v>
      </c>
      <c r="L656">
        <v>0.23699999999999999</v>
      </c>
      <c r="M656">
        <v>288</v>
      </c>
      <c r="Q656" s="4" t="str">
        <f>HYPERLINK("\\hopi-fs\shares\users\dhar\Stalk mount testing\Type 1e Quality Assurance\ISE-2Q16-10-B123 MEQ  1904 1E","folder")</f>
        <v>folder</v>
      </c>
      <c r="T656" t="s">
        <v>2136</v>
      </c>
      <c r="U656" t="s">
        <v>2324</v>
      </c>
    </row>
    <row r="657" spans="1:24" ht="44.25" customHeight="1">
      <c r="A657" s="134">
        <v>2577</v>
      </c>
      <c r="B657" s="134">
        <v>16.8</v>
      </c>
      <c r="C657">
        <v>1.49</v>
      </c>
      <c r="D657" s="146">
        <v>7.71</v>
      </c>
      <c r="E657">
        <v>24.41</v>
      </c>
      <c r="F657" s="184" t="s">
        <v>2235</v>
      </c>
      <c r="G657">
        <v>19.7</v>
      </c>
      <c r="H657">
        <v>69.400000000000006</v>
      </c>
      <c r="I657" s="217">
        <v>42810</v>
      </c>
      <c r="J657" t="s">
        <v>130</v>
      </c>
      <c r="K657" s="146">
        <v>34.07</v>
      </c>
      <c r="L657">
        <v>0.64300000000000002</v>
      </c>
      <c r="Q657" s="4" t="str">
        <f>HYPERLINK("\\hopi-fs\shares\users\dhar\Stalk mount testing\Type 1e Quality Assurance\CRYO-1079-0088  2577 1E","folder")</f>
        <v>folder</v>
      </c>
      <c r="S657" t="s">
        <v>2136</v>
      </c>
      <c r="T657" t="s">
        <v>2136</v>
      </c>
    </row>
    <row r="658" spans="1:24">
      <c r="A658" s="134">
        <v>2008</v>
      </c>
      <c r="B658" s="134">
        <v>17.2</v>
      </c>
      <c r="C658">
        <v>1.53</v>
      </c>
      <c r="D658">
        <v>7.13</v>
      </c>
      <c r="E658">
        <v>24.3</v>
      </c>
      <c r="F658" s="19" t="s">
        <v>2236</v>
      </c>
      <c r="G658">
        <v>19.7</v>
      </c>
      <c r="H658">
        <v>69.400000000000006</v>
      </c>
      <c r="I658" s="217">
        <v>42810</v>
      </c>
      <c r="J658" t="s">
        <v>130</v>
      </c>
      <c r="K658">
        <v>33.409999999999997</v>
      </c>
      <c r="L658">
        <v>0.16</v>
      </c>
      <c r="M658">
        <v>358</v>
      </c>
      <c r="Q658" s="4" t="str">
        <f>HYPERLINK("\\hopi-fs\shares\users\dhar\Stalk mount testing\Type 1e Quality Assurance\CRYO-1079-0081  2008 1E","folder")</f>
        <v>folder</v>
      </c>
      <c r="T658" t="s">
        <v>2136</v>
      </c>
      <c r="U658" t="s">
        <v>2238</v>
      </c>
    </row>
    <row r="659" spans="1:24" ht="37.5" customHeight="1">
      <c r="A659" s="134">
        <v>1818</v>
      </c>
      <c r="B659" s="134">
        <v>17.600000000000001</v>
      </c>
      <c r="C659">
        <v>1.51</v>
      </c>
      <c r="D659">
        <v>7.12</v>
      </c>
      <c r="E659">
        <v>24.32</v>
      </c>
      <c r="F659" s="176" t="s">
        <v>2243</v>
      </c>
      <c r="G659">
        <v>40.200000000000003</v>
      </c>
      <c r="H659">
        <v>71.5</v>
      </c>
      <c r="I659" s="217">
        <v>42835</v>
      </c>
      <c r="J659" t="s">
        <v>130</v>
      </c>
      <c r="K659">
        <v>33.4</v>
      </c>
      <c r="L659">
        <v>0.32300000000000001</v>
      </c>
      <c r="Q659" s="4" t="str">
        <f>HYPERLINK("\\HOPI-FS\shares\users\dhar\Stalk mount testing\Type 1e Quality Assurance\CRYO-5084-0073  1818 1E","folder")</f>
        <v>folder</v>
      </c>
      <c r="T659" t="s">
        <v>2136</v>
      </c>
    </row>
    <row r="660" spans="1:24">
      <c r="A660" s="134">
        <v>1989</v>
      </c>
      <c r="F660" s="176" t="s">
        <v>2244</v>
      </c>
      <c r="G660">
        <v>40.200000000000003</v>
      </c>
      <c r="H660">
        <v>71.5</v>
      </c>
      <c r="I660" s="217">
        <v>42835</v>
      </c>
      <c r="J660" t="s">
        <v>130</v>
      </c>
      <c r="Q660" s="4" t="str">
        <f>HYPERLINK("\\HOPI-FS\shares\users\dhar\Stalk mount testing\Type 1e Quality Assurance\CRYO-5084-0074  1989 1E","folder")</f>
        <v>folder</v>
      </c>
      <c r="T660" t="s">
        <v>2136</v>
      </c>
    </row>
    <row r="661" spans="1:24">
      <c r="A661" s="134">
        <v>2011</v>
      </c>
      <c r="B661" s="134">
        <v>16.399999999999999</v>
      </c>
      <c r="C661">
        <v>1.54</v>
      </c>
      <c r="D661">
        <v>7.17</v>
      </c>
      <c r="E661">
        <v>24.33</v>
      </c>
      <c r="F661" s="249" t="s">
        <v>2245</v>
      </c>
      <c r="G661">
        <v>40.200000000000003</v>
      </c>
      <c r="H661">
        <v>71.5</v>
      </c>
      <c r="I661" s="217">
        <v>42835</v>
      </c>
      <c r="J661" t="s">
        <v>130</v>
      </c>
      <c r="K661">
        <v>33.5</v>
      </c>
      <c r="L661">
        <v>0.26800000000000002</v>
      </c>
      <c r="M661" s="3">
        <v>303</v>
      </c>
      <c r="Q661" s="4" t="str">
        <f>HYPERLINK("\\HOPI-FS\shares\users\dhar\Stalk mount testing\Type 1e Quality Assurance\CRYO-5084-0075  2011 1E","folder")</f>
        <v>folder</v>
      </c>
      <c r="T661" t="s">
        <v>2136</v>
      </c>
      <c r="U661" t="s">
        <v>3866</v>
      </c>
      <c r="V661" s="407" t="s">
        <v>2266</v>
      </c>
      <c r="W661" s="29">
        <v>4</v>
      </c>
    </row>
    <row r="662" spans="1:24">
      <c r="A662" s="134">
        <v>2015</v>
      </c>
      <c r="F662" s="176" t="s">
        <v>2246</v>
      </c>
      <c r="G662">
        <v>40.200000000000003</v>
      </c>
      <c r="H662">
        <v>71.5</v>
      </c>
      <c r="I662" s="217">
        <v>42835</v>
      </c>
      <c r="J662" t="s">
        <v>130</v>
      </c>
      <c r="Q662" t="s">
        <v>1678</v>
      </c>
      <c r="T662" t="s">
        <v>2136</v>
      </c>
    </row>
    <row r="663" spans="1:24">
      <c r="A663" s="134">
        <v>2056</v>
      </c>
      <c r="B663" s="134">
        <v>18.8</v>
      </c>
      <c r="C663">
        <v>1.54</v>
      </c>
      <c r="D663">
        <v>7.16</v>
      </c>
      <c r="E663">
        <v>24.4</v>
      </c>
      <c r="F663" s="19" t="s">
        <v>2247</v>
      </c>
      <c r="G663">
        <v>51.1</v>
      </c>
      <c r="H663">
        <v>71.400000000000006</v>
      </c>
      <c r="I663" s="217">
        <v>42836</v>
      </c>
      <c r="J663" t="s">
        <v>130</v>
      </c>
      <c r="K663">
        <v>33.6</v>
      </c>
      <c r="L663">
        <v>0.27800000000000002</v>
      </c>
      <c r="M663">
        <v>397</v>
      </c>
      <c r="Q663" s="4" t="str">
        <f>HYPERLINK("\\HOPI-FS\shares\users\dhar\Stalk mount testing\Type 1e Quality Assurance\CRYO-5084-0077  2056 1E","folder")</f>
        <v>folder</v>
      </c>
      <c r="T663" t="s">
        <v>2136</v>
      </c>
      <c r="U663" t="s">
        <v>2270</v>
      </c>
      <c r="V663" s="407" t="s">
        <v>2266</v>
      </c>
      <c r="W663" s="29">
        <v>3</v>
      </c>
    </row>
    <row r="664" spans="1:24">
      <c r="A664" s="134">
        <v>1424</v>
      </c>
      <c r="B664" s="134">
        <v>16.399999999999999</v>
      </c>
      <c r="C664">
        <v>1.57</v>
      </c>
      <c r="D664">
        <v>7.19</v>
      </c>
      <c r="E664">
        <v>24.3</v>
      </c>
      <c r="F664" s="19" t="s">
        <v>2249</v>
      </c>
      <c r="G664">
        <v>51.1</v>
      </c>
      <c r="H664">
        <v>71.400000000000006</v>
      </c>
      <c r="I664" s="217">
        <v>42836</v>
      </c>
      <c r="J664" t="s">
        <v>130</v>
      </c>
      <c r="K664">
        <v>33.5</v>
      </c>
      <c r="L664">
        <v>0.5</v>
      </c>
      <c r="M664">
        <v>357</v>
      </c>
      <c r="Q664" s="4" t="str">
        <f>HYPERLINK("\\HOPI-FS\shares\users\dhar\Stalk mount testing\Type 1e Quality Assurance\CRYO-5086-0070  1424 1E","folder")</f>
        <v>folder</v>
      </c>
      <c r="T664" t="s">
        <v>2136</v>
      </c>
      <c r="U664" t="s">
        <v>2271</v>
      </c>
      <c r="V664" s="407" t="s">
        <v>2266</v>
      </c>
      <c r="W664" s="29">
        <v>4</v>
      </c>
    </row>
    <row r="665" spans="1:24">
      <c r="A665" s="134">
        <v>1926</v>
      </c>
      <c r="B665" s="134">
        <v>18</v>
      </c>
      <c r="C665">
        <v>1.51</v>
      </c>
      <c r="D665">
        <v>7.13</v>
      </c>
      <c r="E665">
        <v>24.3</v>
      </c>
      <c r="F665" s="270" t="s">
        <v>2250</v>
      </c>
      <c r="G665">
        <v>51.1</v>
      </c>
      <c r="H665">
        <v>71.400000000000006</v>
      </c>
      <c r="I665" s="217">
        <v>42836</v>
      </c>
      <c r="J665" t="s">
        <v>130</v>
      </c>
      <c r="K665">
        <v>33.4</v>
      </c>
      <c r="L665">
        <v>0.57999999999999996</v>
      </c>
      <c r="Q665" s="4" t="str">
        <f>HYPERLINK("\\HOPI-FS\shares\users\dhar\Stalk mount testing\Type 1e Quality Assurance\CRYO-5085-0071  1926 1E","folder")</f>
        <v>folder</v>
      </c>
      <c r="T665" t="s">
        <v>2136</v>
      </c>
    </row>
    <row r="666" spans="1:24">
      <c r="A666" s="134">
        <v>2017</v>
      </c>
      <c r="F666" s="176" t="s">
        <v>2248</v>
      </c>
      <c r="G666">
        <v>51.1</v>
      </c>
      <c r="H666">
        <v>71.400000000000006</v>
      </c>
      <c r="I666" s="217">
        <v>42836</v>
      </c>
      <c r="J666" t="s">
        <v>130</v>
      </c>
      <c r="Q666" s="4" t="str">
        <f>HYPERLINK("\\HOPI-FS\shares\users\dhar\Stalk mount testing\Type 1e Quality Assurance\CRYO-5081-0057  2017 1E","folder")</f>
        <v>folder</v>
      </c>
      <c r="T666" t="s">
        <v>2136</v>
      </c>
    </row>
    <row r="667" spans="1:24">
      <c r="A667" s="134">
        <v>2020</v>
      </c>
      <c r="F667" s="176" t="s">
        <v>2251</v>
      </c>
      <c r="G667">
        <v>51.1</v>
      </c>
      <c r="H667">
        <v>71.400000000000006</v>
      </c>
      <c r="I667" s="217">
        <v>42836</v>
      </c>
      <c r="J667" t="s">
        <v>130</v>
      </c>
      <c r="Q667" s="4" t="str">
        <f>HYPERLINK("\\HOPI-FS\shares\users\dhar\Stalk mount testing\Type 1e Quality Assurance\CRYO-5084-0069  2020 1E","folder")</f>
        <v>folder</v>
      </c>
      <c r="T667" t="s">
        <v>2136</v>
      </c>
    </row>
    <row r="668" spans="1:24">
      <c r="A668" s="134">
        <v>1818</v>
      </c>
      <c r="F668" s="176" t="s">
        <v>2252</v>
      </c>
      <c r="G668">
        <v>37.6</v>
      </c>
      <c r="H668">
        <v>69.900000000000006</v>
      </c>
      <c r="I668" s="217">
        <v>42837</v>
      </c>
      <c r="J668" t="s">
        <v>130</v>
      </c>
      <c r="Q668" s="4" t="str">
        <f>HYPERLINK("\\HOPI-FS\shares\users\dhar\Stalk mount testing\Type 1e Quality Assurance\CRYO-5082-0054  1818 1E","folder")</f>
        <v>folder</v>
      </c>
      <c r="T668" t="s">
        <v>2136</v>
      </c>
    </row>
    <row r="669" spans="1:24">
      <c r="A669" s="134">
        <v>1989</v>
      </c>
      <c r="B669" s="134">
        <v>17.2</v>
      </c>
      <c r="C669">
        <v>1.54</v>
      </c>
      <c r="D669">
        <v>7.17</v>
      </c>
      <c r="E669">
        <v>24.29</v>
      </c>
      <c r="F669" s="184" t="s">
        <v>2253</v>
      </c>
      <c r="G669">
        <v>37.6</v>
      </c>
      <c r="H669">
        <v>69.900000000000006</v>
      </c>
      <c r="I669" s="217">
        <v>42837</v>
      </c>
      <c r="J669" t="s">
        <v>130</v>
      </c>
      <c r="K669">
        <v>33.450000000000003</v>
      </c>
      <c r="L669">
        <v>0.56699999999999995</v>
      </c>
      <c r="M669">
        <v>391</v>
      </c>
      <c r="Q669" s="4" t="str">
        <f>HYPERLINK("\\HOPI-FS\shares\users\dhar\Stalk mount testing\Type 1e Quality Assurance\CRYO-5081-0055  1989 1E","folder")</f>
        <v>folder</v>
      </c>
      <c r="T669" t="s">
        <v>2136</v>
      </c>
      <c r="U669" t="s">
        <v>3867</v>
      </c>
      <c r="V669" s="407" t="s">
        <v>2266</v>
      </c>
      <c r="W669" s="29">
        <v>3</v>
      </c>
      <c r="X669">
        <v>1</v>
      </c>
    </row>
    <row r="670" spans="1:24">
      <c r="A670" s="134">
        <v>2015</v>
      </c>
      <c r="B670" s="134">
        <v>16.100000000000001</v>
      </c>
      <c r="C670">
        <v>1.53</v>
      </c>
      <c r="D670">
        <v>7.13</v>
      </c>
      <c r="E670">
        <v>24.3</v>
      </c>
      <c r="F670" s="184" t="s">
        <v>2254</v>
      </c>
      <c r="G670">
        <v>37.6</v>
      </c>
      <c r="H670">
        <v>69.900000000000006</v>
      </c>
      <c r="I670" s="217">
        <v>42837</v>
      </c>
      <c r="J670" t="s">
        <v>130</v>
      </c>
      <c r="K670">
        <v>33.4</v>
      </c>
      <c r="L670" s="13">
        <v>0.42399999999999999</v>
      </c>
      <c r="M670" s="13">
        <v>349</v>
      </c>
      <c r="Q670" s="4" t="str">
        <f>HYPERLINK("\\HOPI-FS\shares\users\dhar\Stalk mount testing\Type 1e Quality Assurance\CRYO-5081-0056  2015 1E","folder")</f>
        <v>folder</v>
      </c>
      <c r="T670" t="s">
        <v>2136</v>
      </c>
      <c r="U670" t="s">
        <v>3867</v>
      </c>
      <c r="V670" s="407" t="s">
        <v>175</v>
      </c>
      <c r="W670" s="29">
        <v>7</v>
      </c>
    </row>
    <row r="671" spans="1:24">
      <c r="A671" s="134">
        <v>1926</v>
      </c>
      <c r="F671" s="176" t="s">
        <v>2255</v>
      </c>
      <c r="G671">
        <v>37.6</v>
      </c>
      <c r="H671">
        <v>69.900000000000006</v>
      </c>
      <c r="I671" s="217">
        <v>42837</v>
      </c>
      <c r="J671" t="s">
        <v>130</v>
      </c>
      <c r="Q671" s="4" t="str">
        <f>HYPERLINK("\\HOPI-FS\shares\users\dhar\Stalk mount testing\Type 1e Quality Assurance\CRYO-5083-0072  1926 1E","folder")</f>
        <v>folder</v>
      </c>
      <c r="T671" t="s">
        <v>2136</v>
      </c>
    </row>
    <row r="672" spans="1:24">
      <c r="A672" s="134">
        <v>2020</v>
      </c>
      <c r="B672" s="134">
        <v>18.8</v>
      </c>
      <c r="C672">
        <v>1.54</v>
      </c>
      <c r="D672">
        <v>7.12</v>
      </c>
      <c r="E672">
        <v>24.32</v>
      </c>
      <c r="F672" s="270" t="s">
        <v>2256</v>
      </c>
      <c r="G672">
        <v>37.6</v>
      </c>
      <c r="H672">
        <v>69.900000000000006</v>
      </c>
      <c r="I672" s="217">
        <v>42837</v>
      </c>
      <c r="J672" t="s">
        <v>130</v>
      </c>
      <c r="K672">
        <v>33.4</v>
      </c>
      <c r="L672">
        <v>0.32200000000000001</v>
      </c>
      <c r="Q672" s="4" t="str">
        <f>HYPERLINK("\\HOPI-FS\shares\users\dhar\Stalk mount testing\Type 1e Quality Assurance\CRYO-5085-0068  2020 1E","folder")</f>
        <v>folder</v>
      </c>
      <c r="T672" t="s">
        <v>2136</v>
      </c>
    </row>
    <row r="673" spans="1:24">
      <c r="A673" s="134">
        <v>1818</v>
      </c>
      <c r="B673" s="134">
        <v>17.2</v>
      </c>
      <c r="C673">
        <v>1.52</v>
      </c>
      <c r="D673">
        <v>7.12</v>
      </c>
      <c r="E673">
        <v>24.3</v>
      </c>
      <c r="F673" s="184" t="s">
        <v>2257</v>
      </c>
      <c r="G673">
        <v>37.6</v>
      </c>
      <c r="H673">
        <v>69.900000000000006</v>
      </c>
      <c r="I673" s="217">
        <v>42837</v>
      </c>
      <c r="J673" t="s">
        <v>130</v>
      </c>
      <c r="K673">
        <v>33.380000000000003</v>
      </c>
      <c r="L673">
        <v>0.46800000000000003</v>
      </c>
      <c r="M673">
        <v>377</v>
      </c>
      <c r="Q673" s="4" t="str">
        <f>HYPERLINK("\\HOPI-FS\shares\users\dhar\Stalk mount testing\Type 1e Quality Assurance\CRYO-5077-0065  1818 1E","folder")</f>
        <v>folder</v>
      </c>
      <c r="T673" t="s">
        <v>2136</v>
      </c>
      <c r="U673" t="s">
        <v>2272</v>
      </c>
      <c r="V673" s="407" t="s">
        <v>2267</v>
      </c>
      <c r="W673" s="29">
        <v>0</v>
      </c>
    </row>
    <row r="674" spans="1:24">
      <c r="A674" s="134">
        <v>2017</v>
      </c>
      <c r="F674" s="176" t="s">
        <v>2258</v>
      </c>
      <c r="G674">
        <v>37.6</v>
      </c>
      <c r="H674">
        <v>69.900000000000006</v>
      </c>
      <c r="I674" s="217">
        <v>42837</v>
      </c>
      <c r="J674" t="s">
        <v>130</v>
      </c>
      <c r="Q674" s="4" t="str">
        <f>HYPERLINK("\\HOPI-FS\shares\users\dhar\Stalk mount testing\Type 1e Quality Assurance\CRYO-5076-0064  2017 1E","folder")</f>
        <v>folder</v>
      </c>
      <c r="T674" t="s">
        <v>2136</v>
      </c>
    </row>
    <row r="675" spans="1:24">
      <c r="A675" s="134">
        <v>2017</v>
      </c>
      <c r="B675" s="134">
        <v>16.399999999999999</v>
      </c>
      <c r="C675">
        <v>1.51</v>
      </c>
      <c r="D675">
        <v>7.15</v>
      </c>
      <c r="E675">
        <v>24.32</v>
      </c>
      <c r="F675" s="249" t="s">
        <v>2259</v>
      </c>
      <c r="G675">
        <v>30.6</v>
      </c>
      <c r="H675">
        <v>68.2</v>
      </c>
      <c r="I675" s="217">
        <v>42838</v>
      </c>
      <c r="J675" t="s">
        <v>130</v>
      </c>
      <c r="K675">
        <v>33.43</v>
      </c>
      <c r="L675">
        <v>0.51100000000000001</v>
      </c>
      <c r="M675">
        <v>357</v>
      </c>
      <c r="Q675" s="4" t="str">
        <f>HYPERLINK("\\HOPI-FS\shares\users\dhar\Stalk mount testing\Type 1e Quality Assurance\CRYO-5077-0059  2017 1E","folder")</f>
        <v>folder</v>
      </c>
      <c r="T675" t="s">
        <v>2136</v>
      </c>
      <c r="U675" t="s">
        <v>2272</v>
      </c>
      <c r="V675" s="407" t="s">
        <v>175</v>
      </c>
      <c r="W675" s="29">
        <v>2</v>
      </c>
    </row>
    <row r="676" spans="1:24">
      <c r="A676" s="134">
        <v>1926</v>
      </c>
      <c r="F676" s="176" t="s">
        <v>2260</v>
      </c>
      <c r="G676">
        <v>30.6</v>
      </c>
      <c r="H676">
        <v>68.2</v>
      </c>
      <c r="I676" s="217">
        <v>42838</v>
      </c>
      <c r="J676" t="s">
        <v>130</v>
      </c>
      <c r="Q676" s="4" t="str">
        <f>HYPERLINK("\\HOPI-FS\shares\users\dhar\Stalk mount testing\Type 1e Quality Assurance\CRYO-5077-0058  1926 1E","folder")</f>
        <v>folder</v>
      </c>
      <c r="T676" t="s">
        <v>2136</v>
      </c>
    </row>
    <row r="677" spans="1:24">
      <c r="A677" s="134">
        <v>2020</v>
      </c>
      <c r="B677" s="134">
        <v>16.8</v>
      </c>
      <c r="C677">
        <v>1.53</v>
      </c>
      <c r="D677">
        <v>7.11</v>
      </c>
      <c r="E677">
        <v>24.3</v>
      </c>
      <c r="F677" s="249" t="s">
        <v>2261</v>
      </c>
      <c r="G677">
        <v>30.6</v>
      </c>
      <c r="H677">
        <v>68.2</v>
      </c>
      <c r="I677" s="217">
        <v>42838</v>
      </c>
      <c r="J677" t="s">
        <v>130</v>
      </c>
      <c r="K677">
        <v>33.42</v>
      </c>
      <c r="L677">
        <v>0.34899999999999998</v>
      </c>
      <c r="M677">
        <v>381</v>
      </c>
      <c r="Q677" s="4" t="str">
        <f>HYPERLINK("\\HOPI-FS\shares\users\dhar\Stalk mount testing\Type 1e Quality Assurance\CRYO-5077-0065  2020 1E","folder")</f>
        <v>folder</v>
      </c>
      <c r="T677" t="s">
        <v>2136</v>
      </c>
      <c r="U677" t="s">
        <v>2272</v>
      </c>
      <c r="V677" s="407" t="s">
        <v>175</v>
      </c>
      <c r="W677" s="29">
        <v>4</v>
      </c>
    </row>
    <row r="678" spans="1:24">
      <c r="A678" s="134">
        <v>1926</v>
      </c>
      <c r="B678" s="134">
        <v>18.399999999999999</v>
      </c>
      <c r="C678">
        <v>1.5</v>
      </c>
      <c r="D678">
        <v>7.1</v>
      </c>
      <c r="E678">
        <v>24.34</v>
      </c>
      <c r="F678" s="19" t="s">
        <v>2262</v>
      </c>
      <c r="G678">
        <v>27.4</v>
      </c>
      <c r="H678">
        <v>69</v>
      </c>
      <c r="I678" s="217">
        <v>42838</v>
      </c>
      <c r="J678" t="s">
        <v>130</v>
      </c>
      <c r="K678">
        <v>33.380000000000003</v>
      </c>
      <c r="L678">
        <v>0.35499999999999998</v>
      </c>
      <c r="M678">
        <v>414</v>
      </c>
      <c r="Q678" s="4" t="str">
        <f>HYPERLINK("\\HOPI-FS\shares\users\dhar\Stalk mount testing\Type 1e Quality Assurance\CRYO-5086-0067 1926","FOLDER")</f>
        <v>FOLDER</v>
      </c>
      <c r="T678" t="s">
        <v>2136</v>
      </c>
      <c r="U678" t="s">
        <v>2271</v>
      </c>
      <c r="V678" s="407" t="s">
        <v>175</v>
      </c>
      <c r="W678" s="29">
        <v>5</v>
      </c>
      <c r="X678">
        <v>1</v>
      </c>
    </row>
    <row r="679" spans="1:24" ht="29.25" customHeight="1">
      <c r="A679" s="134">
        <v>1930</v>
      </c>
      <c r="F679" s="19" t="s">
        <v>2241</v>
      </c>
      <c r="I679" s="217">
        <v>42838</v>
      </c>
      <c r="J679" t="s">
        <v>130</v>
      </c>
      <c r="Q679" t="s">
        <v>2265</v>
      </c>
      <c r="T679" t="s">
        <v>2136</v>
      </c>
      <c r="U679" t="s">
        <v>2268</v>
      </c>
    </row>
    <row r="680" spans="1:24">
      <c r="A680" s="134">
        <v>2591</v>
      </c>
      <c r="F680" s="19" t="s">
        <v>2263</v>
      </c>
      <c r="G680" s="13"/>
      <c r="H680" s="13"/>
      <c r="I680" s="217">
        <v>42838</v>
      </c>
      <c r="J680" t="s">
        <v>130</v>
      </c>
      <c r="K680" s="13"/>
      <c r="L680" s="13"/>
      <c r="Q680" t="s">
        <v>1288</v>
      </c>
      <c r="T680" t="s">
        <v>2136</v>
      </c>
      <c r="U680" t="s">
        <v>2268</v>
      </c>
    </row>
    <row r="681" spans="1:24">
      <c r="A681" s="134">
        <v>1399</v>
      </c>
      <c r="F681" s="249" t="s">
        <v>2264</v>
      </c>
      <c r="G681" s="13"/>
      <c r="H681" s="13"/>
      <c r="I681" s="217">
        <v>42838</v>
      </c>
      <c r="J681" t="s">
        <v>130</v>
      </c>
      <c r="K681" s="13"/>
      <c r="L681" s="13"/>
      <c r="Q681" t="s">
        <v>1288</v>
      </c>
      <c r="T681" t="s">
        <v>2136</v>
      </c>
      <c r="U681" t="s">
        <v>2268</v>
      </c>
    </row>
    <row r="682" spans="1:24" ht="28.5" customHeight="1">
      <c r="A682" s="134">
        <v>2006</v>
      </c>
      <c r="B682" s="134">
        <v>18</v>
      </c>
      <c r="C682">
        <v>1.54</v>
      </c>
      <c r="D682">
        <v>7.18</v>
      </c>
      <c r="E682">
        <v>24.34</v>
      </c>
      <c r="F682" s="19" t="s">
        <v>2273</v>
      </c>
      <c r="G682" s="13">
        <v>31.7</v>
      </c>
      <c r="H682" s="13">
        <v>69</v>
      </c>
      <c r="I682" s="426">
        <v>42863</v>
      </c>
      <c r="J682" s="13" t="s">
        <v>130</v>
      </c>
      <c r="K682" s="13">
        <v>33.5</v>
      </c>
      <c r="L682" s="13">
        <v>0.41</v>
      </c>
      <c r="M682" s="13">
        <v>397</v>
      </c>
      <c r="Q682" s="4" t="str">
        <f>HYPERLINK("\\hopi-fs\shares\users\dhar\Stalk mount testing\Type 1e Quality Assurance\CRYO-1079-0096  2006 1E","folder")</f>
        <v>folder</v>
      </c>
      <c r="T682" t="s">
        <v>2136</v>
      </c>
      <c r="U682" t="s">
        <v>2297</v>
      </c>
      <c r="V682" s="407" t="s">
        <v>2292</v>
      </c>
    </row>
    <row r="683" spans="1:24">
      <c r="A683" s="134">
        <v>2034</v>
      </c>
      <c r="B683" s="134">
        <v>16.399999999999999</v>
      </c>
      <c r="C683">
        <v>1.49</v>
      </c>
      <c r="D683">
        <v>7.1</v>
      </c>
      <c r="E683">
        <v>24.41</v>
      </c>
      <c r="F683" s="19" t="s">
        <v>2274</v>
      </c>
      <c r="G683" s="13">
        <v>31.7</v>
      </c>
      <c r="H683" s="13">
        <v>69</v>
      </c>
      <c r="I683" s="426">
        <v>42863</v>
      </c>
      <c r="J683" s="13" t="s">
        <v>130</v>
      </c>
      <c r="K683" s="13">
        <v>33.450000000000003</v>
      </c>
      <c r="L683" s="13">
        <v>0.21199999999999999</v>
      </c>
      <c r="M683" s="13">
        <v>360</v>
      </c>
      <c r="Q683" s="4" t="str">
        <f>HYPERLINK("\\hopi-fs\shares\users\dhar\Stalk mount testing\Type 1e Quality Assurance\CRYO-1079-0097  2034 1E","folder")</f>
        <v>folder</v>
      </c>
      <c r="T683" t="s">
        <v>2136</v>
      </c>
      <c r="U683" t="s">
        <v>2297</v>
      </c>
      <c r="V683" s="407" t="s">
        <v>2293</v>
      </c>
    </row>
    <row r="684" spans="1:24">
      <c r="A684" s="134">
        <v>2035</v>
      </c>
      <c r="B684" s="136"/>
      <c r="F684" s="184" t="s">
        <v>2275</v>
      </c>
      <c r="G684" s="13">
        <v>31.7</v>
      </c>
      <c r="H684" s="13">
        <v>69</v>
      </c>
      <c r="I684" s="426">
        <v>42863</v>
      </c>
      <c r="J684" s="13" t="s">
        <v>130</v>
      </c>
      <c r="K684" s="13"/>
      <c r="L684" s="13"/>
      <c r="Q684" s="4" t="str">
        <f>HYPERLINK("\\hopi-fs\shares\users\dhar\Stalk mount testing\Type 1e Quality Assurance\CRYO-1079-0098  2035 1E","folder")</f>
        <v>folder</v>
      </c>
      <c r="T684" t="s">
        <v>2136</v>
      </c>
      <c r="U684" t="s">
        <v>3875</v>
      </c>
    </row>
    <row r="685" spans="1:24">
      <c r="A685" s="134">
        <v>2036</v>
      </c>
      <c r="B685" s="136">
        <v>17.2</v>
      </c>
      <c r="C685">
        <v>1.53</v>
      </c>
      <c r="D685">
        <v>7.17</v>
      </c>
      <c r="E685">
        <v>24.4</v>
      </c>
      <c r="F685" s="406" t="s">
        <v>2276</v>
      </c>
      <c r="G685" s="13">
        <v>31.7</v>
      </c>
      <c r="H685" s="13">
        <v>69</v>
      </c>
      <c r="I685" s="426">
        <v>42863</v>
      </c>
      <c r="J685" s="13" t="s">
        <v>130</v>
      </c>
      <c r="K685" s="13">
        <v>33.6</v>
      </c>
      <c r="L685" s="13">
        <v>0.495</v>
      </c>
      <c r="M685" s="13">
        <v>344</v>
      </c>
      <c r="Q685" s="4" t="str">
        <f>HYPERLINK("\\hopi-fs\shares\users\dhar\Stalk mount testing\Type 1e Quality Assurance\CRYO-1079-0099  2036 1E","folder")</f>
        <v>folder</v>
      </c>
      <c r="T685" t="s">
        <v>2136</v>
      </c>
      <c r="U685" t="s">
        <v>2295</v>
      </c>
      <c r="V685" s="407" t="s">
        <v>2294</v>
      </c>
    </row>
    <row r="686" spans="1:24">
      <c r="A686" s="134">
        <v>2037</v>
      </c>
      <c r="B686" s="134">
        <v>19</v>
      </c>
      <c r="C686">
        <v>1.5</v>
      </c>
      <c r="D686">
        <v>7.19</v>
      </c>
      <c r="E686">
        <v>24.36</v>
      </c>
      <c r="F686" s="184" t="s">
        <v>2277</v>
      </c>
      <c r="G686" s="13">
        <v>31.7</v>
      </c>
      <c r="H686" s="13">
        <v>69</v>
      </c>
      <c r="I686" s="426">
        <v>42863</v>
      </c>
      <c r="J686" s="13" t="s">
        <v>130</v>
      </c>
      <c r="K686" s="13">
        <v>33.5</v>
      </c>
      <c r="L686" s="13">
        <v>0.55000000000000004</v>
      </c>
      <c r="M686" s="13">
        <v>472</v>
      </c>
      <c r="Q686" s="4" t="str">
        <f>HYPERLINK("\\hopi-fs\shares\users\dhar\Stalk mount testing\Type 1e Quality Assurance\CRYO-1079-0100  2037 1E","folder")</f>
        <v>folder</v>
      </c>
      <c r="T686" t="s">
        <v>2136</v>
      </c>
      <c r="U686" t="s">
        <v>2297</v>
      </c>
      <c r="V686" s="407" t="s">
        <v>2292</v>
      </c>
    </row>
    <row r="687" spans="1:24" ht="26.25" customHeight="1">
      <c r="A687" s="134">
        <v>1978</v>
      </c>
      <c r="B687" s="134">
        <v>17.600000000000001</v>
      </c>
      <c r="C687">
        <v>1.54</v>
      </c>
      <c r="D687">
        <v>7.2</v>
      </c>
      <c r="E687">
        <v>24.36</v>
      </c>
      <c r="F687" s="249" t="s">
        <v>2278</v>
      </c>
      <c r="G687" s="13">
        <v>30.6</v>
      </c>
      <c r="H687" s="13">
        <v>68</v>
      </c>
      <c r="I687" s="426">
        <v>42864</v>
      </c>
      <c r="J687" s="13" t="s">
        <v>130</v>
      </c>
      <c r="K687" s="13">
        <v>33.5</v>
      </c>
      <c r="L687" s="13">
        <v>0.86799999999999999</v>
      </c>
      <c r="M687" s="13">
        <v>378</v>
      </c>
      <c r="Q687" s="4" t="str">
        <f>HYPERLINK("\\hopi-fs\shares\users\dhar\Stalk mount testing\Type 1e Quality Assurance\CRYO-1079-0106","folder")</f>
        <v>folder</v>
      </c>
      <c r="T687" t="s">
        <v>2136</v>
      </c>
      <c r="U687" t="s">
        <v>2297</v>
      </c>
      <c r="V687" s="407" t="s">
        <v>2282</v>
      </c>
      <c r="W687" s="29">
        <v>37.5</v>
      </c>
    </row>
    <row r="688" spans="1:24">
      <c r="A688" s="134">
        <v>2577</v>
      </c>
      <c r="B688" s="134">
        <v>16</v>
      </c>
      <c r="C688">
        <v>1.5</v>
      </c>
      <c r="D688" s="225">
        <v>7.44</v>
      </c>
      <c r="E688">
        <v>24.45</v>
      </c>
      <c r="F688" s="270" t="s">
        <v>2279</v>
      </c>
      <c r="G688" s="13">
        <v>30.6</v>
      </c>
      <c r="H688" s="13">
        <v>68</v>
      </c>
      <c r="I688" s="426">
        <v>42864</v>
      </c>
      <c r="J688" s="13" t="s">
        <v>130</v>
      </c>
      <c r="K688" s="225">
        <v>34.1</v>
      </c>
      <c r="L688" s="13"/>
      <c r="Q688" s="4" t="str">
        <f>HYPERLINK("\\hopi-fs\shares\users\dhar\Stalk mount testing\Type 1e Quality Assurance\CRYO-1079-0115","folder")</f>
        <v>folder</v>
      </c>
      <c r="T688" t="s">
        <v>2136</v>
      </c>
      <c r="V688" s="407" t="s">
        <v>2283</v>
      </c>
    </row>
    <row r="689" spans="1:23">
      <c r="A689" s="134">
        <v>2031</v>
      </c>
      <c r="B689" s="134">
        <v>17.600000000000001</v>
      </c>
      <c r="C689">
        <v>1.5</v>
      </c>
      <c r="D689">
        <v>7.11</v>
      </c>
      <c r="E689">
        <v>24.3</v>
      </c>
      <c r="F689" s="19" t="s">
        <v>2280</v>
      </c>
      <c r="G689" s="13">
        <v>30.6</v>
      </c>
      <c r="H689" s="13">
        <v>68</v>
      </c>
      <c r="I689" s="426">
        <v>42864</v>
      </c>
      <c r="J689" s="13" t="s">
        <v>130</v>
      </c>
      <c r="K689" s="13">
        <v>33.4</v>
      </c>
      <c r="L689" s="13">
        <v>0.51</v>
      </c>
      <c r="M689" s="13">
        <v>394</v>
      </c>
      <c r="Q689" s="4" t="str">
        <f>HYPERLINK("\\hopi-fs\shares\users\dhar\Stalk mount testing\Type 1e Quality Assurance\CRYO-1079-0109","folder")</f>
        <v>folder</v>
      </c>
      <c r="T689" t="s">
        <v>2136</v>
      </c>
      <c r="U689" t="s">
        <v>2297</v>
      </c>
      <c r="V689" s="407" t="s">
        <v>2290</v>
      </c>
      <c r="W689" s="29">
        <v>36.6</v>
      </c>
    </row>
    <row r="690" spans="1:23">
      <c r="A690" s="134">
        <v>2022</v>
      </c>
      <c r="B690" s="134">
        <v>17.600000000000001</v>
      </c>
      <c r="C690">
        <v>1.5</v>
      </c>
      <c r="D690">
        <v>7.12</v>
      </c>
      <c r="E690">
        <v>24.2</v>
      </c>
      <c r="F690" s="176" t="s">
        <v>2281</v>
      </c>
      <c r="G690" s="13">
        <v>30.6</v>
      </c>
      <c r="H690" s="13">
        <v>68</v>
      </c>
      <c r="I690" s="426">
        <v>42864</v>
      </c>
      <c r="J690" s="13" t="s">
        <v>130</v>
      </c>
      <c r="K690" s="13">
        <v>33.299999999999997</v>
      </c>
      <c r="L690" s="13">
        <v>0.34399999999999997</v>
      </c>
      <c r="Q690" s="4" t="str">
        <f>HYPERLINK("\\hopi-fs\shares\users\dhar\Stalk mount testing\Type 1e Quality Assurance\CRYO-1080-0110","folder")</f>
        <v>folder</v>
      </c>
      <c r="T690" t="s">
        <v>2136</v>
      </c>
      <c r="V690" s="407" t="s">
        <v>2285</v>
      </c>
    </row>
    <row r="691" spans="1:23">
      <c r="A691" s="136">
        <v>2022</v>
      </c>
      <c r="B691" s="134">
        <v>16</v>
      </c>
      <c r="C691">
        <v>1.52</v>
      </c>
      <c r="D691">
        <v>7.12</v>
      </c>
      <c r="E691">
        <v>24.2</v>
      </c>
      <c r="F691" s="45" t="s">
        <v>2287</v>
      </c>
      <c r="G691" s="13">
        <v>32</v>
      </c>
      <c r="H691" s="13">
        <v>70</v>
      </c>
      <c r="I691" s="426">
        <v>42864</v>
      </c>
      <c r="J691" s="13" t="s">
        <v>130</v>
      </c>
      <c r="K691" s="13">
        <v>33.4</v>
      </c>
      <c r="L691" s="13">
        <v>0.47799999999999998</v>
      </c>
      <c r="M691" s="13">
        <v>358</v>
      </c>
      <c r="Q691" s="4" t="str">
        <f>HYPERLINK("\\hopi-fs\shares\users\dhar\Stalk mount testing\Type 1e Quality Assurance\CRYO-1080-0107","folder")</f>
        <v>folder</v>
      </c>
      <c r="T691" t="s">
        <v>2136</v>
      </c>
      <c r="U691" t="s">
        <v>3915</v>
      </c>
      <c r="V691" s="407" t="s">
        <v>2288</v>
      </c>
      <c r="W691" s="29">
        <v>37</v>
      </c>
    </row>
    <row r="692" spans="1:23">
      <c r="A692" s="134">
        <v>2028</v>
      </c>
      <c r="B692" s="136">
        <v>17</v>
      </c>
      <c r="C692">
        <v>1.52</v>
      </c>
      <c r="D692">
        <v>7.1</v>
      </c>
      <c r="E692">
        <v>24.3</v>
      </c>
      <c r="F692" s="45" t="s">
        <v>2284</v>
      </c>
      <c r="G692" s="13">
        <v>30.6</v>
      </c>
      <c r="H692" s="13">
        <v>68</v>
      </c>
      <c r="I692" s="426">
        <v>42864</v>
      </c>
      <c r="J692" s="13" t="s">
        <v>130</v>
      </c>
      <c r="K692" s="13">
        <v>33.4</v>
      </c>
      <c r="L692" s="13">
        <v>0.88</v>
      </c>
      <c r="M692" s="13">
        <v>403</v>
      </c>
      <c r="Q692" s="4" t="str">
        <f>HYPERLINK("\\hopi-fs\shares\users\dhar\Stalk mount testing\Type 1e Quality Assurance\CRYO-1080-0111","folder")</f>
        <v>folder</v>
      </c>
      <c r="T692" t="s">
        <v>2136</v>
      </c>
      <c r="U692" t="s">
        <v>2295</v>
      </c>
      <c r="V692" s="407" t="s">
        <v>2286</v>
      </c>
      <c r="W692" s="29">
        <v>37.1</v>
      </c>
    </row>
    <row r="693" spans="1:23">
      <c r="A693" s="134">
        <v>2033</v>
      </c>
      <c r="B693" s="134">
        <v>19</v>
      </c>
      <c r="C693">
        <v>1.57</v>
      </c>
      <c r="D693">
        <v>7.07</v>
      </c>
      <c r="E693">
        <v>24.33</v>
      </c>
      <c r="F693" s="19" t="s">
        <v>2289</v>
      </c>
      <c r="G693" s="13">
        <v>32</v>
      </c>
      <c r="H693" s="13">
        <v>70</v>
      </c>
      <c r="I693" s="426">
        <v>42864</v>
      </c>
      <c r="J693" s="13" t="s">
        <v>130</v>
      </c>
      <c r="K693" s="13">
        <v>33.380000000000003</v>
      </c>
      <c r="L693" s="13">
        <v>0.62</v>
      </c>
      <c r="M693" s="13">
        <v>381</v>
      </c>
      <c r="Q693" s="4" t="str">
        <f>HYPERLINK("\\hopi-fs\shares\users\dhar\Stalk mount testing\Type 1e Quality Assurance\CRYO-1079-0108","folder")</f>
        <v>folder</v>
      </c>
      <c r="T693" t="s">
        <v>2136</v>
      </c>
      <c r="U693" t="s">
        <v>2297</v>
      </c>
      <c r="V693" s="407" t="s">
        <v>2291</v>
      </c>
      <c r="W693" s="29">
        <v>36.4</v>
      </c>
    </row>
    <row r="694" spans="1:23" ht="28.5" customHeight="1">
      <c r="A694" s="134" t="s">
        <v>2340</v>
      </c>
      <c r="B694" s="136">
        <v>17.2</v>
      </c>
      <c r="C694">
        <v>1.5</v>
      </c>
      <c r="D694">
        <v>7.1</v>
      </c>
      <c r="E694">
        <v>24.26</v>
      </c>
      <c r="F694" s="411" t="s">
        <v>2301</v>
      </c>
      <c r="G694" s="13">
        <v>52</v>
      </c>
      <c r="H694" s="13">
        <v>69</v>
      </c>
      <c r="I694" s="217">
        <v>42894</v>
      </c>
      <c r="J694" s="13" t="s">
        <v>130</v>
      </c>
      <c r="K694" s="13">
        <v>33.31</v>
      </c>
      <c r="L694" s="13">
        <v>0.26500000000000001</v>
      </c>
      <c r="M694" s="13">
        <v>388</v>
      </c>
      <c r="Q694" s="4" t="str">
        <f>HYPERLINK("\\hopi-fs\shares\users\dhar\Stalk mount testing\Type 1e Quality Assurance\CRYO-2075-2792","folder")</f>
        <v>folder</v>
      </c>
      <c r="T694" t="s">
        <v>2136</v>
      </c>
      <c r="V694" s="19" t="s">
        <v>2309</v>
      </c>
    </row>
    <row r="695" spans="1:23">
      <c r="A695" s="134">
        <v>2037</v>
      </c>
      <c r="F695" s="327" t="s">
        <v>2302</v>
      </c>
      <c r="G695" s="13">
        <v>52</v>
      </c>
      <c r="H695" s="13">
        <v>69</v>
      </c>
      <c r="I695" s="217">
        <v>42894</v>
      </c>
      <c r="J695" s="13" t="s">
        <v>130</v>
      </c>
      <c r="K695" s="13"/>
      <c r="L695" s="13"/>
      <c r="Q695" s="4" t="str">
        <f>HYPERLINK("\\hopi-fs\shares\users\dhar\Stalk mount testing\Type 1e Quality Assurance\CRYO-2075-2793","folder")</f>
        <v>folder</v>
      </c>
      <c r="T695" t="s">
        <v>2136</v>
      </c>
      <c r="V695" s="407" t="s">
        <v>2310</v>
      </c>
    </row>
    <row r="696" spans="1:23">
      <c r="A696" s="134">
        <v>2037</v>
      </c>
      <c r="B696" s="134">
        <v>19</v>
      </c>
      <c r="C696">
        <v>1.54</v>
      </c>
      <c r="D696">
        <v>7.06</v>
      </c>
      <c r="E696">
        <v>24.2</v>
      </c>
      <c r="F696" s="69" t="s">
        <v>2316</v>
      </c>
      <c r="G696" s="13">
        <v>48</v>
      </c>
      <c r="H696" s="13">
        <v>70</v>
      </c>
      <c r="I696" s="217">
        <v>42894</v>
      </c>
      <c r="J696" s="13" t="s">
        <v>130</v>
      </c>
      <c r="K696" s="13">
        <v>33.25</v>
      </c>
      <c r="L696" s="13">
        <v>0.83</v>
      </c>
      <c r="M696" s="13">
        <v>445</v>
      </c>
      <c r="Q696" s="4" t="str">
        <f>HYPERLINK("\\hopi-fs\shares\users\dhar\Stalk mount testing\Type 1e Quality Assurance\CRYO-2075-2795","folder")</f>
        <v>folder</v>
      </c>
      <c r="T696" t="s">
        <v>2136</v>
      </c>
      <c r="U696" t="s">
        <v>2325</v>
      </c>
      <c r="V696" s="407" t="s">
        <v>2317</v>
      </c>
    </row>
    <row r="697" spans="1:23">
      <c r="A697" s="134">
        <v>2039</v>
      </c>
      <c r="B697" s="134">
        <v>16</v>
      </c>
      <c r="C697">
        <v>1.5</v>
      </c>
      <c r="D697">
        <v>7.05</v>
      </c>
      <c r="E697">
        <v>24.18</v>
      </c>
      <c r="F697" s="69" t="s">
        <v>2303</v>
      </c>
      <c r="G697" s="13">
        <v>52</v>
      </c>
      <c r="H697" s="13">
        <v>69</v>
      </c>
      <c r="I697" s="217">
        <v>42894</v>
      </c>
      <c r="J697" s="13" t="s">
        <v>130</v>
      </c>
      <c r="K697" s="13">
        <v>33.19</v>
      </c>
      <c r="L697" s="13">
        <v>0.33700000000000002</v>
      </c>
      <c r="M697" s="13">
        <v>355</v>
      </c>
      <c r="Q697" s="4" t="str">
        <f>HYPERLINK("\\hopi-fs\shares\users\dhar\Stalk mount testing\Type 1e Quality Assurance\CRYO-2074-2794","folder")</f>
        <v>folder</v>
      </c>
      <c r="T697" t="s">
        <v>2136</v>
      </c>
      <c r="U697" t="s">
        <v>2325</v>
      </c>
      <c r="V697" s="407" t="s">
        <v>2311</v>
      </c>
    </row>
    <row r="698" spans="1:23" ht="21.75" customHeight="1">
      <c r="A698" s="134">
        <v>2040</v>
      </c>
      <c r="B698" s="134">
        <v>19</v>
      </c>
      <c r="C698">
        <v>1.5</v>
      </c>
      <c r="D698">
        <v>7.07</v>
      </c>
      <c r="E698">
        <v>24.26</v>
      </c>
      <c r="F698" s="69" t="s">
        <v>2304</v>
      </c>
      <c r="G698" s="13">
        <v>52</v>
      </c>
      <c r="H698" s="13">
        <v>69</v>
      </c>
      <c r="I698" s="217">
        <v>42894</v>
      </c>
      <c r="J698" s="13" t="s">
        <v>130</v>
      </c>
      <c r="K698" s="13">
        <v>33.299999999999997</v>
      </c>
      <c r="L698" s="13">
        <v>0.66200000000000003</v>
      </c>
      <c r="M698" s="13">
        <v>370</v>
      </c>
      <c r="Q698" s="4" t="str">
        <f>HYPERLINK("\\hopi-fs\shares\users\dhar\Stalk mount testing\Type 1e Quality Assurance\CRYO-2075-2796","folder")</f>
        <v>folder</v>
      </c>
      <c r="T698" t="s">
        <v>2136</v>
      </c>
      <c r="U698" t="s">
        <v>2325</v>
      </c>
      <c r="V698" s="407" t="s">
        <v>2312</v>
      </c>
    </row>
    <row r="699" spans="1:23">
      <c r="A699" s="134">
        <v>2041</v>
      </c>
      <c r="B699" s="134">
        <v>17.2</v>
      </c>
      <c r="C699">
        <v>1.51</v>
      </c>
      <c r="D699">
        <v>7.07</v>
      </c>
      <c r="E699">
        <v>24.29</v>
      </c>
      <c r="F699" s="69" t="s">
        <v>2305</v>
      </c>
      <c r="G699" s="13">
        <v>52</v>
      </c>
      <c r="H699" s="13">
        <v>69</v>
      </c>
      <c r="I699" s="217">
        <v>42894</v>
      </c>
      <c r="J699" s="13" t="s">
        <v>130</v>
      </c>
      <c r="K699" s="13">
        <v>33.369999999999997</v>
      </c>
      <c r="L699" s="13">
        <v>0.248</v>
      </c>
      <c r="M699" s="13">
        <v>377</v>
      </c>
      <c r="Q699" s="4" t="str">
        <f>HYPERLINK("\\hopi-fs\shares\users\dhar\Stalk mount testing\Type 1e Quality Assurance\CRYO-2075-2797","folder")</f>
        <v>folder</v>
      </c>
      <c r="T699" t="s">
        <v>2136</v>
      </c>
      <c r="U699" t="s">
        <v>2325</v>
      </c>
      <c r="V699" s="407" t="s">
        <v>2313</v>
      </c>
    </row>
    <row r="700" spans="1:23">
      <c r="A700" s="134">
        <v>2042</v>
      </c>
      <c r="B700" s="134">
        <v>17.2</v>
      </c>
      <c r="C700">
        <v>1.53</v>
      </c>
      <c r="D700">
        <v>7.12</v>
      </c>
      <c r="E700">
        <v>24.32</v>
      </c>
      <c r="F700" s="69" t="s">
        <v>2306</v>
      </c>
      <c r="G700" s="13">
        <v>52</v>
      </c>
      <c r="H700" s="13">
        <v>69</v>
      </c>
      <c r="I700" s="217">
        <v>42894</v>
      </c>
      <c r="J700" s="13" t="s">
        <v>130</v>
      </c>
      <c r="K700" s="13">
        <v>33.43</v>
      </c>
      <c r="L700" s="13">
        <v>0.52500000000000002</v>
      </c>
      <c r="M700" s="13">
        <v>358</v>
      </c>
      <c r="Q700" s="4" t="str">
        <f>HYPERLINK("\\hopi-fs\shares\users\dhar\Stalk mount testing\Type 1e Quality Assurance\CRYO-2075-2798","folder")</f>
        <v>folder</v>
      </c>
      <c r="T700" t="s">
        <v>2136</v>
      </c>
      <c r="U700" t="s">
        <v>2325</v>
      </c>
      <c r="V700" s="407" t="s">
        <v>2309</v>
      </c>
    </row>
    <row r="701" spans="1:23">
      <c r="A701" s="134">
        <v>2043</v>
      </c>
      <c r="B701" s="136">
        <v>18.8</v>
      </c>
      <c r="C701">
        <v>1.5</v>
      </c>
      <c r="D701">
        <v>7.13</v>
      </c>
      <c r="E701">
        <v>24.28</v>
      </c>
      <c r="F701" s="69" t="s">
        <v>2307</v>
      </c>
      <c r="G701" s="13">
        <v>52</v>
      </c>
      <c r="H701" s="13">
        <v>69</v>
      </c>
      <c r="I701" s="217">
        <v>42894</v>
      </c>
      <c r="J701" s="13" t="s">
        <v>130</v>
      </c>
      <c r="K701" s="13">
        <v>33.369999999999997</v>
      </c>
      <c r="L701" s="13">
        <v>0.312</v>
      </c>
      <c r="M701" s="13">
        <v>414</v>
      </c>
      <c r="Q701" s="4" t="str">
        <f>HYPERLINK("\\hopi-fs\shares\users\dhar\Stalk mount testing\Type 1e Quality Assurance\CRYO-2074-2800","folder")</f>
        <v>folder</v>
      </c>
      <c r="T701" t="s">
        <v>2136</v>
      </c>
      <c r="U701" s="507" t="s">
        <v>3846</v>
      </c>
      <c r="V701" s="407" t="s">
        <v>2314</v>
      </c>
    </row>
    <row r="702" spans="1:23">
      <c r="A702" s="134">
        <v>2044</v>
      </c>
      <c r="F702" s="327" t="s">
        <v>2308</v>
      </c>
      <c r="G702" s="13">
        <v>52</v>
      </c>
      <c r="H702" s="13">
        <v>69</v>
      </c>
      <c r="I702" s="217">
        <v>42894</v>
      </c>
      <c r="J702" s="13" t="s">
        <v>130</v>
      </c>
      <c r="Q702" s="4" t="str">
        <f>HYPERLINK("\\hopi-fs\shares\users\dhar\Stalk mount testing\Type 1e Quality Assurance\CRYO-2075-2801","folder")</f>
        <v>folder</v>
      </c>
      <c r="T702" t="s">
        <v>2136</v>
      </c>
      <c r="V702" s="407" t="s">
        <v>2315</v>
      </c>
    </row>
    <row r="703" spans="1:23">
      <c r="A703" s="134">
        <v>2044</v>
      </c>
      <c r="B703" s="136">
        <v>18</v>
      </c>
      <c r="C703">
        <v>1.51</v>
      </c>
      <c r="D703">
        <v>7.12</v>
      </c>
      <c r="E703">
        <v>24.28</v>
      </c>
      <c r="F703" s="347" t="s">
        <v>2318</v>
      </c>
      <c r="G703" s="13">
        <v>52</v>
      </c>
      <c r="H703" s="13">
        <v>69</v>
      </c>
      <c r="I703" s="217">
        <v>42894</v>
      </c>
      <c r="J703" s="13" t="s">
        <v>130</v>
      </c>
      <c r="K703" s="13">
        <v>33.369999999999997</v>
      </c>
      <c r="L703" s="13">
        <v>0.67200000000000004</v>
      </c>
      <c r="M703" s="13">
        <v>388</v>
      </c>
      <c r="Q703" s="4" t="str">
        <f>HYPERLINK("\\hopi-fs\shares\users\dhar\Stalk mount testing\Type 1e Quality Assurance\CRYO-2076-2802  2044","folder")</f>
        <v>folder</v>
      </c>
      <c r="T703" t="s">
        <v>2136</v>
      </c>
      <c r="U703" t="s">
        <v>3540</v>
      </c>
      <c r="V703" s="407" t="s">
        <v>2320</v>
      </c>
    </row>
    <row r="704" spans="1:23">
      <c r="A704" s="134">
        <v>2045</v>
      </c>
      <c r="B704" s="134">
        <v>16</v>
      </c>
      <c r="C704">
        <v>1.52</v>
      </c>
      <c r="D704">
        <v>7.14</v>
      </c>
      <c r="E704">
        <v>24.26</v>
      </c>
      <c r="F704" s="347" t="s">
        <v>2319</v>
      </c>
      <c r="G704" s="13">
        <v>52</v>
      </c>
      <c r="H704" s="13">
        <v>69</v>
      </c>
      <c r="I704" s="217">
        <v>42894</v>
      </c>
      <c r="J704" s="13" t="s">
        <v>130</v>
      </c>
      <c r="K704" s="13">
        <v>33.39</v>
      </c>
      <c r="L704" s="13">
        <v>0.59399999999999997</v>
      </c>
      <c r="M704" s="13">
        <v>375</v>
      </c>
      <c r="Q704" s="4" t="str">
        <f>HYPERLINK("\\hopi-fs\shares\users\dhar\Stalk mount testing\Type 1e Quality Assurance\CRYO-2074-2803  2045","folder")</f>
        <v>folder</v>
      </c>
      <c r="T704" t="s">
        <v>2136</v>
      </c>
      <c r="U704" t="s">
        <v>2325</v>
      </c>
      <c r="V704" s="407" t="s">
        <v>2321</v>
      </c>
    </row>
    <row r="705" spans="1:22" ht="39" customHeight="1">
      <c r="A705" s="136">
        <v>2055</v>
      </c>
      <c r="B705" s="134">
        <v>16.8</v>
      </c>
      <c r="C705">
        <v>1.52</v>
      </c>
      <c r="D705">
        <v>7.16</v>
      </c>
      <c r="E705">
        <v>24.34</v>
      </c>
      <c r="F705" s="327" t="s">
        <v>2326</v>
      </c>
      <c r="G705" s="13">
        <v>63</v>
      </c>
      <c r="H705" s="13">
        <v>71</v>
      </c>
      <c r="I705" s="217">
        <v>42934</v>
      </c>
      <c r="J705" s="13" t="s">
        <v>130</v>
      </c>
      <c r="K705" s="13">
        <v>33.46</v>
      </c>
      <c r="L705" s="13">
        <v>0.57099999999999995</v>
      </c>
      <c r="Q705" s="4" t="str">
        <f>HYPERLINK("\\hopi-fs\shares\users\dhar\Stalk mount testing\Type 1e Quality Assurance\CRYO-1079-0118","folder")</f>
        <v>folder</v>
      </c>
      <c r="T705" t="s">
        <v>2337</v>
      </c>
      <c r="V705" s="407" t="s">
        <v>2333</v>
      </c>
    </row>
    <row r="706" spans="1:22">
      <c r="A706" s="136">
        <v>2055</v>
      </c>
      <c r="B706" s="134">
        <v>16</v>
      </c>
      <c r="C706">
        <v>1.52</v>
      </c>
      <c r="D706">
        <v>7.16</v>
      </c>
      <c r="E706">
        <v>24.34</v>
      </c>
      <c r="F706" s="69" t="s">
        <v>2335</v>
      </c>
      <c r="G706" s="13">
        <v>61</v>
      </c>
      <c r="H706" s="13">
        <v>72</v>
      </c>
      <c r="I706" s="217">
        <v>42935</v>
      </c>
      <c r="J706" s="13" t="s">
        <v>130</v>
      </c>
      <c r="K706" s="13">
        <v>33.44</v>
      </c>
      <c r="L706" s="13">
        <v>0.63500000000000001</v>
      </c>
      <c r="M706" s="13">
        <v>368</v>
      </c>
      <c r="Q706" s="4" t="str">
        <f>HYPERLINK("\\hopi-fs\shares\users\dhar\Stalk mount testing\Type 1e Quality Assurance\CRYO-1079--0121  2055","folder")</f>
        <v>folder</v>
      </c>
      <c r="T706" t="s">
        <v>2337</v>
      </c>
      <c r="U706" t="s">
        <v>2362</v>
      </c>
      <c r="V706" s="407" t="s">
        <v>2288</v>
      </c>
    </row>
    <row r="707" spans="1:22">
      <c r="A707" s="136">
        <v>2056</v>
      </c>
      <c r="B707" s="134">
        <v>19</v>
      </c>
      <c r="C707">
        <v>1.52</v>
      </c>
      <c r="D707">
        <v>7.1</v>
      </c>
      <c r="E707">
        <v>24.3</v>
      </c>
      <c r="F707" s="327" t="s">
        <v>2327</v>
      </c>
      <c r="G707" s="13">
        <v>63</v>
      </c>
      <c r="H707" s="13">
        <v>71</v>
      </c>
      <c r="I707" s="217">
        <v>42934</v>
      </c>
      <c r="J707" s="13" t="s">
        <v>130</v>
      </c>
      <c r="K707" s="13">
        <v>33.4</v>
      </c>
      <c r="L707" s="13">
        <v>0.99</v>
      </c>
      <c r="Q707" s="4" t="str">
        <f>HYPERLINK("\\hopi-fs\shares\users\dhar\Stalk mount testing\Type 1e Quality Assurance\CRYO-1079-0119","folder")</f>
        <v>folder</v>
      </c>
      <c r="T707" t="s">
        <v>2337</v>
      </c>
      <c r="V707" s="407" t="s">
        <v>2332</v>
      </c>
    </row>
    <row r="708" spans="1:22">
      <c r="A708" s="136">
        <v>2056</v>
      </c>
      <c r="B708" s="134">
        <v>18</v>
      </c>
      <c r="C708">
        <v>1.5</v>
      </c>
      <c r="D708">
        <v>7.13</v>
      </c>
      <c r="E708">
        <v>24.31</v>
      </c>
      <c r="F708" s="69" t="s">
        <v>2336</v>
      </c>
      <c r="G708" s="13">
        <v>61</v>
      </c>
      <c r="H708" s="13">
        <v>72</v>
      </c>
      <c r="I708" s="217">
        <v>42935</v>
      </c>
      <c r="J708" s="13" t="s">
        <v>130</v>
      </c>
      <c r="K708" s="13">
        <v>33.380000000000003</v>
      </c>
      <c r="L708" s="13">
        <v>0.66600000000000004</v>
      </c>
      <c r="M708" s="13">
        <v>438</v>
      </c>
      <c r="Q708" s="4" t="str">
        <f>HYPERLINK("\\hopi-fs\shares\users\dhar\Stalk mount testing\Type 1e Quality Assurance\CRYO-1079-0122  2056","folder")</f>
        <v>folder</v>
      </c>
      <c r="T708" t="s">
        <v>2337</v>
      </c>
      <c r="U708" t="s">
        <v>2355</v>
      </c>
      <c r="V708" s="407" t="s">
        <v>2338</v>
      </c>
    </row>
    <row r="709" spans="1:22">
      <c r="A709" s="136">
        <v>2057</v>
      </c>
      <c r="B709" s="136">
        <v>19</v>
      </c>
      <c r="C709">
        <v>1.52</v>
      </c>
      <c r="D709">
        <v>7.05</v>
      </c>
      <c r="E709">
        <v>24.3</v>
      </c>
      <c r="F709" s="69" t="s">
        <v>2328</v>
      </c>
      <c r="G709" s="13">
        <v>63</v>
      </c>
      <c r="H709" s="13">
        <v>71</v>
      </c>
      <c r="I709" s="217">
        <v>42934</v>
      </c>
      <c r="J709" s="13" t="s">
        <v>130</v>
      </c>
      <c r="K709" s="13">
        <v>33.35</v>
      </c>
      <c r="L709" s="13">
        <v>0.45400000000000001</v>
      </c>
      <c r="Q709" s="4" t="str">
        <f>HYPERLINK("\\hopi-fs\shares\users\dhar\Stalk mount testing\Type 1e Quality Assurance\CRYO-1079-0120","folder")</f>
        <v>folder</v>
      </c>
      <c r="T709" t="s">
        <v>2337</v>
      </c>
      <c r="U709" t="s">
        <v>3846</v>
      </c>
      <c r="V709" s="407" t="s">
        <v>2334</v>
      </c>
    </row>
    <row r="710" spans="1:22">
      <c r="A710" s="134">
        <v>2058</v>
      </c>
      <c r="B710" s="134">
        <v>18</v>
      </c>
      <c r="C710">
        <v>1.54</v>
      </c>
      <c r="D710">
        <v>7.17</v>
      </c>
      <c r="E710">
        <v>24.26</v>
      </c>
      <c r="F710" s="327" t="s">
        <v>2329</v>
      </c>
      <c r="G710" s="13">
        <v>63</v>
      </c>
      <c r="H710" s="13">
        <v>71</v>
      </c>
      <c r="I710" s="217">
        <v>42934</v>
      </c>
      <c r="J710" s="13" t="s">
        <v>130</v>
      </c>
      <c r="K710" s="13">
        <v>33.409999999999997</v>
      </c>
      <c r="L710" s="13">
        <v>0.64</v>
      </c>
      <c r="Q710" s="4" t="str">
        <f>HYPERLINK("\\hopi-fs\shares\users\dhar\Stalk mount testing\Type 1e Quality Assurance\CRYO-1121-0124","folder")</f>
        <v>folder</v>
      </c>
      <c r="T710" t="s">
        <v>2337</v>
      </c>
      <c r="V710" s="407" t="s">
        <v>2339</v>
      </c>
    </row>
    <row r="711" spans="1:22">
      <c r="A711" s="134">
        <v>2058</v>
      </c>
      <c r="B711" s="136">
        <v>18</v>
      </c>
      <c r="C711">
        <v>1.54</v>
      </c>
      <c r="D711">
        <v>7.17</v>
      </c>
      <c r="E711">
        <v>24.26</v>
      </c>
      <c r="F711" s="69" t="s">
        <v>2349</v>
      </c>
      <c r="G711" s="13">
        <v>61</v>
      </c>
      <c r="H711" s="13">
        <v>71</v>
      </c>
      <c r="I711" s="217">
        <v>42936</v>
      </c>
      <c r="J711" s="13" t="s">
        <v>130</v>
      </c>
      <c r="K711" s="13">
        <v>33.4</v>
      </c>
      <c r="L711" s="13">
        <v>0.80500000000000005</v>
      </c>
      <c r="M711" s="13">
        <v>356</v>
      </c>
      <c r="Q711" s="4" t="str">
        <f>HYPERLINK("\\hopi-fs\shares\users\dhar\Stalk mount testing\Type 1e Quality Assurance\CRYO-1120-0127","folder")</f>
        <v>folder</v>
      </c>
      <c r="T711" t="s">
        <v>2337</v>
      </c>
      <c r="V711" s="407" t="s">
        <v>2352</v>
      </c>
    </row>
    <row r="712" spans="1:22">
      <c r="A712" s="134">
        <v>2059</v>
      </c>
      <c r="B712" s="134">
        <v>16.8</v>
      </c>
      <c r="C712">
        <v>1.54</v>
      </c>
      <c r="D712">
        <v>7.1</v>
      </c>
      <c r="E712">
        <v>24.31</v>
      </c>
      <c r="F712" s="327" t="s">
        <v>2330</v>
      </c>
      <c r="G712" s="13">
        <v>63</v>
      </c>
      <c r="H712" s="13">
        <v>71</v>
      </c>
      <c r="I712" s="217">
        <v>42934</v>
      </c>
      <c r="J712" s="13" t="s">
        <v>130</v>
      </c>
      <c r="K712" s="13">
        <v>33.4</v>
      </c>
      <c r="L712" s="13">
        <v>0.73199999999999998</v>
      </c>
      <c r="Q712" s="4" t="str">
        <f>HYPERLINK("\\hopi-fs\shares\users\dhar\Stalk mount testing\Type 1e Quality Assurance\CRYO-1120-0125","folder")</f>
        <v>folder</v>
      </c>
      <c r="T712" t="s">
        <v>2337</v>
      </c>
      <c r="V712" s="407" t="s">
        <v>2345</v>
      </c>
    </row>
    <row r="713" spans="1:22">
      <c r="A713" s="134">
        <v>2059</v>
      </c>
      <c r="B713" s="134">
        <v>19</v>
      </c>
      <c r="C713">
        <v>1.55</v>
      </c>
      <c r="D713">
        <v>7.1</v>
      </c>
      <c r="E713">
        <v>24.31</v>
      </c>
      <c r="F713" s="69" t="s">
        <v>2350</v>
      </c>
      <c r="G713" s="13">
        <v>61</v>
      </c>
      <c r="H713" s="13">
        <v>71</v>
      </c>
      <c r="I713" s="217">
        <v>42936</v>
      </c>
      <c r="J713" s="13" t="s">
        <v>130</v>
      </c>
      <c r="K713" s="13">
        <v>33.4</v>
      </c>
      <c r="L713" s="13">
        <v>0.76100000000000001</v>
      </c>
      <c r="M713" s="13">
        <v>356</v>
      </c>
      <c r="Q713" s="4" t="str">
        <f>HYPERLINK("\\hopi-fs\shares\users\dhar\Stalk mount testing\Type 1e Quality Assurance\CRYO-1119-0128","folder")</f>
        <v>folder</v>
      </c>
      <c r="T713" t="s">
        <v>2337</v>
      </c>
      <c r="U713" t="s">
        <v>2355</v>
      </c>
      <c r="V713" s="407" t="s">
        <v>2282</v>
      </c>
    </row>
    <row r="714" spans="1:22">
      <c r="A714" s="134">
        <v>2060</v>
      </c>
      <c r="B714" s="134">
        <v>18</v>
      </c>
      <c r="C714">
        <v>1.54</v>
      </c>
      <c r="D714">
        <v>7.1</v>
      </c>
      <c r="E714">
        <v>24.3</v>
      </c>
      <c r="F714" s="69" t="s">
        <v>2331</v>
      </c>
      <c r="G714" s="13">
        <v>63</v>
      </c>
      <c r="H714" s="13">
        <v>71</v>
      </c>
      <c r="I714" s="217">
        <v>42934</v>
      </c>
      <c r="J714" s="13" t="s">
        <v>130</v>
      </c>
      <c r="K714" s="13">
        <v>33.4</v>
      </c>
      <c r="L714" s="13">
        <v>0.78100000000000003</v>
      </c>
      <c r="M714" s="13">
        <v>340</v>
      </c>
      <c r="Q714" s="4" t="str">
        <f>HYPERLINK("\\hopi-fs\shares\users\dhar\Stalk mount testing\Type 1e Quality Assurance\CRYO-1120-0126","folder")</f>
        <v>folder</v>
      </c>
      <c r="T714" t="s">
        <v>2337</v>
      </c>
      <c r="U714" t="s">
        <v>2355</v>
      </c>
      <c r="V714" s="407" t="s">
        <v>2341</v>
      </c>
    </row>
    <row r="715" spans="1:22">
      <c r="A715" s="134">
        <v>2061</v>
      </c>
      <c r="B715" s="134">
        <v>18.399999999999999</v>
      </c>
      <c r="C715">
        <v>1.53</v>
      </c>
      <c r="D715">
        <v>7.1</v>
      </c>
      <c r="E715">
        <v>24.25</v>
      </c>
      <c r="F715" s="69" t="s">
        <v>2342</v>
      </c>
      <c r="G715" s="13">
        <v>60</v>
      </c>
      <c r="H715" s="13">
        <v>72</v>
      </c>
      <c r="I715" s="217">
        <v>42935</v>
      </c>
      <c r="J715" s="13" t="s">
        <v>130</v>
      </c>
      <c r="K715" s="13">
        <v>33.31</v>
      </c>
      <c r="L715" s="13">
        <v>0.20499999999999999</v>
      </c>
      <c r="M715" s="13">
        <v>392</v>
      </c>
      <c r="Q715" s="4" t="str">
        <f>HYPERLINK("\\hopi-fs\shares\users\dhar\Stalk mount testing\Type 1e Quality Assurance\CRYO-9078-0045","folder")</f>
        <v>folder</v>
      </c>
      <c r="T715" t="s">
        <v>2337</v>
      </c>
      <c r="U715" t="s">
        <v>2355</v>
      </c>
      <c r="V715" s="407" t="s">
        <v>2346</v>
      </c>
    </row>
    <row r="716" spans="1:22">
      <c r="A716" s="134">
        <v>2062</v>
      </c>
      <c r="B716" s="134">
        <v>18.8</v>
      </c>
      <c r="C716">
        <v>1.5</v>
      </c>
      <c r="D716">
        <v>7.07</v>
      </c>
      <c r="E716">
        <v>24.25</v>
      </c>
      <c r="F716" s="69" t="s">
        <v>2343</v>
      </c>
      <c r="G716" s="13">
        <v>60</v>
      </c>
      <c r="H716" s="13">
        <v>72</v>
      </c>
      <c r="I716" s="217">
        <v>42935</v>
      </c>
      <c r="J716" s="13" t="s">
        <v>130</v>
      </c>
      <c r="K716" s="13">
        <v>33.26</v>
      </c>
      <c r="L716" s="13">
        <v>0.40799999999999997</v>
      </c>
      <c r="M716" s="13">
        <v>459</v>
      </c>
      <c r="Q716" s="4" t="str">
        <f>HYPERLINK("\\hopi-fs\shares\users\dhar\Stalk mount testing\Type 1e Quality Assurance\CRYO-9082-0046","folder")</f>
        <v>folder</v>
      </c>
      <c r="T716" t="s">
        <v>2337</v>
      </c>
      <c r="U716" t="s">
        <v>2355</v>
      </c>
      <c r="V716" s="407" t="s">
        <v>2347</v>
      </c>
    </row>
    <row r="717" spans="1:22">
      <c r="A717" s="134">
        <v>2063</v>
      </c>
      <c r="B717" s="136">
        <v>16.8</v>
      </c>
      <c r="C717">
        <v>1.52</v>
      </c>
      <c r="D717">
        <v>7.12</v>
      </c>
      <c r="E717">
        <v>24.39</v>
      </c>
      <c r="F717" s="69" t="s">
        <v>2344</v>
      </c>
      <c r="G717" s="13">
        <v>60</v>
      </c>
      <c r="H717" s="13">
        <v>72</v>
      </c>
      <c r="I717" s="217">
        <v>42935</v>
      </c>
      <c r="J717" s="13" t="s">
        <v>130</v>
      </c>
      <c r="K717" s="13">
        <v>33.47</v>
      </c>
      <c r="L717" s="13">
        <v>0.24</v>
      </c>
      <c r="M717" s="13">
        <v>488</v>
      </c>
      <c r="Q717" s="4" t="str">
        <f>HYPERLINK("\\hopi-fs\shares\users\dhar\Stalk mount testing\Type 1e Quality Assurance\CRYO-9079-0047","folder")</f>
        <v>folder</v>
      </c>
      <c r="T717" t="s">
        <v>2337</v>
      </c>
      <c r="U717" t="s">
        <v>3539</v>
      </c>
      <c r="V717" s="407" t="s">
        <v>2348</v>
      </c>
    </row>
    <row r="718" spans="1:22">
      <c r="A718" s="134">
        <v>2064</v>
      </c>
      <c r="B718" s="136">
        <v>17.600000000000001</v>
      </c>
      <c r="C718">
        <v>1.48</v>
      </c>
      <c r="D718">
        <v>7.1</v>
      </c>
      <c r="E718">
        <v>24.3</v>
      </c>
      <c r="F718" s="361" t="s">
        <v>2351</v>
      </c>
      <c r="G718" s="13">
        <v>61</v>
      </c>
      <c r="H718" s="13">
        <v>71</v>
      </c>
      <c r="I718" s="217">
        <v>42936</v>
      </c>
      <c r="J718" s="13" t="s">
        <v>130</v>
      </c>
      <c r="K718" s="13">
        <v>33.299999999999997</v>
      </c>
      <c r="L718" s="13">
        <v>0.315</v>
      </c>
      <c r="M718" s="13">
        <v>357</v>
      </c>
      <c r="Q718" s="4" t="str">
        <f>HYPERLINK("\\hopi-fs\shares\users\dhar\Stalk mount testing\Type 1e Quality Assurance\CRYO-1121-0129","folder")</f>
        <v>folder</v>
      </c>
      <c r="T718" t="s">
        <v>2337</v>
      </c>
      <c r="V718" s="407" t="s">
        <v>2353</v>
      </c>
    </row>
    <row r="719" spans="1:22" ht="33.75" customHeight="1">
      <c r="A719" s="134">
        <v>2065</v>
      </c>
      <c r="B719" s="134">
        <v>19</v>
      </c>
      <c r="C719">
        <v>1.49</v>
      </c>
      <c r="D719">
        <v>7.07</v>
      </c>
      <c r="E719">
        <v>24.32</v>
      </c>
      <c r="F719" s="360" t="s">
        <v>2354</v>
      </c>
      <c r="G719" s="13">
        <v>60</v>
      </c>
      <c r="H719" s="13">
        <v>71</v>
      </c>
      <c r="I719" s="217">
        <v>42937</v>
      </c>
      <c r="J719" s="13" t="s">
        <v>130</v>
      </c>
      <c r="K719" s="13">
        <v>33.32</v>
      </c>
      <c r="L719" s="13">
        <v>0.755</v>
      </c>
      <c r="M719" s="13">
        <v>301</v>
      </c>
      <c r="Q719" s="4" t="str">
        <f>HYPERLINK("\\hopi-fs\shares\users\dhar\Stalk mount testing\Type 1e Quality Assurance\CRYO-ISE-2Q16-10-B128  2065 MEQ","folder")</f>
        <v>folder</v>
      </c>
      <c r="T719" t="s">
        <v>2337</v>
      </c>
      <c r="U719" t="s">
        <v>2379</v>
      </c>
      <c r="V719" s="407" t="s">
        <v>2348</v>
      </c>
    </row>
    <row r="720" spans="1:22" ht="33" customHeight="1">
      <c r="A720" s="134">
        <v>2066</v>
      </c>
      <c r="B720" s="136">
        <v>16</v>
      </c>
      <c r="C720">
        <v>1.54</v>
      </c>
      <c r="D720">
        <v>7.1</v>
      </c>
      <c r="E720">
        <v>24.35</v>
      </c>
      <c r="F720" s="361" t="s">
        <v>2356</v>
      </c>
      <c r="G720" s="13">
        <v>63</v>
      </c>
      <c r="H720" s="13">
        <v>70</v>
      </c>
      <c r="I720" s="217">
        <v>42948</v>
      </c>
      <c r="J720" s="13" t="s">
        <v>130</v>
      </c>
      <c r="K720" s="13">
        <v>33.44</v>
      </c>
      <c r="L720" s="13">
        <v>0.378</v>
      </c>
      <c r="M720" s="13">
        <v>391</v>
      </c>
      <c r="Q720" s="4" t="str">
        <f>HYPERLINK("\\hopi-fs\shares\users\dhar\Stalk mount testing\Type 1e Quality Assurance\CRYO-1079-0102  2066 1E","folder")</f>
        <v>folder</v>
      </c>
      <c r="T720" t="s">
        <v>2337</v>
      </c>
      <c r="U720" s="139" t="s">
        <v>3846</v>
      </c>
      <c r="V720" s="407" t="s">
        <v>2360</v>
      </c>
    </row>
    <row r="721" spans="1:24">
      <c r="A721" s="134">
        <v>2067</v>
      </c>
      <c r="B721" s="134">
        <v>16.8</v>
      </c>
      <c r="C721">
        <v>1.51</v>
      </c>
      <c r="D721">
        <v>7.07</v>
      </c>
      <c r="E721">
        <v>24.42</v>
      </c>
      <c r="F721" s="361" t="s">
        <v>2357</v>
      </c>
      <c r="G721" s="13">
        <v>63</v>
      </c>
      <c r="H721" s="13">
        <v>70</v>
      </c>
      <c r="I721" s="217">
        <v>42948</v>
      </c>
      <c r="J721" s="13" t="s">
        <v>130</v>
      </c>
      <c r="K721" s="13">
        <v>33.450000000000003</v>
      </c>
      <c r="L721" s="13">
        <v>0.49199999999999999</v>
      </c>
      <c r="M721" s="13">
        <v>482</v>
      </c>
      <c r="Q721" s="4" t="str">
        <f>HYPERLINK("\\hopi-fs\shares\users\dhar\Stalk mount testing\Type 1e Quality Assurance\CRYO-1079-0103  2067 1E","folder")</f>
        <v>folder</v>
      </c>
      <c r="T721" t="s">
        <v>2337</v>
      </c>
      <c r="U721" t="s">
        <v>2362</v>
      </c>
      <c r="V721" s="407" t="s">
        <v>2347</v>
      </c>
    </row>
    <row r="722" spans="1:24">
      <c r="A722" s="134">
        <v>2068</v>
      </c>
      <c r="B722" s="136">
        <v>16</v>
      </c>
      <c r="C722">
        <v>1.52</v>
      </c>
      <c r="D722">
        <v>7.08</v>
      </c>
      <c r="E722">
        <v>24.38</v>
      </c>
      <c r="F722" s="348" t="s">
        <v>2358</v>
      </c>
      <c r="G722" s="13">
        <v>63</v>
      </c>
      <c r="H722" s="13">
        <v>70</v>
      </c>
      <c r="I722" s="217">
        <v>42948</v>
      </c>
      <c r="J722" s="13" t="s">
        <v>130</v>
      </c>
      <c r="K722" s="13">
        <v>33.43</v>
      </c>
      <c r="L722" s="13">
        <v>0.28799999999999998</v>
      </c>
      <c r="M722" s="3"/>
      <c r="Q722" s="4" t="str">
        <f>HYPERLINK("\\hopi-fs\shares\users\dhar\Stalk mount testing\Type 1e Quality Assurance\CRYO-1079-0104  2068 1E","folder")</f>
        <v>folder</v>
      </c>
      <c r="T722" t="s">
        <v>2337</v>
      </c>
      <c r="U722" t="s">
        <v>2825</v>
      </c>
      <c r="V722" s="407" t="s">
        <v>2315</v>
      </c>
    </row>
    <row r="723" spans="1:24">
      <c r="A723" s="134">
        <v>2069</v>
      </c>
      <c r="B723" s="134">
        <v>16.8</v>
      </c>
      <c r="C723">
        <v>1.52</v>
      </c>
      <c r="D723">
        <v>7.11</v>
      </c>
      <c r="E723">
        <v>24.3</v>
      </c>
      <c r="F723" s="360" t="s">
        <v>2359</v>
      </c>
      <c r="G723" s="13">
        <v>63</v>
      </c>
      <c r="H723" s="13">
        <v>69</v>
      </c>
      <c r="I723" s="217">
        <v>42949</v>
      </c>
      <c r="J723" s="13" t="s">
        <v>130</v>
      </c>
      <c r="K723" s="13">
        <v>33.39</v>
      </c>
      <c r="L723" s="13">
        <v>0.53</v>
      </c>
      <c r="M723" s="13">
        <v>395</v>
      </c>
      <c r="Q723" s="4" t="str">
        <f>HYPERLINK("\\hopi-fs\shares\users\dhar\Stalk mount testing\Type 1e Quality Assurance\CRYO-1079-0105","folder")</f>
        <v>folder</v>
      </c>
      <c r="T723" t="s">
        <v>2337</v>
      </c>
      <c r="U723" s="300" t="s">
        <v>2362</v>
      </c>
      <c r="V723" s="407" t="s">
        <v>2361</v>
      </c>
    </row>
    <row r="724" spans="1:24" ht="35.25" customHeight="1">
      <c r="A724" s="134">
        <v>2071</v>
      </c>
      <c r="B724" s="134">
        <v>19</v>
      </c>
      <c r="C724">
        <v>1.52</v>
      </c>
      <c r="D724">
        <v>7.1</v>
      </c>
      <c r="E724">
        <v>24.31</v>
      </c>
      <c r="F724" s="360" t="s">
        <v>2370</v>
      </c>
      <c r="G724" s="13">
        <v>56</v>
      </c>
      <c r="H724" s="13">
        <v>70</v>
      </c>
      <c r="I724" s="217">
        <v>42957</v>
      </c>
      <c r="J724" s="13" t="s">
        <v>130</v>
      </c>
      <c r="K724" s="13">
        <v>33.380000000000003</v>
      </c>
      <c r="L724" s="13">
        <v>0.50600000000000001</v>
      </c>
      <c r="M724" s="13">
        <v>283</v>
      </c>
      <c r="Q724" s="4" t="str">
        <f>HYPERLINK("\\hopi-fs\shares\users\dhar\Stalk mount testing\Type 1e Quality Assurance\CRYO-ISE-2Q16-10-B129  1E MEQ","folder")</f>
        <v>folder</v>
      </c>
      <c r="T724" t="s">
        <v>2337</v>
      </c>
      <c r="U724" s="300" t="s">
        <v>2547</v>
      </c>
    </row>
    <row r="725" spans="1:24" ht="15.75" customHeight="1">
      <c r="A725" s="134">
        <v>2072</v>
      </c>
      <c r="B725" s="134">
        <v>17.2</v>
      </c>
      <c r="C725">
        <v>1.51</v>
      </c>
      <c r="D725">
        <v>7.11</v>
      </c>
      <c r="E725">
        <v>24.31</v>
      </c>
      <c r="F725" s="360" t="s">
        <v>2366</v>
      </c>
      <c r="G725" s="13">
        <v>60.6</v>
      </c>
      <c r="H725" s="13">
        <v>68</v>
      </c>
      <c r="I725" s="217">
        <v>42961</v>
      </c>
      <c r="J725" s="13" t="s">
        <v>130</v>
      </c>
      <c r="K725" s="13">
        <v>33.380000000000003</v>
      </c>
      <c r="L725" s="13">
        <v>0.63200000000000001</v>
      </c>
      <c r="M725" s="13">
        <v>254</v>
      </c>
      <c r="Q725" s="4" t="str">
        <f>HYPERLINK("\\hopi-fs\shares\users\dhar\Stalk mount testing\Type 1e Quality Assurance\CRYO-ISE-2Q16-10-B130  1E MEQ","folder")</f>
        <v>folder</v>
      </c>
      <c r="T725" t="s">
        <v>2337</v>
      </c>
      <c r="U725" t="s">
        <v>2379</v>
      </c>
    </row>
    <row r="726" spans="1:24" ht="31.5" customHeight="1">
      <c r="A726" s="134">
        <v>2080</v>
      </c>
      <c r="B726" s="134">
        <v>16.399999999999999</v>
      </c>
      <c r="C726">
        <v>1.55</v>
      </c>
      <c r="D726">
        <v>7.14</v>
      </c>
      <c r="E726">
        <v>24.32</v>
      </c>
      <c r="F726" s="404" t="s">
        <v>2373</v>
      </c>
      <c r="G726" s="13">
        <v>61.5</v>
      </c>
      <c r="H726" s="13">
        <v>70</v>
      </c>
      <c r="I726" s="217">
        <v>42963</v>
      </c>
      <c r="J726" s="13" t="s">
        <v>130</v>
      </c>
      <c r="K726" s="13">
        <v>33.47</v>
      </c>
      <c r="L726" s="13">
        <v>0.52</v>
      </c>
      <c r="M726" s="13">
        <v>376</v>
      </c>
      <c r="Q726" s="34" t="str">
        <f>HYPERLINK("\\hopi-fs\shares\users\dhar\Stalk mount testing\Type 1e Quality Assurance\CRYO-2077-2805  2080 1E","folder")</f>
        <v>folder</v>
      </c>
      <c r="T726" t="s">
        <v>2337</v>
      </c>
      <c r="U726" s="300" t="s">
        <v>2395</v>
      </c>
      <c r="V726" s="19" t="s">
        <v>2377</v>
      </c>
      <c r="W726" s="29">
        <v>1</v>
      </c>
    </row>
    <row r="727" spans="1:24" ht="15" customHeight="1">
      <c r="A727" s="134">
        <v>2081</v>
      </c>
      <c r="B727" s="134">
        <v>17.2</v>
      </c>
      <c r="C727">
        <v>1.52</v>
      </c>
      <c r="D727">
        <v>7.13</v>
      </c>
      <c r="E727">
        <v>24.31</v>
      </c>
      <c r="F727" s="360" t="s">
        <v>2374</v>
      </c>
      <c r="G727" s="13">
        <v>61.5</v>
      </c>
      <c r="H727" s="13">
        <v>70</v>
      </c>
      <c r="I727" s="217">
        <v>42963</v>
      </c>
      <c r="J727" s="13" t="s">
        <v>130</v>
      </c>
      <c r="K727" s="13">
        <v>33.46</v>
      </c>
      <c r="L727" s="13">
        <v>0.26500000000000001</v>
      </c>
      <c r="M727" s="13">
        <v>410</v>
      </c>
      <c r="Q727" s="34" t="str">
        <f>HYPERLINK("\\hopi-fs\shares\users\dhar\Stalk mount testing\Type 1e Quality Assurance\CRYO-2077-2807  2081 1E","folder")</f>
        <v>folder</v>
      </c>
      <c r="T727" t="s">
        <v>2337</v>
      </c>
      <c r="U727" s="300" t="s">
        <v>2401</v>
      </c>
      <c r="V727" s="19" t="s">
        <v>2378</v>
      </c>
      <c r="W727" s="29">
        <v>0</v>
      </c>
    </row>
    <row r="728" spans="1:24">
      <c r="A728" s="134">
        <v>2082</v>
      </c>
      <c r="B728" s="134">
        <v>18.8</v>
      </c>
      <c r="C728">
        <v>1.56</v>
      </c>
      <c r="D728">
        <v>7.11</v>
      </c>
      <c r="E728">
        <v>24.31</v>
      </c>
      <c r="F728" s="384" t="s">
        <v>2375</v>
      </c>
      <c r="G728" s="13">
        <v>61.5</v>
      </c>
      <c r="H728" s="13">
        <v>70</v>
      </c>
      <c r="I728" s="217">
        <v>42963</v>
      </c>
      <c r="J728" s="13" t="s">
        <v>130</v>
      </c>
      <c r="K728" s="13">
        <v>33.450000000000003</v>
      </c>
      <c r="L728" s="13">
        <v>0.60199999999999998</v>
      </c>
      <c r="Q728" s="34" t="str">
        <f>HYPERLINK("\\hopi-fs\shares\users\dhar\Stalk mount testing\Type 1e Quality Assurance\CRYO-2077-2808  2082 1E","folder")</f>
        <v>folder</v>
      </c>
      <c r="T728" t="s">
        <v>2337</v>
      </c>
      <c r="U728" s="300" t="s">
        <v>2395</v>
      </c>
      <c r="V728" s="19" t="s">
        <v>2332</v>
      </c>
      <c r="W728" s="29">
        <v>6</v>
      </c>
    </row>
    <row r="729" spans="1:24">
      <c r="A729" s="134">
        <v>2083</v>
      </c>
      <c r="B729" s="136">
        <v>16</v>
      </c>
      <c r="C729">
        <v>1.54</v>
      </c>
      <c r="D729">
        <v>7.15</v>
      </c>
      <c r="E729">
        <v>24.3</v>
      </c>
      <c r="F729" s="360" t="s">
        <v>2376</v>
      </c>
      <c r="G729" s="13">
        <v>61.5</v>
      </c>
      <c r="H729" s="13">
        <v>70</v>
      </c>
      <c r="I729" s="217">
        <v>42963</v>
      </c>
      <c r="J729" s="13" t="s">
        <v>130</v>
      </c>
      <c r="K729" s="13">
        <v>33.46</v>
      </c>
      <c r="L729" s="13">
        <v>0.38900000000000001</v>
      </c>
      <c r="M729" s="13">
        <v>342</v>
      </c>
      <c r="Q729" s="34" t="str">
        <f>HYPERLINK("\\hopi-fs\shares\users\dhar\Stalk mount testing\Type 1e Quality Assurance\CRYO-2077-2809  2083 1E","folder")</f>
        <v>folder</v>
      </c>
      <c r="T729" t="s">
        <v>2337</v>
      </c>
      <c r="U729" s="300" t="s">
        <v>2401</v>
      </c>
      <c r="V729" s="19" t="s">
        <v>2309</v>
      </c>
      <c r="W729" s="29">
        <v>2</v>
      </c>
    </row>
    <row r="730" spans="1:24">
      <c r="A730" s="134">
        <v>2088</v>
      </c>
      <c r="B730" s="136">
        <v>18.399999999999999</v>
      </c>
      <c r="C730">
        <v>1.54</v>
      </c>
      <c r="D730">
        <v>7.12</v>
      </c>
      <c r="E730">
        <v>24.4</v>
      </c>
      <c r="F730" s="19" t="s">
        <v>2386</v>
      </c>
      <c r="G730" s="13">
        <v>62.2</v>
      </c>
      <c r="H730" s="13">
        <v>70</v>
      </c>
      <c r="I730" s="217">
        <v>42964</v>
      </c>
      <c r="J730" s="13" t="s">
        <v>130</v>
      </c>
      <c r="K730" s="13">
        <v>33.57</v>
      </c>
      <c r="L730" s="13">
        <v>0.59</v>
      </c>
      <c r="Q730" s="34" t="str">
        <f>HYPERLINK("\\hopi-fs\shares\users\dhar\Stalk mount testing\Type 1e Quality Assurance\CRYO-2077-2804","folder")</f>
        <v>folder</v>
      </c>
      <c r="T730" t="s">
        <v>2337</v>
      </c>
      <c r="U730" s="300" t="s">
        <v>2396</v>
      </c>
      <c r="V730" s="19" t="s">
        <v>2390</v>
      </c>
      <c r="W730" s="29">
        <v>1</v>
      </c>
    </row>
    <row r="731" spans="1:24">
      <c r="A731" s="134">
        <v>2089</v>
      </c>
      <c r="B731" s="134">
        <v>19</v>
      </c>
      <c r="C731">
        <v>1.54</v>
      </c>
      <c r="D731">
        <v>7.12</v>
      </c>
      <c r="E731">
        <v>24.4</v>
      </c>
      <c r="F731" s="19" t="s">
        <v>2387</v>
      </c>
      <c r="G731" s="13">
        <v>62.2</v>
      </c>
      <c r="H731" s="13">
        <v>70</v>
      </c>
      <c r="I731" s="217">
        <v>42964</v>
      </c>
      <c r="J731" s="13" t="s">
        <v>130</v>
      </c>
      <c r="K731" s="13">
        <v>33.549999999999997</v>
      </c>
      <c r="L731" s="13">
        <v>0.156</v>
      </c>
      <c r="M731" s="13">
        <v>422</v>
      </c>
      <c r="Q731" s="34" t="str">
        <f>HYPERLINK("\\hopi-fs\shares\users\dhar\Stalk mount testing\Type 1e Quality Assurance\CRYO-2077-2811","folder")</f>
        <v>folder</v>
      </c>
      <c r="T731" t="s">
        <v>2337</v>
      </c>
      <c r="U731" s="300" t="s">
        <v>2401</v>
      </c>
      <c r="V731" s="19" t="s">
        <v>2391</v>
      </c>
      <c r="W731" s="29">
        <v>0</v>
      </c>
    </row>
    <row r="732" spans="1:24" ht="20.25" customHeight="1">
      <c r="A732" s="134">
        <v>2085</v>
      </c>
      <c r="F732" s="176" t="s">
        <v>2380</v>
      </c>
      <c r="G732" s="13">
        <v>61.5</v>
      </c>
      <c r="H732" s="13">
        <v>71</v>
      </c>
      <c r="I732" s="217">
        <v>42963</v>
      </c>
      <c r="J732" s="13" t="s">
        <v>130</v>
      </c>
      <c r="Q732" s="13"/>
      <c r="T732" t="s">
        <v>2337</v>
      </c>
      <c r="V732" s="19"/>
    </row>
    <row r="733" spans="1:24">
      <c r="A733" s="134">
        <v>2084</v>
      </c>
      <c r="B733" s="134">
        <v>18.8</v>
      </c>
      <c r="C733">
        <v>1.52</v>
      </c>
      <c r="D733">
        <v>7.15</v>
      </c>
      <c r="E733">
        <v>24.39</v>
      </c>
      <c r="F733" s="19" t="s">
        <v>2381</v>
      </c>
      <c r="G733" s="13">
        <v>61.5</v>
      </c>
      <c r="H733" s="13">
        <v>71</v>
      </c>
      <c r="I733" s="217">
        <v>42963</v>
      </c>
      <c r="J733" s="13" t="s">
        <v>130</v>
      </c>
      <c r="K733" s="13">
        <v>33.549999999999997</v>
      </c>
      <c r="L733" s="13">
        <v>0.217</v>
      </c>
      <c r="M733" s="13">
        <v>408</v>
      </c>
      <c r="Q733" s="34" t="str">
        <f>HYPERLINK("\\hopi-fs\shares\users\dhar\Stalk mount testing\Type 1e Quality Assurance\CRYO-2076-2814","folder")</f>
        <v>folder</v>
      </c>
      <c r="T733" t="s">
        <v>2337</v>
      </c>
      <c r="U733" s="300" t="s">
        <v>2401</v>
      </c>
      <c r="V733" s="19" t="s">
        <v>2384</v>
      </c>
      <c r="W733" s="29">
        <v>2</v>
      </c>
    </row>
    <row r="734" spans="1:24">
      <c r="A734" s="134">
        <v>2086</v>
      </c>
      <c r="B734" s="136">
        <v>18.399999999999999</v>
      </c>
      <c r="C734">
        <v>1.53</v>
      </c>
      <c r="D734">
        <v>7.16</v>
      </c>
      <c r="E734">
        <v>24.42</v>
      </c>
      <c r="F734" s="428" t="s">
        <v>2382</v>
      </c>
      <c r="G734" s="13">
        <v>61.5</v>
      </c>
      <c r="H734" s="13">
        <v>71</v>
      </c>
      <c r="I734" s="217">
        <v>42963</v>
      </c>
      <c r="J734" s="13" t="s">
        <v>130</v>
      </c>
      <c r="K734">
        <v>33.590000000000003</v>
      </c>
      <c r="L734">
        <v>0.60799999999999998</v>
      </c>
      <c r="Q734" s="34" t="str">
        <f>HYPERLINK("\\hopi-fs\shares\users\dhar\Stalk mount testing\Type 1e Quality Assurance\CRYO-2076-2816  2086 1E","folder")</f>
        <v>folder</v>
      </c>
      <c r="T734" t="s">
        <v>2337</v>
      </c>
      <c r="U734" t="s">
        <v>2397</v>
      </c>
      <c r="V734" s="19" t="s">
        <v>2333</v>
      </c>
      <c r="W734" s="29">
        <v>3</v>
      </c>
      <c r="X734" t="s">
        <v>2824</v>
      </c>
    </row>
    <row r="735" spans="1:24">
      <c r="A735" s="134">
        <v>2087</v>
      </c>
      <c r="B735" s="136">
        <v>19</v>
      </c>
      <c r="C735">
        <v>1.54</v>
      </c>
      <c r="D735">
        <v>7.12</v>
      </c>
      <c r="E735">
        <v>24.4</v>
      </c>
      <c r="F735" s="270" t="s">
        <v>2383</v>
      </c>
      <c r="G735" s="13">
        <v>61.5</v>
      </c>
      <c r="H735" s="13">
        <v>71</v>
      </c>
      <c r="I735" s="217">
        <v>42963</v>
      </c>
      <c r="J735" s="13" t="s">
        <v>130</v>
      </c>
      <c r="K735" s="13">
        <v>33.54</v>
      </c>
      <c r="L735" s="13">
        <v>0.67500000000000004</v>
      </c>
      <c r="M735" s="13">
        <v>376</v>
      </c>
      <c r="Q735" s="34" t="str">
        <f>HYPERLINK("\\hopi-fs\shares\users\dhar\Stalk mount testing\Type 1e Quality Assurance\CRYO-2077-2818  2087 1E","folder")</f>
        <v>folder</v>
      </c>
      <c r="T735" t="s">
        <v>2337</v>
      </c>
      <c r="U735" t="s">
        <v>2398</v>
      </c>
      <c r="V735" s="19" t="s">
        <v>2385</v>
      </c>
      <c r="W735" s="29">
        <v>0</v>
      </c>
    </row>
    <row r="736" spans="1:24">
      <c r="A736" s="134">
        <v>2090</v>
      </c>
      <c r="B736" s="134">
        <v>17.600000000000001</v>
      </c>
      <c r="C736">
        <v>1.5</v>
      </c>
      <c r="D736">
        <v>7.14</v>
      </c>
      <c r="E736">
        <v>24.41</v>
      </c>
      <c r="F736" s="19" t="s">
        <v>2388</v>
      </c>
      <c r="G736" s="13">
        <v>62.2</v>
      </c>
      <c r="H736" s="13">
        <v>70</v>
      </c>
      <c r="I736" s="217">
        <v>42964</v>
      </c>
      <c r="J736" s="13" t="s">
        <v>130</v>
      </c>
      <c r="K736" s="13">
        <v>33.520000000000003</v>
      </c>
      <c r="L736" s="13">
        <v>0.29699999999999999</v>
      </c>
      <c r="M736" s="13">
        <v>386</v>
      </c>
      <c r="Q736" s="34" t="str">
        <f>HYPERLINK("\\hopi-fs\shares\users\dhar\Stalk mount testing\Type 1e Quality Assurance\CRYO-2077-2815","FOLDER")</f>
        <v>FOLDER</v>
      </c>
      <c r="T736" t="s">
        <v>2337</v>
      </c>
      <c r="U736" s="300" t="s">
        <v>2401</v>
      </c>
      <c r="V736" s="19" t="s">
        <v>2392</v>
      </c>
      <c r="W736" s="29">
        <v>0</v>
      </c>
    </row>
    <row r="737" spans="1:23">
      <c r="A737" s="134">
        <v>2091</v>
      </c>
      <c r="B737" s="134">
        <v>19</v>
      </c>
      <c r="C737">
        <v>1.52</v>
      </c>
      <c r="D737">
        <v>7.15</v>
      </c>
      <c r="E737">
        <v>24.37</v>
      </c>
      <c r="F737" s="270" t="s">
        <v>2389</v>
      </c>
      <c r="G737" s="13">
        <v>62.2</v>
      </c>
      <c r="H737" s="13">
        <v>70</v>
      </c>
      <c r="I737" s="217">
        <v>42964</v>
      </c>
      <c r="J737" s="13" t="s">
        <v>130</v>
      </c>
      <c r="K737" s="13">
        <v>33.53</v>
      </c>
      <c r="L737" s="13">
        <v>0.76</v>
      </c>
      <c r="M737" s="13">
        <v>373</v>
      </c>
      <c r="Q737" s="34" t="str">
        <f>HYPERLINK("\\hopi-fs\shares\users\dhar\Stalk mount testing\Type 1e Quality Assurance\CRYO-2077-2820","FOLDER")</f>
        <v>FOLDER</v>
      </c>
      <c r="T737" t="s">
        <v>2337</v>
      </c>
      <c r="U737" s="300" t="s">
        <v>2401</v>
      </c>
      <c r="V737" s="19" t="s">
        <v>2393</v>
      </c>
      <c r="W737" s="29">
        <v>1</v>
      </c>
    </row>
    <row r="738" spans="1:23">
      <c r="A738" s="134">
        <v>2092</v>
      </c>
      <c r="B738" s="136">
        <v>17.600000000000001</v>
      </c>
      <c r="C738">
        <v>1.5</v>
      </c>
      <c r="D738">
        <v>7.17</v>
      </c>
      <c r="E738">
        <v>24.41</v>
      </c>
      <c r="F738" s="19" t="s">
        <v>2394</v>
      </c>
      <c r="G738" s="13">
        <v>62.2</v>
      </c>
      <c r="H738" s="13">
        <v>70</v>
      </c>
      <c r="I738" s="217">
        <v>42964</v>
      </c>
      <c r="J738" s="13" t="s">
        <v>130</v>
      </c>
      <c r="K738" s="13">
        <v>33.590000000000003</v>
      </c>
      <c r="L738" s="13">
        <v>0.5</v>
      </c>
      <c r="Q738" s="34" t="str">
        <f>HYPERLINK("\\hopi-fs\shares\users\dhar\Stalk mount testing\Type 1e Quality Assurance\CRYO-2077-2812","folder")</f>
        <v>folder</v>
      </c>
      <c r="T738" t="s">
        <v>2337</v>
      </c>
      <c r="U738" t="s">
        <v>2399</v>
      </c>
      <c r="V738" s="407" t="s">
        <v>2345</v>
      </c>
      <c r="W738" s="29">
        <v>1</v>
      </c>
    </row>
    <row r="739" spans="1:23" ht="29.25" customHeight="1">
      <c r="A739" s="134">
        <v>2046</v>
      </c>
      <c r="B739" s="134">
        <v>17</v>
      </c>
      <c r="C739">
        <v>1.48</v>
      </c>
      <c r="D739">
        <v>7.07</v>
      </c>
      <c r="E739">
        <v>24.22</v>
      </c>
      <c r="F739" s="19" t="s">
        <v>2408</v>
      </c>
      <c r="G739" s="13">
        <v>65</v>
      </c>
      <c r="H739" s="13">
        <v>70</v>
      </c>
      <c r="I739" s="217">
        <v>42992</v>
      </c>
      <c r="J739" s="13" t="s">
        <v>130</v>
      </c>
      <c r="K739" s="13">
        <v>33.229999999999997</v>
      </c>
      <c r="L739" s="13">
        <v>0.7</v>
      </c>
      <c r="M739" s="13">
        <v>360</v>
      </c>
      <c r="Q739" s="4" t="str">
        <f>HYPERLINK("\\hopi-fs\shares\users\dhar\Stalk mount testing\Type 1e Quality Assurance\CRYO-2078-2817","folder")</f>
        <v>folder</v>
      </c>
      <c r="T739" t="s">
        <v>2337</v>
      </c>
      <c r="U739" t="s">
        <v>2429</v>
      </c>
      <c r="V739" s="407" t="s">
        <v>2409</v>
      </c>
      <c r="W739" s="29">
        <v>1</v>
      </c>
    </row>
    <row r="740" spans="1:23">
      <c r="A740" s="134">
        <v>2047</v>
      </c>
      <c r="B740" s="136">
        <v>16.399999999999999</v>
      </c>
      <c r="C740">
        <v>1.51</v>
      </c>
      <c r="D740">
        <v>7.08</v>
      </c>
      <c r="E740">
        <v>24.07</v>
      </c>
      <c r="F740" s="19" t="s">
        <v>2410</v>
      </c>
      <c r="G740" s="13">
        <v>65</v>
      </c>
      <c r="H740" s="13">
        <v>70</v>
      </c>
      <c r="I740" s="217">
        <v>42992</v>
      </c>
      <c r="J740" s="13" t="s">
        <v>130</v>
      </c>
      <c r="K740" s="13">
        <v>33.130000000000003</v>
      </c>
      <c r="L740" s="13">
        <v>0.76</v>
      </c>
      <c r="M740" s="13">
        <v>309</v>
      </c>
      <c r="Q740" s="4" t="str">
        <f>HYPERLINK("\\hopi-fs\shares\users\dhar\Stalk mount testing\Type 1e Quality Assurance\CRYO-2078-2819","folder")</f>
        <v>folder</v>
      </c>
      <c r="T740" t="s">
        <v>2337</v>
      </c>
      <c r="U740" t="s">
        <v>2987</v>
      </c>
      <c r="V740" s="407" t="s">
        <v>2312</v>
      </c>
      <c r="W740" s="29">
        <v>0</v>
      </c>
    </row>
    <row r="741" spans="1:23">
      <c r="A741" s="134">
        <v>2048</v>
      </c>
      <c r="B741" s="134">
        <v>18.399999999999999</v>
      </c>
      <c r="C741">
        <v>1.48</v>
      </c>
      <c r="D741">
        <v>7.02</v>
      </c>
      <c r="E741">
        <v>24.18</v>
      </c>
      <c r="F741" s="388" t="s">
        <v>2411</v>
      </c>
      <c r="G741" s="13">
        <v>65</v>
      </c>
      <c r="H741" s="13">
        <v>70</v>
      </c>
      <c r="I741" s="217">
        <v>42992</v>
      </c>
      <c r="J741" s="13" t="s">
        <v>130</v>
      </c>
      <c r="K741" s="13">
        <v>33.130000000000003</v>
      </c>
      <c r="L741" s="13">
        <v>0.74</v>
      </c>
      <c r="M741" s="13">
        <v>418</v>
      </c>
      <c r="Q741" s="4" t="str">
        <f>HYPERLINK("\\hopi-fs\shares\users\dhar\Stalk mount testing\Type 1e Quality Assurance\CRYO-2077-2806","folder")</f>
        <v>folder</v>
      </c>
      <c r="T741" t="s">
        <v>2337</v>
      </c>
      <c r="U741" t="s">
        <v>2428</v>
      </c>
      <c r="V741" s="407" t="s">
        <v>2378</v>
      </c>
      <c r="W741" s="29">
        <v>6</v>
      </c>
    </row>
    <row r="742" spans="1:23">
      <c r="A742" s="134">
        <v>2049</v>
      </c>
      <c r="B742" s="134">
        <v>17</v>
      </c>
      <c r="C742">
        <v>1.51</v>
      </c>
      <c r="D742">
        <v>7.14</v>
      </c>
      <c r="E742">
        <v>24.34</v>
      </c>
      <c r="F742" s="388" t="s">
        <v>2412</v>
      </c>
      <c r="G742" s="13">
        <v>65</v>
      </c>
      <c r="H742" s="13">
        <v>70</v>
      </c>
      <c r="I742" s="217">
        <v>42992</v>
      </c>
      <c r="J742" s="13" t="s">
        <v>130</v>
      </c>
      <c r="K742" s="13">
        <v>33.46</v>
      </c>
      <c r="L742" s="13">
        <v>0.74</v>
      </c>
      <c r="M742" s="13">
        <v>373</v>
      </c>
      <c r="Q742" s="4" t="str">
        <f>HYPERLINK("\\hopi-fs\shares\users\dhar\Stalk mount testing\Type 1e Quality Assurance\CRYO-2077-2810","folder")</f>
        <v>folder</v>
      </c>
      <c r="T742" t="s">
        <v>2337</v>
      </c>
      <c r="U742" t="s">
        <v>2427</v>
      </c>
      <c r="V742" s="407" t="s">
        <v>2413</v>
      </c>
      <c r="W742" s="29">
        <v>0</v>
      </c>
    </row>
    <row r="743" spans="1:23">
      <c r="F743" s="176" t="s">
        <v>2414</v>
      </c>
      <c r="G743" s="13">
        <v>65</v>
      </c>
      <c r="H743" s="13">
        <v>71</v>
      </c>
      <c r="I743" s="217">
        <v>42992</v>
      </c>
      <c r="J743" s="13" t="s">
        <v>130</v>
      </c>
      <c r="Q743" s="4"/>
      <c r="U743" t="s">
        <v>2415</v>
      </c>
    </row>
    <row r="744" spans="1:23">
      <c r="A744" s="134">
        <v>2052</v>
      </c>
      <c r="B744" s="136">
        <v>17</v>
      </c>
      <c r="C744">
        <v>1.53</v>
      </c>
      <c r="D744">
        <v>7.11</v>
      </c>
      <c r="E744">
        <v>24.39</v>
      </c>
      <c r="F744" s="387" t="s">
        <v>2416</v>
      </c>
      <c r="G744" s="13">
        <v>65</v>
      </c>
      <c r="H744" s="13">
        <v>71</v>
      </c>
      <c r="I744" s="217">
        <v>42992</v>
      </c>
      <c r="J744" s="13" t="s">
        <v>130</v>
      </c>
      <c r="K744" s="13">
        <v>33.520000000000003</v>
      </c>
      <c r="L744" s="13">
        <v>0.73</v>
      </c>
      <c r="Q744" s="4" t="str">
        <f>HYPERLINK("\\hopi-fs\shares\users\dhar\Stalk mount testing\Type 1e Quality Assurance\CRYO-2074-2850","folder")</f>
        <v>folder</v>
      </c>
      <c r="T744" t="s">
        <v>2337</v>
      </c>
      <c r="U744" t="s">
        <v>3858</v>
      </c>
      <c r="V744" s="407" t="s">
        <v>2418</v>
      </c>
    </row>
    <row r="745" spans="1:23">
      <c r="A745" s="134">
        <v>2053</v>
      </c>
      <c r="B745" s="134">
        <v>18.399999999999999</v>
      </c>
      <c r="C745">
        <v>1.5</v>
      </c>
      <c r="D745">
        <v>7.15</v>
      </c>
      <c r="E745">
        <v>24.28</v>
      </c>
      <c r="F745" s="388" t="s">
        <v>2417</v>
      </c>
      <c r="G745" s="13">
        <v>65</v>
      </c>
      <c r="H745" s="13">
        <v>71</v>
      </c>
      <c r="I745" s="217">
        <v>42992</v>
      </c>
      <c r="J745" s="13" t="s">
        <v>130</v>
      </c>
      <c r="K745" s="13">
        <v>33.43</v>
      </c>
      <c r="L745" s="13">
        <v>0.72</v>
      </c>
      <c r="M745" s="13">
        <v>377</v>
      </c>
      <c r="Q745" s="4" t="str">
        <f>HYPERLINK("\\hopi-fs\shares\users\dhar\Stalk mount testing\Type 1e Quality Assurance\CRYO-2074-2856","folder")</f>
        <v>folder</v>
      </c>
      <c r="T745" t="s">
        <v>2337</v>
      </c>
      <c r="U745" t="s">
        <v>2426</v>
      </c>
      <c r="V745" s="407" t="s">
        <v>2419</v>
      </c>
      <c r="W745" s="29">
        <v>2</v>
      </c>
    </row>
    <row r="746" spans="1:23">
      <c r="A746" s="134">
        <v>2054</v>
      </c>
      <c r="B746" s="134">
        <v>17.2</v>
      </c>
      <c r="C746">
        <v>1.52</v>
      </c>
      <c r="D746">
        <v>7.15</v>
      </c>
      <c r="E746">
        <v>24.33</v>
      </c>
      <c r="F746" s="19" t="s">
        <v>2420</v>
      </c>
      <c r="G746" s="13">
        <v>65</v>
      </c>
      <c r="H746" s="13">
        <v>71</v>
      </c>
      <c r="I746" s="217">
        <v>42992</v>
      </c>
      <c r="J746" s="13" t="s">
        <v>130</v>
      </c>
      <c r="K746" s="13">
        <v>33.5</v>
      </c>
      <c r="L746" s="13">
        <v>0.93</v>
      </c>
      <c r="M746" s="13">
        <v>346</v>
      </c>
      <c r="Q746" s="4" t="str">
        <f>HYPERLINK("\\hopi-fs\shares\users\dhar\Stalk mount testing\Type 1e Quality Assurance\CRYO-2074-2858","folder")</f>
        <v>folder</v>
      </c>
      <c r="T746" t="s">
        <v>2337</v>
      </c>
      <c r="U746" t="s">
        <v>2425</v>
      </c>
      <c r="V746" s="407" t="s">
        <v>2292</v>
      </c>
      <c r="W746" s="29">
        <v>4</v>
      </c>
    </row>
    <row r="747" spans="1:23">
      <c r="A747" s="134">
        <v>2073</v>
      </c>
      <c r="B747" s="134">
        <v>17.2</v>
      </c>
      <c r="C747">
        <v>1.51</v>
      </c>
      <c r="D747">
        <v>7.11</v>
      </c>
      <c r="E747">
        <v>24.44</v>
      </c>
      <c r="F747" s="19" t="s">
        <v>2421</v>
      </c>
      <c r="G747" s="13">
        <v>65</v>
      </c>
      <c r="H747" s="13">
        <v>71</v>
      </c>
      <c r="I747" s="217">
        <v>42992</v>
      </c>
      <c r="J747" s="13" t="s">
        <v>130</v>
      </c>
      <c r="K747" s="13">
        <v>33.549999999999997</v>
      </c>
      <c r="L747" s="13">
        <v>0.22700000000000001</v>
      </c>
      <c r="M747" s="13">
        <v>357</v>
      </c>
      <c r="Q747" s="4" t="str">
        <f>HYPERLINK("\\hopi-fs\shares\users\dhar\Stalk mount testing\Type 1e Quality Assurance\CRYO-2074-2860","folder")</f>
        <v>folder</v>
      </c>
      <c r="T747" t="s">
        <v>2337</v>
      </c>
      <c r="U747" t="s">
        <v>2424</v>
      </c>
      <c r="V747" s="407" t="s">
        <v>2423</v>
      </c>
      <c r="W747" s="29">
        <v>4</v>
      </c>
    </row>
    <row r="748" spans="1:23">
      <c r="A748" s="134">
        <v>2074</v>
      </c>
      <c r="B748" s="134">
        <v>17.600000000000001</v>
      </c>
      <c r="C748">
        <v>1.54</v>
      </c>
      <c r="D748">
        <v>7.12</v>
      </c>
      <c r="E748">
        <v>24.38</v>
      </c>
      <c r="F748" s="19" t="s">
        <v>2422</v>
      </c>
      <c r="G748" s="13">
        <v>65</v>
      </c>
      <c r="H748" s="13">
        <v>71</v>
      </c>
      <c r="I748" s="217">
        <v>42992</v>
      </c>
      <c r="J748" s="13" t="s">
        <v>130</v>
      </c>
      <c r="K748" s="13">
        <v>33.53</v>
      </c>
      <c r="L748" s="13">
        <v>0.20399999999999999</v>
      </c>
      <c r="M748" s="3">
        <v>333</v>
      </c>
      <c r="Q748" s="4" t="str">
        <f>HYPERLINK("\\hopi-fs\shares\users\dhar\Stalk mount testing\Type 1e Quality Assurance\CRYO-2074-2859","folder")</f>
        <v>folder</v>
      </c>
      <c r="T748" t="s">
        <v>2337</v>
      </c>
      <c r="U748" t="s">
        <v>2534</v>
      </c>
      <c r="V748" s="407" t="s">
        <v>2291</v>
      </c>
      <c r="W748" s="29">
        <v>7</v>
      </c>
    </row>
    <row r="749" spans="1:23" ht="43.5" customHeight="1">
      <c r="A749" s="136">
        <v>1809</v>
      </c>
      <c r="B749" s="134">
        <v>18.8</v>
      </c>
      <c r="C749">
        <v>1.53</v>
      </c>
      <c r="D749">
        <v>7.11</v>
      </c>
      <c r="E749">
        <v>24.36</v>
      </c>
      <c r="F749" s="270" t="s">
        <v>2431</v>
      </c>
      <c r="G749" s="13">
        <v>54</v>
      </c>
      <c r="H749" s="13">
        <v>70</v>
      </c>
      <c r="I749" s="217">
        <v>43012</v>
      </c>
      <c r="J749" s="13" t="s">
        <v>130</v>
      </c>
      <c r="K749">
        <v>33.43</v>
      </c>
      <c r="L749">
        <v>0.61299999999999999</v>
      </c>
      <c r="Q749" s="4" t="str">
        <f>HYPERLINK("\\hopi-fs\shares\users\dhar\Stalk mount testing\Type 1e Quality Assurance\CRYO-2076-2861  1809 1E","folder")</f>
        <v>folder</v>
      </c>
      <c r="T749" t="s">
        <v>2337</v>
      </c>
      <c r="V749" s="19" t="s">
        <v>2440</v>
      </c>
    </row>
    <row r="750" spans="1:23">
      <c r="A750" s="136">
        <v>1954</v>
      </c>
      <c r="B750" s="134">
        <v>19</v>
      </c>
      <c r="C750">
        <v>1.49</v>
      </c>
      <c r="D750">
        <v>7.18</v>
      </c>
      <c r="E750">
        <v>24.45</v>
      </c>
      <c r="F750" s="176" t="s">
        <v>2432</v>
      </c>
      <c r="G750" s="13">
        <v>54</v>
      </c>
      <c r="H750" s="13">
        <v>70</v>
      </c>
      <c r="I750" s="217">
        <v>43012</v>
      </c>
      <c r="J750" s="13" t="s">
        <v>130</v>
      </c>
      <c r="K750" s="13">
        <v>33.56</v>
      </c>
      <c r="L750" s="13">
        <v>0.4</v>
      </c>
      <c r="Q750" s="4" t="str">
        <f>HYPERLINK("\\hopi-fs\shares\users\dhar\Stalk mount testing\Type 1e Quality Assurance\CRYO-2076-2862  1954 1E","folder")</f>
        <v>folder</v>
      </c>
      <c r="S750" t="s">
        <v>2337</v>
      </c>
      <c r="T750" t="s">
        <v>2337</v>
      </c>
      <c r="V750" s="407" t="s">
        <v>2441</v>
      </c>
    </row>
    <row r="751" spans="1:23">
      <c r="A751" s="134">
        <v>2577</v>
      </c>
      <c r="B751" s="134">
        <v>17.2</v>
      </c>
      <c r="C751">
        <v>1.55</v>
      </c>
      <c r="D751">
        <v>7.14</v>
      </c>
      <c r="E751">
        <v>24.45</v>
      </c>
      <c r="F751" s="176" t="s">
        <v>2433</v>
      </c>
      <c r="G751" s="13">
        <v>54</v>
      </c>
      <c r="H751" s="13">
        <v>70</v>
      </c>
      <c r="I751" s="217">
        <v>43012</v>
      </c>
      <c r="J751" s="13" t="s">
        <v>130</v>
      </c>
      <c r="K751" s="13">
        <v>33.590000000000003</v>
      </c>
      <c r="L751" s="13">
        <v>0.57099999999999995</v>
      </c>
      <c r="Q751" s="4" t="str">
        <f>HYPERLINK("\\hopi-fs\shares\users\dhar\Stalk mount testing\Type 1e Quality Assurance\CRYO-2076-2863  2577 1E","folder")</f>
        <v>folder</v>
      </c>
      <c r="T751" t="s">
        <v>2337</v>
      </c>
      <c r="V751" s="407" t="s">
        <v>2439</v>
      </c>
    </row>
    <row r="752" spans="1:23">
      <c r="A752" s="136">
        <v>2577</v>
      </c>
      <c r="B752" s="134">
        <v>16</v>
      </c>
      <c r="C752">
        <v>1.49</v>
      </c>
      <c r="D752">
        <v>7.17</v>
      </c>
      <c r="E752">
        <v>24.44</v>
      </c>
      <c r="F752" s="351" t="s">
        <v>2446</v>
      </c>
      <c r="G752" s="13">
        <v>56</v>
      </c>
      <c r="H752" s="13">
        <v>70</v>
      </c>
      <c r="I752" s="217">
        <v>43020</v>
      </c>
      <c r="J752" s="13" t="s">
        <v>130</v>
      </c>
      <c r="K752" s="13">
        <v>33.520000000000003</v>
      </c>
      <c r="L752" s="13">
        <v>0.39700000000000002</v>
      </c>
      <c r="M752" s="13">
        <v>372</v>
      </c>
      <c r="Q752" s="4" t="str">
        <f>HYPERLINK("\\hopi-fs\shares\users\dhar\Stalk mount testing\Type 1e Quality Assurance\CRYO-2076-2869  2577 1E","folder")</f>
        <v>folder</v>
      </c>
      <c r="T752" t="s">
        <v>2337</v>
      </c>
      <c r="U752" t="s">
        <v>2456</v>
      </c>
      <c r="V752" s="407" t="s">
        <v>2448</v>
      </c>
    </row>
    <row r="753" spans="1:22">
      <c r="A753" s="134">
        <v>2097</v>
      </c>
      <c r="B753" s="134">
        <v>19</v>
      </c>
      <c r="C753">
        <v>1.54</v>
      </c>
      <c r="D753">
        <v>7.11</v>
      </c>
      <c r="E753">
        <v>24.32</v>
      </c>
      <c r="F753" s="428" t="s">
        <v>2434</v>
      </c>
      <c r="G753" s="13">
        <v>54</v>
      </c>
      <c r="H753" s="13">
        <v>70</v>
      </c>
      <c r="I753" s="217">
        <v>43018</v>
      </c>
      <c r="J753" s="13" t="s">
        <v>130</v>
      </c>
      <c r="K753" s="13">
        <v>33.4</v>
      </c>
      <c r="L753" s="13">
        <v>0.308</v>
      </c>
      <c r="Q753" s="4" t="str">
        <f>HYPERLINK("\\hopi-fs\shares\users\dhar\Stalk mount testing\Type 1e Quality Assurance\CRYO-2077-2864  2097 1E","folder")</f>
        <v>folder</v>
      </c>
      <c r="T753" t="s">
        <v>2337</v>
      </c>
      <c r="U753" t="s">
        <v>2450</v>
      </c>
      <c r="V753" s="407" t="s">
        <v>2442</v>
      </c>
    </row>
    <row r="754" spans="1:22">
      <c r="A754" s="134">
        <v>2095</v>
      </c>
      <c r="B754" s="134">
        <v>19</v>
      </c>
      <c r="C754">
        <v>1.51</v>
      </c>
      <c r="D754">
        <v>7.12</v>
      </c>
      <c r="E754">
        <v>24.3</v>
      </c>
      <c r="F754" s="176" t="s">
        <v>2435</v>
      </c>
      <c r="G754" s="13">
        <v>54</v>
      </c>
      <c r="H754" s="13">
        <v>70</v>
      </c>
      <c r="I754" s="217">
        <v>43018</v>
      </c>
      <c r="J754" s="13" t="s">
        <v>130</v>
      </c>
      <c r="K754" s="13">
        <v>33.380000000000003</v>
      </c>
      <c r="L754" s="13">
        <v>0.44400000000000001</v>
      </c>
      <c r="Q754" s="4" t="str">
        <f>HYPERLINK("\\hopi-fs\shares\users\dhar\Stalk mount testing\Type 1e Quality Assurance\CRYO-2076-2865  2095 1E","folder")</f>
        <v>folder</v>
      </c>
      <c r="T754" t="s">
        <v>2337</v>
      </c>
      <c r="V754" s="407" t="s">
        <v>2443</v>
      </c>
    </row>
    <row r="755" spans="1:22">
      <c r="A755" s="136">
        <v>2095</v>
      </c>
      <c r="B755" s="134">
        <v>19</v>
      </c>
      <c r="C755">
        <v>1.52</v>
      </c>
      <c r="D755">
        <v>7.13</v>
      </c>
      <c r="E755">
        <v>24.33</v>
      </c>
      <c r="F755" s="351" t="s">
        <v>2449</v>
      </c>
      <c r="G755" s="13">
        <v>69.599999999999994</v>
      </c>
      <c r="H755" s="13">
        <v>69</v>
      </c>
      <c r="I755" s="217">
        <v>43021</v>
      </c>
      <c r="J755" s="13" t="s">
        <v>130</v>
      </c>
      <c r="K755" s="13">
        <v>33.42</v>
      </c>
      <c r="L755" s="13">
        <v>0.4</v>
      </c>
      <c r="M755" s="13">
        <v>425</v>
      </c>
      <c r="Q755" s="4" t="str">
        <f>HYPERLINK("\\hopi-fs\shares\users\dhar\Stalk mount testing\Type 1e Quality Assurance\CRYO-2077-2872  2095 1E","folder")</f>
        <v>folder</v>
      </c>
      <c r="T755" t="s">
        <v>2337</v>
      </c>
      <c r="U755" t="s">
        <v>2456</v>
      </c>
      <c r="V755" s="407" t="s">
        <v>2321</v>
      </c>
    </row>
    <row r="756" spans="1:22">
      <c r="A756" s="134">
        <v>2096</v>
      </c>
      <c r="B756" s="134">
        <v>16.399999999999999</v>
      </c>
      <c r="C756">
        <v>1.53</v>
      </c>
      <c r="D756">
        <v>7.17</v>
      </c>
      <c r="E756">
        <v>24.43</v>
      </c>
      <c r="F756" s="176" t="s">
        <v>2436</v>
      </c>
      <c r="G756" s="13">
        <v>54</v>
      </c>
      <c r="H756" s="13">
        <v>70</v>
      </c>
      <c r="I756" s="217">
        <v>43018</v>
      </c>
      <c r="J756" s="13" t="s">
        <v>130</v>
      </c>
      <c r="K756" s="13">
        <v>33.549999999999997</v>
      </c>
      <c r="L756" s="13">
        <v>0.42699999999999999</v>
      </c>
      <c r="Q756" s="4" t="str">
        <f>HYPERLINK("\\hopi-fs\shares\users\dhar\Stalk mount testing\Type 1e Quality Assurance\CRYO-2077-2866  2096 1E","folder")</f>
        <v>folder</v>
      </c>
      <c r="T756" t="s">
        <v>2337</v>
      </c>
      <c r="V756" s="407" t="s">
        <v>2444</v>
      </c>
    </row>
    <row r="757" spans="1:22">
      <c r="A757" s="136">
        <v>2096</v>
      </c>
      <c r="B757" s="134">
        <v>17.2</v>
      </c>
      <c r="C757">
        <v>1.53</v>
      </c>
      <c r="D757">
        <v>7.16</v>
      </c>
      <c r="E757">
        <v>24.4</v>
      </c>
      <c r="F757" s="19" t="s">
        <v>2447</v>
      </c>
      <c r="G757" s="13">
        <v>56</v>
      </c>
      <c r="H757" s="13">
        <v>70</v>
      </c>
      <c r="I757" s="217">
        <v>43020</v>
      </c>
      <c r="J757" s="13" t="s">
        <v>130</v>
      </c>
      <c r="K757" s="13">
        <v>33.549999999999997</v>
      </c>
      <c r="L757" s="13">
        <v>0.56299999999999994</v>
      </c>
      <c r="M757" s="13">
        <v>406</v>
      </c>
      <c r="Q757" s="4" t="str">
        <f>HYPERLINK("\\hopi-fs\shares\users\dhar\Stalk mount testing\Type 1e Quality Assurance\CRYO-2078-2871  2096 1E","folder")</f>
        <v>folder</v>
      </c>
      <c r="T757" t="s">
        <v>2337</v>
      </c>
      <c r="U757" t="s">
        <v>2456</v>
      </c>
      <c r="V757" s="407" t="s">
        <v>2288</v>
      </c>
    </row>
    <row r="758" spans="1:22">
      <c r="A758" s="136">
        <v>2098</v>
      </c>
      <c r="B758" s="134">
        <v>16</v>
      </c>
      <c r="C758">
        <v>1.49</v>
      </c>
      <c r="D758">
        <v>7.15</v>
      </c>
      <c r="E758">
        <v>24.36</v>
      </c>
      <c r="F758" s="19" t="s">
        <v>2437</v>
      </c>
      <c r="G758" s="13">
        <v>54</v>
      </c>
      <c r="H758" s="13">
        <v>70</v>
      </c>
      <c r="I758" s="217">
        <v>43018</v>
      </c>
      <c r="J758" s="13" t="s">
        <v>130</v>
      </c>
      <c r="K758" s="13">
        <v>33.44</v>
      </c>
      <c r="L758" s="13">
        <v>0.30399999999999999</v>
      </c>
      <c r="M758" s="13">
        <v>367</v>
      </c>
      <c r="Q758" s="4" t="str">
        <f>HYPERLINK("\\hopi-fs\shares\users\dhar\Stalk mount testing\Type 1e Quality Assurance\CRYO-2077-2867  2098 1E","folder")</f>
        <v>folder</v>
      </c>
      <c r="T758" t="s">
        <v>2337</v>
      </c>
      <c r="U758" t="s">
        <v>2456</v>
      </c>
      <c r="V758" s="407" t="s">
        <v>2320</v>
      </c>
    </row>
    <row r="759" spans="1:22">
      <c r="A759" s="134">
        <v>2099</v>
      </c>
      <c r="B759" s="134">
        <v>16.399999999999999</v>
      </c>
      <c r="C759">
        <v>1.52</v>
      </c>
      <c r="D759">
        <v>7.1</v>
      </c>
      <c r="E759">
        <v>24.41</v>
      </c>
      <c r="F759" s="428" t="s">
        <v>2438</v>
      </c>
      <c r="G759" s="13">
        <v>54</v>
      </c>
      <c r="H759" s="13">
        <v>70</v>
      </c>
      <c r="I759" s="217">
        <v>43018</v>
      </c>
      <c r="J759" s="13" t="s">
        <v>130</v>
      </c>
      <c r="K759" s="13">
        <v>33.479999999999997</v>
      </c>
      <c r="L759" s="13">
        <v>0.53800000000000003</v>
      </c>
      <c r="Q759" s="4" t="str">
        <f>HYPERLINK("\\hopi-fs\shares\users\dhar\Stalk mount testing\Type 1e Quality Assurance\CRYO-2077-2868  2099 1E","folder")</f>
        <v>folder</v>
      </c>
      <c r="T759" t="s">
        <v>2337</v>
      </c>
      <c r="U759" t="s">
        <v>2649</v>
      </c>
      <c r="V759" s="407" t="s">
        <v>2445</v>
      </c>
    </row>
    <row r="760" spans="1:22">
      <c r="F760" s="389" t="s">
        <v>2451</v>
      </c>
      <c r="I760" s="428"/>
    </row>
    <row r="761" spans="1:22">
      <c r="A761" s="134">
        <v>2100</v>
      </c>
      <c r="F761" s="389" t="s">
        <v>2452</v>
      </c>
      <c r="I761" s="428"/>
    </row>
    <row r="762" spans="1:22">
      <c r="F762" s="390" t="s">
        <v>2453</v>
      </c>
      <c r="I762" s="428"/>
    </row>
    <row r="763" spans="1:22">
      <c r="A763" s="134">
        <v>2102</v>
      </c>
      <c r="B763" s="134">
        <v>17.2</v>
      </c>
      <c r="C763">
        <v>1.53</v>
      </c>
      <c r="D763">
        <v>7.16</v>
      </c>
      <c r="E763">
        <v>24.41</v>
      </c>
      <c r="F763" s="391" t="s">
        <v>2454</v>
      </c>
      <c r="G763">
        <v>61</v>
      </c>
      <c r="H763">
        <v>71</v>
      </c>
      <c r="I763" s="217">
        <v>43021</v>
      </c>
      <c r="J763" t="s">
        <v>130</v>
      </c>
      <c r="K763">
        <v>33.549999999999997</v>
      </c>
      <c r="L763">
        <v>0.36</v>
      </c>
      <c r="M763">
        <v>394</v>
      </c>
      <c r="Q763" s="4" t="str">
        <f>HYPERLINK("\\hopi-fs\shares\users\dhar\Stalk mount testing\Type 1e Quality Assurance\CRYO-2076-2876 2102","folder")</f>
        <v>folder</v>
      </c>
      <c r="T763" t="s">
        <v>2337</v>
      </c>
      <c r="U763" t="s">
        <v>2456</v>
      </c>
      <c r="V763" s="407" t="s">
        <v>2455</v>
      </c>
    </row>
    <row r="764" spans="1:22" ht="32.25" customHeight="1">
      <c r="A764" s="134">
        <v>2093</v>
      </c>
      <c r="B764" s="134">
        <v>19</v>
      </c>
      <c r="C764">
        <v>1.5</v>
      </c>
      <c r="D764">
        <v>7.16</v>
      </c>
      <c r="E764">
        <v>24.41</v>
      </c>
      <c r="F764" s="428" t="s">
        <v>2457</v>
      </c>
      <c r="G764">
        <v>30.8</v>
      </c>
      <c r="H764">
        <v>72</v>
      </c>
      <c r="I764" s="217">
        <v>43039</v>
      </c>
      <c r="J764" t="s">
        <v>130</v>
      </c>
      <c r="K764">
        <v>33.520000000000003</v>
      </c>
      <c r="L764">
        <v>0.83</v>
      </c>
      <c r="M764">
        <v>304</v>
      </c>
      <c r="Q764" s="4" t="str">
        <f>HYPERLINK("\\HOPI-FS\shares\users\dhar\Stalk mount testing\Type 1e Quality Assurance\CRYO-ISE-1Q18-01-D05  2093 1E","folder")</f>
        <v>folder</v>
      </c>
      <c r="T764" t="s">
        <v>2337</v>
      </c>
      <c r="U764" t="s">
        <v>2514</v>
      </c>
      <c r="V764" s="407" t="s">
        <v>2345</v>
      </c>
    </row>
    <row r="765" spans="1:22">
      <c r="A765" s="134">
        <v>2094</v>
      </c>
      <c r="B765" s="134">
        <v>18.399999999999999</v>
      </c>
      <c r="C765">
        <v>1.5</v>
      </c>
      <c r="D765">
        <v>7.13</v>
      </c>
      <c r="E765">
        <v>24.58</v>
      </c>
      <c r="F765" s="428" t="s">
        <v>2458</v>
      </c>
      <c r="G765">
        <v>30.8</v>
      </c>
      <c r="H765">
        <v>72</v>
      </c>
      <c r="I765" s="217">
        <v>43039</v>
      </c>
      <c r="J765" t="s">
        <v>130</v>
      </c>
      <c r="K765">
        <v>33.68</v>
      </c>
      <c r="L765">
        <v>0.51</v>
      </c>
      <c r="M765">
        <v>245</v>
      </c>
      <c r="Q765" s="4" t="str">
        <f>HYPERLINK("\\HOPI-FS\shares\users\dhar\Stalk mount testing\Type 1e Quality Assurance\CRYO-ISE-1Q18-01-D08  2094 1E","folder")</f>
        <v>folder</v>
      </c>
      <c r="T765" t="s">
        <v>2337</v>
      </c>
      <c r="U765" t="s">
        <v>2514</v>
      </c>
      <c r="V765" s="407" t="s">
        <v>2418</v>
      </c>
    </row>
    <row r="766" spans="1:22">
      <c r="A766" s="134">
        <v>2100</v>
      </c>
      <c r="B766" s="134">
        <v>16.399999999999999</v>
      </c>
      <c r="C766">
        <v>1.5</v>
      </c>
      <c r="D766">
        <v>7.16</v>
      </c>
      <c r="E766">
        <v>24.46</v>
      </c>
      <c r="F766" s="428" t="s">
        <v>2459</v>
      </c>
      <c r="G766">
        <v>30.8</v>
      </c>
      <c r="H766">
        <v>72</v>
      </c>
      <c r="I766" s="217">
        <v>43039</v>
      </c>
      <c r="J766" t="s">
        <v>130</v>
      </c>
      <c r="K766">
        <v>33.549999999999997</v>
      </c>
      <c r="L766">
        <v>0.81899999999999995</v>
      </c>
      <c r="M766">
        <v>233</v>
      </c>
      <c r="Q766" s="4" t="str">
        <f>HYPERLINK("\\HOPI-FS\shares\users\dhar\Stalk mount testing\Type 1e Quality Assurance\CRYO-ISE-1Q18-01-D09  2100 1E","folder")</f>
        <v>folder</v>
      </c>
      <c r="T766" t="s">
        <v>2337</v>
      </c>
      <c r="U766" t="s">
        <v>2514</v>
      </c>
      <c r="V766" s="407" t="s">
        <v>2320</v>
      </c>
    </row>
    <row r="767" spans="1:22">
      <c r="A767" s="134">
        <v>2101</v>
      </c>
      <c r="B767" s="134">
        <v>16</v>
      </c>
      <c r="C767">
        <v>1.5</v>
      </c>
      <c r="D767">
        <v>7.18</v>
      </c>
      <c r="E767">
        <v>24.43</v>
      </c>
      <c r="F767" s="392" t="s">
        <v>2460</v>
      </c>
      <c r="G767">
        <v>30.8</v>
      </c>
      <c r="H767">
        <v>72</v>
      </c>
      <c r="I767" s="217">
        <v>43039</v>
      </c>
      <c r="J767" t="s">
        <v>130</v>
      </c>
      <c r="K767">
        <v>33.56</v>
      </c>
      <c r="L767">
        <v>0.78900000000000003</v>
      </c>
      <c r="M767">
        <v>210</v>
      </c>
      <c r="Q767" s="4" t="str">
        <f>HYPERLINK("\\HOPI-FS\shares\users\dhar\Stalk mount testing\Type 1e Quality Assurance\CRYO-ISE-1Q18-01-D13  2101 1E","folder")</f>
        <v>folder</v>
      </c>
      <c r="T767" t="s">
        <v>2337</v>
      </c>
      <c r="U767" t="s">
        <v>2516</v>
      </c>
      <c r="V767" s="407" t="s">
        <v>2320</v>
      </c>
    </row>
    <row r="768" spans="1:22">
      <c r="A768" s="134">
        <v>2103</v>
      </c>
      <c r="B768" s="134">
        <v>18</v>
      </c>
      <c r="C768">
        <v>1.5</v>
      </c>
      <c r="D768">
        <v>7.1</v>
      </c>
      <c r="E768">
        <v>24.46</v>
      </c>
      <c r="F768" s="428" t="s">
        <v>2461</v>
      </c>
      <c r="G768">
        <v>30.8</v>
      </c>
      <c r="H768">
        <v>72</v>
      </c>
      <c r="I768" s="217">
        <v>43039</v>
      </c>
      <c r="J768" t="s">
        <v>130</v>
      </c>
      <c r="K768">
        <v>33.450000000000003</v>
      </c>
      <c r="L768">
        <v>0.128</v>
      </c>
      <c r="M768">
        <v>281</v>
      </c>
      <c r="Q768" s="4" t="str">
        <f>HYPERLINK("\\HOPI-FS\shares\users\dhar\Stalk mount testing\Type 1e Quality Assurance\CRYO-ISE-1Q18-01-D14  2103 1E","folder")</f>
        <v>folder</v>
      </c>
      <c r="T768" t="s">
        <v>2337</v>
      </c>
      <c r="U768" t="s">
        <v>2516</v>
      </c>
      <c r="V768" s="407" t="s">
        <v>2488</v>
      </c>
    </row>
    <row r="769" spans="1:24">
      <c r="A769" s="134">
        <v>2104</v>
      </c>
      <c r="B769" s="134">
        <v>18</v>
      </c>
      <c r="C769">
        <v>1.5</v>
      </c>
      <c r="D769">
        <v>7.18</v>
      </c>
      <c r="E769">
        <v>24.4</v>
      </c>
      <c r="F769" s="428" t="s">
        <v>2462</v>
      </c>
      <c r="G769">
        <v>30.8</v>
      </c>
      <c r="H769">
        <v>72</v>
      </c>
      <c r="I769" s="217">
        <v>43039</v>
      </c>
      <c r="J769" t="s">
        <v>130</v>
      </c>
      <c r="K769">
        <v>33.51</v>
      </c>
      <c r="L769">
        <v>0.60799999999999998</v>
      </c>
      <c r="M769">
        <v>277</v>
      </c>
      <c r="Q769" s="4" t="str">
        <f>HYPERLINK("\\HOPI-FS\shares\users\dhar\Stalk mount testing\Type 1e Quality Assurance\CRYO-ISE-1Q18-01-D15  2104 1E","folder")</f>
        <v>folder</v>
      </c>
      <c r="T769" t="s">
        <v>2337</v>
      </c>
      <c r="U769" t="s">
        <v>2516</v>
      </c>
      <c r="V769" s="407" t="s">
        <v>2377</v>
      </c>
    </row>
    <row r="770" spans="1:24">
      <c r="A770" s="134">
        <v>2105</v>
      </c>
      <c r="B770" s="134">
        <v>17.2</v>
      </c>
      <c r="C770">
        <v>1.52</v>
      </c>
      <c r="D770">
        <v>7.17</v>
      </c>
      <c r="E770">
        <v>24.34</v>
      </c>
      <c r="F770" s="19" t="s">
        <v>2463</v>
      </c>
      <c r="G770">
        <v>30.8</v>
      </c>
      <c r="H770">
        <v>72</v>
      </c>
      <c r="I770" s="217">
        <v>43039</v>
      </c>
      <c r="J770" t="s">
        <v>130</v>
      </c>
      <c r="K770">
        <v>33.49</v>
      </c>
      <c r="L770">
        <v>0.34399999999999997</v>
      </c>
      <c r="M770">
        <v>262</v>
      </c>
      <c r="Q770" s="4" t="str">
        <f>HYPERLINK("\\HOPI-FS\shares\users\dhar\Stalk mount testing\Type 1e Quality Assurance\CRYO-ISE-1Q18-01-D17  2105 1E","folder")</f>
        <v>folder</v>
      </c>
      <c r="T770" t="s">
        <v>2337</v>
      </c>
      <c r="U770" t="s">
        <v>2547</v>
      </c>
      <c r="V770" s="407" t="s">
        <v>2320</v>
      </c>
    </row>
    <row r="771" spans="1:24">
      <c r="A771" s="134">
        <v>2106</v>
      </c>
      <c r="B771" s="134">
        <v>18.399999999999999</v>
      </c>
      <c r="C771">
        <v>1.52</v>
      </c>
      <c r="D771">
        <v>7.08</v>
      </c>
      <c r="E771">
        <v>24.42</v>
      </c>
      <c r="F771" s="176" t="s">
        <v>2464</v>
      </c>
      <c r="G771">
        <v>30.8</v>
      </c>
      <c r="H771">
        <v>72</v>
      </c>
      <c r="I771" s="217">
        <v>43039</v>
      </c>
      <c r="J771" t="s">
        <v>130</v>
      </c>
      <c r="K771">
        <v>33.47</v>
      </c>
      <c r="L771">
        <v>0.86499999999999999</v>
      </c>
      <c r="Q771" s="4" t="str">
        <f>HYPERLINK("\\HOPI-FS\shares\users\dhar\Stalk mount testing\Type 1e Quality Assurance\CRYO-ISE-1Q18-01-D18  2106 1E","folder")</f>
        <v>folder</v>
      </c>
      <c r="T771" t="s">
        <v>2337</v>
      </c>
      <c r="V771" s="407" t="s">
        <v>2294</v>
      </c>
    </row>
    <row r="772" spans="1:24">
      <c r="A772" s="134">
        <v>2106</v>
      </c>
      <c r="B772" s="134">
        <v>18.399999999999999</v>
      </c>
      <c r="C772">
        <v>1.52</v>
      </c>
      <c r="D772">
        <v>7.08</v>
      </c>
      <c r="E772">
        <v>24.42</v>
      </c>
      <c r="F772" s="249" t="s">
        <v>2515</v>
      </c>
      <c r="G772">
        <v>30.8</v>
      </c>
      <c r="H772">
        <v>72</v>
      </c>
      <c r="I772" s="217">
        <v>43074</v>
      </c>
      <c r="J772" t="s">
        <v>130</v>
      </c>
      <c r="K772">
        <v>33.47</v>
      </c>
      <c r="L772">
        <v>0.78700000000000003</v>
      </c>
      <c r="M772">
        <v>248</v>
      </c>
      <c r="Q772" s="4" t="str">
        <f>HYPERLINK("\\HOPI-FS\shares\users\dhar\Stalk mount testing\Type 1e Quality Assurance\ISE-1Q18-010D19  2106 MEQ","folder")</f>
        <v>folder</v>
      </c>
      <c r="T772" t="s">
        <v>2337</v>
      </c>
      <c r="U772" t="s">
        <v>2547</v>
      </c>
      <c r="V772" s="407" t="s">
        <v>2352</v>
      </c>
    </row>
    <row r="773" spans="1:24" ht="27" customHeight="1">
      <c r="A773" s="134">
        <v>2107</v>
      </c>
      <c r="B773" s="134">
        <v>17.2</v>
      </c>
      <c r="C773">
        <v>1.5</v>
      </c>
      <c r="D773">
        <v>7.12</v>
      </c>
      <c r="E773">
        <v>24.35</v>
      </c>
      <c r="F773" s="350" t="s">
        <v>2517</v>
      </c>
      <c r="G773">
        <v>31.8</v>
      </c>
      <c r="H773">
        <v>70</v>
      </c>
      <c r="I773" s="217">
        <v>43082</v>
      </c>
      <c r="J773" t="s">
        <v>130</v>
      </c>
      <c r="K773">
        <v>33.54</v>
      </c>
      <c r="L773">
        <v>0.45600000000000002</v>
      </c>
      <c r="M773">
        <v>330</v>
      </c>
      <c r="Q773" s="4" t="str">
        <f>HYPERLINK("\\HOPI-FS\shares\users\dhar\Stalk mount testing\Type 1e Quality Assurance\CRYO-2075-2826  2107 1E","folder")</f>
        <v>folder</v>
      </c>
      <c r="T773" t="s">
        <v>2337</v>
      </c>
      <c r="U773" t="s">
        <v>2530</v>
      </c>
      <c r="V773" s="407" t="s">
        <v>2525</v>
      </c>
      <c r="W773" s="29">
        <v>2</v>
      </c>
    </row>
    <row r="774" spans="1:24">
      <c r="A774" s="134">
        <v>2108</v>
      </c>
      <c r="B774" s="134">
        <v>19</v>
      </c>
      <c r="C774">
        <v>1.51</v>
      </c>
      <c r="D774">
        <v>7.1</v>
      </c>
      <c r="E774">
        <v>24.4</v>
      </c>
      <c r="F774" s="351" t="s">
        <v>2518</v>
      </c>
      <c r="G774">
        <v>31.8</v>
      </c>
      <c r="H774">
        <v>70</v>
      </c>
      <c r="I774" s="217">
        <v>43082</v>
      </c>
      <c r="J774" t="s">
        <v>130</v>
      </c>
      <c r="K774">
        <v>33.51</v>
      </c>
      <c r="L774">
        <v>0.63</v>
      </c>
      <c r="M774" t="s">
        <v>2529</v>
      </c>
      <c r="Q774" s="4" t="str">
        <f>HYPERLINK("\\HOPI-FS\shares\users\dhar\Stalk mount testing\Type 1e Quality Assurance\CRYO-2075-2828  2108 1E","folder")</f>
        <v>folder</v>
      </c>
      <c r="T774" t="s">
        <v>2337</v>
      </c>
      <c r="U774" t="s">
        <v>2530</v>
      </c>
      <c r="V774" s="407" t="s">
        <v>2292</v>
      </c>
      <c r="W774" s="29">
        <v>4</v>
      </c>
    </row>
    <row r="775" spans="1:24">
      <c r="A775" s="134">
        <v>2109</v>
      </c>
      <c r="B775" s="134">
        <v>19</v>
      </c>
      <c r="C775">
        <v>1.49</v>
      </c>
      <c r="D775">
        <v>7.12</v>
      </c>
      <c r="E775">
        <v>24.36</v>
      </c>
      <c r="F775" s="351" t="s">
        <v>2519</v>
      </c>
      <c r="G775">
        <v>31.8</v>
      </c>
      <c r="H775">
        <v>70</v>
      </c>
      <c r="I775" s="217">
        <v>43082</v>
      </c>
      <c r="J775" t="s">
        <v>130</v>
      </c>
      <c r="K775">
        <v>33.520000000000003</v>
      </c>
      <c r="L775">
        <v>0.747</v>
      </c>
      <c r="M775">
        <v>412</v>
      </c>
      <c r="Q775" s="4" t="str">
        <f>HYPERLINK("\\HOPI-FS\shares\users\dhar\Stalk mount testing\Type 1e Quality Assurance\CRYO-2074-2833  2109 1E","folder")</f>
        <v>folder</v>
      </c>
      <c r="T775" t="s">
        <v>2337</v>
      </c>
      <c r="U775" t="s">
        <v>2531</v>
      </c>
      <c r="V775" s="407" t="s">
        <v>2526</v>
      </c>
      <c r="W775" s="29">
        <v>1</v>
      </c>
    </row>
    <row r="776" spans="1:24">
      <c r="A776" s="134">
        <v>2110</v>
      </c>
      <c r="B776" s="134">
        <v>16</v>
      </c>
      <c r="C776">
        <v>1.5</v>
      </c>
      <c r="D776">
        <v>7.14</v>
      </c>
      <c r="E776">
        <v>24.32</v>
      </c>
      <c r="F776" s="351" t="s">
        <v>2521</v>
      </c>
      <c r="G776">
        <v>31.8</v>
      </c>
      <c r="H776">
        <v>70</v>
      </c>
      <c r="I776" s="217">
        <v>43082</v>
      </c>
      <c r="J776" t="s">
        <v>130</v>
      </c>
      <c r="K776">
        <v>33.520000000000003</v>
      </c>
      <c r="L776">
        <v>0.86299999999999999</v>
      </c>
      <c r="M776">
        <v>295</v>
      </c>
      <c r="Q776" s="4" t="str">
        <f>HYPERLINK("\\HOPI-FS\shares\users\dhar\Stalk mount testing\Type 1e Quality Assurance\CRYO-2069-2844  2110 1E","folder")</f>
        <v>folder</v>
      </c>
      <c r="T776" t="s">
        <v>2337</v>
      </c>
      <c r="U776" t="s">
        <v>2532</v>
      </c>
      <c r="V776" s="407" t="s">
        <v>2527</v>
      </c>
      <c r="W776" s="29">
        <v>0</v>
      </c>
    </row>
    <row r="777" spans="1:24">
      <c r="A777" s="134">
        <v>2111</v>
      </c>
      <c r="B777" s="134">
        <v>18</v>
      </c>
      <c r="C777">
        <v>1.48</v>
      </c>
      <c r="D777">
        <v>7.14</v>
      </c>
      <c r="E777">
        <v>24.4</v>
      </c>
      <c r="F777" s="351" t="s">
        <v>2522</v>
      </c>
      <c r="G777">
        <v>31.8</v>
      </c>
      <c r="H777">
        <v>70</v>
      </c>
      <c r="I777" s="217">
        <v>43082</v>
      </c>
      <c r="J777" t="s">
        <v>130</v>
      </c>
      <c r="K777">
        <v>33.549999999999997</v>
      </c>
      <c r="L777">
        <v>0.41899999999999998</v>
      </c>
      <c r="M777">
        <v>322</v>
      </c>
      <c r="Q777" s="4" t="str">
        <f>HYPERLINK("\\HOPI-FS\shares\users\dhar\Stalk mount testing\Type 1e Quality Assurance\CRYO-2068-2845  2111 1E","folder")</f>
        <v>folder</v>
      </c>
      <c r="T777" t="s">
        <v>2337</v>
      </c>
      <c r="U777" t="s">
        <v>2533</v>
      </c>
      <c r="V777" s="407" t="s">
        <v>2528</v>
      </c>
      <c r="W777" s="29">
        <v>2</v>
      </c>
    </row>
    <row r="778" spans="1:24">
      <c r="A778" s="134">
        <v>2112</v>
      </c>
      <c r="B778" s="136">
        <v>17.600000000000001</v>
      </c>
      <c r="C778">
        <v>1.48</v>
      </c>
      <c r="D778">
        <v>7.12</v>
      </c>
      <c r="E778">
        <v>24.37</v>
      </c>
      <c r="F778" s="351" t="s">
        <v>2520</v>
      </c>
      <c r="G778">
        <v>31.8</v>
      </c>
      <c r="H778">
        <v>70</v>
      </c>
      <c r="I778" s="217">
        <v>43082</v>
      </c>
      <c r="J778" t="s">
        <v>130</v>
      </c>
      <c r="K778">
        <v>33.44</v>
      </c>
      <c r="L778">
        <v>0.85399999999999998</v>
      </c>
      <c r="M778">
        <v>386</v>
      </c>
      <c r="Q778" s="4" t="str">
        <f>HYPERLINK("\\HOPI-FS\shares\users\dhar\Stalk mount testing\Type 1e Quality Assurance\CRYO-2074-2855  2112 1E","folder")</f>
        <v>folder</v>
      </c>
      <c r="T778" t="s">
        <v>2337</v>
      </c>
      <c r="U778" t="s">
        <v>2524</v>
      </c>
      <c r="V778" s="407" t="s">
        <v>2347</v>
      </c>
      <c r="W778" s="29">
        <v>7</v>
      </c>
    </row>
    <row r="779" spans="1:24">
      <c r="A779" s="134">
        <v>2113</v>
      </c>
      <c r="B779" s="136">
        <v>18.8</v>
      </c>
      <c r="C779">
        <v>1.5</v>
      </c>
      <c r="D779">
        <v>7.14</v>
      </c>
      <c r="E779">
        <v>24.38</v>
      </c>
      <c r="F779" s="351" t="s">
        <v>2523</v>
      </c>
      <c r="G779">
        <v>31.8</v>
      </c>
      <c r="H779">
        <v>70</v>
      </c>
      <c r="I779" s="217">
        <v>43082</v>
      </c>
      <c r="J779" t="s">
        <v>130</v>
      </c>
      <c r="K779">
        <v>33.54</v>
      </c>
      <c r="L779">
        <v>0.58799999999999997</v>
      </c>
      <c r="M779">
        <v>378</v>
      </c>
      <c r="Q779" s="4" t="str">
        <f>HYPERLINK("\\HOPI-FS\shares\users\dhar\Stalk mount testing\Type 1e Quality Assurance\CRYO-2069-2836  2113 1E","folder")</f>
        <v>folder</v>
      </c>
      <c r="T779" t="s">
        <v>2337</v>
      </c>
      <c r="U779" t="s">
        <v>3870</v>
      </c>
      <c r="V779" s="407" t="s">
        <v>2439</v>
      </c>
      <c r="W779" s="29">
        <v>10</v>
      </c>
    </row>
    <row r="780" spans="1:24" ht="27.75" customHeight="1">
      <c r="A780" s="134">
        <v>2114</v>
      </c>
      <c r="B780" s="134">
        <v>18.399999999999999</v>
      </c>
      <c r="C780">
        <v>1.48</v>
      </c>
      <c r="D780">
        <v>7.15</v>
      </c>
      <c r="E780">
        <v>24.39</v>
      </c>
      <c r="F780" s="176" t="s">
        <v>2539</v>
      </c>
      <c r="G780">
        <v>47</v>
      </c>
      <c r="H780">
        <v>66</v>
      </c>
      <c r="I780" s="217">
        <v>43112</v>
      </c>
      <c r="J780" t="s">
        <v>130</v>
      </c>
      <c r="K780">
        <v>33.520000000000003</v>
      </c>
      <c r="L780">
        <v>0.46600000000000003</v>
      </c>
      <c r="Q780" s="4" t="str">
        <f>HYPERLINK("\\HOPI-FS\shares\users\dhar\Stalk mount testing\Type 1e Quality Assurance\CRYO-2082-2709  2114 1E","folder")</f>
        <v>folder</v>
      </c>
      <c r="T780" t="s">
        <v>2337</v>
      </c>
      <c r="V780" s="407" t="s">
        <v>2320</v>
      </c>
    </row>
    <row r="781" spans="1:24" ht="13.5" customHeight="1">
      <c r="A781" s="134">
        <v>2114</v>
      </c>
      <c r="B781" s="136">
        <v>18.399999999999999</v>
      </c>
      <c r="C781">
        <v>1.48</v>
      </c>
      <c r="D781">
        <v>7.15</v>
      </c>
      <c r="E781">
        <v>24.39</v>
      </c>
      <c r="F781" s="249" t="s">
        <v>2543</v>
      </c>
      <c r="G781">
        <v>29.7</v>
      </c>
      <c r="H781">
        <v>65.8</v>
      </c>
      <c r="I781" s="217">
        <v>43116</v>
      </c>
      <c r="J781" t="s">
        <v>130</v>
      </c>
      <c r="K781">
        <v>33.5</v>
      </c>
      <c r="L781">
        <v>0.27</v>
      </c>
      <c r="M781">
        <v>386</v>
      </c>
      <c r="Q781" s="4" t="str">
        <f>HYPERLINK("\\HOPI-FS\shares\users\dhar\Stalk mount testing\Type 1e Quality Assurance\CRYO-2082-2720  2114 1E","folder")</f>
        <v>folder</v>
      </c>
      <c r="T781" t="s">
        <v>2337</v>
      </c>
      <c r="U781" t="s">
        <v>3872</v>
      </c>
      <c r="V781" s="407" t="s">
        <v>2487</v>
      </c>
      <c r="W781" s="269">
        <v>0</v>
      </c>
      <c r="X781">
        <v>1</v>
      </c>
    </row>
    <row r="782" spans="1:24">
      <c r="A782" s="134">
        <v>2115</v>
      </c>
      <c r="B782" s="134">
        <v>19</v>
      </c>
      <c r="C782">
        <v>1.5</v>
      </c>
      <c r="D782">
        <v>7.11</v>
      </c>
      <c r="E782">
        <v>24.32</v>
      </c>
      <c r="F782" s="19" t="s">
        <v>2540</v>
      </c>
      <c r="G782">
        <v>47</v>
      </c>
      <c r="H782">
        <v>66</v>
      </c>
      <c r="I782" s="217">
        <v>43112</v>
      </c>
      <c r="J782" t="s">
        <v>130</v>
      </c>
      <c r="K782">
        <v>33.4</v>
      </c>
      <c r="L782">
        <v>0.40100000000000002</v>
      </c>
      <c r="M782">
        <v>451</v>
      </c>
      <c r="Q782" s="4" t="str">
        <f>HYPERLINK("\\HOPI-FS\shares\users\dhar\Stalk mount testing\Type 1e Quality Assurance\CRYO-2082-2722  2115 1E","folder")</f>
        <v>folder</v>
      </c>
      <c r="T782" t="s">
        <v>2337</v>
      </c>
      <c r="U782" t="s">
        <v>2552</v>
      </c>
      <c r="V782" s="407" t="s">
        <v>2320</v>
      </c>
      <c r="W782" s="29">
        <v>3</v>
      </c>
    </row>
    <row r="783" spans="1:24">
      <c r="A783" s="134">
        <v>2050</v>
      </c>
      <c r="B783" s="136">
        <v>18.399999999999999</v>
      </c>
      <c r="C783">
        <v>1.5</v>
      </c>
      <c r="D783">
        <v>7.12</v>
      </c>
      <c r="E783">
        <v>24.29</v>
      </c>
      <c r="F783" s="176" t="s">
        <v>2535</v>
      </c>
      <c r="G783">
        <v>47</v>
      </c>
      <c r="H783">
        <v>66</v>
      </c>
      <c r="I783" s="217">
        <v>43112</v>
      </c>
      <c r="J783" t="s">
        <v>130</v>
      </c>
      <c r="K783">
        <v>33.39</v>
      </c>
      <c r="L783">
        <v>0.752</v>
      </c>
      <c r="Q783" s="4" t="str">
        <f>HYPERLINK("\\HOPI-FS\shares\users\dhar\Stalk mount testing\Type 1e Quality Assurance\CRYO-2078-2670  2050 1E","folder")</f>
        <v>folder</v>
      </c>
      <c r="T783" t="s">
        <v>2337</v>
      </c>
      <c r="U783" t="s">
        <v>2629</v>
      </c>
      <c r="V783" s="407" t="s">
        <v>2541</v>
      </c>
    </row>
    <row r="784" spans="1:24">
      <c r="A784" s="134">
        <v>2051</v>
      </c>
      <c r="B784" s="134">
        <v>16.8</v>
      </c>
      <c r="C784">
        <v>1.52</v>
      </c>
      <c r="D784">
        <v>7.15</v>
      </c>
      <c r="E784">
        <v>24.35</v>
      </c>
      <c r="F784" s="176" t="s">
        <v>2536</v>
      </c>
      <c r="G784">
        <v>47</v>
      </c>
      <c r="H784">
        <v>66</v>
      </c>
      <c r="I784" s="217">
        <v>43112</v>
      </c>
      <c r="J784" t="s">
        <v>130</v>
      </c>
      <c r="K784">
        <v>33.46</v>
      </c>
      <c r="L784">
        <v>0.48699999999999999</v>
      </c>
      <c r="Q784" s="4" t="str">
        <f>HYPERLINK("\\HOPI-FS\shares\users\dhar\Stalk mount testing\Type 1e Quality Assurance\CRYO-2078-2674  2051 1E","folder")</f>
        <v>folder</v>
      </c>
      <c r="T784" t="s">
        <v>2337</v>
      </c>
      <c r="V784" s="407" t="s">
        <v>2321</v>
      </c>
    </row>
    <row r="785" spans="1:24">
      <c r="A785" s="134">
        <v>2051</v>
      </c>
      <c r="B785" s="134">
        <v>16.8</v>
      </c>
      <c r="C785">
        <v>1.52</v>
      </c>
      <c r="D785">
        <v>7.15</v>
      </c>
      <c r="E785">
        <v>24.35</v>
      </c>
      <c r="F785" s="249" t="s">
        <v>2544</v>
      </c>
      <c r="G785">
        <v>29.7</v>
      </c>
      <c r="H785">
        <v>65.8</v>
      </c>
      <c r="I785" s="217">
        <v>43116</v>
      </c>
      <c r="J785" t="s">
        <v>130</v>
      </c>
      <c r="K785">
        <v>33.479999999999997</v>
      </c>
      <c r="L785">
        <v>0.44400000000000001</v>
      </c>
      <c r="M785">
        <v>359</v>
      </c>
      <c r="Q785" s="4" t="str">
        <f>HYPERLINK("\\HOPI-FS\shares\users\dhar\Stalk mount testing\Type 1e Quality Assurance\CRYO-2078-2721  2051 1E","folder")</f>
        <v>folder</v>
      </c>
      <c r="T785" t="s">
        <v>2337</v>
      </c>
      <c r="U785" t="s">
        <v>2552</v>
      </c>
      <c r="V785" s="407" t="s">
        <v>2309</v>
      </c>
      <c r="W785" s="29">
        <v>1</v>
      </c>
      <c r="X785">
        <v>1</v>
      </c>
    </row>
    <row r="786" spans="1:24">
      <c r="A786" s="134">
        <v>2070</v>
      </c>
      <c r="B786" s="134">
        <v>19</v>
      </c>
      <c r="C786">
        <v>1.5</v>
      </c>
      <c r="D786">
        <v>7.06</v>
      </c>
      <c r="E786">
        <v>24.3</v>
      </c>
      <c r="F786" s="19" t="s">
        <v>2537</v>
      </c>
      <c r="G786">
        <v>47</v>
      </c>
      <c r="H786">
        <v>66</v>
      </c>
      <c r="I786" s="217">
        <v>43112</v>
      </c>
      <c r="J786" t="s">
        <v>130</v>
      </c>
      <c r="K786">
        <v>33.33</v>
      </c>
      <c r="L786">
        <v>0.36499999999999999</v>
      </c>
      <c r="M786">
        <v>433</v>
      </c>
      <c r="Q786" s="4" t="str">
        <f>HYPERLINK("\\HOPI-FS\shares\users\dhar\Stalk mount testing\Type 1e Quality Assurance\CRYO-2078-2675  2070 1E","folder")</f>
        <v>folder</v>
      </c>
      <c r="T786" t="s">
        <v>2337</v>
      </c>
      <c r="U786" t="s">
        <v>2552</v>
      </c>
      <c r="V786" s="407" t="s">
        <v>2377</v>
      </c>
      <c r="W786" s="29">
        <v>3</v>
      </c>
      <c r="X786">
        <v>1</v>
      </c>
    </row>
    <row r="787" spans="1:24">
      <c r="A787" s="134">
        <v>2085</v>
      </c>
      <c r="B787" s="136">
        <v>18.8</v>
      </c>
      <c r="C787">
        <v>1.54</v>
      </c>
      <c r="D787">
        <v>7.1</v>
      </c>
      <c r="E787">
        <v>24.38</v>
      </c>
      <c r="F787" s="19" t="s">
        <v>2538</v>
      </c>
      <c r="G787">
        <v>47</v>
      </c>
      <c r="H787">
        <v>66</v>
      </c>
      <c r="I787" s="217">
        <v>43112</v>
      </c>
      <c r="J787" t="s">
        <v>130</v>
      </c>
      <c r="K787">
        <v>33.46</v>
      </c>
      <c r="L787">
        <v>0.69499999999999995</v>
      </c>
      <c r="M787">
        <v>409</v>
      </c>
      <c r="Q787" s="4" t="str">
        <f>HYPERLINK("\\HOPI-FS\shares\users\dhar\Stalk mount testing\Type 1e Quality Assurance\CRYO-2078-2705  2085 1E","folder")</f>
        <v>folder</v>
      </c>
      <c r="T787" t="s">
        <v>2337</v>
      </c>
      <c r="U787" t="s">
        <v>3853</v>
      </c>
      <c r="V787" s="407" t="s">
        <v>2503</v>
      </c>
      <c r="W787" s="29">
        <v>5</v>
      </c>
    </row>
    <row r="788" spans="1:24" ht="14.25" customHeight="1">
      <c r="A788" s="134">
        <v>2116</v>
      </c>
      <c r="B788" s="134">
        <v>18.8</v>
      </c>
      <c r="C788">
        <v>1.51</v>
      </c>
      <c r="D788">
        <v>7.17</v>
      </c>
      <c r="E788">
        <v>24.36</v>
      </c>
      <c r="F788" s="19" t="s">
        <v>2542</v>
      </c>
      <c r="G788">
        <v>29.7</v>
      </c>
      <c r="H788">
        <v>65.8</v>
      </c>
      <c r="I788" s="217">
        <v>43116</v>
      </c>
      <c r="J788" t="s">
        <v>130</v>
      </c>
      <c r="K788">
        <v>33.54</v>
      </c>
      <c r="L788">
        <v>0.71799999999999997</v>
      </c>
      <c r="M788">
        <v>409</v>
      </c>
      <c r="Q788" s="4" t="str">
        <f>HYPERLINK("\\HOPI-FS\shares\users\dhar\Stalk mount testing\Type 1e Quality Assurance\CRYO-2078-2736  2116 1E","folder")</f>
        <v>folder</v>
      </c>
      <c r="T788" t="s">
        <v>2337</v>
      </c>
      <c r="U788" t="s">
        <v>2552</v>
      </c>
      <c r="V788" s="407" t="s">
        <v>2545</v>
      </c>
      <c r="W788" s="29">
        <v>2</v>
      </c>
      <c r="X788">
        <v>1</v>
      </c>
    </row>
    <row r="789" spans="1:24">
      <c r="A789" s="134">
        <v>2117</v>
      </c>
      <c r="B789" s="134">
        <v>18</v>
      </c>
      <c r="C789">
        <v>1.51</v>
      </c>
      <c r="D789">
        <v>7.21</v>
      </c>
      <c r="E789">
        <v>24.43</v>
      </c>
      <c r="F789" s="19" t="s">
        <v>2548</v>
      </c>
      <c r="G789">
        <v>32</v>
      </c>
      <c r="H789">
        <v>68</v>
      </c>
      <c r="I789" s="217">
        <v>43118</v>
      </c>
      <c r="J789" t="s">
        <v>130</v>
      </c>
      <c r="K789">
        <v>33.659999999999997</v>
      </c>
      <c r="L789">
        <v>0.61399999999999999</v>
      </c>
      <c r="M789">
        <v>429</v>
      </c>
      <c r="Q789" s="4" t="str">
        <f>HYPERLINK("\\HOPI-FS\shares\users\dhar\Stalk mount testing\Type 1e Quality Assurance\CRYO-2079-2696","FOLDER")</f>
        <v>FOLDER</v>
      </c>
      <c r="T789" t="s">
        <v>2337</v>
      </c>
      <c r="U789" t="s">
        <v>2553</v>
      </c>
      <c r="V789" s="407" t="s">
        <v>2549</v>
      </c>
      <c r="W789" s="29">
        <v>3</v>
      </c>
      <c r="X789">
        <v>1</v>
      </c>
    </row>
    <row r="790" spans="1:24" ht="30.75" customHeight="1">
      <c r="A790" s="134">
        <v>2118</v>
      </c>
      <c r="B790" s="134">
        <v>16</v>
      </c>
      <c r="C790">
        <v>1.52</v>
      </c>
      <c r="D790">
        <v>7.12</v>
      </c>
      <c r="E790">
        <v>24.46</v>
      </c>
      <c r="F790" s="344" t="s">
        <v>2550</v>
      </c>
      <c r="G790">
        <v>32</v>
      </c>
      <c r="H790">
        <v>68</v>
      </c>
      <c r="I790" s="217">
        <v>43118</v>
      </c>
      <c r="J790" t="s">
        <v>130</v>
      </c>
      <c r="K790">
        <v>33.51</v>
      </c>
      <c r="L790">
        <v>0.68</v>
      </c>
      <c r="M790">
        <v>213</v>
      </c>
      <c r="Q790" s="4" t="str">
        <f>HYPERLINK("\\HOPI-FS\shares\users\dhar\Stalk mount testing\Type 1e Quality Assurance\CRYO-ISE-1Q18-01-I09","folder")</f>
        <v>folder</v>
      </c>
      <c r="T790" t="s">
        <v>2337</v>
      </c>
      <c r="U790" t="s">
        <v>2576</v>
      </c>
      <c r="V790" s="407" t="s">
        <v>2551</v>
      </c>
    </row>
    <row r="791" spans="1:24" ht="30.75" customHeight="1">
      <c r="A791" s="134">
        <v>2119</v>
      </c>
      <c r="B791" s="134">
        <v>16</v>
      </c>
      <c r="C791">
        <v>1.51</v>
      </c>
      <c r="D791">
        <v>7.08</v>
      </c>
      <c r="E791">
        <v>24.42</v>
      </c>
      <c r="F791" s="428" t="s">
        <v>2554</v>
      </c>
      <c r="G791">
        <v>24.1</v>
      </c>
      <c r="H791">
        <v>66.599999999999994</v>
      </c>
      <c r="I791" s="217">
        <v>43137</v>
      </c>
      <c r="J791" t="s">
        <v>130</v>
      </c>
      <c r="K791">
        <v>33.450000000000003</v>
      </c>
      <c r="L791">
        <v>0.25</v>
      </c>
      <c r="Q791" s="4" t="str">
        <f>HYPERLINK("\\HOPI-FS\shares\users\dhar\Stalk mount testing\Type 1e Quality Assurance\ISE-1Q18-01-123  2119 1E MEQ","folder")</f>
        <v>folder</v>
      </c>
      <c r="T791" t="s">
        <v>2337</v>
      </c>
      <c r="U791" t="s">
        <v>2576</v>
      </c>
      <c r="V791" s="407" t="s">
        <v>2568</v>
      </c>
    </row>
    <row r="792" spans="1:24">
      <c r="A792" s="134">
        <v>2120</v>
      </c>
      <c r="B792" s="134">
        <v>17.600000000000001</v>
      </c>
      <c r="C792">
        <v>1.49</v>
      </c>
      <c r="D792">
        <v>7.13</v>
      </c>
      <c r="E792">
        <v>24.42</v>
      </c>
      <c r="F792" s="375" t="s">
        <v>2555</v>
      </c>
      <c r="G792">
        <v>24.1</v>
      </c>
      <c r="H792">
        <v>66.599999999999994</v>
      </c>
      <c r="I792" s="217">
        <v>43137</v>
      </c>
      <c r="J792" t="s">
        <v>130</v>
      </c>
      <c r="K792">
        <v>33.49</v>
      </c>
      <c r="L792">
        <v>0.55700000000000005</v>
      </c>
      <c r="Q792" s="4" t="str">
        <f>HYPERLINK("\\HOPI-FS\shares\users\dhar\Stalk mount testing\Type 1e Quality Assurance\ISE-1Q18-01-128  2120 1E MEQ","folder")</f>
        <v>folder</v>
      </c>
      <c r="T792" t="s">
        <v>2337</v>
      </c>
      <c r="U792" t="s">
        <v>2576</v>
      </c>
      <c r="V792" s="407">
        <v>29</v>
      </c>
    </row>
    <row r="793" spans="1:24">
      <c r="A793" s="134">
        <v>2121</v>
      </c>
      <c r="B793" s="134">
        <v>16.8</v>
      </c>
      <c r="C793">
        <v>1.51</v>
      </c>
      <c r="D793">
        <v>7.1</v>
      </c>
      <c r="E793">
        <v>24.44</v>
      </c>
      <c r="F793" s="375" t="s">
        <v>2556</v>
      </c>
      <c r="G793">
        <v>24.1</v>
      </c>
      <c r="H793">
        <v>66.599999999999994</v>
      </c>
      <c r="I793" s="217">
        <v>43137</v>
      </c>
      <c r="J793" t="s">
        <v>130</v>
      </c>
      <c r="K793">
        <v>33.49</v>
      </c>
      <c r="L793">
        <v>0.186</v>
      </c>
      <c r="Q793" s="4" t="str">
        <f>HYPERLINK("\\HOPI-FS\shares\users\dhar\Stalk mount testing\Type 1e Quality Assurance\ISE-1Q18-01-129  2121 1E MEQ","folder")</f>
        <v>folder</v>
      </c>
      <c r="T793" t="s">
        <v>2337</v>
      </c>
      <c r="U793" t="s">
        <v>2576</v>
      </c>
      <c r="V793" s="407" t="s">
        <v>2312</v>
      </c>
    </row>
    <row r="794" spans="1:24" ht="30" customHeight="1">
      <c r="A794" s="134">
        <v>2122</v>
      </c>
      <c r="B794" s="136">
        <v>17.600000000000001</v>
      </c>
      <c r="C794">
        <v>1.5</v>
      </c>
      <c r="D794">
        <v>7.13</v>
      </c>
      <c r="E794">
        <v>24.42</v>
      </c>
      <c r="F794" s="19" t="s">
        <v>2558</v>
      </c>
      <c r="G794">
        <v>30.6</v>
      </c>
      <c r="H794">
        <v>66.7</v>
      </c>
      <c r="I794" s="217">
        <v>43138</v>
      </c>
      <c r="J794" t="s">
        <v>130</v>
      </c>
      <c r="K794">
        <v>33.58</v>
      </c>
      <c r="L794">
        <v>0.63300000000000001</v>
      </c>
      <c r="M794">
        <v>311</v>
      </c>
      <c r="Q794" s="4" t="str">
        <f>HYPERLINK("\\HOPI-FS\shares\users\dhar\Stalk mount testing\Type 1e Quality Assurance\CRYO-2077-2897  2122 1E","folder")</f>
        <v>folder</v>
      </c>
      <c r="T794" t="s">
        <v>2337</v>
      </c>
      <c r="U794" t="s">
        <v>3877</v>
      </c>
      <c r="V794" s="407" t="s">
        <v>2320</v>
      </c>
      <c r="W794" s="29">
        <v>3</v>
      </c>
    </row>
    <row r="795" spans="1:24">
      <c r="A795" s="134">
        <v>2123</v>
      </c>
      <c r="B795" s="134">
        <v>16.399999999999999</v>
      </c>
      <c r="C795">
        <v>1.51</v>
      </c>
      <c r="D795">
        <v>7.14</v>
      </c>
      <c r="E795">
        <v>24.42</v>
      </c>
      <c r="F795" s="19" t="s">
        <v>2559</v>
      </c>
      <c r="G795">
        <v>30.6</v>
      </c>
      <c r="H795">
        <v>66.7</v>
      </c>
      <c r="I795" s="217">
        <v>43138</v>
      </c>
      <c r="J795" t="s">
        <v>130</v>
      </c>
      <c r="K795">
        <v>33.590000000000003</v>
      </c>
      <c r="L795">
        <v>0.84099999999999997</v>
      </c>
      <c r="M795">
        <v>339</v>
      </c>
      <c r="Q795" s="4" t="str">
        <f>HYPERLINK("\\HOPI-FS\shares\users\dhar\Stalk mount testing\Type 1e Quality Assurance\CRYO-2077-2898  2123 1E","folder")</f>
        <v>folder</v>
      </c>
      <c r="T795" t="s">
        <v>2337</v>
      </c>
      <c r="U795" t="s">
        <v>2577</v>
      </c>
      <c r="V795" s="407" t="s">
        <v>2292</v>
      </c>
      <c r="W795" s="29">
        <v>5</v>
      </c>
    </row>
    <row r="796" spans="1:24">
      <c r="A796" s="134">
        <v>2124</v>
      </c>
      <c r="B796" s="134">
        <v>16.8</v>
      </c>
      <c r="C796">
        <v>1.49</v>
      </c>
      <c r="D796">
        <v>7.12</v>
      </c>
      <c r="E796">
        <v>24.42</v>
      </c>
      <c r="F796" s="19" t="s">
        <v>2560</v>
      </c>
      <c r="G796">
        <v>30.6</v>
      </c>
      <c r="H796">
        <v>66.7</v>
      </c>
      <c r="I796" s="217">
        <v>43138</v>
      </c>
      <c r="J796" t="s">
        <v>130</v>
      </c>
      <c r="K796">
        <v>33.549999999999997</v>
      </c>
      <c r="L796">
        <v>0.57099999999999995</v>
      </c>
      <c r="M796">
        <v>322</v>
      </c>
      <c r="Q796" s="4" t="str">
        <f>HYPERLINK("\\HOPI-FS\shares\users\dhar\Stalk mount testing\Type 1e Quality Assurance\CRYO-2081-2910  2124 1E","folder")</f>
        <v>folder</v>
      </c>
      <c r="T796" t="s">
        <v>2337</v>
      </c>
      <c r="U796" t="s">
        <v>2577</v>
      </c>
      <c r="V796" s="407" t="s">
        <v>2418</v>
      </c>
      <c r="W796" s="29">
        <v>7</v>
      </c>
    </row>
    <row r="797" spans="1:24">
      <c r="A797" s="134">
        <v>2125</v>
      </c>
      <c r="B797" s="136">
        <v>19</v>
      </c>
      <c r="C797">
        <v>1.49</v>
      </c>
      <c r="D797">
        <v>7.12</v>
      </c>
      <c r="E797">
        <v>24.41</v>
      </c>
      <c r="F797" s="45" t="s">
        <v>2569</v>
      </c>
      <c r="G797">
        <v>28.5</v>
      </c>
      <c r="H797">
        <v>67</v>
      </c>
      <c r="I797" s="217">
        <v>43143</v>
      </c>
      <c r="J797" t="s">
        <v>130</v>
      </c>
      <c r="K797">
        <v>33.549999999999997</v>
      </c>
      <c r="L797">
        <v>0.44700000000000001</v>
      </c>
      <c r="M797">
        <v>376</v>
      </c>
      <c r="Q797" s="4" t="str">
        <f>HYPERLINK("\\HOPI-FS\shares\users\dhar\Stalk mount testing\Type 1e Quality Assurance\CRYO-2081-2909  2125 1E","folder")</f>
        <v>folder</v>
      </c>
      <c r="T797" t="s">
        <v>2337</v>
      </c>
      <c r="U797" t="s">
        <v>2984</v>
      </c>
      <c r="V797" s="407" t="s">
        <v>2571</v>
      </c>
    </row>
    <row r="798" spans="1:24">
      <c r="A798" s="134">
        <v>2125</v>
      </c>
      <c r="B798" s="134">
        <v>19</v>
      </c>
      <c r="C798">
        <v>1.49</v>
      </c>
      <c r="D798">
        <v>7.12</v>
      </c>
      <c r="E798">
        <v>24.43</v>
      </c>
      <c r="F798" s="176" t="s">
        <v>2561</v>
      </c>
      <c r="G798">
        <v>30.6</v>
      </c>
      <c r="H798">
        <v>66.7</v>
      </c>
      <c r="I798" s="217">
        <v>43138</v>
      </c>
      <c r="J798" t="s">
        <v>130</v>
      </c>
      <c r="K798">
        <v>33.549999999999997</v>
      </c>
      <c r="L798">
        <v>0.72899999999999998</v>
      </c>
      <c r="Q798" s="4" t="str">
        <f>HYPERLINK("\\HOPI-FS\shares\users\dhar\Stalk mount testing\Type 1e Quality Assurance\CRYO-2081-2911  2125 1E","folder")</f>
        <v>folder</v>
      </c>
      <c r="T798" t="s">
        <v>2337</v>
      </c>
      <c r="W798" s="29">
        <v>7</v>
      </c>
    </row>
    <row r="799" spans="1:24">
      <c r="A799" s="134">
        <v>2126</v>
      </c>
      <c r="B799" s="134">
        <v>17.2</v>
      </c>
      <c r="C799">
        <v>1.5</v>
      </c>
      <c r="D799">
        <v>7.1</v>
      </c>
      <c r="E799">
        <v>24.41</v>
      </c>
      <c r="F799" s="19" t="s">
        <v>2562</v>
      </c>
      <c r="G799">
        <v>30.6</v>
      </c>
      <c r="H799">
        <v>66.7</v>
      </c>
      <c r="I799" s="217">
        <v>43138</v>
      </c>
      <c r="J799" t="s">
        <v>130</v>
      </c>
      <c r="K799">
        <v>33.549999999999997</v>
      </c>
      <c r="L799">
        <v>0.80200000000000005</v>
      </c>
      <c r="M799">
        <v>312</v>
      </c>
      <c r="Q799" s="4" t="str">
        <f>HYPERLINK("\\HOPI-FS\shares\users\dhar\Stalk mount testing\Type 1e Quality Assurance\CRYO-2074-2933  2126 1E","folder")</f>
        <v>folder</v>
      </c>
      <c r="T799" t="s">
        <v>2337</v>
      </c>
      <c r="U799" t="s">
        <v>2577</v>
      </c>
      <c r="V799" s="407" t="s">
        <v>2572</v>
      </c>
    </row>
    <row r="800" spans="1:24">
      <c r="A800" s="134">
        <v>2127</v>
      </c>
      <c r="B800" s="134">
        <v>17.600000000000001</v>
      </c>
      <c r="C800">
        <v>1.49</v>
      </c>
      <c r="D800">
        <v>7.09</v>
      </c>
      <c r="E800">
        <v>24.42</v>
      </c>
      <c r="F800" s="19" t="s">
        <v>2563</v>
      </c>
      <c r="G800">
        <v>30.6</v>
      </c>
      <c r="H800">
        <v>66.7</v>
      </c>
      <c r="I800" s="217">
        <v>43138</v>
      </c>
      <c r="J800" t="s">
        <v>130</v>
      </c>
      <c r="K800">
        <v>33.54</v>
      </c>
      <c r="L800">
        <v>0.70799999999999996</v>
      </c>
      <c r="M800">
        <v>326</v>
      </c>
      <c r="Q800" s="4" t="str">
        <f>HYPERLINK("\\HOPI-FS\shares\users\dhar\Stalk mount testing\Type 1e Quality Assurance\CRYO-2075-2934  2127 1E","folder")</f>
        <v>folder</v>
      </c>
      <c r="T800" t="s">
        <v>2337</v>
      </c>
      <c r="U800" t="s">
        <v>2577</v>
      </c>
      <c r="V800" s="407" t="s">
        <v>2573</v>
      </c>
    </row>
    <row r="801" spans="1:24">
      <c r="A801" s="134">
        <v>2128</v>
      </c>
      <c r="B801" s="134">
        <v>16.399999999999999</v>
      </c>
      <c r="C801">
        <v>1.52</v>
      </c>
      <c r="D801">
        <v>7.1</v>
      </c>
      <c r="E801">
        <v>24.42</v>
      </c>
      <c r="F801" s="19" t="s">
        <v>2570</v>
      </c>
      <c r="G801">
        <v>28.5</v>
      </c>
      <c r="H801">
        <v>67</v>
      </c>
      <c r="I801" s="217">
        <v>43143</v>
      </c>
      <c r="J801" t="s">
        <v>130</v>
      </c>
      <c r="K801">
        <v>33.57</v>
      </c>
      <c r="L801">
        <v>0.25600000000000001</v>
      </c>
      <c r="M801">
        <v>301</v>
      </c>
      <c r="Q801" s="4" t="str">
        <f>HYPERLINK("\\HOPI-FS\shares\users\dhar\Stalk mount testing\Type 1e Quality Assurance\CRYO-2074-2936  2128 1E","folder")</f>
        <v>folder</v>
      </c>
      <c r="T801" t="s">
        <v>2337</v>
      </c>
      <c r="V801" s="407" t="s">
        <v>2309</v>
      </c>
    </row>
    <row r="802" spans="1:24">
      <c r="A802" s="134">
        <v>2128</v>
      </c>
      <c r="B802" s="134">
        <v>16.399999999999999</v>
      </c>
      <c r="C802">
        <v>1.52</v>
      </c>
      <c r="D802">
        <v>7.1</v>
      </c>
      <c r="E802">
        <v>24.44</v>
      </c>
      <c r="F802" s="176" t="s">
        <v>2564</v>
      </c>
      <c r="G802">
        <v>30.6</v>
      </c>
      <c r="H802">
        <v>66.7</v>
      </c>
      <c r="I802" s="217">
        <v>43138</v>
      </c>
      <c r="J802" t="s">
        <v>130</v>
      </c>
      <c r="K802">
        <v>33.6</v>
      </c>
      <c r="L802">
        <v>0.14199999999999999</v>
      </c>
      <c r="Q802" s="4" t="str">
        <f>HYPERLINK("\\HOPI-FS\shares\users\dhar\Stalk mount testing\Type 1e Quality Assurance\CRYO-2074-2935  2128 1E","folder")</f>
        <v>folder</v>
      </c>
      <c r="T802" t="s">
        <v>2337</v>
      </c>
    </row>
    <row r="803" spans="1:24">
      <c r="A803" s="134">
        <v>2129</v>
      </c>
      <c r="B803" s="134">
        <v>17.600000000000001</v>
      </c>
      <c r="C803">
        <v>1.52</v>
      </c>
      <c r="D803">
        <v>7.1</v>
      </c>
      <c r="E803">
        <v>24.4</v>
      </c>
      <c r="F803" s="19" t="s">
        <v>2565</v>
      </c>
      <c r="G803">
        <v>30.6</v>
      </c>
      <c r="H803">
        <v>66.7</v>
      </c>
      <c r="I803" s="217">
        <v>43138</v>
      </c>
      <c r="J803" t="s">
        <v>130</v>
      </c>
      <c r="K803">
        <v>33.520000000000003</v>
      </c>
      <c r="L803">
        <v>0.748</v>
      </c>
      <c r="M803">
        <v>350</v>
      </c>
      <c r="Q803" s="4" t="str">
        <f>HYPERLINK("\\HOPI-FS\shares\users\dhar\Stalk mount testing\Type 1e Quality Assurance\CRYO-2075-2950  2129 1E","folder")</f>
        <v>folder</v>
      </c>
      <c r="T803" t="s">
        <v>2337</v>
      </c>
      <c r="U803" t="s">
        <v>2577</v>
      </c>
      <c r="V803" s="407" t="s">
        <v>2574</v>
      </c>
      <c r="W803" s="29">
        <v>1</v>
      </c>
    </row>
    <row r="804" spans="1:24">
      <c r="A804" s="134">
        <v>2130</v>
      </c>
      <c r="B804" s="136">
        <v>17.2</v>
      </c>
      <c r="C804">
        <v>1.51</v>
      </c>
      <c r="D804">
        <v>7.08</v>
      </c>
      <c r="E804">
        <v>24.41</v>
      </c>
      <c r="F804" s="45" t="s">
        <v>2566</v>
      </c>
      <c r="G804">
        <v>30.6</v>
      </c>
      <c r="H804">
        <v>66.7</v>
      </c>
      <c r="I804" s="217">
        <v>43138</v>
      </c>
      <c r="J804" t="s">
        <v>130</v>
      </c>
      <c r="K804">
        <v>33.5</v>
      </c>
      <c r="L804">
        <v>0.28799999999999998</v>
      </c>
      <c r="M804">
        <v>342</v>
      </c>
      <c r="Q804" s="4" t="str">
        <f>HYPERLINK("\\HOPI-FS\shares\users\dhar\Stalk mount testing\Type 1e Quality Assurance\CRYO-2075-2955  2130 1E","folder")</f>
        <v>folder</v>
      </c>
      <c r="T804" t="s">
        <v>2337</v>
      </c>
      <c r="V804" s="407" t="s">
        <v>2487</v>
      </c>
      <c r="W804" s="29">
        <v>2</v>
      </c>
    </row>
    <row r="805" spans="1:24">
      <c r="A805" s="134">
        <v>2131</v>
      </c>
      <c r="B805" s="134">
        <v>18</v>
      </c>
      <c r="C805">
        <v>1.49</v>
      </c>
      <c r="D805">
        <v>7.13</v>
      </c>
      <c r="E805">
        <v>24.4</v>
      </c>
      <c r="F805" s="19" t="s">
        <v>2567</v>
      </c>
      <c r="G805">
        <v>30.6</v>
      </c>
      <c r="H805">
        <v>66.7</v>
      </c>
      <c r="I805" s="217">
        <v>43138</v>
      </c>
      <c r="J805" t="s">
        <v>130</v>
      </c>
      <c r="K805">
        <v>33.53</v>
      </c>
      <c r="L805">
        <v>0.312</v>
      </c>
      <c r="M805">
        <v>334</v>
      </c>
      <c r="Q805" s="4" t="str">
        <f>HYPERLINK("\\HOPI-FS\shares\users\dhar\Stalk mount testing\Type 1e Quality Assurance\CRYO-2074-2956  2131 1E","folder")</f>
        <v>folder</v>
      </c>
      <c r="T805" t="s">
        <v>2337</v>
      </c>
      <c r="U805" t="s">
        <v>2577</v>
      </c>
      <c r="V805" s="407" t="s">
        <v>2575</v>
      </c>
    </row>
    <row r="806" spans="1:24" ht="30" customHeight="1">
      <c r="A806" s="134">
        <v>2132</v>
      </c>
      <c r="B806" s="134">
        <v>18.399999999999999</v>
      </c>
      <c r="C806">
        <v>1.49</v>
      </c>
      <c r="D806">
        <v>7.12</v>
      </c>
      <c r="E806">
        <v>24.45</v>
      </c>
      <c r="F806" s="19" t="s">
        <v>2578</v>
      </c>
      <c r="G806">
        <v>29.5</v>
      </c>
      <c r="H806">
        <v>66.599999999999994</v>
      </c>
      <c r="I806" s="217">
        <v>43171</v>
      </c>
      <c r="J806" t="s">
        <v>130</v>
      </c>
      <c r="K806">
        <v>33.51</v>
      </c>
      <c r="L806">
        <v>0.41</v>
      </c>
      <c r="Q806" s="4" t="str">
        <f>HYPERLINK("\\HOPI-FS\shares\users\dhar\Stalk mount testing\Type 1e Quality Assurance\CRYO-2076-2959  2132 1E","folder")</f>
        <v>folder</v>
      </c>
      <c r="T806" t="s">
        <v>2337</v>
      </c>
      <c r="U806" t="s">
        <v>2606</v>
      </c>
      <c r="V806" s="407" t="s">
        <v>2440</v>
      </c>
      <c r="W806" s="29">
        <v>1</v>
      </c>
      <c r="X806">
        <v>935</v>
      </c>
    </row>
    <row r="807" spans="1:24">
      <c r="A807" s="134">
        <v>2133</v>
      </c>
      <c r="B807" s="136">
        <v>19</v>
      </c>
      <c r="C807">
        <v>1.48</v>
      </c>
      <c r="D807">
        <v>7.12</v>
      </c>
      <c r="E807">
        <v>24.4</v>
      </c>
      <c r="F807" s="19" t="s">
        <v>2579</v>
      </c>
      <c r="G807">
        <v>29.5</v>
      </c>
      <c r="H807">
        <v>66.599999999999994</v>
      </c>
      <c r="I807" s="217">
        <v>43171</v>
      </c>
      <c r="J807" t="s">
        <v>130</v>
      </c>
      <c r="K807">
        <v>33.479999999999997</v>
      </c>
      <c r="L807">
        <v>5.8000000000000003E-2</v>
      </c>
      <c r="Q807" s="4" t="str">
        <f>HYPERLINK("\\HOPI-FS\shares\users\dhar\Stalk mount testing\Type 1e Quality Assurance\CRYO-2077-2961  2133 1E","folder")</f>
        <v>folder</v>
      </c>
      <c r="T807" t="s">
        <v>2337</v>
      </c>
      <c r="U807" t="s">
        <v>3856</v>
      </c>
      <c r="V807" s="407" t="s">
        <v>2409</v>
      </c>
      <c r="W807" s="29">
        <v>4</v>
      </c>
      <c r="X807">
        <v>938</v>
      </c>
    </row>
    <row r="808" spans="1:24">
      <c r="A808" s="134">
        <v>2134</v>
      </c>
      <c r="B808" s="134">
        <v>17.2</v>
      </c>
      <c r="C808">
        <v>1.51</v>
      </c>
      <c r="D808">
        <v>7.14</v>
      </c>
      <c r="E808">
        <v>24.39</v>
      </c>
      <c r="F808" s="19" t="s">
        <v>2580</v>
      </c>
      <c r="G808">
        <v>29.5</v>
      </c>
      <c r="H808">
        <v>66.599999999999994</v>
      </c>
      <c r="I808" s="217">
        <v>43171</v>
      </c>
      <c r="J808" t="s">
        <v>130</v>
      </c>
      <c r="K808">
        <v>33.520000000000003</v>
      </c>
      <c r="L808">
        <v>0.34499999999999997</v>
      </c>
      <c r="Q808" s="4" t="str">
        <f>HYPERLINK("\\HOPI-FS\shares\users\dhar\Stalk mount testing\Type 1e Quality Assurance\CRYO-2077-2962  2134 1E","folder")</f>
        <v>folder</v>
      </c>
      <c r="T808" t="s">
        <v>2337</v>
      </c>
      <c r="U808" t="s">
        <v>2607</v>
      </c>
      <c r="V808" s="407" t="s">
        <v>2487</v>
      </c>
      <c r="W808" s="29">
        <v>3</v>
      </c>
      <c r="X808">
        <v>931</v>
      </c>
    </row>
    <row r="809" spans="1:24">
      <c r="A809" s="134">
        <v>2135</v>
      </c>
      <c r="B809" s="136">
        <v>18.399999999999999</v>
      </c>
      <c r="C809">
        <v>1.5</v>
      </c>
      <c r="D809">
        <v>7.11</v>
      </c>
      <c r="E809">
        <v>24.4</v>
      </c>
      <c r="F809" s="176" t="s">
        <v>2581</v>
      </c>
      <c r="G809">
        <v>29.5</v>
      </c>
      <c r="H809">
        <v>66.599999999999994</v>
      </c>
      <c r="I809" s="217">
        <v>43171</v>
      </c>
      <c r="J809" t="s">
        <v>130</v>
      </c>
      <c r="K809">
        <v>33.49</v>
      </c>
      <c r="L809">
        <v>0.38300000000000001</v>
      </c>
      <c r="Q809" s="4" t="str">
        <f>HYPERLINK("\\HOPI-FS\shares\users\dhar\Stalk mount testing\Type 1e Quality Assurance\CRYO-2076-2979  2135 1E","folder")</f>
        <v>folder</v>
      </c>
      <c r="T809" t="s">
        <v>2337</v>
      </c>
      <c r="U809" t="s">
        <v>2629</v>
      </c>
      <c r="V809" s="176" t="s">
        <v>2593</v>
      </c>
    </row>
    <row r="810" spans="1:24">
      <c r="A810" s="134">
        <v>2137</v>
      </c>
      <c r="B810" s="136">
        <v>17.2</v>
      </c>
      <c r="C810">
        <v>1.47</v>
      </c>
      <c r="D810" s="301">
        <v>7.09</v>
      </c>
      <c r="E810">
        <v>24.43</v>
      </c>
      <c r="F810" s="19" t="s">
        <v>2582</v>
      </c>
      <c r="G810">
        <v>29.5</v>
      </c>
      <c r="H810">
        <v>66.599999999999994</v>
      </c>
      <c r="I810" s="217">
        <v>43171</v>
      </c>
      <c r="J810" t="s">
        <v>130</v>
      </c>
      <c r="K810">
        <v>33.47</v>
      </c>
      <c r="L810">
        <v>0.80400000000000005</v>
      </c>
      <c r="Q810" s="4" t="str">
        <f>HYPERLINK("\\HOPI-FS\shares\users\dhar\Stalk mount testing\Type 1e Quality Assurance\CRYO-2076-2982  2137 1E","folder")</f>
        <v>folder</v>
      </c>
      <c r="T810" t="s">
        <v>2337</v>
      </c>
      <c r="U810" t="s">
        <v>2608</v>
      </c>
      <c r="V810" s="407" t="s">
        <v>2587</v>
      </c>
      <c r="W810" s="29">
        <v>3</v>
      </c>
      <c r="X810">
        <v>961</v>
      </c>
    </row>
    <row r="811" spans="1:24">
      <c r="A811" s="134">
        <v>2138</v>
      </c>
      <c r="B811" s="136">
        <v>18.8</v>
      </c>
      <c r="C811">
        <v>1.5</v>
      </c>
      <c r="D811">
        <v>7.12</v>
      </c>
      <c r="E811">
        <v>24.37</v>
      </c>
      <c r="F811" s="270" t="s">
        <v>2583</v>
      </c>
      <c r="G811">
        <v>29.5</v>
      </c>
      <c r="H811">
        <v>66.599999999999994</v>
      </c>
      <c r="I811" s="217">
        <v>43171</v>
      </c>
      <c r="J811" t="s">
        <v>130</v>
      </c>
      <c r="K811">
        <v>33.468000000000004</v>
      </c>
      <c r="L811">
        <v>0.57399999999999995</v>
      </c>
      <c r="Q811" s="4" t="str">
        <f>HYPERLINK("\\HOPI-FS\shares\users\dhar\Stalk mount testing\Type 1e Quality Assurance\CRYO-2077-2985  2138 1E","folder")</f>
        <v>folder</v>
      </c>
      <c r="T811" t="s">
        <v>2337</v>
      </c>
      <c r="U811" t="s">
        <v>2595</v>
      </c>
      <c r="V811" s="407" t="s">
        <v>2440</v>
      </c>
      <c r="W811" s="29">
        <v>3</v>
      </c>
      <c r="X811">
        <v>959</v>
      </c>
    </row>
    <row r="812" spans="1:24">
      <c r="A812" s="134">
        <v>2140</v>
      </c>
      <c r="B812" s="136">
        <v>17.2</v>
      </c>
      <c r="C812">
        <v>1.49</v>
      </c>
      <c r="D812">
        <v>7.13</v>
      </c>
      <c r="E812">
        <v>24.41</v>
      </c>
      <c r="F812" s="19" t="s">
        <v>2584</v>
      </c>
      <c r="G812">
        <v>29.5</v>
      </c>
      <c r="H812">
        <v>66.599999999999994</v>
      </c>
      <c r="I812" s="217">
        <v>43171</v>
      </c>
      <c r="J812" t="s">
        <v>130</v>
      </c>
      <c r="K812">
        <v>33.518000000000001</v>
      </c>
      <c r="L812">
        <v>0.48799999999999999</v>
      </c>
      <c r="Q812" s="4" t="str">
        <f>HYPERLINK("\\HOPI-FS\shares\users\dhar\Stalk mount testing\Type 1e Quality Assurance\CRYO-2077-2998  2140 1E","folder")</f>
        <v>folder</v>
      </c>
      <c r="T812" t="s">
        <v>2337</v>
      </c>
      <c r="U812" t="s">
        <v>2609</v>
      </c>
      <c r="V812" s="407" t="s">
        <v>2309</v>
      </c>
      <c r="W812" s="29">
        <v>3</v>
      </c>
      <c r="X812">
        <v>960</v>
      </c>
    </row>
    <row r="813" spans="1:24">
      <c r="A813" s="134">
        <v>2141</v>
      </c>
      <c r="B813" s="136">
        <v>19</v>
      </c>
      <c r="C813">
        <v>1.49</v>
      </c>
      <c r="D813">
        <v>7.12</v>
      </c>
      <c r="E813">
        <v>24.43</v>
      </c>
      <c r="F813" s="176" t="s">
        <v>2585</v>
      </c>
      <c r="G813">
        <v>29.5</v>
      </c>
      <c r="H813">
        <v>66.599999999999994</v>
      </c>
      <c r="I813" s="217">
        <v>43171</v>
      </c>
      <c r="J813" t="s">
        <v>130</v>
      </c>
      <c r="K813">
        <v>33.549999999999997</v>
      </c>
      <c r="L813">
        <v>0.436</v>
      </c>
      <c r="Q813" s="4" t="str">
        <f>HYPERLINK("\\HOPI-FS\shares\users\dhar\Stalk mount testing\Type 1e Quality Assurance\CRYO-2077-3002  2141 1E","folder")</f>
        <v>folder</v>
      </c>
      <c r="T813" t="s">
        <v>2337</v>
      </c>
      <c r="U813" t="s">
        <v>2629</v>
      </c>
      <c r="V813" s="176" t="s">
        <v>2588</v>
      </c>
    </row>
    <row r="814" spans="1:24">
      <c r="A814" s="134">
        <v>2142</v>
      </c>
      <c r="B814" s="136">
        <v>17.600000000000001</v>
      </c>
      <c r="C814">
        <v>1.52</v>
      </c>
      <c r="D814">
        <v>7.12</v>
      </c>
      <c r="E814">
        <v>24.34</v>
      </c>
      <c r="F814" s="45" t="s">
        <v>2589</v>
      </c>
      <c r="G814">
        <v>31.7</v>
      </c>
      <c r="H814">
        <v>66.599999999999994</v>
      </c>
      <c r="I814" s="217">
        <v>43173</v>
      </c>
      <c r="J814" t="s">
        <v>130</v>
      </c>
      <c r="K814">
        <v>33.479999999999997</v>
      </c>
      <c r="L814">
        <v>0.313</v>
      </c>
      <c r="Q814" s="4" t="str">
        <f>HYPERLINK("\\HOPI-FS\shares\users\dhar\Stalk mount testing\CRYO-2076-2983  2142 1E","folder")</f>
        <v>folder</v>
      </c>
      <c r="T814" t="s">
        <v>2337</v>
      </c>
      <c r="U814" t="s">
        <v>2594</v>
      </c>
      <c r="V814" s="407" t="s">
        <v>2320</v>
      </c>
      <c r="W814" s="29">
        <v>7</v>
      </c>
      <c r="X814">
        <v>963</v>
      </c>
    </row>
    <row r="815" spans="1:24">
      <c r="A815" s="134">
        <v>2143</v>
      </c>
      <c r="B815" s="134">
        <v>19</v>
      </c>
      <c r="C815">
        <v>1.5</v>
      </c>
      <c r="D815">
        <v>7.12</v>
      </c>
      <c r="E815">
        <v>24.35</v>
      </c>
      <c r="F815" s="19" t="s">
        <v>2590</v>
      </c>
      <c r="G815">
        <v>31.7</v>
      </c>
      <c r="H815">
        <v>66.599999999999994</v>
      </c>
      <c r="I815" s="217">
        <v>43173</v>
      </c>
      <c r="J815" t="s">
        <v>130</v>
      </c>
      <c r="K815">
        <v>33.450000000000003</v>
      </c>
      <c r="L815">
        <v>0.33700000000000002</v>
      </c>
      <c r="Q815" s="4" t="str">
        <f>HYPERLINK("\\HOPI-FS\shares\users\dhar\Stalk mount testing\CRYO-2076-2984  2143 1E","folder")</f>
        <v>folder</v>
      </c>
      <c r="T815" t="s">
        <v>2337</v>
      </c>
      <c r="U815" t="s">
        <v>2594</v>
      </c>
      <c r="V815" s="407" t="s">
        <v>2292</v>
      </c>
      <c r="W815" s="29">
        <v>4</v>
      </c>
      <c r="X815">
        <v>960</v>
      </c>
    </row>
    <row r="816" spans="1:24">
      <c r="A816" s="134">
        <v>2144</v>
      </c>
      <c r="B816" s="136">
        <v>16.399999999999999</v>
      </c>
      <c r="C816">
        <v>1.48</v>
      </c>
      <c r="D816">
        <v>7.1</v>
      </c>
      <c r="E816">
        <v>24.4</v>
      </c>
      <c r="F816" s="270" t="s">
        <v>2591</v>
      </c>
      <c r="G816">
        <v>31.7</v>
      </c>
      <c r="H816">
        <v>66.599999999999994</v>
      </c>
      <c r="I816" s="217">
        <v>43173</v>
      </c>
      <c r="J816" t="s">
        <v>130</v>
      </c>
      <c r="K816">
        <v>33.46</v>
      </c>
      <c r="L816">
        <v>0.39400000000000002</v>
      </c>
      <c r="Q816" s="4" t="str">
        <f>HYPERLINK("\\HOPI-FS\shares\users\dhar\Stalk mount testing\CRYO-2076-2990  2144 1E","folder")</f>
        <v>folder</v>
      </c>
      <c r="T816" t="s">
        <v>2337</v>
      </c>
      <c r="U816" t="s">
        <v>2596</v>
      </c>
      <c r="V816" s="407" t="s">
        <v>2592</v>
      </c>
      <c r="W816" s="29" t="s">
        <v>2597</v>
      </c>
    </row>
    <row r="817" spans="1:24">
      <c r="A817" s="134">
        <v>2145</v>
      </c>
      <c r="B817" s="134">
        <v>17.600000000000001</v>
      </c>
      <c r="C817">
        <v>1.49</v>
      </c>
      <c r="D817">
        <v>7.11</v>
      </c>
      <c r="E817">
        <v>24.38</v>
      </c>
      <c r="F817" s="19" t="s">
        <v>2598</v>
      </c>
      <c r="G817">
        <v>30.1</v>
      </c>
      <c r="H817">
        <v>67.099999999999994</v>
      </c>
      <c r="I817" s="217">
        <v>43174</v>
      </c>
      <c r="J817" t="s">
        <v>130</v>
      </c>
      <c r="K817">
        <v>33.5</v>
      </c>
      <c r="L817">
        <v>0.22600000000000001</v>
      </c>
      <c r="Q817" s="4" t="str">
        <f>HYPERLINK("\\HOPI-FS\shares\users\dhar\Stalk mount testing\Type 1e Quality Assurance\CRYO-2076-2995  2145 1E","folder")</f>
        <v>folder</v>
      </c>
      <c r="T817" t="s">
        <v>2337</v>
      </c>
      <c r="U817" t="s">
        <v>2608</v>
      </c>
      <c r="V817" s="407" t="s">
        <v>2283</v>
      </c>
      <c r="W817" s="29">
        <v>5</v>
      </c>
      <c r="X817">
        <v>962</v>
      </c>
    </row>
    <row r="818" spans="1:24">
      <c r="A818" s="134">
        <v>2146</v>
      </c>
      <c r="B818" s="134">
        <v>16.399999999999999</v>
      </c>
      <c r="C818">
        <v>1.5</v>
      </c>
      <c r="D818">
        <v>7.11</v>
      </c>
      <c r="E818">
        <v>24.39</v>
      </c>
      <c r="F818" s="19" t="s">
        <v>2599</v>
      </c>
      <c r="G818">
        <v>30.1</v>
      </c>
      <c r="H818">
        <v>67.099999999999994</v>
      </c>
      <c r="I818" s="217">
        <v>43174</v>
      </c>
      <c r="J818" t="s">
        <v>130</v>
      </c>
      <c r="K818">
        <v>33.54</v>
      </c>
      <c r="L818">
        <v>0.40400000000000003</v>
      </c>
      <c r="Q818" s="4" t="str">
        <f>HYPERLINK("\\HOPI-FS\shares\users\dhar\Stalk mount testing\Type 1e Quality Assurance\CRYO-2076-3004  2146 1E","folder")</f>
        <v>folder</v>
      </c>
      <c r="T818" t="s">
        <v>2337</v>
      </c>
      <c r="U818" t="s">
        <v>2610</v>
      </c>
      <c r="V818" s="407" t="s">
        <v>2600</v>
      </c>
      <c r="W818" s="29">
        <v>1</v>
      </c>
      <c r="X818">
        <v>962</v>
      </c>
    </row>
    <row r="819" spans="1:24" ht="39" customHeight="1">
      <c r="A819" s="134">
        <v>2147</v>
      </c>
      <c r="B819" s="134">
        <v>19</v>
      </c>
      <c r="C819">
        <v>1.5</v>
      </c>
      <c r="D819">
        <v>7.12</v>
      </c>
      <c r="E819">
        <v>24.41</v>
      </c>
      <c r="F819" s="176" t="s">
        <v>2630</v>
      </c>
      <c r="G819">
        <v>65</v>
      </c>
      <c r="H819">
        <v>66.8</v>
      </c>
      <c r="I819" s="217">
        <v>43230</v>
      </c>
      <c r="J819" t="s">
        <v>130</v>
      </c>
      <c r="K819">
        <v>33.5</v>
      </c>
      <c r="L819">
        <v>0.70899999999999996</v>
      </c>
      <c r="Q819" s="4" t="str">
        <f>HYPERLINK("\\HOPI-FS\shares\users\dhar\Stalk mount testing\Type 1e Quality Assurance\CRYO-2079-3052  2147 1E","folder")</f>
        <v>folder</v>
      </c>
      <c r="T819" t="s">
        <v>2337</v>
      </c>
      <c r="V819" s="407" t="s">
        <v>2638</v>
      </c>
    </row>
    <row r="820" spans="1:24">
      <c r="A820" s="134">
        <v>2148</v>
      </c>
      <c r="B820" s="134">
        <v>19</v>
      </c>
      <c r="C820">
        <v>1.5</v>
      </c>
      <c r="D820" s="301">
        <v>7.07</v>
      </c>
      <c r="E820">
        <v>24.35</v>
      </c>
      <c r="F820" s="19" t="s">
        <v>2631</v>
      </c>
      <c r="G820">
        <v>65</v>
      </c>
      <c r="H820">
        <v>66.8</v>
      </c>
      <c r="I820" s="217">
        <v>43230</v>
      </c>
      <c r="J820" t="s">
        <v>130</v>
      </c>
      <c r="K820">
        <v>33.42</v>
      </c>
      <c r="L820">
        <v>0.27700000000000002</v>
      </c>
      <c r="Q820" s="4" t="str">
        <f>HYPERLINK("\\HOPI-FS\shares\users\dhar\Stalk mount testing\Type 1e Quality Assurance\CRYO-2080-3058  2148 1E","folder")</f>
        <v>folder</v>
      </c>
      <c r="T820" t="s">
        <v>2337</v>
      </c>
      <c r="U820" t="s">
        <v>2648</v>
      </c>
      <c r="V820" s="407" t="s">
        <v>2639</v>
      </c>
    </row>
    <row r="821" spans="1:24">
      <c r="A821" s="134">
        <v>2149</v>
      </c>
      <c r="B821" s="134">
        <v>16</v>
      </c>
      <c r="C821">
        <v>1.48</v>
      </c>
      <c r="D821">
        <v>7.1</v>
      </c>
      <c r="E821">
        <v>24.4</v>
      </c>
      <c r="F821" s="428" t="s">
        <v>2632</v>
      </c>
      <c r="G821">
        <v>65</v>
      </c>
      <c r="H821">
        <v>66.8</v>
      </c>
      <c r="I821" s="217">
        <v>43230</v>
      </c>
      <c r="J821" t="s">
        <v>130</v>
      </c>
      <c r="K821">
        <v>33.5</v>
      </c>
      <c r="L821">
        <v>0.34499999999999997</v>
      </c>
      <c r="Q821" s="4" t="str">
        <f>HYPERLINK("\\HOPI-FS\shares\users\dhar\Stalk mount testing\Type 1e Quality Assurance\CRYO-2080-3065  2149 1E","folder")</f>
        <v>folder</v>
      </c>
      <c r="T821" t="s">
        <v>2337</v>
      </c>
      <c r="V821" s="407" t="s">
        <v>2640</v>
      </c>
    </row>
    <row r="822" spans="1:24">
      <c r="A822" s="134">
        <v>2150</v>
      </c>
      <c r="B822" s="134">
        <v>17.2</v>
      </c>
      <c r="C822">
        <v>1.51</v>
      </c>
      <c r="D822">
        <v>7.1</v>
      </c>
      <c r="E822">
        <v>24.39</v>
      </c>
      <c r="F822" s="428" t="s">
        <v>2633</v>
      </c>
      <c r="G822">
        <v>65</v>
      </c>
      <c r="H822">
        <v>66.8</v>
      </c>
      <c r="I822" s="217">
        <v>43230</v>
      </c>
      <c r="J822" t="s">
        <v>130</v>
      </c>
      <c r="K822">
        <v>33.6</v>
      </c>
      <c r="L822">
        <v>0.42199999999999999</v>
      </c>
      <c r="Q822" s="4" t="str">
        <f>HYPERLINK("\\HOPI-FS\shares\users\dhar\Stalk mount testing\Type 1e Quality Assurance\CRYO-4073-0214  2150 1E","folder")</f>
        <v>folder</v>
      </c>
      <c r="T822" t="s">
        <v>2337</v>
      </c>
      <c r="U822" t="s">
        <v>2648</v>
      </c>
      <c r="V822" s="407" t="s">
        <v>2443</v>
      </c>
    </row>
    <row r="823" spans="1:24">
      <c r="A823" s="134">
        <v>2151</v>
      </c>
      <c r="B823" s="134">
        <v>16</v>
      </c>
      <c r="C823">
        <v>1.49</v>
      </c>
      <c r="D823">
        <v>7.11</v>
      </c>
      <c r="E823">
        <v>24.42</v>
      </c>
      <c r="F823" s="428" t="s">
        <v>2634</v>
      </c>
      <c r="G823">
        <v>65</v>
      </c>
      <c r="H823">
        <v>66.8</v>
      </c>
      <c r="I823" s="217">
        <v>43230</v>
      </c>
      <c r="J823" t="s">
        <v>130</v>
      </c>
      <c r="K823">
        <v>33.5</v>
      </c>
      <c r="L823">
        <v>0.17</v>
      </c>
      <c r="Q823" s="4" t="str">
        <f>HYPERLINK("\\HOPI-FS\shares\users\dhar\Stalk mount testing\Type 1e Quality Assurance\CRYO-4072-0223  2151 1E","folder")</f>
        <v>folder</v>
      </c>
      <c r="T823" t="s">
        <v>2337</v>
      </c>
      <c r="V823" s="407" t="s">
        <v>2641</v>
      </c>
    </row>
    <row r="824" spans="1:24">
      <c r="A824" s="134">
        <v>2152</v>
      </c>
      <c r="B824" s="134">
        <v>17.2</v>
      </c>
      <c r="C824">
        <v>1.5</v>
      </c>
      <c r="D824">
        <v>7.1</v>
      </c>
      <c r="E824">
        <v>24.44</v>
      </c>
      <c r="F824" s="375" t="s">
        <v>2635</v>
      </c>
      <c r="G824">
        <v>65</v>
      </c>
      <c r="H824">
        <v>66.8</v>
      </c>
      <c r="I824" s="217">
        <v>43230</v>
      </c>
      <c r="J824" t="s">
        <v>130</v>
      </c>
      <c r="K824">
        <v>33.5</v>
      </c>
      <c r="L824">
        <v>0.54500000000000004</v>
      </c>
      <c r="Q824" s="4" t="str">
        <f>HYPERLINK("\\HOPI-FS\shares\users\dhar\Stalk mount testing\Type 1e Quality Assurance\CRYO-4073-0224  2152 1E","folder")</f>
        <v>folder</v>
      </c>
      <c r="T824" t="s">
        <v>2337</v>
      </c>
      <c r="U824" t="s">
        <v>2648</v>
      </c>
      <c r="V824" s="407" t="s">
        <v>2283</v>
      </c>
    </row>
    <row r="825" spans="1:24">
      <c r="A825" s="134">
        <v>2153</v>
      </c>
      <c r="B825" s="134">
        <v>19</v>
      </c>
      <c r="C825">
        <v>1.5</v>
      </c>
      <c r="D825">
        <v>7.11</v>
      </c>
      <c r="E825">
        <v>24.34</v>
      </c>
      <c r="F825" s="19" t="s">
        <v>2636</v>
      </c>
      <c r="G825">
        <v>28.5</v>
      </c>
      <c r="H825">
        <v>65.7</v>
      </c>
      <c r="I825" s="217">
        <v>43231</v>
      </c>
      <c r="J825" t="s">
        <v>130</v>
      </c>
      <c r="K825">
        <v>33.5</v>
      </c>
      <c r="L825">
        <v>0.41599999999999998</v>
      </c>
      <c r="Q825" s="4" t="str">
        <f>HYPERLINK("\\hopi-fs\shares\users\dhar\Stalk mount testing\Type 1e Quality Assurance\CRYO-2080-3064  2153 1E","folder")</f>
        <v>folder</v>
      </c>
      <c r="T825" t="s">
        <v>2337</v>
      </c>
      <c r="U825" t="s">
        <v>2648</v>
      </c>
      <c r="V825" s="407" t="s">
        <v>2545</v>
      </c>
    </row>
    <row r="826" spans="1:24">
      <c r="A826" s="134">
        <v>2154</v>
      </c>
      <c r="B826" s="134">
        <v>18.8</v>
      </c>
      <c r="C826">
        <v>1.5</v>
      </c>
      <c r="D826" s="301">
        <v>7.15</v>
      </c>
      <c r="E826">
        <v>24.35</v>
      </c>
      <c r="F826" s="375" t="s">
        <v>2637</v>
      </c>
      <c r="G826">
        <v>28.5</v>
      </c>
      <c r="H826">
        <v>65.7</v>
      </c>
      <c r="I826" s="217">
        <v>43231</v>
      </c>
      <c r="J826" t="s">
        <v>130</v>
      </c>
      <c r="K826">
        <v>33.5</v>
      </c>
      <c r="L826">
        <v>0.158</v>
      </c>
      <c r="Q826" s="4" t="str">
        <f>HYPERLINK("\\hopi-fs\shares\users\dhar\Stalk mount testing\Type 1e Quality Assurance\CRYO-4072-0227  2154 1E","folder")</f>
        <v>folder</v>
      </c>
      <c r="T826" t="s">
        <v>2337</v>
      </c>
      <c r="V826" s="407" t="s">
        <v>2440</v>
      </c>
    </row>
    <row r="827" spans="1:24" ht="15.75" customHeight="1">
      <c r="A827" s="134">
        <v>2155</v>
      </c>
      <c r="B827" s="134">
        <v>17.2</v>
      </c>
      <c r="C827">
        <v>1.5</v>
      </c>
      <c r="D827">
        <v>7.12</v>
      </c>
      <c r="E827">
        <v>24.44</v>
      </c>
      <c r="F827" s="19" t="s">
        <v>2642</v>
      </c>
      <c r="G827">
        <v>64.5</v>
      </c>
      <c r="H827">
        <v>66.7</v>
      </c>
      <c r="I827" s="217">
        <v>43234</v>
      </c>
      <c r="J827" t="s">
        <v>130</v>
      </c>
      <c r="K827">
        <v>33.6</v>
      </c>
      <c r="L827">
        <v>0.26200000000000001</v>
      </c>
      <c r="M827" t="s">
        <v>1678</v>
      </c>
      <c r="Q827" s="4" t="str">
        <f>HYPERLINK("\\HOPI-FS\shares\users\dhar\Stalk mount testing\Type 1e Quality Assurance\CRYO-2080-3053  2155 1E","folder")</f>
        <v>folder</v>
      </c>
      <c r="T827" t="s">
        <v>2337</v>
      </c>
      <c r="U827" t="s">
        <v>2786</v>
      </c>
      <c r="V827" s="407" t="s">
        <v>2346</v>
      </c>
      <c r="W827" s="29">
        <v>5</v>
      </c>
    </row>
    <row r="828" spans="1:24">
      <c r="A828" s="134">
        <v>2156</v>
      </c>
      <c r="B828" s="134">
        <v>18.399999999999999</v>
      </c>
      <c r="C828">
        <v>1.52</v>
      </c>
      <c r="D828" s="301">
        <v>7.16</v>
      </c>
      <c r="E828">
        <v>24.42</v>
      </c>
      <c r="F828" s="19" t="s">
        <v>2643</v>
      </c>
      <c r="G828">
        <v>64.5</v>
      </c>
      <c r="H828">
        <v>66.7</v>
      </c>
      <c r="I828" s="217">
        <v>43234</v>
      </c>
      <c r="J828" t="s">
        <v>130</v>
      </c>
      <c r="K828">
        <v>33.6</v>
      </c>
      <c r="L828">
        <v>0.623</v>
      </c>
      <c r="Q828" s="4" t="str">
        <f>HYPERLINK("\\HOPI-FS\shares\users\dhar\Stalk mount testing\Type 1e Quality Assurance\CRYO-2080-3054  2156 1E","folder")</f>
        <v>folder</v>
      </c>
      <c r="T828" t="s">
        <v>2337</v>
      </c>
      <c r="U828" t="s">
        <v>2780</v>
      </c>
      <c r="V828" s="407" t="s">
        <v>2575</v>
      </c>
      <c r="W828" s="29">
        <v>3</v>
      </c>
    </row>
    <row r="829" spans="1:24">
      <c r="A829" s="134">
        <v>1464</v>
      </c>
      <c r="B829" s="134">
        <v>18.399999999999999</v>
      </c>
      <c r="C829">
        <v>1.5</v>
      </c>
      <c r="D829" s="301">
        <v>7.13</v>
      </c>
      <c r="E829">
        <v>24.36</v>
      </c>
      <c r="F829" s="176" t="s">
        <v>2644</v>
      </c>
      <c r="G829">
        <v>64.5</v>
      </c>
      <c r="H829">
        <v>66.7</v>
      </c>
      <c r="I829" s="217">
        <v>43234</v>
      </c>
      <c r="J829" t="s">
        <v>130</v>
      </c>
      <c r="K829">
        <v>33.5</v>
      </c>
      <c r="L829">
        <v>0.42699999999999999</v>
      </c>
      <c r="Q829" s="4" t="str">
        <f>HYPERLINK("\\HOPI-FS\shares\users\dhar\Stalk mount testing\Type 1e Quality Assurance\CRYO-4073-0212  1464 1E","folder")</f>
        <v>folder</v>
      </c>
      <c r="T829" t="s">
        <v>2337</v>
      </c>
    </row>
    <row r="830" spans="1:24">
      <c r="A830" s="134">
        <v>2136</v>
      </c>
      <c r="B830" s="134">
        <v>17</v>
      </c>
      <c r="C830">
        <v>1.5</v>
      </c>
      <c r="D830" s="301">
        <v>7.12</v>
      </c>
      <c r="E830">
        <v>24.43</v>
      </c>
      <c r="F830" s="428" t="s">
        <v>2645</v>
      </c>
      <c r="G830">
        <v>64.5</v>
      </c>
      <c r="H830">
        <v>66.7</v>
      </c>
      <c r="I830" s="217">
        <v>43234</v>
      </c>
      <c r="J830" t="s">
        <v>130</v>
      </c>
      <c r="K830">
        <v>33.5</v>
      </c>
      <c r="L830">
        <v>0.55900000000000005</v>
      </c>
      <c r="Q830" s="4" t="str">
        <f>HYPERLINK("\\hopi-fs\shares\users\dhar\Stalk mount testing\Type 1e Quality Assurance\CRYO-4073-0213  2136 1E","folder")</f>
        <v>folder</v>
      </c>
      <c r="T830" t="s">
        <v>2337</v>
      </c>
      <c r="U830" t="s">
        <v>2648</v>
      </c>
      <c r="V830" s="407" t="s">
        <v>2348</v>
      </c>
    </row>
    <row r="831" spans="1:24">
      <c r="A831" s="134">
        <v>2143</v>
      </c>
      <c r="B831" s="134">
        <v>19</v>
      </c>
      <c r="C831">
        <v>1.5</v>
      </c>
      <c r="D831" s="301">
        <v>7.12</v>
      </c>
      <c r="E831">
        <v>24.38</v>
      </c>
      <c r="F831" s="19" t="s">
        <v>2646</v>
      </c>
      <c r="G831">
        <v>66.3</v>
      </c>
      <c r="H831">
        <v>67.8</v>
      </c>
      <c r="I831" s="217">
        <v>43235</v>
      </c>
      <c r="J831" t="s">
        <v>130</v>
      </c>
      <c r="K831">
        <v>33.5</v>
      </c>
      <c r="L831">
        <v>0.159</v>
      </c>
      <c r="Q831" s="4" t="str">
        <f>HYPERLINK("\\hopi-fs\shares\users\dhar\Stalk mount testing\Type 1e Quality Assurance\CRYO-2080-3061  2143 1E","folder")</f>
        <v>folder</v>
      </c>
      <c r="T831" t="s">
        <v>2337</v>
      </c>
      <c r="U831" t="s">
        <v>2648</v>
      </c>
      <c r="V831" s="407" t="s">
        <v>2545</v>
      </c>
    </row>
    <row r="832" spans="1:24">
      <c r="A832" s="134">
        <v>2161</v>
      </c>
      <c r="B832" s="134">
        <v>18</v>
      </c>
      <c r="C832">
        <v>1.5</v>
      </c>
      <c r="D832" s="301">
        <v>7.1</v>
      </c>
      <c r="E832">
        <v>24.41</v>
      </c>
      <c r="F832" s="19" t="s">
        <v>2647</v>
      </c>
      <c r="G832">
        <v>66.3</v>
      </c>
      <c r="H832">
        <v>67.8</v>
      </c>
      <c r="I832" s="217">
        <v>43235</v>
      </c>
      <c r="J832" t="s">
        <v>130</v>
      </c>
      <c r="K832">
        <v>33.5</v>
      </c>
      <c r="L832">
        <v>0.376</v>
      </c>
      <c r="Q832" s="4" t="str">
        <f>HYPERLINK("\\hopi-fs\shares\users\dhar\Stalk mount testing\Type 1e Quality Assurance\CRYO-4072-0221  2161 1E","folder")</f>
        <v>folder</v>
      </c>
      <c r="T832" t="s">
        <v>2337</v>
      </c>
      <c r="U832" t="s">
        <v>3846</v>
      </c>
      <c r="V832" s="407" t="s">
        <v>2488</v>
      </c>
      <c r="W832" s="29">
        <v>5</v>
      </c>
    </row>
    <row r="833" spans="1:23" ht="34.5" customHeight="1">
      <c r="A833" s="134">
        <v>2128</v>
      </c>
      <c r="B833" s="134">
        <v>19</v>
      </c>
      <c r="C833">
        <v>1.52</v>
      </c>
      <c r="D833" s="301">
        <v>7.1</v>
      </c>
      <c r="E833">
        <v>24.45</v>
      </c>
      <c r="F833" s="344" t="s">
        <v>2626</v>
      </c>
      <c r="G833">
        <v>23.5</v>
      </c>
      <c r="H833">
        <v>67</v>
      </c>
      <c r="I833" s="217">
        <v>43210</v>
      </c>
      <c r="J833" t="s">
        <v>130</v>
      </c>
      <c r="K833">
        <v>33.549999999999997</v>
      </c>
      <c r="L833">
        <v>0.20699999999999999</v>
      </c>
      <c r="T833" t="s">
        <v>2337</v>
      </c>
      <c r="U833" t="s">
        <v>2624</v>
      </c>
    </row>
    <row r="834" spans="1:23">
      <c r="A834" s="134">
        <v>2139</v>
      </c>
      <c r="B834" s="134">
        <v>19</v>
      </c>
      <c r="C834">
        <v>1.49</v>
      </c>
      <c r="D834" s="301">
        <v>7.11</v>
      </c>
      <c r="E834">
        <v>24.42</v>
      </c>
      <c r="F834" s="344" t="s">
        <v>2627</v>
      </c>
      <c r="G834">
        <v>23.5</v>
      </c>
      <c r="H834">
        <v>67</v>
      </c>
      <c r="I834" s="217">
        <v>43210</v>
      </c>
      <c r="J834" t="s">
        <v>130</v>
      </c>
      <c r="K834">
        <v>33.47</v>
      </c>
      <c r="L834">
        <v>0.253</v>
      </c>
      <c r="T834" t="s">
        <v>2337</v>
      </c>
      <c r="U834" t="s">
        <v>2624</v>
      </c>
    </row>
    <row r="835" spans="1:23" ht="30.75" customHeight="1">
      <c r="A835" s="134">
        <v>1669</v>
      </c>
      <c r="D835" s="301"/>
      <c r="F835" s="349" t="s">
        <v>2650</v>
      </c>
      <c r="G835">
        <v>52.6</v>
      </c>
      <c r="H835">
        <v>67.400000000000006</v>
      </c>
      <c r="I835" s="217">
        <v>43265</v>
      </c>
      <c r="J835" t="s">
        <v>130</v>
      </c>
      <c r="Q835" s="4" t="str">
        <f>HYPERLINK("\\hopi-fs\shares\users\dhar\Stalk mount testing\Type 1e Quality Assurance\CRYO-2080-3068 OOS","folder")</f>
        <v>folder</v>
      </c>
      <c r="T835" t="s">
        <v>2337</v>
      </c>
    </row>
    <row r="836" spans="1:23">
      <c r="A836" s="134">
        <v>2097</v>
      </c>
      <c r="D836" s="301"/>
      <c r="F836" s="349" t="s">
        <v>2651</v>
      </c>
      <c r="G836">
        <v>52.6</v>
      </c>
      <c r="H836">
        <v>67.400000000000006</v>
      </c>
      <c r="I836" s="217">
        <v>43265</v>
      </c>
      <c r="J836" t="s">
        <v>130</v>
      </c>
      <c r="Q836" s="4" t="str">
        <f>HYPERLINK("\\hopi-fs\shares\users\dhar\Stalk mount testing\Type 1e Quality Assurance\CRYO-2080-3072 OOS","folder")</f>
        <v>folder</v>
      </c>
      <c r="T836" t="s">
        <v>2337</v>
      </c>
    </row>
    <row r="837" spans="1:23">
      <c r="A837" s="134">
        <v>2099</v>
      </c>
      <c r="D837" s="301"/>
      <c r="F837" s="349" t="s">
        <v>2652</v>
      </c>
      <c r="G837">
        <v>52.6</v>
      </c>
      <c r="H837">
        <v>67.400000000000006</v>
      </c>
      <c r="I837" s="217">
        <v>43265</v>
      </c>
      <c r="J837" t="s">
        <v>130</v>
      </c>
      <c r="Q837" s="4" t="str">
        <f>HYPERLINK("\\hopi-fs\shares\users\dhar\Stalk mount testing\Type 1e Quality Assurance\CRYO-2080-3075 OOS","folder")</f>
        <v>folder</v>
      </c>
      <c r="T837" t="s">
        <v>2337</v>
      </c>
    </row>
    <row r="838" spans="1:23">
      <c r="A838" s="134">
        <v>2170</v>
      </c>
      <c r="B838" s="134">
        <v>16.399999999999999</v>
      </c>
      <c r="C838">
        <v>1.52</v>
      </c>
      <c r="D838" s="301">
        <v>7.13</v>
      </c>
      <c r="E838">
        <v>24.42</v>
      </c>
      <c r="F838" s="349" t="s">
        <v>2653</v>
      </c>
      <c r="G838">
        <v>52.6</v>
      </c>
      <c r="H838">
        <v>67.400000000000006</v>
      </c>
      <c r="I838" s="217">
        <v>43265</v>
      </c>
      <c r="J838" t="s">
        <v>130</v>
      </c>
      <c r="K838">
        <v>33.56</v>
      </c>
      <c r="L838">
        <v>0.61199999999999999</v>
      </c>
      <c r="Q838" s="4" t="str">
        <f>HYPERLINK("\\hopi-fs\shares\users\dhar\Stalk mount testing\Type 1e Quality Assurance\CRYO-2076-2986  2170 1E","folder")</f>
        <v>folder</v>
      </c>
      <c r="T838" t="s">
        <v>2337</v>
      </c>
    </row>
    <row r="839" spans="1:23">
      <c r="A839" s="134">
        <v>2164</v>
      </c>
      <c r="B839" s="134">
        <v>17.600000000000001</v>
      </c>
      <c r="C839">
        <v>1.5</v>
      </c>
      <c r="D839">
        <v>7.11</v>
      </c>
      <c r="E839">
        <v>24.42</v>
      </c>
      <c r="F839" s="344" t="s">
        <v>2654</v>
      </c>
      <c r="G839">
        <v>52.6</v>
      </c>
      <c r="H839">
        <v>67.400000000000006</v>
      </c>
      <c r="I839" s="217">
        <v>43265</v>
      </c>
      <c r="J839" t="s">
        <v>130</v>
      </c>
      <c r="K839">
        <v>33.51</v>
      </c>
      <c r="L839">
        <v>0.627</v>
      </c>
      <c r="Q839" s="4" t="str">
        <f>HYPERLINK("\\HOPI-FS\shares\users\dhar\Stalk mount testing\Type 1e Quality Assurance\CRYO-2076-2987  2164 1E","folder")</f>
        <v>folder</v>
      </c>
      <c r="T839" t="s">
        <v>2337</v>
      </c>
      <c r="U839" t="s">
        <v>2669</v>
      </c>
      <c r="V839" s="407" t="s">
        <v>2665</v>
      </c>
      <c r="W839" s="29">
        <v>4</v>
      </c>
    </row>
    <row r="840" spans="1:23">
      <c r="A840" s="134">
        <v>2165</v>
      </c>
      <c r="B840" s="134">
        <v>18.8</v>
      </c>
      <c r="C840">
        <v>1.5</v>
      </c>
      <c r="D840">
        <v>7.12</v>
      </c>
      <c r="E840">
        <v>24.41</v>
      </c>
      <c r="F840" s="375" t="s">
        <v>2671</v>
      </c>
      <c r="G840">
        <v>57.6</v>
      </c>
      <c r="H840">
        <v>66</v>
      </c>
      <c r="I840" s="217">
        <v>43266</v>
      </c>
      <c r="J840" t="s">
        <v>130</v>
      </c>
      <c r="K840">
        <v>33.520000000000003</v>
      </c>
      <c r="L840">
        <v>0.55800000000000005</v>
      </c>
      <c r="Q840" s="4" t="str">
        <f>HYPERLINK("\\hopi-fs\shares\users\dhar\Stalk mount testing\Type 1e Quality Assurance\CRYO-44036-0236  2165 1E","folder")</f>
        <v>folder</v>
      </c>
      <c r="T840" t="s">
        <v>2337</v>
      </c>
      <c r="U840" t="s">
        <v>2670</v>
      </c>
      <c r="V840" s="407" t="s">
        <v>2312</v>
      </c>
      <c r="W840" s="29">
        <v>5</v>
      </c>
    </row>
    <row r="841" spans="1:23">
      <c r="A841" s="134">
        <v>2166</v>
      </c>
      <c r="B841" s="134">
        <v>16.399999999999999</v>
      </c>
      <c r="C841">
        <v>1.51</v>
      </c>
      <c r="D841" s="301">
        <v>7.08</v>
      </c>
      <c r="E841">
        <v>24.46</v>
      </c>
      <c r="F841" s="19" t="s">
        <v>2655</v>
      </c>
      <c r="G841">
        <v>57.6</v>
      </c>
      <c r="H841">
        <v>66</v>
      </c>
      <c r="I841" s="217">
        <v>43266</v>
      </c>
      <c r="J841" t="s">
        <v>130</v>
      </c>
      <c r="K841">
        <v>33.54</v>
      </c>
      <c r="L841">
        <v>0.68500000000000005</v>
      </c>
      <c r="Q841" s="4" t="str">
        <f>HYPERLINK("\\hopi-fs\shares\users\dhar\Stalk mount testing\Type 1e Quality Assurance\CRYO-44036-0237  2166 1E","folder")</f>
        <v>folder</v>
      </c>
      <c r="T841" t="s">
        <v>2337</v>
      </c>
      <c r="U841" t="s">
        <v>3314</v>
      </c>
      <c r="V841" s="407" t="s">
        <v>2378</v>
      </c>
      <c r="W841" s="29">
        <v>1</v>
      </c>
    </row>
    <row r="842" spans="1:23">
      <c r="A842" s="134">
        <v>2167</v>
      </c>
      <c r="B842" s="134">
        <v>19</v>
      </c>
      <c r="C842">
        <v>1.52</v>
      </c>
      <c r="D842" s="301">
        <v>7.08</v>
      </c>
      <c r="E842">
        <v>24.4</v>
      </c>
      <c r="F842" s="375" t="s">
        <v>2656</v>
      </c>
      <c r="G842">
        <v>57.6</v>
      </c>
      <c r="H842">
        <v>66</v>
      </c>
      <c r="I842" s="217">
        <v>43266</v>
      </c>
      <c r="J842" t="s">
        <v>130</v>
      </c>
      <c r="K842">
        <v>33.49</v>
      </c>
      <c r="L842">
        <v>0.495</v>
      </c>
      <c r="Q842" s="4" t="str">
        <f>HYPERLINK("\\hopi-fs\shares\users\dhar\Stalk mount testing\Type 1e Quality Assurance\CRYO-44036-0238  2167 1E","folder")</f>
        <v>folder</v>
      </c>
      <c r="T842" t="s">
        <v>2337</v>
      </c>
      <c r="U842" t="s">
        <v>2670</v>
      </c>
      <c r="V842" s="407" t="s">
        <v>2666</v>
      </c>
      <c r="W842" s="29">
        <v>2</v>
      </c>
    </row>
    <row r="843" spans="1:23">
      <c r="A843" s="134">
        <v>2168</v>
      </c>
      <c r="B843" s="134">
        <v>16</v>
      </c>
      <c r="C843">
        <v>1.51</v>
      </c>
      <c r="D843" s="301">
        <v>7.11</v>
      </c>
      <c r="E843">
        <v>24.43</v>
      </c>
      <c r="F843" s="19" t="s">
        <v>2657</v>
      </c>
      <c r="G843">
        <v>57.6</v>
      </c>
      <c r="H843">
        <v>66</v>
      </c>
      <c r="I843" s="217">
        <v>43266</v>
      </c>
      <c r="J843" t="s">
        <v>130</v>
      </c>
      <c r="K843">
        <v>33.53</v>
      </c>
      <c r="L843">
        <v>0.50900000000000001</v>
      </c>
      <c r="Q843" s="4" t="str">
        <f>HYPERLINK("\\hopi-fs\shares\users\dhar\Stalk mount testing\Type 1e Quality Assurance\CRYO-44037-0239  2168 1E","folder")</f>
        <v>folder</v>
      </c>
      <c r="T843" t="s">
        <v>2337</v>
      </c>
      <c r="U843" t="s">
        <v>3315</v>
      </c>
      <c r="V843" s="407" t="s">
        <v>2667</v>
      </c>
      <c r="W843" s="29">
        <v>0</v>
      </c>
    </row>
    <row r="844" spans="1:23">
      <c r="A844" s="134">
        <v>2169</v>
      </c>
      <c r="B844" s="134">
        <v>19</v>
      </c>
      <c r="C844">
        <v>1.5</v>
      </c>
      <c r="D844" s="301">
        <v>7.09</v>
      </c>
      <c r="E844">
        <v>24.44</v>
      </c>
      <c r="F844" s="375" t="s">
        <v>2658</v>
      </c>
      <c r="G844">
        <v>57.6</v>
      </c>
      <c r="H844">
        <v>66</v>
      </c>
      <c r="I844" s="217">
        <v>43266</v>
      </c>
      <c r="J844" t="s">
        <v>130</v>
      </c>
      <c r="K844">
        <v>33.520000000000003</v>
      </c>
      <c r="L844">
        <v>0.438</v>
      </c>
      <c r="M844" t="s">
        <v>1678</v>
      </c>
      <c r="Q844" s="4" t="str">
        <f>HYPERLINK("\\hopi-fs\shares\users\dhar\Stalk mount testing\Type 1e Quality Assurance\CRYO-44036-0240  2169 1E","folder")</f>
        <v>folder</v>
      </c>
      <c r="T844" t="s">
        <v>2337</v>
      </c>
      <c r="U844" t="s">
        <v>2670</v>
      </c>
      <c r="V844" s="407" t="s">
        <v>2317</v>
      </c>
      <c r="W844" s="29">
        <v>2</v>
      </c>
    </row>
    <row r="845" spans="1:23">
      <c r="A845" s="134">
        <v>1698</v>
      </c>
      <c r="B845" s="134">
        <v>16.8</v>
      </c>
      <c r="C845">
        <v>1.49</v>
      </c>
      <c r="D845" s="301">
        <v>7.13</v>
      </c>
      <c r="E845">
        <v>24.41</v>
      </c>
      <c r="F845" s="344" t="s">
        <v>2659</v>
      </c>
      <c r="G845">
        <v>65.900000000000006</v>
      </c>
      <c r="H845">
        <v>66.7</v>
      </c>
      <c r="I845" s="217">
        <v>43269</v>
      </c>
      <c r="J845" t="s">
        <v>130</v>
      </c>
      <c r="K845">
        <v>33.53</v>
      </c>
      <c r="L845">
        <v>0.22700000000000001</v>
      </c>
      <c r="Q845" s="4" t="str">
        <f>HYPERLINK("\\HOPI-FS\shares\users\dhar\Stalk mount testing\Type 1e Quality Assurance\CRYO-2081-3066  1698 1E","folder")</f>
        <v>folder</v>
      </c>
      <c r="T845" t="s">
        <v>2337</v>
      </c>
      <c r="U845" t="s">
        <v>2672</v>
      </c>
      <c r="V845" s="407" t="s">
        <v>2288</v>
      </c>
      <c r="W845" s="29">
        <v>0</v>
      </c>
    </row>
    <row r="846" spans="1:23">
      <c r="A846" s="134">
        <v>1825</v>
      </c>
      <c r="B846" s="134">
        <v>17.600000000000001</v>
      </c>
      <c r="C846">
        <v>1.49</v>
      </c>
      <c r="D846" s="301">
        <v>7.17</v>
      </c>
      <c r="E846">
        <v>24.35</v>
      </c>
      <c r="F846" s="428" t="s">
        <v>2660</v>
      </c>
      <c r="G846">
        <v>65.900000000000006</v>
      </c>
      <c r="H846">
        <v>66.7</v>
      </c>
      <c r="I846" s="217">
        <v>43269</v>
      </c>
      <c r="J846" t="s">
        <v>130</v>
      </c>
      <c r="K846">
        <v>33.51</v>
      </c>
      <c r="L846">
        <v>0.625</v>
      </c>
      <c r="Q846" s="4" t="str">
        <f>HYPERLINK("\\HOPI-FS\shares\users\dhar\Stalk mount testing\Type 1e Quality Assurance\CRYO-2081-3069  1825 1E","folder")</f>
        <v>folder</v>
      </c>
      <c r="T846" t="s">
        <v>2337</v>
      </c>
      <c r="U846" t="s">
        <v>2673</v>
      </c>
      <c r="V846" s="407" t="s">
        <v>2320</v>
      </c>
      <c r="W846" s="29">
        <v>6</v>
      </c>
    </row>
    <row r="847" spans="1:23">
      <c r="A847" s="134">
        <v>1827</v>
      </c>
      <c r="B847" s="134">
        <v>16.399999999999999</v>
      </c>
      <c r="C847">
        <v>1.5</v>
      </c>
      <c r="D847" s="301">
        <v>7.1</v>
      </c>
      <c r="E847">
        <v>24.39</v>
      </c>
      <c r="F847" s="176" t="s">
        <v>2661</v>
      </c>
      <c r="G847">
        <v>61</v>
      </c>
      <c r="H847">
        <v>66.099999999999994</v>
      </c>
      <c r="I847" s="217">
        <v>43270</v>
      </c>
      <c r="J847" t="s">
        <v>130</v>
      </c>
      <c r="K847">
        <v>33.46</v>
      </c>
      <c r="L847">
        <v>0.76100000000000001</v>
      </c>
      <c r="Q847" s="4" t="str">
        <f>HYPERLINK("\\HOPI-FS\shares\users\dhar\Stalk mount testing\Type 1e Quality Assurance\CRYO-2076-2991  1827 1E","folder")</f>
        <v>folder</v>
      </c>
      <c r="T847" t="s">
        <v>2337</v>
      </c>
      <c r="U847" t="s">
        <v>2594</v>
      </c>
      <c r="W847" s="29" t="s">
        <v>2662</v>
      </c>
    </row>
    <row r="848" spans="1:23">
      <c r="A848" s="134">
        <v>1827</v>
      </c>
      <c r="B848" s="134">
        <v>16.8</v>
      </c>
      <c r="C848">
        <v>1.5</v>
      </c>
      <c r="D848" s="301">
        <v>7.1</v>
      </c>
      <c r="E848">
        <v>24.37</v>
      </c>
      <c r="F848" s="176" t="s">
        <v>2664</v>
      </c>
      <c r="G848">
        <v>61</v>
      </c>
      <c r="H848">
        <v>66.099999999999994</v>
      </c>
      <c r="I848" s="217">
        <v>43270</v>
      </c>
      <c r="J848" t="s">
        <v>130</v>
      </c>
      <c r="K848">
        <v>33.43</v>
      </c>
      <c r="L848">
        <v>0.41399999999999998</v>
      </c>
      <c r="Q848" s="4" t="str">
        <f>HYPERLINK("\\HOPI-FS\shares\users\dhar\Stalk mount testing\Type 1e Quality Assurance\CRYO-2076-2994  1827 1E","folder")</f>
        <v>folder</v>
      </c>
      <c r="T848" t="s">
        <v>2337</v>
      </c>
      <c r="U848" t="s">
        <v>2594</v>
      </c>
      <c r="V848" s="407" t="s">
        <v>2487</v>
      </c>
      <c r="W848" s="29" t="s">
        <v>2668</v>
      </c>
    </row>
    <row r="849" spans="1:23">
      <c r="A849" s="134">
        <v>1843</v>
      </c>
      <c r="B849" s="134">
        <v>18.399999999999999</v>
      </c>
      <c r="C849">
        <v>1.49</v>
      </c>
      <c r="D849" s="301">
        <v>7.14</v>
      </c>
      <c r="E849">
        <v>24.32</v>
      </c>
      <c r="F849" s="19" t="s">
        <v>2663</v>
      </c>
      <c r="G849">
        <v>61</v>
      </c>
      <c r="H849">
        <v>66.099999999999994</v>
      </c>
      <c r="I849" s="217">
        <v>43270</v>
      </c>
      <c r="J849" t="s">
        <v>130</v>
      </c>
      <c r="K849">
        <v>33.44</v>
      </c>
      <c r="L849">
        <v>0.58299999999999996</v>
      </c>
      <c r="Q849" s="4" t="str">
        <f>HYPERLINK("\\HOPI-FS\shares\users\dhar\Stalk mount testing\Type 1e Quality Assurance\CRYO-2081-3074  1843 1E","folder")</f>
        <v>folder</v>
      </c>
      <c r="T849" t="s">
        <v>2337</v>
      </c>
      <c r="U849" t="s">
        <v>2681</v>
      </c>
      <c r="V849" s="407" t="s">
        <v>2345</v>
      </c>
      <c r="W849" s="29">
        <v>2</v>
      </c>
    </row>
    <row r="850" spans="1:23" ht="24.75" customHeight="1">
      <c r="A850" s="134">
        <v>2171</v>
      </c>
      <c r="B850" s="134">
        <v>16</v>
      </c>
      <c r="C850">
        <v>1.5</v>
      </c>
      <c r="D850" s="301">
        <v>7.12</v>
      </c>
      <c r="E850">
        <v>24.4</v>
      </c>
      <c r="F850" s="19" t="s">
        <v>2674</v>
      </c>
      <c r="G850">
        <v>64</v>
      </c>
      <c r="H850">
        <v>71</v>
      </c>
      <c r="I850" s="217">
        <v>43283</v>
      </c>
      <c r="J850" t="s">
        <v>130</v>
      </c>
      <c r="K850">
        <v>33.5</v>
      </c>
      <c r="L850">
        <v>0.186</v>
      </c>
      <c r="Q850" s="4" t="str">
        <f>HYPERLINK("\\HOPI-FS\shares\users\dhar\Stalk mount testing\Type 1e Quality Assurance\CRYO-2076-2996","folder")</f>
        <v>folder</v>
      </c>
      <c r="T850" t="s">
        <v>2337</v>
      </c>
      <c r="U850" t="s">
        <v>2682</v>
      </c>
      <c r="V850" s="407" t="s">
        <v>2455</v>
      </c>
      <c r="W850" s="29" t="s">
        <v>2679</v>
      </c>
    </row>
    <row r="851" spans="1:23">
      <c r="A851" s="134">
        <v>2172</v>
      </c>
      <c r="B851" s="134">
        <v>18</v>
      </c>
      <c r="C851">
        <v>1.5</v>
      </c>
      <c r="D851" s="301">
        <v>7.12</v>
      </c>
      <c r="E851">
        <v>24.41</v>
      </c>
      <c r="F851" s="19" t="s">
        <v>2675</v>
      </c>
      <c r="G851">
        <v>64</v>
      </c>
      <c r="H851">
        <v>71</v>
      </c>
      <c r="I851" s="217">
        <v>43283</v>
      </c>
      <c r="J851" t="s">
        <v>130</v>
      </c>
      <c r="K851">
        <v>33.5</v>
      </c>
      <c r="L851">
        <v>0.495</v>
      </c>
      <c r="Q851" s="4" t="str">
        <f>HYPERLINK("\\HOPI-FS\shares\users\dhar\Stalk mount testing\Type 1e Quality Assurance\CRYO-2076-3000","folder")</f>
        <v>folder</v>
      </c>
      <c r="T851" t="s">
        <v>2337</v>
      </c>
      <c r="U851" t="s">
        <v>2683</v>
      </c>
      <c r="V851" s="407" t="s">
        <v>2666</v>
      </c>
      <c r="W851" s="29" t="s">
        <v>2679</v>
      </c>
    </row>
    <row r="852" spans="1:23">
      <c r="A852" s="134">
        <v>2173</v>
      </c>
      <c r="B852" s="134">
        <v>19</v>
      </c>
      <c r="C852">
        <v>1.51</v>
      </c>
      <c r="D852" s="301">
        <v>7.12</v>
      </c>
      <c r="E852">
        <v>24.43</v>
      </c>
      <c r="F852" s="19" t="s">
        <v>2676</v>
      </c>
      <c r="G852">
        <v>64</v>
      </c>
      <c r="H852">
        <v>71</v>
      </c>
      <c r="I852" s="217">
        <v>43283</v>
      </c>
      <c r="J852" t="s">
        <v>130</v>
      </c>
      <c r="K852">
        <v>33.5</v>
      </c>
      <c r="L852">
        <v>0.66</v>
      </c>
      <c r="Q852" s="4" t="str">
        <f>HYPERLINK("\\HOPI-FS\shares\users\dhar\Stalk mount testing\Type 1e Quality Assurance\CRYO-2076-3001","folder")</f>
        <v>folder</v>
      </c>
      <c r="T852" t="s">
        <v>2337</v>
      </c>
      <c r="U852" t="s">
        <v>2684</v>
      </c>
      <c r="V852" s="407" t="s">
        <v>2680</v>
      </c>
      <c r="W852" s="29">
        <v>2</v>
      </c>
    </row>
    <row r="853" spans="1:23">
      <c r="F853" s="270" t="s">
        <v>2677</v>
      </c>
      <c r="I853" s="428"/>
    </row>
    <row r="854" spans="1:23">
      <c r="A854" s="134">
        <v>2174</v>
      </c>
      <c r="B854" s="134">
        <v>17.2</v>
      </c>
      <c r="C854">
        <v>1.5</v>
      </c>
      <c r="D854" s="301">
        <v>7.13</v>
      </c>
      <c r="E854">
        <v>24.4</v>
      </c>
      <c r="F854" s="388" t="s">
        <v>2678</v>
      </c>
      <c r="G854">
        <v>64</v>
      </c>
      <c r="H854">
        <v>71</v>
      </c>
      <c r="I854" s="217">
        <v>43283</v>
      </c>
      <c r="J854" t="s">
        <v>130</v>
      </c>
      <c r="K854">
        <v>33.549999999999997</v>
      </c>
      <c r="L854">
        <v>0.42</v>
      </c>
      <c r="Q854" s="4" t="str">
        <f>HYPERLINK("\\HOPI-FS\shares\users\dhar\Stalk mount testing\Type 1e Quality Assurance\CRYO-2081-3073","folder")</f>
        <v>folder</v>
      </c>
      <c r="T854" t="s">
        <v>2337</v>
      </c>
      <c r="U854" t="s">
        <v>2685</v>
      </c>
      <c r="V854" s="407" t="s">
        <v>2440</v>
      </c>
      <c r="W854" s="29">
        <v>2</v>
      </c>
    </row>
    <row r="855" spans="1:23" ht="30" customHeight="1">
      <c r="A855" s="134">
        <v>2176</v>
      </c>
      <c r="B855" s="134">
        <v>16</v>
      </c>
      <c r="C855">
        <v>1.53</v>
      </c>
      <c r="D855" s="301">
        <v>7.11</v>
      </c>
      <c r="E855">
        <v>24.42</v>
      </c>
      <c r="F855" s="388" t="s">
        <v>2686</v>
      </c>
      <c r="G855">
        <v>59.6</v>
      </c>
      <c r="H855">
        <v>67.099999999999994</v>
      </c>
      <c r="I855" s="217">
        <v>43290</v>
      </c>
      <c r="J855" t="s">
        <v>130</v>
      </c>
      <c r="K855">
        <v>33.4</v>
      </c>
      <c r="L855">
        <v>0.57999999999999996</v>
      </c>
      <c r="Q855" s="4" t="str">
        <f>HYPERLINK("\\hopi-fs\shares\users\dhar\Stalk mount testing\Type 1e Quality Assurance\CRYO-2075-3030  2176 1E","folder")</f>
        <v>folder</v>
      </c>
      <c r="T855" t="s">
        <v>2337</v>
      </c>
      <c r="U855" t="s">
        <v>3840</v>
      </c>
      <c r="V855" s="407" t="s">
        <v>2693</v>
      </c>
      <c r="W855" s="29">
        <v>1</v>
      </c>
    </row>
    <row r="856" spans="1:23">
      <c r="A856" s="134">
        <v>2177</v>
      </c>
      <c r="B856" s="134">
        <v>18.399999999999999</v>
      </c>
      <c r="C856">
        <v>1.52</v>
      </c>
      <c r="D856" s="301">
        <v>7.09</v>
      </c>
      <c r="E856">
        <v>24.43</v>
      </c>
      <c r="F856" s="388" t="s">
        <v>2687</v>
      </c>
      <c r="G856">
        <v>59.6</v>
      </c>
      <c r="H856">
        <v>67.099999999999994</v>
      </c>
      <c r="I856" s="217">
        <v>43290</v>
      </c>
      <c r="J856" t="s">
        <v>130</v>
      </c>
      <c r="K856">
        <v>33.5</v>
      </c>
      <c r="L856">
        <v>0.53</v>
      </c>
      <c r="Q856" s="4" t="str">
        <f>HYPERLINK("\\hopi-fs\shares\users\dhar\Stalk mount testing\Type 1e Quality Assurance\CRYO-2074-3034  2177 1E","folder")</f>
        <v>folder</v>
      </c>
      <c r="T856" t="s">
        <v>2337</v>
      </c>
      <c r="U856" t="s">
        <v>2715</v>
      </c>
      <c r="V856" s="407" t="s">
        <v>2694</v>
      </c>
      <c r="W856" s="29">
        <v>5</v>
      </c>
    </row>
    <row r="857" spans="1:23">
      <c r="A857" s="134">
        <v>2178</v>
      </c>
      <c r="B857" s="134">
        <v>18.399999999999999</v>
      </c>
      <c r="C857">
        <v>1.51</v>
      </c>
      <c r="D857" s="301">
        <v>7.08</v>
      </c>
      <c r="E857">
        <v>24.43</v>
      </c>
      <c r="F857" s="270" t="s">
        <v>2688</v>
      </c>
      <c r="G857">
        <v>59.6</v>
      </c>
      <c r="H857">
        <v>67.099999999999994</v>
      </c>
      <c r="I857" s="217">
        <v>43290</v>
      </c>
      <c r="J857" t="s">
        <v>130</v>
      </c>
      <c r="K857">
        <v>33.44</v>
      </c>
      <c r="L857">
        <v>0.45</v>
      </c>
      <c r="Q857" s="4" t="str">
        <f>HYPERLINK("\\hopi-fs\shares\users\dhar\Stalk mount testing\Type 1e Quality Assurance\CRYO-2075-3035  2178 1E","folder")</f>
        <v>folder</v>
      </c>
      <c r="T857" t="s">
        <v>2337</v>
      </c>
    </row>
    <row r="858" spans="1:23">
      <c r="A858" s="134">
        <v>2178</v>
      </c>
      <c r="C858">
        <v>1.51</v>
      </c>
      <c r="D858" s="301">
        <v>7.08</v>
      </c>
      <c r="E858">
        <v>24.43</v>
      </c>
      <c r="F858" s="270" t="s">
        <v>2689</v>
      </c>
      <c r="I858" s="217"/>
      <c r="Q858" s="4"/>
    </row>
    <row r="859" spans="1:23">
      <c r="A859" s="134">
        <v>2178</v>
      </c>
      <c r="B859" s="134">
        <v>16.8</v>
      </c>
      <c r="C859">
        <v>1.53</v>
      </c>
      <c r="D859" s="301">
        <v>7.08</v>
      </c>
      <c r="E859">
        <v>24.43</v>
      </c>
      <c r="F859" s="270" t="s">
        <v>2707</v>
      </c>
      <c r="G859">
        <v>60</v>
      </c>
      <c r="H859">
        <v>71</v>
      </c>
      <c r="I859" s="217">
        <v>43301</v>
      </c>
      <c r="J859" t="s">
        <v>130</v>
      </c>
      <c r="K859">
        <v>33.49</v>
      </c>
      <c r="L859">
        <v>0.32300000000000001</v>
      </c>
      <c r="Q859" s="4" t="str">
        <f>HYPERLINK("\\hopi-fs\shares\users\dhar\Stalk mount testing\Type 1e Quality Assurance\CRYO-2074-3050 2178","folder")</f>
        <v>folder</v>
      </c>
      <c r="T859" t="s">
        <v>2337</v>
      </c>
      <c r="U859" t="s">
        <v>2896</v>
      </c>
      <c r="V859" s="19" t="s">
        <v>2708</v>
      </c>
      <c r="W859" s="269" t="s">
        <v>2709</v>
      </c>
    </row>
    <row r="860" spans="1:23" ht="23.25" customHeight="1">
      <c r="A860" s="134">
        <v>2179</v>
      </c>
      <c r="B860" s="134">
        <v>19</v>
      </c>
      <c r="C860">
        <v>1.52</v>
      </c>
      <c r="D860" s="301">
        <v>7.08</v>
      </c>
      <c r="E860">
        <v>24.39</v>
      </c>
      <c r="F860" s="388" t="s">
        <v>2690</v>
      </c>
      <c r="G860">
        <v>59.6</v>
      </c>
      <c r="H860">
        <v>67.099999999999994</v>
      </c>
      <c r="I860" s="217">
        <v>43290</v>
      </c>
      <c r="J860" t="s">
        <v>130</v>
      </c>
      <c r="K860">
        <v>33.49</v>
      </c>
      <c r="L860">
        <v>0.28999999999999998</v>
      </c>
      <c r="Q860" s="4" t="str">
        <f>HYPERLINK("\\hopi-fs\shares\users\dhar\Stalk mount testing\Type 1e Quality Assurance\CRYO-2075-3038  2179 1E","folder")</f>
        <v>folder</v>
      </c>
      <c r="T860" t="s">
        <v>2337</v>
      </c>
      <c r="U860" t="s">
        <v>2716</v>
      </c>
      <c r="V860" s="407" t="s">
        <v>2695</v>
      </c>
      <c r="W860" s="29">
        <v>4</v>
      </c>
    </row>
    <row r="861" spans="1:23">
      <c r="A861" s="134">
        <v>2180</v>
      </c>
      <c r="B861" s="134">
        <v>19</v>
      </c>
      <c r="C861">
        <v>1.5</v>
      </c>
      <c r="D861" s="301">
        <v>7.12</v>
      </c>
      <c r="E861">
        <v>24.43</v>
      </c>
      <c r="F861" s="388" t="s">
        <v>2691</v>
      </c>
      <c r="G861">
        <v>59.6</v>
      </c>
      <c r="H861">
        <v>67.099999999999994</v>
      </c>
      <c r="I861" s="217">
        <v>43290</v>
      </c>
      <c r="J861" t="s">
        <v>130</v>
      </c>
      <c r="K861">
        <v>33.4</v>
      </c>
      <c r="L861">
        <v>0.41</v>
      </c>
      <c r="Q861" s="4" t="str">
        <f>HYPERLINK("\\hopi-fs\shares\users\dhar\Stalk mount testing\Type 1e Quality Assurance\CRYO-2075-3039  2180 1E","folder")</f>
        <v>folder</v>
      </c>
      <c r="T861" t="s">
        <v>2337</v>
      </c>
      <c r="U861" t="s">
        <v>2696</v>
      </c>
      <c r="V861" s="407" t="s">
        <v>2697</v>
      </c>
      <c r="W861" s="29">
        <v>9</v>
      </c>
    </row>
    <row r="862" spans="1:23">
      <c r="A862" s="134">
        <v>2181</v>
      </c>
      <c r="B862" s="134">
        <v>19</v>
      </c>
      <c r="C862">
        <v>1.49</v>
      </c>
      <c r="D862" s="301">
        <v>7.09</v>
      </c>
      <c r="E862">
        <v>24.38</v>
      </c>
      <c r="F862" s="388" t="s">
        <v>2692</v>
      </c>
      <c r="G862">
        <v>59.6</v>
      </c>
      <c r="H862">
        <v>67.099999999999994</v>
      </c>
      <c r="I862" s="217">
        <v>43290</v>
      </c>
      <c r="J862" t="s">
        <v>130</v>
      </c>
      <c r="K862">
        <v>33.44</v>
      </c>
      <c r="L862">
        <v>0.46</v>
      </c>
      <c r="Q862" s="4" t="str">
        <f>HYPERLINK("\\hopi-fs\shares\users\dhar\Stalk mount testing\Type 1e Quality Assurance\CRYO-2075-3044  2181 1E","folder")</f>
        <v>folder</v>
      </c>
      <c r="T862" t="s">
        <v>2337</v>
      </c>
      <c r="U862" t="s">
        <v>2717</v>
      </c>
      <c r="V862" s="407" t="s">
        <v>2695</v>
      </c>
      <c r="W862" s="29">
        <v>2</v>
      </c>
    </row>
    <row r="863" spans="1:23">
      <c r="A863" s="134">
        <v>2182</v>
      </c>
      <c r="B863" s="134">
        <v>19</v>
      </c>
      <c r="C863">
        <v>1.5</v>
      </c>
      <c r="D863" s="301">
        <v>7.12</v>
      </c>
      <c r="E863">
        <v>24.42</v>
      </c>
      <c r="F863" s="270" t="s">
        <v>2698</v>
      </c>
      <c r="I863" s="217">
        <v>43300</v>
      </c>
      <c r="J863" t="s">
        <v>130</v>
      </c>
      <c r="Q863" s="4"/>
      <c r="T863" t="s">
        <v>2337</v>
      </c>
    </row>
    <row r="864" spans="1:23">
      <c r="A864" s="134">
        <v>2182</v>
      </c>
      <c r="B864" s="134">
        <v>18</v>
      </c>
      <c r="C864">
        <v>1.5</v>
      </c>
      <c r="D864" s="301">
        <v>7.12</v>
      </c>
      <c r="E864">
        <v>24.42</v>
      </c>
      <c r="F864" s="270" t="s">
        <v>2703</v>
      </c>
      <c r="I864" s="217">
        <v>43300</v>
      </c>
      <c r="J864" t="s">
        <v>130</v>
      </c>
      <c r="Q864" s="4"/>
      <c r="T864" t="s">
        <v>2337</v>
      </c>
    </row>
    <row r="865" spans="1:23">
      <c r="A865" s="134">
        <v>2182</v>
      </c>
      <c r="B865" s="134">
        <v>17.2</v>
      </c>
      <c r="C865">
        <v>1.5</v>
      </c>
      <c r="D865" s="301">
        <v>7.12</v>
      </c>
      <c r="E865">
        <v>24.42</v>
      </c>
      <c r="F865" s="327" t="s">
        <v>2704</v>
      </c>
      <c r="I865" s="217">
        <v>43300</v>
      </c>
      <c r="J865" t="s">
        <v>130</v>
      </c>
      <c r="K865">
        <v>33.479999999999997</v>
      </c>
      <c r="L865">
        <v>0.15</v>
      </c>
      <c r="Q865" s="4" t="str">
        <f>HYPERLINK("\\hopi-fs\shares\users\dhar\Stalk mount testing\Type 1e Quality Assurance\CRYO-2074-3045 2182","folder")</f>
        <v>folder</v>
      </c>
      <c r="T865" t="s">
        <v>2337</v>
      </c>
      <c r="V865" s="407" t="s">
        <v>2705</v>
      </c>
      <c r="W865" s="29">
        <v>2</v>
      </c>
    </row>
    <row r="866" spans="1:23">
      <c r="A866" s="134">
        <v>2183</v>
      </c>
      <c r="B866" s="134">
        <v>17.2</v>
      </c>
      <c r="C866">
        <v>1.5</v>
      </c>
      <c r="D866" s="301">
        <v>7.13</v>
      </c>
      <c r="E866">
        <v>24.43</v>
      </c>
      <c r="F866" s="176" t="s">
        <v>2699</v>
      </c>
      <c r="I866" s="217">
        <v>43300</v>
      </c>
      <c r="J866" t="s">
        <v>130</v>
      </c>
      <c r="Q866" s="4" t="str">
        <f>HYPERLINK("\\hopi-fs\shares\users\dhar\Stalk mount testing\Type 1e Quality Assurance\CRYO-2074-3032 OOS","folder")</f>
        <v>folder</v>
      </c>
      <c r="T866" t="s">
        <v>2337</v>
      </c>
    </row>
    <row r="867" spans="1:23">
      <c r="A867" s="134">
        <v>2184</v>
      </c>
      <c r="B867" s="134">
        <v>18</v>
      </c>
      <c r="C867">
        <v>1.5</v>
      </c>
      <c r="D867" s="301">
        <v>7.11</v>
      </c>
      <c r="E867">
        <v>24.46</v>
      </c>
      <c r="F867" s="176" t="s">
        <v>2700</v>
      </c>
      <c r="I867" s="217">
        <v>43300</v>
      </c>
      <c r="J867" t="s">
        <v>130</v>
      </c>
      <c r="Q867" s="4" t="str">
        <f>HYPERLINK("\\hopi-fs\shares\users\dhar\Stalk mount testing\Type 1e Quality Assurance\CRYO-2074-3033 2184","folder")</f>
        <v>folder</v>
      </c>
      <c r="T867" t="s">
        <v>2337</v>
      </c>
      <c r="V867" s="407" t="s">
        <v>2706</v>
      </c>
      <c r="W867" s="29">
        <v>1</v>
      </c>
    </row>
    <row r="868" spans="1:23">
      <c r="A868" s="134">
        <v>2185</v>
      </c>
      <c r="B868" s="134">
        <v>19</v>
      </c>
      <c r="C868">
        <v>1.51</v>
      </c>
      <c r="D868" s="301">
        <v>7.13</v>
      </c>
      <c r="E868">
        <v>24.45</v>
      </c>
      <c r="F868" s="19" t="s">
        <v>2701</v>
      </c>
      <c r="G868">
        <v>60</v>
      </c>
      <c r="H868">
        <v>71</v>
      </c>
      <c r="I868" s="217">
        <v>43300</v>
      </c>
      <c r="J868" t="s">
        <v>130</v>
      </c>
      <c r="K868">
        <v>33.520000000000003</v>
      </c>
      <c r="L868">
        <v>0.34599999999999997</v>
      </c>
      <c r="Q868" s="4" t="str">
        <f>HYPERLINK("\\hopi-fs\shares\users\dhar\Stalk mount testing\Type 1e Quality Assurance\CRYO-2076-3037 2185","folder")</f>
        <v>folder</v>
      </c>
      <c r="T868" t="s">
        <v>2337</v>
      </c>
      <c r="U868" t="s">
        <v>2718</v>
      </c>
      <c r="V868" s="19" t="s">
        <v>2710</v>
      </c>
      <c r="W868" s="269">
        <v>5</v>
      </c>
    </row>
    <row r="869" spans="1:23">
      <c r="A869" s="134">
        <v>2186</v>
      </c>
      <c r="B869" s="134">
        <v>17</v>
      </c>
      <c r="C869">
        <v>1.51</v>
      </c>
      <c r="D869" s="301">
        <v>7.1</v>
      </c>
      <c r="E869">
        <v>24.4</v>
      </c>
      <c r="F869" s="19" t="s">
        <v>2702</v>
      </c>
      <c r="G869">
        <v>60</v>
      </c>
      <c r="H869">
        <v>71</v>
      </c>
      <c r="I869" s="217">
        <v>43300</v>
      </c>
      <c r="J869" t="s">
        <v>130</v>
      </c>
      <c r="K869">
        <v>33.49</v>
      </c>
      <c r="L869">
        <v>0.56599999999999995</v>
      </c>
      <c r="Q869" s="4" t="str">
        <f>HYPERLINK("\\hopi-fs\shares\users\dhar\Stalk mount testing\Type 1e Quality Assurance\CRYO-2074-3041 2186","folder")</f>
        <v>folder</v>
      </c>
      <c r="T869" t="s">
        <v>2337</v>
      </c>
      <c r="U869" t="s">
        <v>2719</v>
      </c>
      <c r="V869" s="19" t="s">
        <v>2711</v>
      </c>
      <c r="W869" s="269">
        <v>3</v>
      </c>
    </row>
    <row r="870" spans="1:23">
      <c r="A870" s="134">
        <v>2162</v>
      </c>
      <c r="B870" s="134">
        <v>16.8</v>
      </c>
      <c r="C870">
        <v>1.48</v>
      </c>
      <c r="D870" s="301">
        <v>7.12</v>
      </c>
      <c r="E870">
        <v>24.42</v>
      </c>
      <c r="F870" s="19" t="s">
        <v>2712</v>
      </c>
      <c r="G870">
        <v>60</v>
      </c>
      <c r="H870">
        <v>71</v>
      </c>
      <c r="I870" s="217">
        <v>43301</v>
      </c>
      <c r="J870" t="s">
        <v>130</v>
      </c>
      <c r="K870">
        <v>33.47</v>
      </c>
      <c r="L870">
        <v>0.13400000000000001</v>
      </c>
      <c r="Q870" s="4" t="str">
        <f>HYPERLINK("\\HOPI-FS\shares\users\dhar\Stalk mount testing\Type 1e Quality Assurance\CRYO-2074-3051  2162 1E","folder")</f>
        <v>folder</v>
      </c>
      <c r="T870" t="s">
        <v>2337</v>
      </c>
      <c r="U870" t="s">
        <v>2714</v>
      </c>
      <c r="V870" s="19" t="s">
        <v>2713</v>
      </c>
      <c r="W870" s="269">
        <v>3</v>
      </c>
    </row>
    <row r="871" spans="1:23" ht="45" customHeight="1">
      <c r="A871" s="134">
        <v>2187</v>
      </c>
      <c r="B871" s="134">
        <v>16.399999999999999</v>
      </c>
      <c r="C871">
        <v>1.49</v>
      </c>
      <c r="D871" s="301">
        <v>7.15</v>
      </c>
      <c r="E871">
        <v>24.43</v>
      </c>
      <c r="F871" s="351" t="s">
        <v>2721</v>
      </c>
      <c r="G871">
        <v>62</v>
      </c>
      <c r="H871">
        <v>69.3</v>
      </c>
      <c r="I871" s="217">
        <v>43325</v>
      </c>
      <c r="J871" t="s">
        <v>130</v>
      </c>
      <c r="K871">
        <v>33.5</v>
      </c>
      <c r="L871">
        <v>0.53800000000000003</v>
      </c>
      <c r="Q871" s="4" t="str">
        <f>HYPERLINK("\\hopi-fs\shares\users\dhar\Stalk mount testing\Type 1e Quality Assurance\CRYO-2080-3076  2187 1E","folder")</f>
        <v>folder</v>
      </c>
      <c r="T871" t="s">
        <v>2720</v>
      </c>
      <c r="U871" t="s">
        <v>2750</v>
      </c>
      <c r="V871" s="407" t="s">
        <v>2727</v>
      </c>
      <c r="W871" s="29">
        <v>7</v>
      </c>
    </row>
    <row r="872" spans="1:23">
      <c r="A872" s="134">
        <v>2188</v>
      </c>
      <c r="B872" s="134">
        <v>17.2</v>
      </c>
      <c r="C872">
        <v>1.5</v>
      </c>
      <c r="D872" s="301">
        <v>7.12</v>
      </c>
      <c r="E872">
        <v>24.4</v>
      </c>
      <c r="F872" s="351" t="s">
        <v>2722</v>
      </c>
      <c r="G872">
        <v>62</v>
      </c>
      <c r="H872">
        <v>69.3</v>
      </c>
      <c r="I872" s="217">
        <v>43325</v>
      </c>
      <c r="J872" t="s">
        <v>130</v>
      </c>
      <c r="K872">
        <v>33.5</v>
      </c>
      <c r="L872">
        <v>0.57099999999999995</v>
      </c>
      <c r="Q872" s="4" t="str">
        <f>HYPERLINK("\\hopi-fs\shares\users\dhar\Stalk mount testing\Type 1e Quality Assurance\CRYO-2082-3077  2188 1E","folder")</f>
        <v>folder</v>
      </c>
      <c r="T872" t="s">
        <v>2720</v>
      </c>
      <c r="U872" t="s">
        <v>3862</v>
      </c>
      <c r="V872" s="407" t="s">
        <v>2693</v>
      </c>
      <c r="W872" s="29">
        <v>4</v>
      </c>
    </row>
    <row r="873" spans="1:23">
      <c r="A873" s="134">
        <v>2189</v>
      </c>
      <c r="B873" s="134">
        <v>19</v>
      </c>
      <c r="C873">
        <v>1.5</v>
      </c>
      <c r="D873" s="301">
        <v>7.09</v>
      </c>
      <c r="E873">
        <v>24.37</v>
      </c>
      <c r="F873" s="351" t="s">
        <v>2733</v>
      </c>
      <c r="G873">
        <v>67.2</v>
      </c>
      <c r="H873">
        <v>67</v>
      </c>
      <c r="I873" s="217">
        <v>43327</v>
      </c>
      <c r="J873" t="s">
        <v>130</v>
      </c>
      <c r="K873">
        <v>33.409999999999997</v>
      </c>
      <c r="L873">
        <v>0.183</v>
      </c>
      <c r="Q873" s="4" t="str">
        <f>HYPERLINK("\\HOPI-FS\shares\users\dhar\Stalk mount testing\Type 1e Quality Assurance\CRYO-2081-3081  2189 1E","folder")</f>
        <v>folder</v>
      </c>
      <c r="T873" t="s">
        <v>2720</v>
      </c>
      <c r="U873" t="s">
        <v>3865</v>
      </c>
      <c r="V873" s="407" t="s">
        <v>2738</v>
      </c>
      <c r="W873" s="29">
        <v>5</v>
      </c>
    </row>
    <row r="874" spans="1:23">
      <c r="A874" s="134">
        <v>2189</v>
      </c>
      <c r="B874" s="134">
        <v>16.399999999999999</v>
      </c>
      <c r="C874">
        <v>1.49</v>
      </c>
      <c r="D874" s="301">
        <v>7.1</v>
      </c>
      <c r="E874">
        <v>24.38</v>
      </c>
      <c r="F874" s="349" t="s">
        <v>2723</v>
      </c>
      <c r="G874">
        <v>62</v>
      </c>
      <c r="H874">
        <v>69.3</v>
      </c>
      <c r="I874" s="217">
        <v>43325</v>
      </c>
      <c r="J874" t="s">
        <v>130</v>
      </c>
      <c r="K874">
        <v>33.409999999999997</v>
      </c>
      <c r="L874">
        <v>0.248</v>
      </c>
      <c r="Q874" s="4" t="str">
        <f>HYPERLINK("\\hopi-fs\shares\users\dhar\Stalk mount testing\Type 1e Quality Assurance\CRYO-2081-03078  2189 1E","folder")</f>
        <v>folder</v>
      </c>
      <c r="T874" t="s">
        <v>2720</v>
      </c>
      <c r="V874" s="407" t="s">
        <v>2728</v>
      </c>
      <c r="W874" s="29">
        <v>7</v>
      </c>
    </row>
    <row r="875" spans="1:23">
      <c r="A875" s="134">
        <v>2190</v>
      </c>
      <c r="B875" s="134">
        <v>19</v>
      </c>
      <c r="C875">
        <v>1.5</v>
      </c>
      <c r="D875" s="301">
        <v>7.13</v>
      </c>
      <c r="E875">
        <v>24.4</v>
      </c>
      <c r="F875" s="349" t="s">
        <v>2724</v>
      </c>
      <c r="G875">
        <v>62</v>
      </c>
      <c r="H875">
        <v>69.3</v>
      </c>
      <c r="I875" s="217">
        <v>43325</v>
      </c>
      <c r="J875" t="s">
        <v>130</v>
      </c>
      <c r="K875">
        <v>33.47</v>
      </c>
      <c r="L875">
        <v>0.50800000000000001</v>
      </c>
      <c r="Q875" s="4" t="str">
        <f>HYPERLINK("\\hopi-fs\shares\users\dhar\Stalk mount testing\Type 1e Quality Assurance\CRYO-2081-3079  2190 1E","folder")</f>
        <v>folder</v>
      </c>
      <c r="T875" t="s">
        <v>2720</v>
      </c>
      <c r="V875" s="407" t="s">
        <v>2729</v>
      </c>
      <c r="W875" s="29">
        <v>0</v>
      </c>
    </row>
    <row r="876" spans="1:23">
      <c r="A876" s="134">
        <v>2191</v>
      </c>
      <c r="B876" s="134">
        <v>18</v>
      </c>
      <c r="C876">
        <v>1.5</v>
      </c>
      <c r="D876" s="301">
        <v>7.09</v>
      </c>
      <c r="E876">
        <v>24.43</v>
      </c>
      <c r="F876" s="351" t="s">
        <v>2734</v>
      </c>
      <c r="G876">
        <v>67.2</v>
      </c>
      <c r="H876">
        <v>67</v>
      </c>
      <c r="I876" s="217">
        <v>43327</v>
      </c>
      <c r="J876" t="s">
        <v>130</v>
      </c>
      <c r="K876">
        <v>33.450000000000003</v>
      </c>
      <c r="L876">
        <v>0.20200000000000001</v>
      </c>
      <c r="Q876" s="4" t="str">
        <f>HYPERLINK("\\HOPI-FS\shares\users\dhar\Stalk mount testing\Type 1e Quality Assurance\CRYO-2081-3082  2191 1E","folder")</f>
        <v>folder</v>
      </c>
      <c r="T876" t="s">
        <v>2720</v>
      </c>
      <c r="U876" t="s">
        <v>2751</v>
      </c>
      <c r="V876" s="407" t="s">
        <v>2739</v>
      </c>
      <c r="W876" s="29">
        <v>0</v>
      </c>
    </row>
    <row r="877" spans="1:23">
      <c r="A877" s="134">
        <v>2191</v>
      </c>
      <c r="B877" s="134">
        <v>19</v>
      </c>
      <c r="C877">
        <v>1.5</v>
      </c>
      <c r="D877" s="301">
        <v>7.09</v>
      </c>
      <c r="E877">
        <v>24.41</v>
      </c>
      <c r="F877" s="349" t="s">
        <v>2725</v>
      </c>
      <c r="G877">
        <v>62</v>
      </c>
      <c r="H877">
        <v>69.3</v>
      </c>
      <c r="I877" s="217">
        <v>43325</v>
      </c>
      <c r="J877" t="s">
        <v>130</v>
      </c>
      <c r="K877">
        <v>33.479999999999997</v>
      </c>
      <c r="L877">
        <v>0.86399999999999999</v>
      </c>
      <c r="Q877" s="4" t="str">
        <f>HYPERLINK("\\hopi-fs\shares\users\dhar\Stalk mount testing\Type 1e Quality Assurance\CRYO-2080-2712  2191 1E","folder")</f>
        <v>folder</v>
      </c>
      <c r="T877" t="s">
        <v>2720</v>
      </c>
      <c r="V877" s="407" t="s">
        <v>2730</v>
      </c>
      <c r="W877" s="29">
        <v>1</v>
      </c>
    </row>
    <row r="878" spans="1:23">
      <c r="A878" s="134">
        <v>2192</v>
      </c>
      <c r="B878" s="134">
        <v>18</v>
      </c>
      <c r="C878">
        <v>1.5</v>
      </c>
      <c r="D878" s="301">
        <v>7.12</v>
      </c>
      <c r="E878">
        <v>24.39</v>
      </c>
      <c r="F878" s="349" t="s">
        <v>2726</v>
      </c>
      <c r="G878">
        <v>62</v>
      </c>
      <c r="H878">
        <v>69.3</v>
      </c>
      <c r="I878" s="217">
        <v>43325</v>
      </c>
      <c r="J878" t="s">
        <v>130</v>
      </c>
      <c r="K878">
        <v>33.5</v>
      </c>
      <c r="L878">
        <v>0.248</v>
      </c>
      <c r="Q878" s="4" t="str">
        <f>HYPERLINK("\\hopi-fs\shares\users\dhar\Stalk mount testing\Type 1e Quality Assurance\CRYO-2080-2713  2192 1E","folder")</f>
        <v>folder</v>
      </c>
      <c r="T878" t="s">
        <v>2720</v>
      </c>
      <c r="V878" s="407" t="s">
        <v>2731</v>
      </c>
    </row>
    <row r="879" spans="1:23">
      <c r="A879" s="134">
        <v>2193</v>
      </c>
      <c r="B879" s="134">
        <v>17.2</v>
      </c>
      <c r="C879">
        <v>1.5</v>
      </c>
      <c r="D879" s="301">
        <v>7.12</v>
      </c>
      <c r="E879">
        <v>24.4</v>
      </c>
      <c r="F879" s="351" t="s">
        <v>2735</v>
      </c>
      <c r="G879">
        <v>67.2</v>
      </c>
      <c r="H879">
        <v>67</v>
      </c>
      <c r="I879" s="217">
        <v>43327</v>
      </c>
      <c r="J879" t="s">
        <v>130</v>
      </c>
      <c r="K879">
        <v>33.46</v>
      </c>
      <c r="L879">
        <v>0.68600000000000005</v>
      </c>
      <c r="Q879" s="4" t="str">
        <f>HYPERLINK("\\HOPI-FS\shares\users\dhar\Stalk mount testing\Type 1e Quality Assurance\CRYO-2076-2442  2193 1E","folder")</f>
        <v>folder</v>
      </c>
      <c r="T879" t="s">
        <v>2720</v>
      </c>
      <c r="U879" t="s">
        <v>2752</v>
      </c>
      <c r="V879" s="407" t="s">
        <v>2728</v>
      </c>
      <c r="W879" s="29">
        <v>0</v>
      </c>
    </row>
    <row r="880" spans="1:23">
      <c r="A880" s="134">
        <v>2193</v>
      </c>
      <c r="B880" s="134">
        <v>16.8</v>
      </c>
      <c r="C880">
        <v>1.51</v>
      </c>
      <c r="D880" s="301">
        <v>7.13</v>
      </c>
      <c r="E880">
        <v>24.4</v>
      </c>
      <c r="F880" s="349" t="s">
        <v>2746</v>
      </c>
      <c r="G880">
        <v>62</v>
      </c>
      <c r="H880">
        <v>69.3</v>
      </c>
      <c r="I880" s="217">
        <v>43325</v>
      </c>
      <c r="J880" t="s">
        <v>130</v>
      </c>
      <c r="K880">
        <v>33.49</v>
      </c>
      <c r="L880">
        <v>0.23100000000000001</v>
      </c>
      <c r="Q880" s="4" t="str">
        <f>HYPERLINK("\\hopi-fs\shares\users\dhar\Stalk mount testing\Type 1e Quality Assurance\ISE-4Q14-04-103  2193 1E","folder")</f>
        <v>folder</v>
      </c>
      <c r="T880" t="s">
        <v>2720</v>
      </c>
      <c r="V880" s="407" t="s">
        <v>2732</v>
      </c>
    </row>
    <row r="881" spans="1:24">
      <c r="A881" s="134">
        <v>2194</v>
      </c>
      <c r="B881" s="134">
        <v>16.8</v>
      </c>
      <c r="C881">
        <v>1.51</v>
      </c>
      <c r="D881" s="301">
        <v>7.11</v>
      </c>
      <c r="E881">
        <v>24.4</v>
      </c>
      <c r="F881" s="397" t="s">
        <v>2736</v>
      </c>
      <c r="G881">
        <v>67.2</v>
      </c>
      <c r="H881">
        <v>67</v>
      </c>
      <c r="I881" s="217">
        <v>43327</v>
      </c>
      <c r="J881" t="s">
        <v>130</v>
      </c>
      <c r="K881">
        <v>33.47</v>
      </c>
      <c r="L881">
        <v>0.60599999999999998</v>
      </c>
      <c r="Q881" s="4" t="str">
        <f>HYPERLINK("\\HOPI-FS\shares\users\dhar\Stalk mount testing\Type 1e Quality Assurance\CRYO-2075-2443  2194 1E","folder")</f>
        <v>folder</v>
      </c>
      <c r="S881" t="s">
        <v>2720</v>
      </c>
      <c r="T881" t="s">
        <v>2720</v>
      </c>
      <c r="U881" t="s">
        <v>2747</v>
      </c>
      <c r="V881" s="407" t="s">
        <v>2694</v>
      </c>
      <c r="W881" s="29">
        <v>0</v>
      </c>
    </row>
    <row r="882" spans="1:24">
      <c r="A882" s="134">
        <v>2195</v>
      </c>
      <c r="B882" s="134">
        <v>17.600000000000001</v>
      </c>
      <c r="C882">
        <v>1.5</v>
      </c>
      <c r="D882" s="301">
        <v>7.12</v>
      </c>
      <c r="E882">
        <v>24.43</v>
      </c>
      <c r="F882" s="351" t="s">
        <v>2737</v>
      </c>
      <c r="G882">
        <v>67.2</v>
      </c>
      <c r="H882">
        <v>67</v>
      </c>
      <c r="I882" s="217">
        <v>43327</v>
      </c>
      <c r="J882" t="s">
        <v>130</v>
      </c>
      <c r="K882">
        <v>33.5</v>
      </c>
      <c r="L882">
        <v>0.27600000000000002</v>
      </c>
      <c r="Q882" s="4" t="str">
        <f>HYPERLINK("\\HOPI-FS\shares\users\dhar\Stalk mount testing\Type 1e Quality Assurance\CRYO-2076-2444  2195 1E","folder")</f>
        <v>folder</v>
      </c>
      <c r="T882" t="s">
        <v>2720</v>
      </c>
      <c r="U882" t="s">
        <v>2753</v>
      </c>
      <c r="V882" s="407" t="s">
        <v>2740</v>
      </c>
      <c r="W882" s="29">
        <v>0</v>
      </c>
      <c r="X882">
        <v>1</v>
      </c>
    </row>
    <row r="883" spans="1:24" ht="21" customHeight="1">
      <c r="A883" s="134">
        <v>1669</v>
      </c>
      <c r="B883" s="134">
        <v>17.2</v>
      </c>
      <c r="C883">
        <v>1.5</v>
      </c>
      <c r="D883" s="301">
        <v>7.11</v>
      </c>
      <c r="E883">
        <v>24.38</v>
      </c>
      <c r="F883" s="349" t="s">
        <v>2741</v>
      </c>
      <c r="G883">
        <v>64</v>
      </c>
      <c r="H883">
        <v>67.400000000000006</v>
      </c>
      <c r="I883" s="217">
        <v>43328</v>
      </c>
      <c r="J883" t="s">
        <v>130</v>
      </c>
      <c r="K883">
        <v>33.450000000000003</v>
      </c>
      <c r="L883">
        <v>0.47199999999999998</v>
      </c>
      <c r="Q883" s="4" t="str">
        <f>HYPERLINK("\\hopi-fs\shares\users\dhar\Stalk mount testing\Type 1e Quality Assurance\CRYO-9082-0051  1669 1E","folder")</f>
        <v>folder</v>
      </c>
      <c r="T883" t="s">
        <v>2720</v>
      </c>
      <c r="U883" t="s">
        <v>3946</v>
      </c>
      <c r="V883" s="407" t="s">
        <v>2744</v>
      </c>
    </row>
    <row r="884" spans="1:24">
      <c r="A884" s="134">
        <v>2097</v>
      </c>
      <c r="B884" s="134">
        <v>16</v>
      </c>
      <c r="C884">
        <v>1.5</v>
      </c>
      <c r="D884" s="301">
        <v>7.13</v>
      </c>
      <c r="E884">
        <v>24.36</v>
      </c>
      <c r="F884" s="351" t="s">
        <v>2742</v>
      </c>
      <c r="G884">
        <v>64</v>
      </c>
      <c r="H884">
        <v>67.400000000000006</v>
      </c>
      <c r="I884" s="217">
        <v>43328</v>
      </c>
      <c r="J884" t="s">
        <v>130</v>
      </c>
      <c r="K884">
        <v>33.409999999999997</v>
      </c>
      <c r="L884">
        <v>0.38</v>
      </c>
      <c r="Q884" s="4" t="str">
        <f>HYPERLINK("\\hopi-fs\shares\users\dhar\Stalk mount testing\Type 1e Quality Assurance\CRYO-9078-0052  2097 1E","folder")</f>
        <v>folder</v>
      </c>
      <c r="T884" t="s">
        <v>2720</v>
      </c>
      <c r="U884" t="s">
        <v>2754</v>
      </c>
      <c r="V884" s="407" t="s">
        <v>2755</v>
      </c>
      <c r="W884" s="29">
        <v>0</v>
      </c>
    </row>
    <row r="885" spans="1:24">
      <c r="A885" s="134">
        <v>2099</v>
      </c>
      <c r="B885" s="134">
        <v>16</v>
      </c>
      <c r="C885">
        <v>1.5</v>
      </c>
      <c r="D885" s="301">
        <v>7.12</v>
      </c>
      <c r="E885">
        <v>24.35</v>
      </c>
      <c r="F885" s="351" t="s">
        <v>2743</v>
      </c>
      <c r="G885">
        <v>64</v>
      </c>
      <c r="H885">
        <v>67.400000000000006</v>
      </c>
      <c r="I885" s="217">
        <v>43328</v>
      </c>
      <c r="J885" t="s">
        <v>130</v>
      </c>
      <c r="K885">
        <v>33.4</v>
      </c>
      <c r="L885">
        <v>0.68300000000000005</v>
      </c>
      <c r="Q885" s="4" t="str">
        <f>HYPERLINK("\\hopi-fs\shares\users\dhar\Stalk mount testing\Type 1e Quality Assurance\CRYO-9078-0053  2099 1E","folder")</f>
        <v>folder</v>
      </c>
      <c r="T885" t="s">
        <v>2720</v>
      </c>
      <c r="U885" t="s">
        <v>2756</v>
      </c>
      <c r="V885" s="407" t="s">
        <v>2745</v>
      </c>
      <c r="W885" s="29">
        <v>0</v>
      </c>
    </row>
    <row r="886" spans="1:24">
      <c r="A886" s="134">
        <v>2196</v>
      </c>
      <c r="B886" s="134">
        <v>16</v>
      </c>
      <c r="C886">
        <v>1.5</v>
      </c>
      <c r="D886" s="301">
        <v>7.13</v>
      </c>
      <c r="E886">
        <v>24.45</v>
      </c>
      <c r="F886" s="397" t="s">
        <v>2748</v>
      </c>
      <c r="G886">
        <v>64</v>
      </c>
      <c r="H886">
        <v>67.400000000000006</v>
      </c>
      <c r="I886" s="217">
        <v>43328</v>
      </c>
      <c r="J886" t="s">
        <v>130</v>
      </c>
      <c r="K886">
        <v>33.479999999999997</v>
      </c>
      <c r="L886">
        <v>0.48499999999999999</v>
      </c>
      <c r="M886" t="s">
        <v>1678</v>
      </c>
      <c r="Q886" s="4" t="str">
        <f>HYPERLINK("\\hopi-fs\shares\users\dhar\Stalk mount testing\Type 1e Quality Assurance\CRYO-9080-0054  2196 1E","folder")</f>
        <v>folder</v>
      </c>
      <c r="T886" t="s">
        <v>2720</v>
      </c>
      <c r="V886" s="407" t="s">
        <v>2749</v>
      </c>
    </row>
    <row r="887" spans="1:24">
      <c r="A887" s="134">
        <v>2163</v>
      </c>
      <c r="F887" s="428"/>
      <c r="I887" s="428"/>
      <c r="M887" t="s">
        <v>1678</v>
      </c>
      <c r="U887" t="s">
        <v>1678</v>
      </c>
    </row>
    <row r="888" spans="1:24">
      <c r="A888" s="134">
        <v>2197</v>
      </c>
      <c r="B888" s="134">
        <v>19</v>
      </c>
      <c r="C888">
        <v>1.51</v>
      </c>
      <c r="D888" s="301">
        <v>7.12</v>
      </c>
      <c r="E888">
        <v>24.43</v>
      </c>
      <c r="F888" s="351" t="s">
        <v>2757</v>
      </c>
      <c r="G888">
        <v>65</v>
      </c>
      <c r="H888">
        <v>67.5</v>
      </c>
      <c r="I888" s="217">
        <v>43356</v>
      </c>
      <c r="J888" t="s">
        <v>130</v>
      </c>
      <c r="K888">
        <v>33.54</v>
      </c>
      <c r="L888">
        <v>0.10100000000000001</v>
      </c>
      <c r="Q888" s="4" t="str">
        <f>HYPERLINK("\\hopi-fs\shares\users\dhar\Stalk mount testing\Type 1e Quality Assurance\CRYO-2076-2980  2197 1E","folder")</f>
        <v>folder</v>
      </c>
      <c r="T888" t="s">
        <v>2720</v>
      </c>
      <c r="U888" t="s">
        <v>2781</v>
      </c>
      <c r="V888" s="407" t="s">
        <v>2766</v>
      </c>
      <c r="W888" s="29">
        <v>5</v>
      </c>
    </row>
    <row r="889" spans="1:24">
      <c r="A889" s="134">
        <v>2198</v>
      </c>
      <c r="B889" s="134">
        <v>17.2</v>
      </c>
      <c r="C889">
        <v>1.52</v>
      </c>
      <c r="D889" s="301">
        <v>7.12</v>
      </c>
      <c r="E889">
        <v>24.42</v>
      </c>
      <c r="F889" s="351" t="s">
        <v>2758</v>
      </c>
      <c r="G889">
        <v>65</v>
      </c>
      <c r="H889">
        <v>67.5</v>
      </c>
      <c r="I889" s="217">
        <v>43356</v>
      </c>
      <c r="J889" t="s">
        <v>130</v>
      </c>
      <c r="K889">
        <v>33.54</v>
      </c>
      <c r="L889">
        <v>0.73899999999999999</v>
      </c>
      <c r="Q889" s="4" t="str">
        <f>HYPERLINK("\\hopi-fs\shares\users\dhar\Stalk mount testing\Type 1e Quality Assurance\CRYO-2076-2989  2198 1E","folder")</f>
        <v>folder</v>
      </c>
      <c r="T889" t="s">
        <v>2720</v>
      </c>
      <c r="U889" t="s">
        <v>2782</v>
      </c>
      <c r="V889" s="407" t="s">
        <v>2767</v>
      </c>
      <c r="W889" s="29">
        <v>8</v>
      </c>
    </row>
    <row r="890" spans="1:24">
      <c r="A890" s="134">
        <v>2199</v>
      </c>
      <c r="B890" s="134">
        <v>16.8</v>
      </c>
      <c r="C890">
        <v>1.5</v>
      </c>
      <c r="D890" s="301">
        <v>7.08</v>
      </c>
      <c r="E890">
        <v>24.4</v>
      </c>
      <c r="F890" s="349" t="s">
        <v>2759</v>
      </c>
      <c r="G890">
        <v>65</v>
      </c>
      <c r="H890">
        <v>67.5</v>
      </c>
      <c r="I890" s="217">
        <v>43356</v>
      </c>
      <c r="J890" t="s">
        <v>130</v>
      </c>
      <c r="K890">
        <v>33.42</v>
      </c>
      <c r="L890">
        <v>0.53600000000000003</v>
      </c>
      <c r="Q890" s="4" t="str">
        <f>HYPERLINK("\\hopi-fs\shares\users\dhar\Stalk mount testing\Type 1e Quality Assurance\CRYO-2076-2992  2199 1E","folder")</f>
        <v>folder</v>
      </c>
      <c r="T890" t="s">
        <v>2720</v>
      </c>
      <c r="U890" t="s">
        <v>2760</v>
      </c>
      <c r="V890" s="407" t="s">
        <v>2768</v>
      </c>
      <c r="W890" s="29">
        <v>6</v>
      </c>
    </row>
    <row r="891" spans="1:24" ht="28.5" customHeight="1">
      <c r="A891" s="134">
        <v>2200</v>
      </c>
      <c r="B891" s="134">
        <v>16.399999999999999</v>
      </c>
      <c r="C891">
        <v>1.5</v>
      </c>
      <c r="D891" s="301">
        <v>7.13</v>
      </c>
      <c r="E891">
        <v>24.36</v>
      </c>
      <c r="F891" s="19" t="s">
        <v>2761</v>
      </c>
      <c r="G891">
        <v>63.1</v>
      </c>
      <c r="H891">
        <v>67.099999999999994</v>
      </c>
      <c r="I891" s="217">
        <v>43361</v>
      </c>
      <c r="J891" t="s">
        <v>130</v>
      </c>
      <c r="K891">
        <v>33.479999999999997</v>
      </c>
      <c r="L891">
        <v>0.61</v>
      </c>
      <c r="Q891" s="4" t="str">
        <f>HYPERLINK("\\hopi-fs\shares\users\dhar\Stalk mount testing\Type 1e Quality Assurance\CRYO-2076-3099  2200 1E","folder")</f>
        <v>folder</v>
      </c>
      <c r="T891" t="s">
        <v>2720</v>
      </c>
      <c r="U891" t="s">
        <v>3148</v>
      </c>
      <c r="V891" s="407" t="s">
        <v>2769</v>
      </c>
      <c r="W891" s="29">
        <v>2</v>
      </c>
    </row>
    <row r="892" spans="1:24">
      <c r="A892" s="134">
        <v>2201</v>
      </c>
      <c r="B892" s="134">
        <v>17.2</v>
      </c>
      <c r="C892">
        <v>1.49</v>
      </c>
      <c r="D892" s="301">
        <v>7.12</v>
      </c>
      <c r="E892">
        <v>24.38</v>
      </c>
      <c r="F892" s="405" t="s">
        <v>2762</v>
      </c>
      <c r="G892">
        <v>63.1</v>
      </c>
      <c r="H892">
        <v>67.099999999999994</v>
      </c>
      <c r="I892" s="217">
        <v>43361</v>
      </c>
      <c r="J892" t="s">
        <v>130</v>
      </c>
      <c r="K892">
        <v>33.479999999999997</v>
      </c>
      <c r="L892">
        <v>0.48499999999999999</v>
      </c>
      <c r="Q892" s="4" t="str">
        <f>HYPERLINK("\\hopi-fs\shares\users\dhar\Stalk mount testing\Type 1e Quality Assurance\CRYO-2076-3109  2201 1E","folder")</f>
        <v>folder</v>
      </c>
      <c r="T892" t="s">
        <v>2720</v>
      </c>
      <c r="U892" t="s">
        <v>2784</v>
      </c>
      <c r="V892" s="407" t="s">
        <v>2770</v>
      </c>
      <c r="W892" s="29">
        <v>3</v>
      </c>
    </row>
    <row r="893" spans="1:24">
      <c r="A893" s="134">
        <v>2202</v>
      </c>
      <c r="B893" s="134">
        <v>16</v>
      </c>
      <c r="C893">
        <v>1.51</v>
      </c>
      <c r="D893" s="301">
        <v>7.13</v>
      </c>
      <c r="E893">
        <v>24.39</v>
      </c>
      <c r="F893" s="19" t="s">
        <v>2763</v>
      </c>
      <c r="G893">
        <v>63.1</v>
      </c>
      <c r="H893">
        <v>67.099999999999994</v>
      </c>
      <c r="I893" s="217">
        <v>43361</v>
      </c>
      <c r="J893" t="s">
        <v>130</v>
      </c>
      <c r="K893">
        <v>33.520000000000003</v>
      </c>
      <c r="L893">
        <v>0.20300000000000001</v>
      </c>
      <c r="Q893" s="4" t="str">
        <f>HYPERLINK("\\hopi-fs\shares\users\dhar\Stalk mount testing\Type 1e Quality Assurance\CRYO-2079-3125  2202 1E","folder")</f>
        <v>folder</v>
      </c>
      <c r="T893" t="s">
        <v>2720</v>
      </c>
      <c r="U893" t="s">
        <v>2777</v>
      </c>
      <c r="V893" s="407" t="s">
        <v>2771</v>
      </c>
      <c r="W893" s="29">
        <v>2</v>
      </c>
    </row>
    <row r="894" spans="1:24" ht="21.75" customHeight="1">
      <c r="A894" s="134">
        <v>2203</v>
      </c>
      <c r="B894" s="134">
        <v>19</v>
      </c>
      <c r="C894">
        <v>1.5</v>
      </c>
      <c r="D894" s="301">
        <v>7.12</v>
      </c>
      <c r="E894">
        <v>24.39</v>
      </c>
      <c r="F894" s="270" t="s">
        <v>2773</v>
      </c>
      <c r="G894">
        <v>66.599999999999994</v>
      </c>
      <c r="H894">
        <v>66.3</v>
      </c>
      <c r="I894" s="217">
        <v>43362</v>
      </c>
      <c r="J894" t="s">
        <v>130</v>
      </c>
      <c r="K894">
        <v>33.51</v>
      </c>
      <c r="L894">
        <v>0.53400000000000003</v>
      </c>
      <c r="Q894" s="4" t="str">
        <f>HYPERLINK("\\hopi-fs\shares\users\dhar\Stalk mount testing\Type 1e Quality Assurance\CRYO-2079-3130  2203 1E","folder")</f>
        <v>folder</v>
      </c>
      <c r="T894" t="s">
        <v>2720</v>
      </c>
      <c r="U894" t="s">
        <v>2778</v>
      </c>
      <c r="V894" s="407" t="s">
        <v>2697</v>
      </c>
      <c r="W894" s="29">
        <v>2</v>
      </c>
    </row>
    <row r="895" spans="1:24">
      <c r="A895" s="134">
        <v>2203</v>
      </c>
      <c r="B895" s="134">
        <v>19</v>
      </c>
      <c r="C895">
        <v>1.5</v>
      </c>
      <c r="D895" s="301">
        <v>7.12</v>
      </c>
      <c r="E895">
        <v>24.4</v>
      </c>
      <c r="F895" s="176" t="s">
        <v>2764</v>
      </c>
      <c r="G895">
        <v>63.1</v>
      </c>
      <c r="H895">
        <v>67.099999999999994</v>
      </c>
      <c r="I895" s="217">
        <v>43361</v>
      </c>
      <c r="J895" t="s">
        <v>130</v>
      </c>
      <c r="K895">
        <v>33.53</v>
      </c>
      <c r="L895">
        <v>0.377</v>
      </c>
      <c r="Q895" s="4" t="str">
        <f>HYPERLINK("\\hopi-fs\shares\users\dhar\Stalk mount testing\Type 1e Quality Assurance\CRYO-2080-3126  2203 1E","folder")</f>
        <v>folder</v>
      </c>
      <c r="T895" t="s">
        <v>2720</v>
      </c>
      <c r="U895" t="s">
        <v>2779</v>
      </c>
      <c r="V895" s="176" t="s">
        <v>2772</v>
      </c>
    </row>
    <row r="896" spans="1:24">
      <c r="A896" s="134">
        <v>2204</v>
      </c>
      <c r="B896" s="134">
        <v>16</v>
      </c>
      <c r="C896">
        <v>1.5</v>
      </c>
      <c r="D896" s="301">
        <v>7.12</v>
      </c>
      <c r="E896">
        <v>24.34</v>
      </c>
      <c r="F896" s="19" t="s">
        <v>2765</v>
      </c>
      <c r="G896">
        <v>63.1</v>
      </c>
      <c r="H896">
        <v>67.099999999999994</v>
      </c>
      <c r="I896" s="217">
        <v>43361</v>
      </c>
      <c r="J896" t="s">
        <v>130</v>
      </c>
      <c r="K896">
        <v>33.46</v>
      </c>
      <c r="L896">
        <v>0.42699999999999999</v>
      </c>
      <c r="Q896" s="4" t="str">
        <f>HYPERLINK("\\hopi-fs\shares\users\dhar\Stalk mount testing\Type 1e Quality Assurance\CRYO-2079-3131  2204 1E","folder")</f>
        <v>folder</v>
      </c>
      <c r="T896" t="s">
        <v>2720</v>
      </c>
      <c r="U896" t="s">
        <v>2783</v>
      </c>
      <c r="V896" s="407" t="s">
        <v>2728</v>
      </c>
      <c r="W896" s="29">
        <v>4</v>
      </c>
    </row>
    <row r="897" spans="1:24">
      <c r="A897" s="134">
        <v>2205</v>
      </c>
      <c r="B897" s="134">
        <v>19</v>
      </c>
      <c r="C897">
        <v>1.49</v>
      </c>
      <c r="D897" s="301">
        <v>7.12</v>
      </c>
      <c r="E897">
        <v>24.38</v>
      </c>
      <c r="F897" s="351" t="s">
        <v>2774</v>
      </c>
      <c r="G897">
        <v>66.599999999999994</v>
      </c>
      <c r="H897">
        <v>66.3</v>
      </c>
      <c r="I897" s="217">
        <v>43362</v>
      </c>
      <c r="J897" t="s">
        <v>130</v>
      </c>
      <c r="K897">
        <v>33.49</v>
      </c>
      <c r="L897">
        <v>0.70399999999999996</v>
      </c>
      <c r="Q897" s="4" t="str">
        <f>HYPERLINK("\\hopi-fs\shares\users\dhar\Stalk mount testing\Type 1e Quality Assurance\CRYO-2069-2834  2205 1E","folder")</f>
        <v>folder</v>
      </c>
      <c r="T897" t="s">
        <v>2720</v>
      </c>
      <c r="U897" t="s">
        <v>2785</v>
      </c>
      <c r="V897" s="407" t="s">
        <v>2739</v>
      </c>
      <c r="W897" s="29">
        <v>1</v>
      </c>
    </row>
    <row r="898" spans="1:24">
      <c r="A898" s="134">
        <v>2206</v>
      </c>
      <c r="B898" s="134">
        <v>19</v>
      </c>
      <c r="C898">
        <v>1.51</v>
      </c>
      <c r="D898" s="301">
        <v>7.11</v>
      </c>
      <c r="E898">
        <v>24.38</v>
      </c>
      <c r="F898" s="351" t="s">
        <v>2775</v>
      </c>
      <c r="G898">
        <v>66.599999999999994</v>
      </c>
      <c r="H898">
        <v>66.3</v>
      </c>
      <c r="I898" s="217">
        <v>43362</v>
      </c>
      <c r="J898" t="s">
        <v>130</v>
      </c>
      <c r="K898">
        <v>33.51</v>
      </c>
      <c r="L898">
        <v>0.754</v>
      </c>
      <c r="Q898" s="4" t="str">
        <f>HYPERLINK("\\hopi-fs\shares\users\dhar\Stalk mount testing\Type 1e Quality Assurance\CRYO-2067-2838  2206 1E","folder")</f>
        <v>folder</v>
      </c>
      <c r="T898" t="s">
        <v>2720</v>
      </c>
      <c r="U898" t="s">
        <v>3833</v>
      </c>
      <c r="V898" s="407" t="s">
        <v>2776</v>
      </c>
      <c r="W898" s="29">
        <v>2</v>
      </c>
    </row>
    <row r="899" spans="1:24" ht="30" customHeight="1">
      <c r="A899" s="134">
        <v>2163</v>
      </c>
      <c r="B899" s="134">
        <v>19</v>
      </c>
      <c r="C899">
        <v>1.49</v>
      </c>
      <c r="D899" s="301">
        <v>7.12</v>
      </c>
      <c r="E899">
        <v>24.36</v>
      </c>
      <c r="F899" s="349" t="s">
        <v>2787</v>
      </c>
      <c r="G899">
        <v>64.3</v>
      </c>
      <c r="H899">
        <v>67.099999999999994</v>
      </c>
      <c r="I899" s="217">
        <v>43375</v>
      </c>
      <c r="J899" t="s">
        <v>130</v>
      </c>
      <c r="K899">
        <v>33.4</v>
      </c>
      <c r="L899">
        <v>0.311</v>
      </c>
      <c r="Q899" s="4" t="str">
        <f>HYPERLINK("\\hopi-fs\shares\users\dhar\Stalk mount testing\Type 1e Quality Assurance\CRYO-2081-3138 2163","folder")</f>
        <v>folder</v>
      </c>
      <c r="T899" t="s">
        <v>2720</v>
      </c>
      <c r="U899" s="478" t="s">
        <v>3864</v>
      </c>
      <c r="V899" s="407" t="s">
        <v>2804</v>
      </c>
      <c r="W899" s="29" t="s">
        <v>169</v>
      </c>
    </row>
    <row r="900" spans="1:24">
      <c r="A900" s="134">
        <v>2203</v>
      </c>
      <c r="B900" s="134">
        <v>16</v>
      </c>
      <c r="C900">
        <v>1.5</v>
      </c>
      <c r="D900" s="301">
        <v>7.13</v>
      </c>
      <c r="E900">
        <v>24.44</v>
      </c>
      <c r="F900" s="349" t="s">
        <v>2788</v>
      </c>
      <c r="G900">
        <v>64.3</v>
      </c>
      <c r="H900">
        <v>67.099999999999994</v>
      </c>
      <c r="I900" s="217">
        <v>43375</v>
      </c>
      <c r="J900" t="s">
        <v>130</v>
      </c>
      <c r="K900">
        <v>33.5</v>
      </c>
      <c r="L900" s="13">
        <v>0.35799999999999998</v>
      </c>
      <c r="Q900" s="4" t="str">
        <f>HYPERLINK("\\hopi-fs\shares\users\dhar\Stalk mount testing\Type 1e Quality Assurance\CRYO-2081-3139 2203","folder")</f>
        <v>folder</v>
      </c>
      <c r="T900" t="s">
        <v>2720</v>
      </c>
      <c r="U900" t="s">
        <v>3863</v>
      </c>
      <c r="V900" s="407" t="s">
        <v>2803</v>
      </c>
      <c r="W900" s="29" t="s">
        <v>169</v>
      </c>
    </row>
    <row r="901" spans="1:24">
      <c r="A901" s="134">
        <v>2207</v>
      </c>
      <c r="B901" s="134">
        <v>16</v>
      </c>
      <c r="C901">
        <v>1.48</v>
      </c>
      <c r="D901" s="301">
        <v>7.11</v>
      </c>
      <c r="E901">
        <v>24.59</v>
      </c>
      <c r="F901" s="351" t="s">
        <v>2789</v>
      </c>
      <c r="G901">
        <v>64.3</v>
      </c>
      <c r="H901">
        <v>67.099999999999994</v>
      </c>
      <c r="I901" s="217">
        <v>43375</v>
      </c>
      <c r="J901" t="s">
        <v>130</v>
      </c>
      <c r="K901">
        <v>33.4</v>
      </c>
      <c r="L901" s="13">
        <v>0.97</v>
      </c>
      <c r="Q901" s="4" t="str">
        <f>HYPERLINK("\\hopi-fs\shares\users\dhar\Stalk mount testing\Type 1e Quality Assurance\CRYO-2082-3140 2207","folder")</f>
        <v>folder</v>
      </c>
      <c r="T901" t="s">
        <v>2720</v>
      </c>
      <c r="U901" t="s">
        <v>2809</v>
      </c>
      <c r="V901" s="407" t="s">
        <v>2802</v>
      </c>
      <c r="W901" s="29" t="s">
        <v>169</v>
      </c>
      <c r="X901">
        <v>1</v>
      </c>
    </row>
    <row r="902" spans="1:24">
      <c r="A902" s="134">
        <v>2208</v>
      </c>
      <c r="B902" s="134">
        <v>19</v>
      </c>
      <c r="C902">
        <v>1.51</v>
      </c>
      <c r="D902" s="301">
        <v>7.14</v>
      </c>
      <c r="E902">
        <v>24.4</v>
      </c>
      <c r="F902" s="351" t="s">
        <v>2790</v>
      </c>
      <c r="G902">
        <v>64.3</v>
      </c>
      <c r="H902">
        <v>67.099999999999994</v>
      </c>
      <c r="I902" s="217">
        <v>43375</v>
      </c>
      <c r="J902" t="s">
        <v>130</v>
      </c>
      <c r="K902">
        <v>33.6</v>
      </c>
      <c r="L902">
        <v>0.995</v>
      </c>
      <c r="Q902" s="4" t="str">
        <f>HYPERLINK("\\hopi-fs\shares\users\dhar\Stalk mount testing\Type 1e Quality Assurance\CRYO-2082-3141 2208","folder")</f>
        <v>folder</v>
      </c>
      <c r="T902" t="s">
        <v>2720</v>
      </c>
      <c r="U902" t="s">
        <v>2810</v>
      </c>
      <c r="V902" s="407" t="s">
        <v>2808</v>
      </c>
      <c r="W902" s="29" t="s">
        <v>169</v>
      </c>
    </row>
    <row r="903" spans="1:24">
      <c r="A903" s="134">
        <v>2209</v>
      </c>
      <c r="B903" s="134">
        <v>17.600000000000001</v>
      </c>
      <c r="C903">
        <v>1.5</v>
      </c>
      <c r="D903" s="301">
        <v>7.14</v>
      </c>
      <c r="E903">
        <v>24.38</v>
      </c>
      <c r="F903" s="19" t="s">
        <v>2791</v>
      </c>
      <c r="G903">
        <v>64.3</v>
      </c>
      <c r="H903">
        <v>67.099999999999994</v>
      </c>
      <c r="I903" s="217">
        <v>43375</v>
      </c>
      <c r="J903" t="s">
        <v>130</v>
      </c>
      <c r="K903">
        <v>33.5</v>
      </c>
      <c r="L903">
        <v>0.89600000000000002</v>
      </c>
      <c r="Q903" s="4" t="str">
        <f>HYPERLINK("\\hopi-fs\shares\users\dhar\Stalk mount testing\Type 1e Quality Assurance\CRYO-2081-3144 2209","folder")</f>
        <v>folder</v>
      </c>
      <c r="T903" t="s">
        <v>2720</v>
      </c>
      <c r="U903" t="s">
        <v>2811</v>
      </c>
      <c r="V903" s="407" t="s">
        <v>2801</v>
      </c>
      <c r="W903" s="29" t="s">
        <v>169</v>
      </c>
    </row>
    <row r="904" spans="1:24">
      <c r="A904" s="134">
        <v>2210</v>
      </c>
      <c r="B904" s="134">
        <v>19</v>
      </c>
      <c r="C904">
        <v>1.5</v>
      </c>
      <c r="D904" s="301">
        <v>7.13</v>
      </c>
      <c r="E904">
        <v>24.38</v>
      </c>
      <c r="F904" s="176" t="s">
        <v>2792</v>
      </c>
      <c r="G904">
        <v>64.3</v>
      </c>
      <c r="H904">
        <v>67.099999999999994</v>
      </c>
      <c r="I904" s="217">
        <v>43375</v>
      </c>
      <c r="J904" t="s">
        <v>130</v>
      </c>
      <c r="K904">
        <v>33.5</v>
      </c>
      <c r="L904">
        <v>0.91100000000000003</v>
      </c>
      <c r="Q904" s="4" t="str">
        <f>HYPERLINK("\\hopi-fs\shares\users\dhar\Stalk mount testing\Type 1e Quality Assurance\CRYO-2081-3146 2210","folder")</f>
        <v>folder</v>
      </c>
      <c r="T904" t="s">
        <v>2720</v>
      </c>
      <c r="U904" t="s">
        <v>2813</v>
      </c>
      <c r="V904" s="407" t="s">
        <v>2800</v>
      </c>
      <c r="W904" s="29" t="s">
        <v>169</v>
      </c>
    </row>
    <row r="905" spans="1:24">
      <c r="A905" s="134">
        <v>2211</v>
      </c>
      <c r="B905" s="134">
        <v>18</v>
      </c>
      <c r="C905">
        <v>1.49</v>
      </c>
      <c r="D905" s="301">
        <v>7.09</v>
      </c>
      <c r="E905">
        <v>24.35</v>
      </c>
      <c r="F905" s="19" t="s">
        <v>2793</v>
      </c>
      <c r="G905">
        <v>64.3</v>
      </c>
      <c r="H905">
        <v>67.099999999999994</v>
      </c>
      <c r="I905" s="217">
        <v>43375</v>
      </c>
      <c r="J905" t="s">
        <v>130</v>
      </c>
      <c r="K905">
        <v>33.4</v>
      </c>
      <c r="L905">
        <v>0.627</v>
      </c>
      <c r="Q905" s="4" t="str">
        <f>HYPERLINK("\\hopi-fs\shares\users\dhar\Stalk mount testing\Type 1e Quality Assurance\CRYO-2082-3147 2211","folder")</f>
        <v>folder</v>
      </c>
      <c r="T905" t="s">
        <v>2720</v>
      </c>
      <c r="U905" t="s">
        <v>2812</v>
      </c>
      <c r="V905" s="407" t="s">
        <v>2799</v>
      </c>
      <c r="W905" s="29">
        <v>3</v>
      </c>
      <c r="X905">
        <v>1</v>
      </c>
    </row>
    <row r="906" spans="1:24">
      <c r="A906" s="134">
        <v>2212</v>
      </c>
      <c r="B906" s="134">
        <v>18</v>
      </c>
      <c r="C906">
        <v>1.5</v>
      </c>
      <c r="D906" s="301">
        <v>7.08</v>
      </c>
      <c r="E906">
        <v>24.42</v>
      </c>
      <c r="F906" s="19" t="s">
        <v>2794</v>
      </c>
      <c r="G906">
        <v>64.3</v>
      </c>
      <c r="H906">
        <v>67.099999999999994</v>
      </c>
      <c r="I906" s="217">
        <v>43375</v>
      </c>
      <c r="J906" t="s">
        <v>130</v>
      </c>
      <c r="K906">
        <v>33.4</v>
      </c>
      <c r="L906">
        <v>0.77200000000000002</v>
      </c>
      <c r="Q906" s="4" t="str">
        <f>HYPERLINK("\\hopi-fs\shares\users\dhar\Stalk mount testing\Type 1e Quality Assurance\CRYO-2081-3148 2212","folder")</f>
        <v>folder</v>
      </c>
      <c r="T906" t="s">
        <v>2720</v>
      </c>
      <c r="U906" t="s">
        <v>2823</v>
      </c>
      <c r="V906" s="407" t="s">
        <v>2807</v>
      </c>
      <c r="W906" s="29" t="s">
        <v>169</v>
      </c>
    </row>
    <row r="907" spans="1:24">
      <c r="A907" s="134">
        <v>2214</v>
      </c>
      <c r="B907" s="134">
        <v>14</v>
      </c>
      <c r="C907">
        <v>1.49</v>
      </c>
      <c r="D907" s="301">
        <v>7.13</v>
      </c>
      <c r="E907">
        <v>24.4</v>
      </c>
      <c r="F907" s="176" t="s">
        <v>2795</v>
      </c>
      <c r="G907">
        <v>64.3</v>
      </c>
      <c r="H907">
        <v>67.099999999999994</v>
      </c>
      <c r="I907" s="217">
        <v>43375</v>
      </c>
      <c r="J907" t="s">
        <v>130</v>
      </c>
      <c r="K907">
        <v>33.5</v>
      </c>
      <c r="L907">
        <v>0.63600000000000001</v>
      </c>
      <c r="Q907" s="4" t="str">
        <f>HYPERLINK("\\hopi-fs\shares\users\dhar\Stalk mount testing\Type 1e Quality Assurance\CRYO-2079-3149 2214","folder")</f>
        <v>folder</v>
      </c>
      <c r="T907" t="s">
        <v>2720</v>
      </c>
      <c r="U907" t="s">
        <v>2805</v>
      </c>
      <c r="V907" s="407" t="s">
        <v>2797</v>
      </c>
      <c r="W907" s="29" t="s">
        <v>169</v>
      </c>
    </row>
    <row r="908" spans="1:24">
      <c r="A908" s="134">
        <v>2215</v>
      </c>
      <c r="C908">
        <v>1.51</v>
      </c>
      <c r="D908" s="301">
        <v>7.12</v>
      </c>
      <c r="E908">
        <v>24.5</v>
      </c>
      <c r="F908" s="176" t="s">
        <v>2796</v>
      </c>
      <c r="G908">
        <v>64.3</v>
      </c>
      <c r="H908">
        <v>67.099999999999994</v>
      </c>
      <c r="I908" s="217">
        <v>43375</v>
      </c>
      <c r="J908" t="s">
        <v>130</v>
      </c>
      <c r="K908">
        <v>33.5</v>
      </c>
      <c r="L908">
        <v>0.871</v>
      </c>
      <c r="Q908" s="4" t="str">
        <f>HYPERLINK("\\hopi-fs\shares\users\dhar\Stalk mount testing\Type 1e Quality Assurance\CRYO-2079-3150 2215","folder")</f>
        <v>folder</v>
      </c>
      <c r="T908" t="s">
        <v>2720</v>
      </c>
      <c r="U908" t="s">
        <v>2806</v>
      </c>
      <c r="V908" s="407" t="s">
        <v>2798</v>
      </c>
      <c r="W908" s="29" t="s">
        <v>169</v>
      </c>
    </row>
    <row r="909" spans="1:24">
      <c r="A909" s="134">
        <v>2216</v>
      </c>
      <c r="B909" s="134">
        <v>19</v>
      </c>
      <c r="C909">
        <v>1.51</v>
      </c>
      <c r="D909" s="301">
        <v>7.14</v>
      </c>
      <c r="E909">
        <v>24.43</v>
      </c>
      <c r="F909" s="351" t="s">
        <v>2814</v>
      </c>
      <c r="G909">
        <v>38.6</v>
      </c>
      <c r="H909">
        <v>67.3</v>
      </c>
      <c r="I909" s="217">
        <v>43390</v>
      </c>
      <c r="J909" t="s">
        <v>130</v>
      </c>
      <c r="K909">
        <v>33.520000000000003</v>
      </c>
      <c r="L909">
        <v>0.36599999999999999</v>
      </c>
      <c r="Q909" s="4" t="str">
        <f>HYPERLINK("\\hopi-fs\shares\users\dhar\Stalk mount testing\Type 1e Quality Assurance\CRYO-2079-3151  2216 1E","folder")</f>
        <v>folder</v>
      </c>
      <c r="T909" t="s">
        <v>2720</v>
      </c>
      <c r="U909" t="s">
        <v>2822</v>
      </c>
      <c r="V909" s="407" t="s">
        <v>2818</v>
      </c>
      <c r="W909" s="29">
        <v>2</v>
      </c>
      <c r="X909">
        <v>1</v>
      </c>
    </row>
    <row r="910" spans="1:24">
      <c r="A910" s="134">
        <v>2217</v>
      </c>
      <c r="B910" s="134">
        <v>19</v>
      </c>
      <c r="C910">
        <v>1.5</v>
      </c>
      <c r="D910" s="301">
        <v>7.12</v>
      </c>
      <c r="E910">
        <v>24.37</v>
      </c>
      <c r="F910" s="351" t="s">
        <v>2815</v>
      </c>
      <c r="G910">
        <v>38.6</v>
      </c>
      <c r="H910">
        <v>67.3</v>
      </c>
      <c r="I910" s="217">
        <v>43390</v>
      </c>
      <c r="J910" t="s">
        <v>130</v>
      </c>
      <c r="K910">
        <v>33.43</v>
      </c>
      <c r="L910">
        <v>0.217</v>
      </c>
      <c r="Q910" s="4" t="str">
        <f>HYPERLINK("\\hopi-fs\shares\users\dhar\Stalk mount testing\Type 1e Quality Assurance\CRYO-2079-3153  2217 1E","folder")</f>
        <v>folder</v>
      </c>
      <c r="T910" t="s">
        <v>2720</v>
      </c>
      <c r="U910" t="s">
        <v>2822</v>
      </c>
      <c r="V910" s="407" t="s">
        <v>2818</v>
      </c>
      <c r="W910" s="29">
        <v>3</v>
      </c>
      <c r="X910">
        <v>1</v>
      </c>
    </row>
    <row r="911" spans="1:24">
      <c r="A911" s="134">
        <v>2218</v>
      </c>
      <c r="B911" s="134">
        <v>16</v>
      </c>
      <c r="C911">
        <v>1.5</v>
      </c>
      <c r="D911" s="301">
        <v>7.09</v>
      </c>
      <c r="E911">
        <v>24.44</v>
      </c>
      <c r="F911" s="351" t="s">
        <v>2816</v>
      </c>
      <c r="G911">
        <v>38.6</v>
      </c>
      <c r="H911">
        <v>67.3</v>
      </c>
      <c r="I911" s="217">
        <v>43390</v>
      </c>
      <c r="J911" t="s">
        <v>130</v>
      </c>
      <c r="K911">
        <v>33.479999999999997</v>
      </c>
      <c r="L911">
        <v>0.152</v>
      </c>
      <c r="Q911" s="4" t="str">
        <f>HYPERLINK("\\hopi-fs\shares\users\dhar\Stalk mount testing\Type 1e Quality Assurance\CRYO-2079-3160  2218 1E","folder")</f>
        <v>folder</v>
      </c>
      <c r="T911" t="s">
        <v>2720</v>
      </c>
      <c r="U911" t="s">
        <v>2822</v>
      </c>
      <c r="V911" s="407" t="s">
        <v>2819</v>
      </c>
      <c r="W911" s="29">
        <v>4</v>
      </c>
    </row>
    <row r="912" spans="1:24">
      <c r="A912" s="134">
        <v>2219</v>
      </c>
      <c r="B912" s="134">
        <v>16.8</v>
      </c>
      <c r="C912">
        <v>1.5</v>
      </c>
      <c r="D912" s="301">
        <v>7.12</v>
      </c>
      <c r="E912">
        <v>24.41</v>
      </c>
      <c r="F912" s="349" t="s">
        <v>2817</v>
      </c>
      <c r="G912">
        <v>38.6</v>
      </c>
      <c r="H912">
        <v>67.3</v>
      </c>
      <c r="I912" s="217">
        <v>43390</v>
      </c>
      <c r="J912" t="s">
        <v>130</v>
      </c>
      <c r="K912">
        <v>33.46</v>
      </c>
      <c r="L912">
        <v>0.74299999999999999</v>
      </c>
      <c r="Q912" s="4" t="str">
        <f>HYPERLINK("\\hopi-fs\shares\users\dhar\Stalk mount testing\Type 1e Quality Assurance\CRYO-2079-3163  2219 1E","folder")</f>
        <v>folder</v>
      </c>
      <c r="T912" t="s">
        <v>2720</v>
      </c>
      <c r="U912" t="s">
        <v>2821</v>
      </c>
      <c r="V912" s="407" t="s">
        <v>2820</v>
      </c>
      <c r="W912" s="29">
        <v>6</v>
      </c>
    </row>
    <row r="913" spans="1:23" ht="26.25" customHeight="1">
      <c r="A913" s="134">
        <v>2220</v>
      </c>
      <c r="B913" s="134">
        <v>17.2</v>
      </c>
      <c r="C913">
        <v>1.49</v>
      </c>
      <c r="D913" s="301">
        <v>7.1</v>
      </c>
      <c r="E913">
        <v>24.41</v>
      </c>
      <c r="F913" s="428" t="s">
        <v>2826</v>
      </c>
      <c r="G913">
        <v>32.700000000000003</v>
      </c>
      <c r="H913">
        <v>67.2</v>
      </c>
      <c r="I913" s="217">
        <v>43402</v>
      </c>
      <c r="J913" t="s">
        <v>130</v>
      </c>
      <c r="K913">
        <v>33.47</v>
      </c>
      <c r="L913">
        <v>0.54100000000000004</v>
      </c>
      <c r="M913" t="s">
        <v>1678</v>
      </c>
      <c r="Q913" s="4" t="str">
        <f>HYPERLINK("\\hopi-fs\shares\users\dhar\Stalk mount testing\Type 1e Quality Assurance\CRYO-2080-3168  2220 1E","folder")</f>
        <v>folder</v>
      </c>
      <c r="T913" t="s">
        <v>2720</v>
      </c>
      <c r="U913" t="s">
        <v>2845</v>
      </c>
      <c r="V913" s="407" t="s">
        <v>2697</v>
      </c>
    </row>
    <row r="914" spans="1:23">
      <c r="A914" s="134">
        <v>2221</v>
      </c>
      <c r="B914" s="134">
        <v>17.600000000000001</v>
      </c>
      <c r="C914">
        <v>1.49</v>
      </c>
      <c r="D914" s="301">
        <v>7.11</v>
      </c>
      <c r="E914">
        <v>24.38</v>
      </c>
      <c r="F914" s="19" t="s">
        <v>2827</v>
      </c>
      <c r="G914">
        <v>33.700000000000003</v>
      </c>
      <c r="H914">
        <v>67.2</v>
      </c>
      <c r="I914" s="217">
        <v>43402</v>
      </c>
      <c r="J914" t="s">
        <v>130</v>
      </c>
      <c r="K914">
        <v>33.44</v>
      </c>
      <c r="L914">
        <v>0.41099999999999998</v>
      </c>
      <c r="Q914" s="4" t="str">
        <f>HYPERLINK("\\hopi-fs\shares\users\dhar\Stalk mount testing\Type 1e Quality Assurance\CRYO-2081-3169  2221 1E","folder")</f>
        <v>folder</v>
      </c>
      <c r="T914" t="s">
        <v>2720</v>
      </c>
      <c r="U914" t="s">
        <v>3647</v>
      </c>
      <c r="V914" s="407" t="s">
        <v>2831</v>
      </c>
      <c r="W914" s="29">
        <v>4</v>
      </c>
    </row>
    <row r="915" spans="1:23">
      <c r="A915" s="134">
        <v>2223</v>
      </c>
      <c r="B915" s="134">
        <v>18.399999999999999</v>
      </c>
      <c r="C915">
        <v>1.5</v>
      </c>
      <c r="D915" s="301">
        <v>7.11</v>
      </c>
      <c r="E915">
        <v>24.35</v>
      </c>
      <c r="F915" s="375" t="s">
        <v>2828</v>
      </c>
      <c r="G915">
        <v>34.700000000000003</v>
      </c>
      <c r="H915">
        <v>67.2</v>
      </c>
      <c r="I915" s="217">
        <v>43402</v>
      </c>
      <c r="J915" t="s">
        <v>130</v>
      </c>
      <c r="K915">
        <v>33.409999999999997</v>
      </c>
      <c r="L915">
        <v>0.63</v>
      </c>
      <c r="Q915" s="4" t="str">
        <f>HYPERLINK("\\hopi-fs\shares\users\dhar\Stalk mount testing\Type 1e Quality Assurance\CRYO-2080-3172  2223 1E","folder")</f>
        <v>folder</v>
      </c>
      <c r="T915" t="s">
        <v>2720</v>
      </c>
      <c r="U915" t="s">
        <v>2845</v>
      </c>
      <c r="V915" s="407" t="s">
        <v>2832</v>
      </c>
    </row>
    <row r="916" spans="1:23">
      <c r="A916" s="134">
        <v>2224</v>
      </c>
      <c r="B916" s="134">
        <v>19</v>
      </c>
      <c r="C916">
        <v>1.51</v>
      </c>
      <c r="D916" s="301">
        <v>7.1</v>
      </c>
      <c r="E916">
        <v>24.41</v>
      </c>
      <c r="F916" s="375" t="s">
        <v>2829</v>
      </c>
      <c r="G916">
        <v>35.700000000000003</v>
      </c>
      <c r="H916">
        <v>67.2</v>
      </c>
      <c r="I916" s="217">
        <v>43402</v>
      </c>
      <c r="J916" t="s">
        <v>130</v>
      </c>
      <c r="K916">
        <v>33.450000000000003</v>
      </c>
      <c r="L916">
        <v>0.622</v>
      </c>
      <c r="Q916" s="4" t="str">
        <f>HYPERLINK("\\hopi-fs\shares\users\dhar\Stalk mount testing\Type 1e Quality Assurance\CRYO-2080-3173  2224 1E","folder")</f>
        <v>folder</v>
      </c>
      <c r="T916" t="s">
        <v>2720</v>
      </c>
      <c r="U916" t="s">
        <v>2845</v>
      </c>
      <c r="V916" s="407" t="s">
        <v>2833</v>
      </c>
    </row>
    <row r="917" spans="1:23">
      <c r="A917" s="134">
        <v>2225</v>
      </c>
      <c r="B917" s="134">
        <v>17.2</v>
      </c>
      <c r="C917">
        <v>1.51</v>
      </c>
      <c r="D917" s="301">
        <v>7.15</v>
      </c>
      <c r="E917">
        <v>24.4</v>
      </c>
      <c r="F917" s="428" t="s">
        <v>2830</v>
      </c>
      <c r="G917">
        <v>36.700000000000003</v>
      </c>
      <c r="H917">
        <v>67.2</v>
      </c>
      <c r="I917" s="217">
        <v>43402</v>
      </c>
      <c r="J917" t="s">
        <v>130</v>
      </c>
      <c r="K917">
        <v>33.49</v>
      </c>
      <c r="L917">
        <v>0.44700000000000001</v>
      </c>
      <c r="Q917" s="4" t="str">
        <f>HYPERLINK("\\hopi-fs\shares\users\dhar\Stalk mount testing\Type 1e Quality Assurance\CRYO-2080-3178  2225 1E","folder")</f>
        <v>folder</v>
      </c>
      <c r="T917" t="s">
        <v>2720</v>
      </c>
      <c r="U917" t="s">
        <v>2845</v>
      </c>
      <c r="V917" s="407" t="s">
        <v>2745</v>
      </c>
    </row>
    <row r="918" spans="1:23" ht="26.25" customHeight="1">
      <c r="A918" s="134">
        <v>2226</v>
      </c>
      <c r="B918" s="134">
        <v>16</v>
      </c>
      <c r="C918">
        <v>1.5</v>
      </c>
      <c r="D918" s="301">
        <v>7.12</v>
      </c>
      <c r="E918">
        <v>24.42</v>
      </c>
      <c r="F918" s="45" t="s">
        <v>2836</v>
      </c>
      <c r="G918">
        <v>48.3</v>
      </c>
      <c r="H918">
        <v>67.3</v>
      </c>
      <c r="I918" s="217">
        <v>43405</v>
      </c>
      <c r="J918" t="s">
        <v>130</v>
      </c>
      <c r="K918">
        <v>33.51</v>
      </c>
      <c r="L918">
        <v>0.47499999999999998</v>
      </c>
      <c r="Q918" s="4" t="str">
        <f>HYPERLINK("\\hopi-fs\shares\users\dhar\Stalk mount testing\Type 1e Quality Assurance\CRYO-9081-0068  2226 1E PS","folder")</f>
        <v>folder</v>
      </c>
      <c r="T918" t="s">
        <v>2720</v>
      </c>
      <c r="U918" t="s">
        <v>2990</v>
      </c>
      <c r="V918" s="407" t="s">
        <v>2818</v>
      </c>
    </row>
    <row r="919" spans="1:23">
      <c r="A919" s="134">
        <v>1758</v>
      </c>
      <c r="B919" s="134">
        <v>18</v>
      </c>
      <c r="C919">
        <v>1.5</v>
      </c>
      <c r="D919" s="301">
        <v>7.13</v>
      </c>
      <c r="E919">
        <v>24.44</v>
      </c>
      <c r="F919" s="428" t="s">
        <v>2837</v>
      </c>
      <c r="G919">
        <v>48.3</v>
      </c>
      <c r="H919">
        <v>67.3</v>
      </c>
      <c r="I919" s="217">
        <v>43405</v>
      </c>
      <c r="J919" t="s">
        <v>130</v>
      </c>
      <c r="K919">
        <v>33.5</v>
      </c>
      <c r="L919">
        <v>0.40100000000000002</v>
      </c>
      <c r="Q919" s="4" t="str">
        <f>HYPERLINK("\\hopi-fs\shares\users\dhar\Stalk mount testing\Type 1e Quality Assurance\CRYO-9078-0069  1758 1E PS","folder")</f>
        <v>folder</v>
      </c>
      <c r="T919" t="s">
        <v>2720</v>
      </c>
      <c r="U919" t="s">
        <v>2845</v>
      </c>
      <c r="V919" s="407" t="s">
        <v>2708</v>
      </c>
    </row>
    <row r="920" spans="1:23">
      <c r="A920" s="134">
        <v>2068</v>
      </c>
      <c r="B920" s="134">
        <v>16.399999999999999</v>
      </c>
      <c r="C920">
        <v>1.51</v>
      </c>
      <c r="D920" s="301">
        <v>7.09</v>
      </c>
      <c r="E920">
        <v>24.36</v>
      </c>
      <c r="F920" s="19" t="s">
        <v>2838</v>
      </c>
      <c r="G920">
        <v>48.3</v>
      </c>
      <c r="H920">
        <v>67.3</v>
      </c>
      <c r="I920" s="217">
        <v>43405</v>
      </c>
      <c r="J920" t="s">
        <v>130</v>
      </c>
      <c r="K920">
        <v>33.409999999999997</v>
      </c>
      <c r="L920">
        <v>0.28199999999999997</v>
      </c>
      <c r="Q920" s="4" t="str">
        <f>HYPERLINK("\\hopi-fs\shares\users\dhar\Stalk mount testing\Type 1e Quality Assurance\CRYO-9082-0073  2068 1E PS","folder")</f>
        <v>folder</v>
      </c>
      <c r="T920" t="s">
        <v>2720</v>
      </c>
      <c r="U920" t="s">
        <v>3852</v>
      </c>
      <c r="V920" s="407" t="s">
        <v>2840</v>
      </c>
    </row>
    <row r="921" spans="1:23">
      <c r="A921" s="134">
        <v>2086</v>
      </c>
      <c r="B921" s="134">
        <v>19</v>
      </c>
      <c r="C921">
        <v>1.51</v>
      </c>
      <c r="D921" s="301">
        <v>7.14</v>
      </c>
      <c r="E921">
        <v>24.43</v>
      </c>
      <c r="F921" s="176" t="s">
        <v>2839</v>
      </c>
      <c r="G921">
        <v>48.3</v>
      </c>
      <c r="H921">
        <v>67.3</v>
      </c>
      <c r="I921" s="217">
        <v>43405</v>
      </c>
      <c r="J921" t="s">
        <v>130</v>
      </c>
      <c r="K921">
        <v>33.549999999999997</v>
      </c>
      <c r="L921">
        <v>0.184</v>
      </c>
      <c r="Q921" s="4" t="str">
        <f>HYPERLINK("\\hopi-fs\shares\users\dhar\Stalk mount testing\Type 1e Quality Assurance\CRYO-9080-0074  2086 1E PS","folder")</f>
        <v>folder</v>
      </c>
      <c r="T921" t="s">
        <v>2720</v>
      </c>
      <c r="V921" s="407" t="s">
        <v>2841</v>
      </c>
    </row>
    <row r="922" spans="1:23">
      <c r="A922" s="134">
        <v>2083</v>
      </c>
      <c r="B922" s="134">
        <v>17.2</v>
      </c>
      <c r="C922">
        <v>1.54</v>
      </c>
      <c r="D922" s="301">
        <v>7.14</v>
      </c>
      <c r="E922">
        <v>24.38</v>
      </c>
      <c r="F922" s="187" t="s">
        <v>2843</v>
      </c>
      <c r="G922">
        <v>22</v>
      </c>
      <c r="H922">
        <v>70.099999999999994</v>
      </c>
      <c r="I922" s="217">
        <v>43405</v>
      </c>
      <c r="J922" t="s">
        <v>130</v>
      </c>
      <c r="K922">
        <v>33.49</v>
      </c>
      <c r="L922">
        <v>0.53400000000000003</v>
      </c>
      <c r="M922" t="s">
        <v>1678</v>
      </c>
      <c r="Q922" s="4" t="str">
        <f>HYPERLINK("\\hopi-fs\shares\users\dhar\Stalk mount testing\Type 1e Quality Assurance\CRYO-9078-0075  2083 1E PS","folder")</f>
        <v>folder</v>
      </c>
      <c r="T922" t="s">
        <v>2720</v>
      </c>
      <c r="U922" t="s">
        <v>2845</v>
      </c>
      <c r="V922" s="407" t="s">
        <v>2844</v>
      </c>
    </row>
    <row r="923" spans="1:23">
      <c r="A923" s="134">
        <v>2083</v>
      </c>
      <c r="B923" s="134">
        <v>18.8</v>
      </c>
      <c r="C923">
        <v>1.54</v>
      </c>
      <c r="D923" s="301">
        <v>7.14</v>
      </c>
      <c r="E923">
        <v>24.38</v>
      </c>
      <c r="F923" s="176" t="s">
        <v>2842</v>
      </c>
      <c r="G923">
        <v>33.799999999999997</v>
      </c>
      <c r="H923">
        <v>66.5</v>
      </c>
      <c r="I923" s="217">
        <v>43406</v>
      </c>
      <c r="J923" t="s">
        <v>130</v>
      </c>
      <c r="K923">
        <v>33.5</v>
      </c>
      <c r="L923">
        <v>0.36499999999999999</v>
      </c>
      <c r="Q923" s="4" t="str">
        <f>HYPERLINK("\\hopi-fs\shares\users\dhar\Stalk mount testing\Type 1e Quality Assurance\CRYO-9078-0071  2083 1E PS","folder")</f>
        <v>folder</v>
      </c>
      <c r="T923" t="s">
        <v>2720</v>
      </c>
      <c r="V923" s="407" t="s">
        <v>2818</v>
      </c>
    </row>
    <row r="924" spans="1:23" ht="26.25" customHeight="1">
      <c r="A924" s="134">
        <v>2092</v>
      </c>
      <c r="B924" s="134">
        <v>18.399999999999999</v>
      </c>
      <c r="C924">
        <v>1.51</v>
      </c>
      <c r="D924">
        <v>7.1</v>
      </c>
      <c r="E924">
        <v>25.51</v>
      </c>
      <c r="F924" s="344" t="s">
        <v>2834</v>
      </c>
      <c r="G924">
        <v>23</v>
      </c>
      <c r="H924">
        <v>69.8</v>
      </c>
      <c r="I924" s="217">
        <v>43403</v>
      </c>
      <c r="J924" t="s">
        <v>130</v>
      </c>
      <c r="K924">
        <v>33.549999999999997</v>
      </c>
      <c r="L924">
        <v>0.51600000000000001</v>
      </c>
      <c r="Q924" s="4" t="str">
        <f>HYPERLINK("\\hopi-fs\shares\users\dhar\Stalk mount testing\Type 1e Quality Assurance\ISE-1Q19-09-001  2092 1E","folder")</f>
        <v>folder</v>
      </c>
      <c r="T924" t="s">
        <v>2720</v>
      </c>
      <c r="U924" s="29" t="s">
        <v>2852</v>
      </c>
      <c r="V924" s="407" t="s">
        <v>2835</v>
      </c>
    </row>
    <row r="925" spans="1:23" ht="30" customHeight="1">
      <c r="A925" s="134">
        <v>1938</v>
      </c>
      <c r="B925" s="134">
        <v>16</v>
      </c>
      <c r="C925">
        <v>1.51</v>
      </c>
      <c r="D925" s="301">
        <v>7.11</v>
      </c>
      <c r="E925">
        <v>24.24</v>
      </c>
      <c r="F925" s="351" t="s">
        <v>2848</v>
      </c>
      <c r="G925">
        <v>20</v>
      </c>
      <c r="H925">
        <v>66.599999999999994</v>
      </c>
      <c r="I925" s="217">
        <v>43419</v>
      </c>
      <c r="J925" t="s">
        <v>130</v>
      </c>
      <c r="K925">
        <v>33.33</v>
      </c>
      <c r="L925">
        <v>0.14399999999999999</v>
      </c>
      <c r="Q925" s="4" t="str">
        <f>HYPERLINK("\\hopi-fs\shares\users\dhar\Stalk mount testing\Type 1e Quality Assurance\ISE-2Q16-10-C313  1938 1E MEQ","folder")</f>
        <v>folder</v>
      </c>
      <c r="T925" t="s">
        <v>2720</v>
      </c>
      <c r="U925" t="s">
        <v>2958</v>
      </c>
      <c r="V925" s="407" t="s">
        <v>2713</v>
      </c>
    </row>
    <row r="926" spans="1:23">
      <c r="A926" s="134">
        <v>2213</v>
      </c>
      <c r="B926" s="134">
        <v>19</v>
      </c>
      <c r="C926">
        <v>1.48</v>
      </c>
      <c r="D926" s="301">
        <v>7.11</v>
      </c>
      <c r="E926">
        <v>24.37</v>
      </c>
      <c r="F926" s="351" t="s">
        <v>2847</v>
      </c>
      <c r="G926">
        <v>20</v>
      </c>
      <c r="H926">
        <v>66.599999999999994</v>
      </c>
      <c r="I926" s="217">
        <v>43419</v>
      </c>
      <c r="J926" t="s">
        <v>130</v>
      </c>
      <c r="K926">
        <v>33.4</v>
      </c>
      <c r="L926">
        <v>0.36599999999999999</v>
      </c>
      <c r="Q926" s="4" t="str">
        <f>HYPERLINK("\\hopi-fs\shares\users\dhar\Stalk mount testing\Type 1e Quality Assurance\ISE-2Q16-10-C305  2213 1E MEQ","folder")</f>
        <v>folder</v>
      </c>
      <c r="T926" t="s">
        <v>2720</v>
      </c>
      <c r="U926" t="s">
        <v>3538</v>
      </c>
      <c r="V926" s="407" t="s">
        <v>2956</v>
      </c>
    </row>
    <row r="927" spans="1:23">
      <c r="A927" s="134">
        <v>2227</v>
      </c>
      <c r="B927" s="134">
        <v>16.399999999999999</v>
      </c>
      <c r="C927">
        <v>1.5</v>
      </c>
      <c r="D927" s="301">
        <v>7.13</v>
      </c>
      <c r="E927">
        <v>24.36</v>
      </c>
      <c r="F927" s="351" t="s">
        <v>2849</v>
      </c>
      <c r="G927">
        <v>20</v>
      </c>
      <c r="H927">
        <v>66.599999999999994</v>
      </c>
      <c r="I927" s="217">
        <v>43419</v>
      </c>
      <c r="J927" t="s">
        <v>130</v>
      </c>
      <c r="K927">
        <v>33.44</v>
      </c>
      <c r="L927">
        <v>0.45700000000000002</v>
      </c>
      <c r="Q927" s="4" t="str">
        <f>HYPERLINK("\\hopi-fs\shares\users\dhar\Stalk mount testing\Type 1e Quality Assurance\ISE-2Q16-10-C314  2227 1E MEQ","folder")</f>
        <v>folder</v>
      </c>
      <c r="T927" t="s">
        <v>2720</v>
      </c>
      <c r="U927" s="478" t="s">
        <v>3879</v>
      </c>
      <c r="V927" s="407" t="s">
        <v>2955</v>
      </c>
    </row>
    <row r="928" spans="1:23">
      <c r="A928" s="134">
        <v>2228</v>
      </c>
      <c r="B928" s="134">
        <v>18.8</v>
      </c>
      <c r="C928">
        <v>1.49</v>
      </c>
      <c r="D928" s="301">
        <v>7.09</v>
      </c>
      <c r="E928">
        <v>24.33</v>
      </c>
      <c r="F928" s="351" t="s">
        <v>2850</v>
      </c>
      <c r="G928">
        <v>20</v>
      </c>
      <c r="H928">
        <v>66.599999999999994</v>
      </c>
      <c r="I928" s="217">
        <v>43419</v>
      </c>
      <c r="J928" t="s">
        <v>130</v>
      </c>
      <c r="K928">
        <v>33.35</v>
      </c>
      <c r="L928">
        <v>0.38800000000000001</v>
      </c>
      <c r="Q928" s="4" t="str">
        <f>HYPERLINK("\\hopi-fs\shares\users\dhar\Stalk mount testing\Type 1e Quality Assurance\ISE-2Q16-10-C315  2228 1E MEQ","folder")</f>
        <v>folder</v>
      </c>
      <c r="T928" t="s">
        <v>2720</v>
      </c>
      <c r="U928" t="s">
        <v>3509</v>
      </c>
      <c r="V928" s="407" t="s">
        <v>2832</v>
      </c>
    </row>
    <row r="929" spans="1:23" ht="30" customHeight="1">
      <c r="A929" s="134">
        <v>2229</v>
      </c>
      <c r="B929" s="134">
        <v>18</v>
      </c>
      <c r="C929">
        <v>1.52</v>
      </c>
      <c r="D929" s="301">
        <v>7.1</v>
      </c>
      <c r="E929">
        <v>24.43</v>
      </c>
      <c r="F929" s="351" t="s">
        <v>2853</v>
      </c>
      <c r="G929">
        <v>10</v>
      </c>
      <c r="H929">
        <v>72</v>
      </c>
      <c r="I929" s="217">
        <v>43472</v>
      </c>
      <c r="J929" t="s">
        <v>130</v>
      </c>
      <c r="K929">
        <v>33.5</v>
      </c>
      <c r="L929">
        <v>0.29799999999999999</v>
      </c>
      <c r="Q929" s="4" t="str">
        <f>HYPERLINK("\\hopi-fs\shares\users\dhar\Stalk mount testing\Type 1e Quality Assurance\CRYO-2078-3116  2229 1E","folder")</f>
        <v>folder</v>
      </c>
      <c r="T929" t="s">
        <v>2720</v>
      </c>
      <c r="U929" t="s">
        <v>2880</v>
      </c>
      <c r="V929" s="407" t="s">
        <v>2862</v>
      </c>
      <c r="W929" s="29">
        <v>3</v>
      </c>
    </row>
    <row r="930" spans="1:23">
      <c r="A930" s="134">
        <v>2230</v>
      </c>
      <c r="B930" s="134">
        <v>17.600000000000001</v>
      </c>
      <c r="C930">
        <v>1.5</v>
      </c>
      <c r="D930" s="301">
        <v>7.1</v>
      </c>
      <c r="E930">
        <v>24.36</v>
      </c>
      <c r="F930" s="351" t="s">
        <v>2854</v>
      </c>
      <c r="G930">
        <v>10</v>
      </c>
      <c r="H930">
        <v>72</v>
      </c>
      <c r="I930" s="217">
        <v>43472</v>
      </c>
      <c r="J930" t="s">
        <v>130</v>
      </c>
      <c r="K930">
        <v>33.450000000000003</v>
      </c>
      <c r="L930">
        <v>0.72499999999999998</v>
      </c>
      <c r="Q930" s="4" t="str">
        <f>HYPERLINK("\\HOPI-FS\shares\users\dhar\Stalk mount testing\Type 1e Quality Assurance\CRYO-2078-3113  2230 1E","folder")</f>
        <v>folder</v>
      </c>
      <c r="T930" t="s">
        <v>2720</v>
      </c>
      <c r="U930" t="s">
        <v>2880</v>
      </c>
      <c r="V930" s="407" t="s">
        <v>2292</v>
      </c>
      <c r="W930" s="29">
        <v>3</v>
      </c>
    </row>
    <row r="931" spans="1:23">
      <c r="A931" s="134">
        <v>2231</v>
      </c>
      <c r="B931" s="134">
        <v>17.600000000000001</v>
      </c>
      <c r="C931">
        <v>1.5</v>
      </c>
      <c r="D931" s="301">
        <v>7.12</v>
      </c>
      <c r="E931">
        <v>24.4</v>
      </c>
      <c r="F931" s="349" t="s">
        <v>2855</v>
      </c>
      <c r="G931">
        <v>10</v>
      </c>
      <c r="H931">
        <v>72</v>
      </c>
      <c r="I931" s="217">
        <v>43472</v>
      </c>
      <c r="J931" t="s">
        <v>130</v>
      </c>
      <c r="K931">
        <v>33.49</v>
      </c>
      <c r="L931">
        <v>0.443</v>
      </c>
      <c r="Q931" s="4" t="str">
        <f>HYPERLINK("\\hopi-fs\shares\users\dhar\Stalk mount testing\Type 1e Quality Assurance\CRYO-2078-3120  2231 1E","folder")</f>
        <v>folder</v>
      </c>
      <c r="T931" t="s">
        <v>2720</v>
      </c>
      <c r="V931" s="407" t="s">
        <v>2863</v>
      </c>
      <c r="W931" s="29" t="s">
        <v>2864</v>
      </c>
    </row>
    <row r="932" spans="1:23">
      <c r="A932" s="134">
        <v>2232</v>
      </c>
      <c r="B932" s="134">
        <v>18.8</v>
      </c>
      <c r="C932">
        <v>1.49</v>
      </c>
      <c r="D932" s="301">
        <v>7.11</v>
      </c>
      <c r="E932">
        <v>24.44</v>
      </c>
      <c r="F932" s="350" t="s">
        <v>2856</v>
      </c>
      <c r="G932">
        <v>10</v>
      </c>
      <c r="H932">
        <v>72</v>
      </c>
      <c r="I932" s="217">
        <v>43472</v>
      </c>
      <c r="J932" t="s">
        <v>130</v>
      </c>
      <c r="K932">
        <v>33.53</v>
      </c>
      <c r="L932">
        <v>0.85199999999999998</v>
      </c>
      <c r="Q932" s="4" t="str">
        <f>HYPERLINK("\\hopi-fs\shares\users\dhar\Stalk mount testing\Type 1e Quality Assurance\CRYO-2078-3114  2232 1E","folder")</f>
        <v>folder</v>
      </c>
      <c r="T932" t="s">
        <v>2720</v>
      </c>
      <c r="U932" t="s">
        <v>2865</v>
      </c>
      <c r="V932" s="407" t="s">
        <v>2526</v>
      </c>
      <c r="W932" s="29" t="s">
        <v>2864</v>
      </c>
    </row>
    <row r="933" spans="1:23">
      <c r="A933" s="134">
        <v>2233</v>
      </c>
      <c r="B933" s="134">
        <v>17.600000000000001</v>
      </c>
      <c r="C933">
        <v>1.51</v>
      </c>
      <c r="D933" s="301">
        <v>7.09</v>
      </c>
      <c r="E933">
        <v>24.39</v>
      </c>
      <c r="F933" s="351" t="s">
        <v>2858</v>
      </c>
      <c r="G933">
        <v>10</v>
      </c>
      <c r="H933">
        <v>72</v>
      </c>
      <c r="I933" s="217">
        <v>43472</v>
      </c>
      <c r="J933" t="s">
        <v>130</v>
      </c>
      <c r="K933">
        <v>33.47</v>
      </c>
      <c r="L933">
        <v>0.56799999999999995</v>
      </c>
      <c r="Q933" s="4" t="str">
        <f>HYPERLINK("\\hopi-fs\shares\users\dhar\Stalk mount testing\Type 1e Quality Assurance\CRYO-2078-3119  2233 1E","folder")</f>
        <v>folder</v>
      </c>
      <c r="T933" t="s">
        <v>2720</v>
      </c>
      <c r="U933" t="s">
        <v>2866</v>
      </c>
      <c r="V933" s="407" t="s">
        <v>2291</v>
      </c>
      <c r="W933" s="29">
        <v>0</v>
      </c>
    </row>
    <row r="934" spans="1:23">
      <c r="A934" s="134">
        <v>2234</v>
      </c>
      <c r="B934" s="134">
        <v>16</v>
      </c>
      <c r="C934">
        <v>1.53</v>
      </c>
      <c r="D934" s="301">
        <v>7.1</v>
      </c>
      <c r="E934">
        <v>24.38</v>
      </c>
      <c r="F934" s="349" t="s">
        <v>2857</v>
      </c>
      <c r="G934">
        <v>10</v>
      </c>
      <c r="H934">
        <v>72</v>
      </c>
      <c r="I934" s="217">
        <v>43472</v>
      </c>
      <c r="J934" t="s">
        <v>130</v>
      </c>
      <c r="K934">
        <v>33.51</v>
      </c>
      <c r="L934">
        <v>0.251</v>
      </c>
      <c r="Q934" s="4" t="str">
        <f>HYPERLINK("\\hopi-fs\shares\users\dhar\Stalk mount testing\Type 1e Quality Assurance\CRYO-2082-3132  2234 1E","folder")</f>
        <v>folder</v>
      </c>
      <c r="T934" t="s">
        <v>2720</v>
      </c>
      <c r="V934" s="407" t="s">
        <v>2592</v>
      </c>
      <c r="W934" s="29">
        <v>6</v>
      </c>
    </row>
    <row r="935" spans="1:23">
      <c r="A935" s="134">
        <v>2235</v>
      </c>
      <c r="B935" s="134">
        <v>17.2</v>
      </c>
      <c r="C935">
        <v>1.5</v>
      </c>
      <c r="D935" s="301">
        <v>7.12</v>
      </c>
      <c r="E935">
        <v>24.42</v>
      </c>
      <c r="F935" s="351" t="s">
        <v>2860</v>
      </c>
      <c r="G935">
        <v>10</v>
      </c>
      <c r="H935">
        <v>72</v>
      </c>
      <c r="I935" s="217">
        <v>43472</v>
      </c>
      <c r="J935" t="s">
        <v>130</v>
      </c>
      <c r="K935">
        <v>33.54</v>
      </c>
      <c r="L935">
        <v>0.44800000000000001</v>
      </c>
      <c r="Q935" s="4" t="str">
        <f>HYPERLINK("\\hopi-fs\shares\users\dhar\Stalk mount testing\Type 1e Quality Assurance\CRYO-2081-3128  2235 1E","folder")</f>
        <v>folder</v>
      </c>
      <c r="T935" t="s">
        <v>2720</v>
      </c>
      <c r="U935" t="s">
        <v>2879</v>
      </c>
      <c r="V935" s="407" t="s">
        <v>2317</v>
      </c>
      <c r="W935" s="29">
        <v>7</v>
      </c>
    </row>
    <row r="936" spans="1:23">
      <c r="A936" s="134">
        <v>2236</v>
      </c>
      <c r="B936" s="134">
        <v>19</v>
      </c>
      <c r="C936">
        <v>1.48</v>
      </c>
      <c r="D936" s="301">
        <v>7.13</v>
      </c>
      <c r="E936">
        <v>24.43</v>
      </c>
      <c r="F936" s="355" t="s">
        <v>2859</v>
      </c>
      <c r="G936">
        <v>10</v>
      </c>
      <c r="H936">
        <v>72</v>
      </c>
      <c r="I936" s="217">
        <v>43472</v>
      </c>
      <c r="J936" t="s">
        <v>130</v>
      </c>
      <c r="K936">
        <v>33.53</v>
      </c>
      <c r="L936">
        <v>0.45400000000000001</v>
      </c>
      <c r="Q936" s="4" t="str">
        <f>HYPERLINK("\\hopi-fs\shares\users\dhar\Stalk mount testing\Type 1e Quality Assurance\CRYO-2080-3129  2236 1E","folder")</f>
        <v>folder</v>
      </c>
      <c r="T936" t="s">
        <v>2720</v>
      </c>
      <c r="U936" t="s">
        <v>2878</v>
      </c>
      <c r="V936" s="407" t="s">
        <v>2339</v>
      </c>
      <c r="W936" s="29">
        <v>8</v>
      </c>
    </row>
    <row r="937" spans="1:23">
      <c r="A937" s="134">
        <v>2237</v>
      </c>
      <c r="B937" s="134">
        <v>18.399999999999999</v>
      </c>
      <c r="C937">
        <v>1.5</v>
      </c>
      <c r="D937" s="301">
        <v>7.13</v>
      </c>
      <c r="E937">
        <v>24.43</v>
      </c>
      <c r="F937" s="350" t="s">
        <v>2861</v>
      </c>
      <c r="G937">
        <v>10</v>
      </c>
      <c r="H937">
        <v>72</v>
      </c>
      <c r="I937" s="217">
        <v>43472</v>
      </c>
      <c r="J937" t="s">
        <v>130</v>
      </c>
      <c r="K937">
        <v>33.56</v>
      </c>
      <c r="L937">
        <v>0.92100000000000004</v>
      </c>
      <c r="Q937" s="4" t="str">
        <f>HYPERLINK("\\hopi-fs\shares\users\dhar\Stalk mount testing\Type 1e Quality Assurance\CRYO-2080-3127  2237 1E","folder")</f>
        <v>folder</v>
      </c>
      <c r="T937" t="s">
        <v>2720</v>
      </c>
      <c r="U937" t="s">
        <v>2867</v>
      </c>
      <c r="V937" s="407" t="s">
        <v>2868</v>
      </c>
      <c r="W937" s="29" t="s">
        <v>2869</v>
      </c>
    </row>
    <row r="938" spans="1:23" ht="15" customHeight="1">
      <c r="A938" s="134">
        <v>2238</v>
      </c>
      <c r="B938" s="134">
        <v>17.600000000000001</v>
      </c>
      <c r="C938">
        <v>1.51</v>
      </c>
      <c r="D938" s="301">
        <v>7.11</v>
      </c>
      <c r="E938">
        <v>24.45</v>
      </c>
      <c r="F938" s="355" t="s">
        <v>2870</v>
      </c>
      <c r="G938">
        <v>10</v>
      </c>
      <c r="H938">
        <v>72</v>
      </c>
      <c r="I938" s="217">
        <v>43472</v>
      </c>
      <c r="J938" t="s">
        <v>130</v>
      </c>
      <c r="K938">
        <v>33.549999999999997</v>
      </c>
      <c r="L938">
        <v>0.45800000000000002</v>
      </c>
      <c r="Q938" s="4" t="str">
        <f>HYPERLINK("\\hopi-fs\shares\users\dhar\Stalk mount testing\Type 1e Quality Assurance\CRYO-2080-2134  2238 1E","folder")</f>
        <v>folder</v>
      </c>
      <c r="T938" t="s">
        <v>2720</v>
      </c>
      <c r="U938" t="s">
        <v>2877</v>
      </c>
      <c r="V938" s="407" t="s">
        <v>2871</v>
      </c>
      <c r="W938" s="29">
        <v>2</v>
      </c>
    </row>
    <row r="939" spans="1:23">
      <c r="A939" s="134">
        <v>2240</v>
      </c>
      <c r="B939" s="134">
        <v>18</v>
      </c>
      <c r="C939">
        <v>1.48</v>
      </c>
      <c r="D939" s="301">
        <v>7.12</v>
      </c>
      <c r="E939">
        <v>24.41</v>
      </c>
      <c r="F939" s="19" t="s">
        <v>2872</v>
      </c>
      <c r="G939">
        <v>10</v>
      </c>
      <c r="H939">
        <v>73.8</v>
      </c>
      <c r="I939" s="217">
        <v>43483</v>
      </c>
      <c r="J939" t="s">
        <v>130</v>
      </c>
      <c r="K939">
        <v>33.49</v>
      </c>
      <c r="L939">
        <v>0.34</v>
      </c>
      <c r="Q939" s="4" t="str">
        <f>HYPERLINK("\\hopi-fs\shares\users\dhar\Stalk mount testing\Type 1e Quality Assurance\CRYO-2078-3115  2240 1E","folder")</f>
        <v>folder</v>
      </c>
      <c r="T939" t="s">
        <v>2720</v>
      </c>
      <c r="U939" t="s">
        <v>2875</v>
      </c>
      <c r="V939" s="407" t="s">
        <v>2874</v>
      </c>
      <c r="W939" s="29">
        <v>1</v>
      </c>
    </row>
    <row r="940" spans="1:23">
      <c r="A940" s="134">
        <v>2241</v>
      </c>
      <c r="B940" s="134">
        <v>19</v>
      </c>
      <c r="C940">
        <v>1.49</v>
      </c>
      <c r="D940" s="301">
        <v>7.1</v>
      </c>
      <c r="E940">
        <v>24.39</v>
      </c>
      <c r="F940" s="19" t="s">
        <v>2873</v>
      </c>
      <c r="G940">
        <v>10</v>
      </c>
      <c r="H940">
        <v>73.8</v>
      </c>
      <c r="I940" s="217">
        <v>43483</v>
      </c>
      <c r="J940" t="s">
        <v>130</v>
      </c>
      <c r="K940">
        <v>33.47</v>
      </c>
      <c r="L940">
        <v>0.56399999999999995</v>
      </c>
      <c r="Q940" s="4" t="str">
        <f>HYPERLINK("\\hopi-fs\shares\users\dhar\Stalk mount testing\Type 1e Quality Assurance\CRYO-2078-3117  2241 1E","folder")</f>
        <v>folder</v>
      </c>
      <c r="T940" t="s">
        <v>2720</v>
      </c>
      <c r="U940" t="s">
        <v>3147</v>
      </c>
      <c r="V940" s="407" t="s">
        <v>2876</v>
      </c>
      <c r="W940" s="29">
        <v>4</v>
      </c>
    </row>
    <row r="941" spans="1:23" ht="36" customHeight="1">
      <c r="A941" s="134">
        <v>2242</v>
      </c>
      <c r="B941" s="134">
        <v>17.2</v>
      </c>
      <c r="C941">
        <v>1.48</v>
      </c>
      <c r="D941" s="301">
        <v>7.08</v>
      </c>
      <c r="E941">
        <v>24.43</v>
      </c>
      <c r="F941" s="19" t="s">
        <v>2881</v>
      </c>
      <c r="G941">
        <v>10</v>
      </c>
      <c r="H941">
        <v>69.400000000000006</v>
      </c>
      <c r="I941" s="217">
        <v>43496</v>
      </c>
      <c r="J941" t="s">
        <v>130</v>
      </c>
      <c r="K941">
        <v>33.43</v>
      </c>
      <c r="L941">
        <v>0.254</v>
      </c>
      <c r="Q941" s="4" t="str">
        <f>HYPERLINK("\\hopi-fs\shares\users\dhar\Stalk mount testing\Type 1e Quality Assurance\CRYO-2091-3233  2242 1E","folder")</f>
        <v>folder</v>
      </c>
      <c r="T941" t="s">
        <v>2720</v>
      </c>
      <c r="U941" t="s">
        <v>2911</v>
      </c>
      <c r="V941" s="407" t="s">
        <v>2347</v>
      </c>
      <c r="W941" s="29">
        <v>5</v>
      </c>
    </row>
    <row r="942" spans="1:23">
      <c r="A942" s="134">
        <v>2243</v>
      </c>
      <c r="B942" s="134">
        <v>18</v>
      </c>
      <c r="C942">
        <v>1.5</v>
      </c>
      <c r="D942" s="301">
        <v>7.12</v>
      </c>
      <c r="E942">
        <v>24.4</v>
      </c>
      <c r="F942" s="19" t="s">
        <v>2882</v>
      </c>
      <c r="G942">
        <v>10</v>
      </c>
      <c r="H942">
        <v>69.400000000000006</v>
      </c>
      <c r="I942" s="217">
        <v>43496</v>
      </c>
      <c r="J942" t="s">
        <v>130</v>
      </c>
      <c r="K942">
        <v>33.47</v>
      </c>
      <c r="L942">
        <v>0.54700000000000004</v>
      </c>
      <c r="Q942" s="4" t="str">
        <f>HYPERLINK("\\hopi-fs\shares\users\dhar\Stalk mount testing\Type 1e Quality Assurance\CRYO-2091-3235  2243 1E","folder")</f>
        <v>folder</v>
      </c>
      <c r="T942" t="s">
        <v>2720</v>
      </c>
      <c r="U942" t="s">
        <v>2911</v>
      </c>
      <c r="V942" s="407" t="s">
        <v>2549</v>
      </c>
      <c r="W942" s="29">
        <v>3</v>
      </c>
    </row>
    <row r="943" spans="1:23">
      <c r="A943" s="134">
        <v>2244</v>
      </c>
      <c r="B943" s="134">
        <v>17.600000000000001</v>
      </c>
      <c r="C943">
        <v>1.49</v>
      </c>
      <c r="D943" s="301">
        <v>7.1</v>
      </c>
      <c r="E943">
        <v>24.41</v>
      </c>
      <c r="F943" s="19" t="s">
        <v>2883</v>
      </c>
      <c r="G943">
        <v>10</v>
      </c>
      <c r="H943">
        <v>66.599999999999994</v>
      </c>
      <c r="I943" s="217">
        <v>43497</v>
      </c>
      <c r="J943" t="s">
        <v>130</v>
      </c>
      <c r="K943">
        <v>33.46</v>
      </c>
      <c r="L943">
        <v>0.6</v>
      </c>
      <c r="Q943" s="4" t="str">
        <f>HYPERLINK("\\hopi-fs\shares\users\dhar\Stalk mount testing\Type 1e Quality Assurance\CRYO-2090-3240  2244 1E","folder")</f>
        <v>folder</v>
      </c>
      <c r="T943" t="s">
        <v>2720</v>
      </c>
      <c r="U943" t="s">
        <v>2910</v>
      </c>
      <c r="V943" s="407" t="s">
        <v>2889</v>
      </c>
      <c r="W943" s="29">
        <v>3</v>
      </c>
    </row>
    <row r="944" spans="1:23">
      <c r="A944" s="134">
        <v>2245</v>
      </c>
      <c r="B944" s="134">
        <v>18.8</v>
      </c>
      <c r="C944">
        <v>1.5</v>
      </c>
      <c r="D944" s="301">
        <v>7.17</v>
      </c>
      <c r="E944">
        <v>24.4</v>
      </c>
      <c r="F944" s="176" t="s">
        <v>2884</v>
      </c>
      <c r="G944">
        <v>10</v>
      </c>
      <c r="H944">
        <v>66.599999999999994</v>
      </c>
      <c r="I944" s="217">
        <v>43497</v>
      </c>
      <c r="J944" t="s">
        <v>130</v>
      </c>
      <c r="K944">
        <v>33.5</v>
      </c>
      <c r="L944">
        <v>0.61</v>
      </c>
      <c r="Q944" s="4" t="str">
        <f>HYPERLINK("\\hopi-fs\shares\users\dhar\Stalk mount testing\Type 1e Quality Assurance\CRYO-2090-3241 1E","folder")</f>
        <v>folder</v>
      </c>
      <c r="T944" t="s">
        <v>2720</v>
      </c>
    </row>
    <row r="945" spans="1:23">
      <c r="A945" s="134">
        <v>2246</v>
      </c>
      <c r="B945" s="134">
        <v>18.399999999999999</v>
      </c>
      <c r="C945">
        <v>1.48</v>
      </c>
      <c r="D945" s="301">
        <v>7.08</v>
      </c>
      <c r="E945">
        <v>24.4</v>
      </c>
      <c r="F945" s="19" t="s">
        <v>2885</v>
      </c>
      <c r="G945">
        <v>10</v>
      </c>
      <c r="H945">
        <v>66.599999999999994</v>
      </c>
      <c r="I945" s="217">
        <v>43497</v>
      </c>
      <c r="J945" t="s">
        <v>130</v>
      </c>
      <c r="K945">
        <v>33.409999999999997</v>
      </c>
      <c r="L945">
        <v>0.67</v>
      </c>
      <c r="Q945" s="4" t="str">
        <f>HYPERLINK("\\hopi-fs\shares\users\dhar\Stalk mount testing\Type 1e Quality Assurance\CRYO-2090-3243  2246 1E","folder")</f>
        <v>folder</v>
      </c>
      <c r="T945" t="s">
        <v>2720</v>
      </c>
      <c r="U945" t="s">
        <v>2909</v>
      </c>
      <c r="V945" s="407" t="s">
        <v>2890</v>
      </c>
      <c r="W945" s="29">
        <v>2</v>
      </c>
    </row>
    <row r="946" spans="1:23">
      <c r="A946" s="134">
        <v>2247</v>
      </c>
      <c r="B946" s="134">
        <v>19</v>
      </c>
      <c r="C946">
        <v>1.51</v>
      </c>
      <c r="D946" s="301">
        <v>7.12</v>
      </c>
      <c r="E946">
        <v>24.45</v>
      </c>
      <c r="F946" s="406" t="s">
        <v>2886</v>
      </c>
      <c r="G946">
        <v>10</v>
      </c>
      <c r="H946">
        <v>66.599999999999994</v>
      </c>
      <c r="I946" s="217">
        <v>43497</v>
      </c>
      <c r="J946" t="s">
        <v>130</v>
      </c>
      <c r="K946">
        <v>33.51</v>
      </c>
      <c r="L946">
        <v>0.66300000000000003</v>
      </c>
      <c r="Q946" s="4" t="str">
        <f>HYPERLINK("\\hopi-fs\shares\users\dhar\Stalk mount testing\Type 1e Quality Assurance\CRYO-2090-3244  2247 1E","folder")</f>
        <v>folder</v>
      </c>
      <c r="T946" t="s">
        <v>2720</v>
      </c>
      <c r="V946" s="407" t="s">
        <v>2291</v>
      </c>
      <c r="W946" s="29">
        <v>2</v>
      </c>
    </row>
    <row r="947" spans="1:23">
      <c r="A947" s="134">
        <v>2248</v>
      </c>
      <c r="B947" s="134">
        <v>16</v>
      </c>
      <c r="C947">
        <v>1.53</v>
      </c>
      <c r="D947" s="301">
        <v>7.13</v>
      </c>
      <c r="E947">
        <v>24.44</v>
      </c>
      <c r="F947" s="176" t="s">
        <v>2887</v>
      </c>
      <c r="G947">
        <v>10</v>
      </c>
      <c r="H947">
        <v>66.599999999999994</v>
      </c>
      <c r="I947" s="217">
        <v>43497</v>
      </c>
      <c r="J947" t="s">
        <v>130</v>
      </c>
      <c r="K947">
        <v>33.549999999999997</v>
      </c>
      <c r="L947">
        <v>0.31</v>
      </c>
      <c r="Q947" s="4" t="str">
        <f>HYPERLINK("\\hopi-fs\shares\users\dhar\Stalk mount testing\Type 1e Quality Assurance\CRYO-2091-3245  2248 1E","folder")</f>
        <v>folder</v>
      </c>
      <c r="T947" t="s">
        <v>2720</v>
      </c>
      <c r="U947" t="s">
        <v>2940</v>
      </c>
      <c r="V947" s="407" t="s">
        <v>2891</v>
      </c>
      <c r="W947" s="29">
        <v>6</v>
      </c>
    </row>
    <row r="948" spans="1:23">
      <c r="A948" s="134">
        <v>2249</v>
      </c>
      <c r="F948" s="176" t="s">
        <v>2888</v>
      </c>
      <c r="G948">
        <v>10</v>
      </c>
      <c r="H948">
        <v>66.599999999999994</v>
      </c>
      <c r="I948" s="217">
        <v>43497</v>
      </c>
      <c r="J948" t="s">
        <v>130</v>
      </c>
      <c r="Q948" s="4" t="str">
        <f>HYPERLINK("\\hopi-fs\shares\users\dhar\Stalk mount testing\Type 1e Quality Assurance\CRYO-2091-3251  2249 1E","folder")</f>
        <v>folder</v>
      </c>
      <c r="T948" t="s">
        <v>2720</v>
      </c>
    </row>
    <row r="949" spans="1:23">
      <c r="A949" s="134">
        <v>2250</v>
      </c>
      <c r="B949" s="134">
        <v>18</v>
      </c>
      <c r="C949">
        <v>1.49</v>
      </c>
      <c r="D949" s="301">
        <v>7.1</v>
      </c>
      <c r="E949">
        <v>24.42</v>
      </c>
      <c r="F949" s="19" t="s">
        <v>2892</v>
      </c>
      <c r="G949">
        <v>36</v>
      </c>
      <c r="H949">
        <v>66.7</v>
      </c>
      <c r="I949" s="217">
        <v>43500</v>
      </c>
      <c r="J949" t="s">
        <v>130</v>
      </c>
      <c r="K949">
        <v>33.450000000000003</v>
      </c>
      <c r="L949">
        <v>0.6</v>
      </c>
      <c r="Q949" s="4" t="str">
        <f>HYPERLINK("\\hopi-fs\shares\users\dhar\Stalk mount testing\Type 1e Quality Assurance\CRYO-2090-3234  2250 1E","folder")</f>
        <v>folder</v>
      </c>
      <c r="T949" t="s">
        <v>2720</v>
      </c>
      <c r="U949" t="s">
        <v>2908</v>
      </c>
      <c r="V949" s="407" t="s">
        <v>2338</v>
      </c>
      <c r="W949" s="29">
        <v>5</v>
      </c>
    </row>
    <row r="950" spans="1:23">
      <c r="A950" s="134">
        <v>2251</v>
      </c>
      <c r="B950" s="134">
        <v>18.399999999999999</v>
      </c>
      <c r="C950">
        <v>1.48</v>
      </c>
      <c r="D950" s="301">
        <v>7.08</v>
      </c>
      <c r="E950">
        <v>24.43</v>
      </c>
      <c r="F950" s="19" t="s">
        <v>2893</v>
      </c>
      <c r="G950">
        <v>36</v>
      </c>
      <c r="H950">
        <v>66.7</v>
      </c>
      <c r="I950" s="217">
        <v>43500</v>
      </c>
      <c r="J950" t="s">
        <v>130</v>
      </c>
      <c r="K950">
        <v>33.44</v>
      </c>
      <c r="L950">
        <v>0.75700000000000001</v>
      </c>
      <c r="Q950" s="4" t="str">
        <f>HYPERLINK("\\hopi-fs\shares\users\dhar\Stalk mount testing\Type 1e Quality Assurance\CRYO-2090-3236  2251 1E","folder")</f>
        <v>folder</v>
      </c>
      <c r="T950" t="s">
        <v>2720</v>
      </c>
      <c r="U950" t="s">
        <v>2907</v>
      </c>
      <c r="V950" s="407" t="s">
        <v>2288</v>
      </c>
      <c r="W950" s="29">
        <v>2</v>
      </c>
    </row>
    <row r="951" spans="1:23">
      <c r="A951" s="134">
        <v>2252</v>
      </c>
      <c r="B951" s="134">
        <v>19</v>
      </c>
      <c r="C951">
        <v>1.5</v>
      </c>
      <c r="D951" s="301">
        <v>7.1</v>
      </c>
      <c r="E951">
        <v>24.36</v>
      </c>
      <c r="F951" s="176" t="s">
        <v>2894</v>
      </c>
      <c r="G951">
        <v>36</v>
      </c>
      <c r="H951">
        <v>66.7</v>
      </c>
      <c r="I951" s="217">
        <v>43500</v>
      </c>
      <c r="J951" t="s">
        <v>130</v>
      </c>
      <c r="K951">
        <v>33.42</v>
      </c>
      <c r="L951">
        <v>0.495</v>
      </c>
      <c r="Q951" s="4" t="str">
        <f>HYPERLINK("\\hopi-fs\shares\users\dhar\Stalk mount testing\Type 1e Quality Assurance\CRYO-2091-3237  2252 1E","folder")</f>
        <v>folder</v>
      </c>
      <c r="T951" t="s">
        <v>2720</v>
      </c>
      <c r="V951" s="407" t="s">
        <v>2507</v>
      </c>
    </row>
    <row r="952" spans="1:23">
      <c r="A952" s="134">
        <v>2253</v>
      </c>
      <c r="B952" s="134">
        <v>18.8</v>
      </c>
      <c r="C952">
        <v>1.5</v>
      </c>
      <c r="D952" s="301">
        <v>7.1</v>
      </c>
      <c r="E952">
        <v>24.43</v>
      </c>
      <c r="F952" s="176" t="s">
        <v>2895</v>
      </c>
      <c r="G952">
        <v>36</v>
      </c>
      <c r="H952">
        <v>66.7</v>
      </c>
      <c r="I952" s="217">
        <v>43500</v>
      </c>
      <c r="J952" t="s">
        <v>130</v>
      </c>
      <c r="K952">
        <v>33.47</v>
      </c>
      <c r="L952">
        <v>0.25900000000000001</v>
      </c>
      <c r="Q952" s="4" t="str">
        <f>HYPERLINK("\\hopi-fs\shares\users\dhar\Stalk mount testing\Type 1e Quality Assurance\CRYO-2090-3238  2253 1E","folder")</f>
        <v>folder</v>
      </c>
      <c r="T952" t="s">
        <v>2720</v>
      </c>
      <c r="V952" s="407" t="s">
        <v>2507</v>
      </c>
    </row>
    <row r="953" spans="1:23">
      <c r="A953" s="134">
        <v>2247</v>
      </c>
      <c r="B953" s="134">
        <v>19</v>
      </c>
      <c r="C953">
        <v>1.5</v>
      </c>
      <c r="D953" s="301">
        <v>7.11</v>
      </c>
      <c r="E953">
        <v>24.43</v>
      </c>
      <c r="F953" s="176" t="s">
        <v>2901</v>
      </c>
      <c r="G953">
        <v>25</v>
      </c>
      <c r="H953">
        <v>66.400000000000006</v>
      </c>
      <c r="I953" s="217">
        <v>43510</v>
      </c>
      <c r="J953" t="s">
        <v>130</v>
      </c>
      <c r="K953">
        <v>33.479999999999997</v>
      </c>
      <c r="L953">
        <v>0.36899999999999999</v>
      </c>
      <c r="Q953" s="4" t="str">
        <f>HYPERLINK("\\hopi-fs\shares\users\dhar\Stalk mount testing\Type 1e Quality Assurance\CRYO-2091-3242  2247 1E","folder")</f>
        <v>folder</v>
      </c>
      <c r="T953" t="s">
        <v>2720</v>
      </c>
      <c r="V953" s="407" t="s">
        <v>2440</v>
      </c>
      <c r="W953" s="29" t="s">
        <v>2906</v>
      </c>
    </row>
    <row r="954" spans="1:23">
      <c r="A954" s="134">
        <v>2239</v>
      </c>
      <c r="B954" s="134">
        <v>16.399999999999999</v>
      </c>
      <c r="C954">
        <v>1.48</v>
      </c>
      <c r="D954" s="301">
        <v>7.07</v>
      </c>
      <c r="E954">
        <v>24.41</v>
      </c>
      <c r="F954" s="428" t="s">
        <v>2902</v>
      </c>
      <c r="G954">
        <v>25</v>
      </c>
      <c r="H954">
        <v>66.400000000000006</v>
      </c>
      <c r="I954" s="217">
        <v>43510</v>
      </c>
      <c r="J954" t="s">
        <v>130</v>
      </c>
      <c r="K954">
        <v>33.409999999999997</v>
      </c>
      <c r="L954">
        <v>0.40899999999999997</v>
      </c>
      <c r="Q954" s="4" t="str">
        <f>HYPERLINK("\\hopi-fs\shares\users\dhar\Stalk mount testing\Type 1e Quality Assurance\CRYO-2092-3246  2239 1E","folder")</f>
        <v>folder</v>
      </c>
      <c r="T954" t="s">
        <v>2720</v>
      </c>
      <c r="V954" s="407" t="s">
        <v>2904</v>
      </c>
      <c r="W954" s="29">
        <v>1</v>
      </c>
    </row>
    <row r="955" spans="1:23">
      <c r="A955" s="134">
        <v>2156</v>
      </c>
      <c r="B955" s="134">
        <v>18.399999999999999</v>
      </c>
      <c r="C955">
        <v>1.5</v>
      </c>
      <c r="D955" s="301">
        <v>7.15</v>
      </c>
      <c r="E955">
        <v>24.43</v>
      </c>
      <c r="F955" s="19" t="s">
        <v>2903</v>
      </c>
      <c r="G955">
        <v>25</v>
      </c>
      <c r="H955">
        <v>66.400000000000006</v>
      </c>
      <c r="I955" s="217">
        <v>43510</v>
      </c>
      <c r="J955" t="s">
        <v>130</v>
      </c>
      <c r="K955">
        <v>33.549999999999997</v>
      </c>
      <c r="L955">
        <v>0.70699999999999996</v>
      </c>
      <c r="Q955" s="4" t="str">
        <f>HYPERLINK("\\hopi-fs\shares\users\dhar\Stalk mount testing\Type 1e Quality Assurance\CRYO-2091-3247  2156 1E","folder")</f>
        <v>folder</v>
      </c>
      <c r="T955" t="s">
        <v>2720</v>
      </c>
      <c r="U955" s="478" t="s">
        <v>3851</v>
      </c>
      <c r="V955" s="407" t="s">
        <v>2905</v>
      </c>
      <c r="W955" s="29">
        <v>1</v>
      </c>
    </row>
    <row r="956" spans="1:23" ht="30.75" customHeight="1">
      <c r="A956" s="134">
        <v>2256</v>
      </c>
      <c r="B956" s="134">
        <v>18.399999999999999</v>
      </c>
      <c r="C956">
        <v>1.5</v>
      </c>
      <c r="D956" s="301">
        <v>7.14</v>
      </c>
      <c r="E956">
        <v>24.32</v>
      </c>
      <c r="F956" s="428" t="s">
        <v>2913</v>
      </c>
      <c r="G956">
        <v>10</v>
      </c>
      <c r="H956">
        <v>65.3</v>
      </c>
      <c r="I956" s="217">
        <v>43536</v>
      </c>
      <c r="J956" t="s">
        <v>130</v>
      </c>
      <c r="K956">
        <v>33.47</v>
      </c>
      <c r="L956">
        <v>0.34100000000000003</v>
      </c>
      <c r="Q956" s="4" t="str">
        <f>HYPERLINK("\\hopi-fs\shares\users\dhar\Stalk mount testing\Type 1e Quality Assurance\CRYO-2078-3121  2256 1E","folder")</f>
        <v>folder</v>
      </c>
      <c r="T956" t="s">
        <v>2720</v>
      </c>
      <c r="U956" t="s">
        <v>3846</v>
      </c>
      <c r="V956" s="407" t="s">
        <v>2292</v>
      </c>
      <c r="W956" s="29" t="s">
        <v>2925</v>
      </c>
    </row>
    <row r="957" spans="1:23">
      <c r="A957" s="134">
        <v>2257</v>
      </c>
      <c r="B957" s="134">
        <v>18</v>
      </c>
      <c r="C957">
        <v>1.52</v>
      </c>
      <c r="D957" s="301">
        <v>7.12</v>
      </c>
      <c r="E957">
        <v>24.45</v>
      </c>
      <c r="F957" s="19" t="s">
        <v>2914</v>
      </c>
      <c r="G957">
        <v>10</v>
      </c>
      <c r="H957">
        <v>65.3</v>
      </c>
      <c r="I957" s="217">
        <v>43536</v>
      </c>
      <c r="J957" t="s">
        <v>130</v>
      </c>
      <c r="K957">
        <v>33.6</v>
      </c>
      <c r="L957">
        <v>0.63</v>
      </c>
      <c r="Q957" s="4" t="str">
        <f>HYPERLINK("\\hopi-fs\shares\users\dhar\Stalk mount testing\Type 1e Quality Assurance\CRYO-2078-3122  2257 1E","folder")</f>
        <v>folder</v>
      </c>
      <c r="T957" t="s">
        <v>2720</v>
      </c>
      <c r="U957" t="s">
        <v>2936</v>
      </c>
      <c r="V957" s="407" t="s">
        <v>2640</v>
      </c>
      <c r="W957" s="29">
        <v>2</v>
      </c>
    </row>
    <row r="958" spans="1:23">
      <c r="A958" s="134">
        <v>2258</v>
      </c>
      <c r="B958" s="134">
        <v>19</v>
      </c>
      <c r="C958">
        <v>1.5</v>
      </c>
      <c r="D958" s="301">
        <v>7.12</v>
      </c>
      <c r="E958">
        <v>24.41</v>
      </c>
      <c r="F958" s="19" t="s">
        <v>2915</v>
      </c>
      <c r="G958">
        <v>10</v>
      </c>
      <c r="H958">
        <v>65.3</v>
      </c>
      <c r="I958" s="217">
        <v>43536</v>
      </c>
      <c r="J958" t="s">
        <v>130</v>
      </c>
      <c r="K958">
        <v>33.53</v>
      </c>
      <c r="L958">
        <v>0.22700000000000001</v>
      </c>
      <c r="Q958" s="4" t="str">
        <f>HYPERLINK("\\hopi-fs\shares\users\dhar\Stalk mount testing\Type 1e Quality Assurance\CRYO-2078-3123  2258 1E","folder")</f>
        <v>folder</v>
      </c>
      <c r="T958" t="s">
        <v>2720</v>
      </c>
      <c r="U958" t="s">
        <v>2936</v>
      </c>
      <c r="V958" s="407" t="s">
        <v>2889</v>
      </c>
      <c r="W958" s="29">
        <v>1</v>
      </c>
    </row>
    <row r="959" spans="1:23">
      <c r="A959" s="134">
        <v>2259</v>
      </c>
      <c r="B959" s="134">
        <v>16</v>
      </c>
      <c r="C959">
        <v>1.5</v>
      </c>
      <c r="D959" s="301">
        <v>7.13</v>
      </c>
      <c r="E959">
        <v>24.29</v>
      </c>
      <c r="F959" s="270" t="s">
        <v>2916</v>
      </c>
      <c r="G959">
        <v>10</v>
      </c>
      <c r="H959">
        <v>65.3</v>
      </c>
      <c r="I959" s="217">
        <v>43536</v>
      </c>
      <c r="J959" t="s">
        <v>130</v>
      </c>
      <c r="K959">
        <v>33.4</v>
      </c>
      <c r="L959">
        <v>0.60199999999999998</v>
      </c>
      <c r="M959" t="s">
        <v>1678</v>
      </c>
      <c r="Q959" s="4" t="str">
        <f>HYPERLINK("\\hopi-fs\shares\users\dhar\Stalk mount testing\Type 1e Quality Assurance\CRYO-2078-3124  2259 1E","folder")</f>
        <v>folder</v>
      </c>
      <c r="T959" t="s">
        <v>2720</v>
      </c>
      <c r="U959" t="s">
        <v>3101</v>
      </c>
      <c r="V959" s="407" t="s">
        <v>2923</v>
      </c>
      <c r="W959" s="29">
        <v>2</v>
      </c>
    </row>
    <row r="960" spans="1:23">
      <c r="A960" s="134">
        <v>2260</v>
      </c>
      <c r="B960" s="134">
        <v>16.399999999999999</v>
      </c>
      <c r="C960">
        <v>1.5</v>
      </c>
      <c r="D960" s="301">
        <v>7.13</v>
      </c>
      <c r="E960">
        <v>24.4</v>
      </c>
      <c r="F960" s="19" t="s">
        <v>2917</v>
      </c>
      <c r="G960">
        <v>10</v>
      </c>
      <c r="H960">
        <v>65.3</v>
      </c>
      <c r="I960" s="217">
        <v>43536</v>
      </c>
      <c r="J960" t="s">
        <v>130</v>
      </c>
      <c r="K960">
        <v>33.51</v>
      </c>
      <c r="L960">
        <v>0.318</v>
      </c>
      <c r="Q960" s="4" t="str">
        <f>HYPERLINK("\\hopi-fs\shares\users\dhar\Stalk mount testing\Type 1e Quality Assurance\CRYO-2078-3214  2260 1E","folder")</f>
        <v>folder</v>
      </c>
      <c r="T960" t="s">
        <v>2720</v>
      </c>
      <c r="U960" t="s">
        <v>2936</v>
      </c>
      <c r="V960" s="407" t="s">
        <v>2384</v>
      </c>
      <c r="W960" s="29">
        <v>1</v>
      </c>
    </row>
    <row r="961" spans="1:23">
      <c r="A961" s="134">
        <v>2261</v>
      </c>
      <c r="B961" s="134">
        <v>19</v>
      </c>
      <c r="C961">
        <v>1.5</v>
      </c>
      <c r="D961" s="301">
        <v>7.1</v>
      </c>
      <c r="E961">
        <v>24.38</v>
      </c>
      <c r="F961" s="19" t="s">
        <v>2918</v>
      </c>
      <c r="G961">
        <v>10</v>
      </c>
      <c r="H961">
        <v>65.3</v>
      </c>
      <c r="I961" s="217">
        <v>43536</v>
      </c>
      <c r="J961" t="s">
        <v>130</v>
      </c>
      <c r="K961">
        <v>33.46</v>
      </c>
      <c r="L961">
        <v>0.51200000000000001</v>
      </c>
      <c r="Q961" s="4" t="str">
        <f>HYPERLINK("\\hopi-fs\shares\users\dhar\Stalk mount testing\Type 1e Quality Assurance\CRYO-2078-3215  2261 1E","folder")</f>
        <v>folder</v>
      </c>
      <c r="T961" t="s">
        <v>2720</v>
      </c>
      <c r="U961" t="s">
        <v>2936</v>
      </c>
      <c r="V961" s="407" t="s">
        <v>2413</v>
      </c>
      <c r="W961" s="29">
        <v>1</v>
      </c>
    </row>
    <row r="962" spans="1:23">
      <c r="A962" s="134">
        <v>2262</v>
      </c>
      <c r="B962" s="134">
        <v>19</v>
      </c>
      <c r="C962">
        <v>1.51</v>
      </c>
      <c r="D962" s="301">
        <v>7.1</v>
      </c>
      <c r="E962">
        <v>24.39</v>
      </c>
      <c r="F962" s="176" t="s">
        <v>2919</v>
      </c>
      <c r="G962">
        <v>10</v>
      </c>
      <c r="H962">
        <v>65.3</v>
      </c>
      <c r="I962" s="217">
        <v>43536</v>
      </c>
      <c r="J962" t="s">
        <v>130</v>
      </c>
      <c r="K962">
        <v>33.51</v>
      </c>
      <c r="L962">
        <v>0.27700000000000002</v>
      </c>
      <c r="Q962" s="4" t="str">
        <f>HYPERLINK("\\hopi-fs\shares\users\dhar\Stalk mount testing\Type 1e Quality Assurance\CRYO-2078-3216  2262 1E","folder")</f>
        <v>folder</v>
      </c>
      <c r="T962" t="s">
        <v>2720</v>
      </c>
      <c r="V962" s="407" t="s">
        <v>2924</v>
      </c>
      <c r="W962" s="29">
        <v>1</v>
      </c>
    </row>
    <row r="963" spans="1:23">
      <c r="A963" s="134">
        <v>2263</v>
      </c>
      <c r="B963" s="134">
        <v>19</v>
      </c>
      <c r="C963">
        <v>1.49</v>
      </c>
      <c r="D963" s="301">
        <v>7.14</v>
      </c>
      <c r="E963">
        <v>24.42</v>
      </c>
      <c r="F963" s="19" t="s">
        <v>2920</v>
      </c>
      <c r="G963">
        <v>10</v>
      </c>
      <c r="H963">
        <v>65.3</v>
      </c>
      <c r="I963" s="217">
        <v>43536</v>
      </c>
      <c r="J963" t="s">
        <v>130</v>
      </c>
      <c r="K963">
        <v>33.54</v>
      </c>
      <c r="L963">
        <v>0.14699999999999999</v>
      </c>
      <c r="Q963" s="4" t="str">
        <f>HYPERLINK("\\hopi-fs\shares\users\dhar\Stalk mount testing\Type 1e Quality Assurance\CRYO-2078-3217  2263 1E","folder")</f>
        <v>folder</v>
      </c>
      <c r="T963" t="s">
        <v>2720</v>
      </c>
      <c r="U963" t="s">
        <v>2936</v>
      </c>
      <c r="V963" s="407" t="s">
        <v>2440</v>
      </c>
      <c r="W963" s="29">
        <v>1</v>
      </c>
    </row>
    <row r="964" spans="1:23">
      <c r="A964" s="134">
        <v>2264</v>
      </c>
      <c r="B964" s="134">
        <v>19</v>
      </c>
      <c r="C964">
        <v>1.52</v>
      </c>
      <c r="D964" s="301">
        <v>7.11</v>
      </c>
      <c r="E964">
        <v>24.43</v>
      </c>
      <c r="F964" s="19" t="s">
        <v>2921</v>
      </c>
      <c r="G964">
        <v>10</v>
      </c>
      <c r="H964">
        <v>65.3</v>
      </c>
      <c r="I964" s="217">
        <v>43536</v>
      </c>
      <c r="J964" t="s">
        <v>130</v>
      </c>
      <c r="K964">
        <v>33.549999999999997</v>
      </c>
      <c r="L964">
        <v>0.50700000000000001</v>
      </c>
      <c r="Q964" s="4" t="str">
        <f>HYPERLINK("\\hopi-fs\shares\users\dhar\Stalk mount testing\Type 1e Quality Assurance\CRYO-2078-3218  2264 1E","folder")</f>
        <v>folder</v>
      </c>
      <c r="T964" t="s">
        <v>2720</v>
      </c>
      <c r="U964" t="s">
        <v>2936</v>
      </c>
      <c r="V964" s="407" t="s">
        <v>2489</v>
      </c>
      <c r="W964" s="29">
        <v>1</v>
      </c>
    </row>
    <row r="965" spans="1:23">
      <c r="A965" s="134">
        <v>2265</v>
      </c>
      <c r="B965" s="134">
        <v>19</v>
      </c>
      <c r="C965">
        <v>1.49</v>
      </c>
      <c r="D965" s="301">
        <v>7.12</v>
      </c>
      <c r="E965">
        <v>24.42</v>
      </c>
      <c r="F965" s="19" t="s">
        <v>2922</v>
      </c>
      <c r="G965">
        <v>10</v>
      </c>
      <c r="H965">
        <v>65.3</v>
      </c>
      <c r="I965" s="217">
        <v>43536</v>
      </c>
      <c r="J965" t="s">
        <v>130</v>
      </c>
      <c r="K965">
        <v>33.520000000000003</v>
      </c>
      <c r="L965">
        <v>0.56999999999999995</v>
      </c>
      <c r="Q965" s="4" t="str">
        <f>HYPERLINK("\\hopi-fs\shares\users\dhar\Stalk mount testing\Type 1e Quality Assurance\CRYO-2078-3221  2265 1E","folder")</f>
        <v>folder</v>
      </c>
      <c r="T965" t="s">
        <v>2720</v>
      </c>
      <c r="U965" t="s">
        <v>2939</v>
      </c>
      <c r="V965" s="407" t="s">
        <v>2347</v>
      </c>
      <c r="W965" s="29">
        <v>0</v>
      </c>
    </row>
    <row r="966" spans="1:23" ht="30.75" customHeight="1">
      <c r="A966" s="134">
        <v>2266</v>
      </c>
      <c r="B966" s="134">
        <v>19</v>
      </c>
      <c r="C966">
        <v>1.5</v>
      </c>
      <c r="D966" s="301">
        <v>7.12</v>
      </c>
      <c r="E966">
        <v>24.47</v>
      </c>
      <c r="F966" s="19" t="s">
        <v>2926</v>
      </c>
      <c r="G966">
        <v>20</v>
      </c>
      <c r="H966">
        <v>70.2</v>
      </c>
      <c r="I966" s="217">
        <v>43565</v>
      </c>
      <c r="J966" t="s">
        <v>130</v>
      </c>
      <c r="K966">
        <v>33.6</v>
      </c>
      <c r="L966">
        <v>0.71199999999999997</v>
      </c>
      <c r="Q966" s="4" t="str">
        <f>HYPERLINK("\\hopi-fs\shares\users\dhar\Stalk mount testing\Type 1e Quality Assurance\CRYO-2078-3219  2266 1E","folder")</f>
        <v>folder</v>
      </c>
      <c r="T966" t="s">
        <v>2720</v>
      </c>
      <c r="U966" t="s">
        <v>2939</v>
      </c>
      <c r="V966" s="407" t="s">
        <v>2934</v>
      </c>
      <c r="W966" s="29">
        <v>1</v>
      </c>
    </row>
    <row r="967" spans="1:23">
      <c r="A967" s="134">
        <v>2267</v>
      </c>
      <c r="B967" s="134">
        <v>18</v>
      </c>
      <c r="C967">
        <v>1.5</v>
      </c>
      <c r="D967" s="301">
        <v>7.14</v>
      </c>
      <c r="E967">
        <v>24.42</v>
      </c>
      <c r="F967" s="19" t="s">
        <v>2927</v>
      </c>
      <c r="G967">
        <v>20</v>
      </c>
      <c r="H967">
        <v>70.2</v>
      </c>
      <c r="I967" s="217">
        <v>43565</v>
      </c>
      <c r="J967" t="s">
        <v>130</v>
      </c>
      <c r="K967">
        <v>33.54</v>
      </c>
      <c r="L967">
        <v>0.77700000000000002</v>
      </c>
      <c r="Q967" s="4" t="str">
        <f>HYPERLINK("\\hopi-fs\shares\users\dhar\Stalk mount testing\Type 1e Quality Assurance\CRYO-2078-3223  2267 1E","folder")</f>
        <v>folder</v>
      </c>
      <c r="T967" t="s">
        <v>2720</v>
      </c>
      <c r="U967" t="s">
        <v>2939</v>
      </c>
      <c r="V967" s="407" t="s">
        <v>2347</v>
      </c>
      <c r="W967" s="29">
        <v>0</v>
      </c>
    </row>
    <row r="968" spans="1:23">
      <c r="A968" s="134">
        <v>2268</v>
      </c>
      <c r="B968" s="134">
        <v>18</v>
      </c>
      <c r="C968">
        <v>1.51</v>
      </c>
      <c r="D968" s="301">
        <v>7.11</v>
      </c>
      <c r="E968">
        <v>24.42</v>
      </c>
      <c r="F968" s="249" t="s">
        <v>2928</v>
      </c>
      <c r="G968">
        <v>20</v>
      </c>
      <c r="H968">
        <v>70.2</v>
      </c>
      <c r="I968" s="217">
        <v>43565</v>
      </c>
      <c r="J968" t="s">
        <v>130</v>
      </c>
      <c r="K968">
        <v>33.479999999999997</v>
      </c>
      <c r="L968">
        <v>0.55300000000000005</v>
      </c>
      <c r="Q968" s="4" t="str">
        <f>HYPERLINK("\\hopi-fs\shares\users\dhar\Stalk mount testing\Type 1e Quality Assurance\CRYO-2078-3224  2268 1E","folder")</f>
        <v>folder</v>
      </c>
      <c r="T968" t="s">
        <v>2720</v>
      </c>
      <c r="U968" t="s">
        <v>3846</v>
      </c>
      <c r="V968" s="407" t="s">
        <v>2348</v>
      </c>
      <c r="W968" s="29">
        <v>2</v>
      </c>
    </row>
    <row r="969" spans="1:23" ht="14.25" customHeight="1">
      <c r="A969" s="134">
        <v>2269</v>
      </c>
      <c r="B969" s="134">
        <v>18.399999999999999</v>
      </c>
      <c r="C969">
        <v>1.51</v>
      </c>
      <c r="D969" s="301">
        <v>7.15</v>
      </c>
      <c r="E969">
        <v>24.4</v>
      </c>
      <c r="F969" s="176" t="s">
        <v>2929</v>
      </c>
      <c r="G969">
        <v>20</v>
      </c>
      <c r="H969">
        <v>70.2</v>
      </c>
      <c r="I969" s="217">
        <v>43565</v>
      </c>
      <c r="J969" t="s">
        <v>130</v>
      </c>
      <c r="K969">
        <v>33.56</v>
      </c>
      <c r="L969">
        <v>0.51400000000000001</v>
      </c>
      <c r="Q969" s="4" t="str">
        <f>HYPERLINK("\\hopi-fs\shares\users\dhar\Stalk mount testing\Type 1e Quality Assurance\CRYO-2078-3227  2269 1E","folder")</f>
        <v>folder</v>
      </c>
      <c r="T969" t="s">
        <v>2720</v>
      </c>
      <c r="V969" s="407" t="s">
        <v>2568</v>
      </c>
      <c r="W969" s="29" t="s">
        <v>2925</v>
      </c>
    </row>
    <row r="970" spans="1:23">
      <c r="A970" s="134">
        <v>2270</v>
      </c>
      <c r="B970" s="134">
        <v>18.8</v>
      </c>
      <c r="C970">
        <v>1.5</v>
      </c>
      <c r="D970" s="301">
        <v>7.14</v>
      </c>
      <c r="E970">
        <v>24.42</v>
      </c>
      <c r="F970" s="19" t="s">
        <v>2930</v>
      </c>
      <c r="G970">
        <v>20</v>
      </c>
      <c r="H970">
        <v>70.2</v>
      </c>
      <c r="I970" s="217">
        <v>43565</v>
      </c>
      <c r="J970" t="s">
        <v>130</v>
      </c>
      <c r="K970">
        <v>33.549999999999997</v>
      </c>
      <c r="L970">
        <v>0.57099999999999995</v>
      </c>
      <c r="Q970" s="4" t="str">
        <f>HYPERLINK("\\hopi-fs\shares\users\dhar\Stalk mount testing\Type 1e Quality Assurance\CRYO-2078-3228  2270 1E","folder")</f>
        <v>folder</v>
      </c>
      <c r="T970" t="s">
        <v>2720</v>
      </c>
      <c r="U970" t="s">
        <v>2939</v>
      </c>
      <c r="V970" s="407" t="s">
        <v>2900</v>
      </c>
      <c r="W970" s="29">
        <v>2</v>
      </c>
    </row>
    <row r="971" spans="1:23">
      <c r="A971" s="134">
        <v>2271</v>
      </c>
      <c r="B971" s="134">
        <v>17.600000000000001</v>
      </c>
      <c r="C971">
        <v>1.51</v>
      </c>
      <c r="D971" s="301">
        <v>7.16</v>
      </c>
      <c r="E971">
        <v>24.42</v>
      </c>
      <c r="F971" s="176" t="s">
        <v>2931</v>
      </c>
      <c r="G971">
        <v>20</v>
      </c>
      <c r="H971">
        <v>70.2</v>
      </c>
      <c r="I971" s="217">
        <v>43565</v>
      </c>
      <c r="J971" t="s">
        <v>130</v>
      </c>
      <c r="K971">
        <v>33.58</v>
      </c>
      <c r="L971">
        <v>0.52400000000000002</v>
      </c>
      <c r="Q971" s="4" t="str">
        <f>HYPERLINK("\\hopi-fs\shares\users\dhar\Stalk mount testing\Type 1e Quality Assurance\CRYO-2078-3229  2271 1E","folder")</f>
        <v>folder</v>
      </c>
      <c r="T971" t="s">
        <v>2720</v>
      </c>
      <c r="V971" s="407" t="s">
        <v>2571</v>
      </c>
      <c r="W971" s="29" t="s">
        <v>2935</v>
      </c>
    </row>
    <row r="972" spans="1:23">
      <c r="A972" s="134">
        <v>2272</v>
      </c>
      <c r="B972" s="134">
        <v>19</v>
      </c>
      <c r="C972">
        <v>1.48</v>
      </c>
      <c r="D972" s="301">
        <v>7.07</v>
      </c>
      <c r="E972">
        <v>24.38</v>
      </c>
      <c r="F972" s="19" t="s">
        <v>2932</v>
      </c>
      <c r="G972">
        <v>20</v>
      </c>
      <c r="H972">
        <v>70.2</v>
      </c>
      <c r="I972" s="217">
        <v>43565</v>
      </c>
      <c r="J972" t="s">
        <v>130</v>
      </c>
      <c r="K972">
        <v>33.42</v>
      </c>
      <c r="L972">
        <v>0.46600000000000003</v>
      </c>
      <c r="Q972" s="4" t="str">
        <f>HYPERLINK("\\hopi-fs\shares\users\dhar\Stalk mount testing\Type 1e Quality Assurance\CRYO-2078-3230  2272 1E","folder")</f>
        <v>folder</v>
      </c>
      <c r="T972" t="s">
        <v>2720</v>
      </c>
      <c r="U972" t="s">
        <v>2939</v>
      </c>
      <c r="V972" s="407" t="s">
        <v>2345</v>
      </c>
      <c r="W972" s="29">
        <v>2</v>
      </c>
    </row>
    <row r="973" spans="1:23">
      <c r="A973" s="134">
        <v>2273</v>
      </c>
      <c r="B973" s="134">
        <v>19</v>
      </c>
      <c r="C973">
        <v>1.5</v>
      </c>
      <c r="D973" s="301">
        <v>7.12</v>
      </c>
      <c r="E973">
        <v>24.44</v>
      </c>
      <c r="F973" s="19" t="s">
        <v>2933</v>
      </c>
      <c r="G973">
        <v>20</v>
      </c>
      <c r="H973">
        <v>70.2</v>
      </c>
      <c r="I973" s="217">
        <v>43565</v>
      </c>
      <c r="J973" t="s">
        <v>130</v>
      </c>
      <c r="K973">
        <v>33.56</v>
      </c>
      <c r="L973">
        <v>0.17699999999999999</v>
      </c>
      <c r="Q973" s="4" t="str">
        <f>HYPERLINK("\\hopi-fs\shares\users\dhar\Stalk mount testing\Type 1e Quality Assurance\CRYO-2078-3231  2273 1E","folder")</f>
        <v>folder</v>
      </c>
      <c r="T973" t="s">
        <v>2720</v>
      </c>
      <c r="U973" t="s">
        <v>3041</v>
      </c>
      <c r="V973" s="407" t="s">
        <v>2310</v>
      </c>
      <c r="W973" s="29">
        <v>1</v>
      </c>
    </row>
    <row r="974" spans="1:23" ht="14.25" customHeight="1">
      <c r="A974" s="134">
        <v>2275</v>
      </c>
      <c r="B974" s="134">
        <v>17.2</v>
      </c>
      <c r="C974">
        <v>1.51</v>
      </c>
      <c r="D974" s="301">
        <v>7.15</v>
      </c>
      <c r="E974">
        <v>24.4</v>
      </c>
      <c r="F974" s="19" t="s">
        <v>2937</v>
      </c>
      <c r="G974">
        <v>10</v>
      </c>
      <c r="H974">
        <v>70.2</v>
      </c>
      <c r="I974" s="217">
        <v>43566</v>
      </c>
      <c r="J974" t="s">
        <v>130</v>
      </c>
      <c r="K974">
        <v>33.56</v>
      </c>
      <c r="L974">
        <v>0.77300000000000002</v>
      </c>
      <c r="Q974" s="4" t="str">
        <f>HYPERLINK("\\hopi-fs\shares\users\dhar\Stalk mount testing\Type 1e Quality Assurance\CRYO-2078-3225  2275 1E","folder")</f>
        <v>folder</v>
      </c>
      <c r="T974" t="s">
        <v>2720</v>
      </c>
      <c r="U974" t="s">
        <v>2939</v>
      </c>
      <c r="V974" s="407" t="s">
        <v>2912</v>
      </c>
    </row>
    <row r="975" spans="1:23">
      <c r="A975" s="134">
        <v>2255</v>
      </c>
      <c r="B975" s="134">
        <v>19</v>
      </c>
      <c r="C975">
        <v>1.5</v>
      </c>
      <c r="D975" s="301">
        <v>7.08</v>
      </c>
      <c r="E975">
        <v>24.41</v>
      </c>
      <c r="F975" s="19" t="s">
        <v>2938</v>
      </c>
      <c r="G975">
        <v>10</v>
      </c>
      <c r="H975">
        <v>70.2</v>
      </c>
      <c r="I975" s="217">
        <v>43566</v>
      </c>
      <c r="J975" t="s">
        <v>130</v>
      </c>
      <c r="K975">
        <v>33.49</v>
      </c>
      <c r="L975">
        <v>0.51500000000000001</v>
      </c>
      <c r="Q975" s="4" t="str">
        <f>HYPERLINK("\\hopi-fs\shares\users\dhar\Stalk mount testing\Type 1e Quality Assurance\CRYO-2078-3225  2255 1E","folder")</f>
        <v>folder</v>
      </c>
      <c r="T975" t="s">
        <v>2720</v>
      </c>
      <c r="U975" t="s">
        <v>3033</v>
      </c>
      <c r="V975" s="407" t="s">
        <v>2440</v>
      </c>
      <c r="W975" s="29">
        <v>1</v>
      </c>
    </row>
    <row r="976" spans="1:23" ht="31.5" customHeight="1">
      <c r="A976" s="134">
        <v>2276</v>
      </c>
      <c r="B976" s="134">
        <v>19</v>
      </c>
      <c r="C976">
        <v>1.5</v>
      </c>
      <c r="D976" s="301">
        <v>7.13</v>
      </c>
      <c r="E976">
        <v>24.4</v>
      </c>
      <c r="F976" s="19" t="s">
        <v>2941</v>
      </c>
      <c r="G976">
        <v>36</v>
      </c>
      <c r="H976">
        <v>70</v>
      </c>
      <c r="I976" s="217">
        <v>43586</v>
      </c>
      <c r="J976" t="s">
        <v>130</v>
      </c>
      <c r="K976">
        <v>33.479999999999997</v>
      </c>
      <c r="L976">
        <v>0.82699999999999996</v>
      </c>
      <c r="Q976" s="4" t="str">
        <f>HYPERLINK("\\hopi-fs\shares\users\dhar\Stalk mount testing\Type 1e Quality Assurance\CRYO-2079-3360  2276 1E","folder")</f>
        <v>folder</v>
      </c>
      <c r="T976" t="s">
        <v>2720</v>
      </c>
      <c r="U976" t="s">
        <v>2964</v>
      </c>
      <c r="V976" s="407" t="s">
        <v>2317</v>
      </c>
      <c r="W976" s="29">
        <v>2</v>
      </c>
    </row>
    <row r="977" spans="1:28">
      <c r="A977" s="134">
        <v>2277</v>
      </c>
      <c r="B977" s="134">
        <v>17.2</v>
      </c>
      <c r="C977">
        <v>1.49</v>
      </c>
      <c r="D977" s="301">
        <v>7.16</v>
      </c>
      <c r="E977">
        <v>24.41</v>
      </c>
      <c r="F977" s="176" t="s">
        <v>2942</v>
      </c>
      <c r="G977">
        <v>36</v>
      </c>
      <c r="H977">
        <v>70</v>
      </c>
      <c r="I977" s="217">
        <v>43586</v>
      </c>
      <c r="J977" t="s">
        <v>130</v>
      </c>
      <c r="K977">
        <v>33.49</v>
      </c>
      <c r="L977">
        <v>0.59899999999999998</v>
      </c>
      <c r="Q977" s="4" t="str">
        <f>HYPERLINK("\\hopi-fs\shares\users\dhar\Stalk mount testing\Type 1e Quality Assurance\CRYO-2079-3363  2277 1E","folder")</f>
        <v>folder</v>
      </c>
      <c r="T977" t="s">
        <v>2720</v>
      </c>
      <c r="V977" s="407" t="s">
        <v>2320</v>
      </c>
      <c r="W977" s="29" t="s">
        <v>2949</v>
      </c>
    </row>
    <row r="978" spans="1:28">
      <c r="A978" s="134">
        <v>2278</v>
      </c>
      <c r="B978" s="134">
        <v>19</v>
      </c>
      <c r="C978">
        <v>1.51</v>
      </c>
      <c r="D978" s="301">
        <v>7.15</v>
      </c>
      <c r="E978">
        <v>24.5</v>
      </c>
      <c r="F978" s="176" t="s">
        <v>2943</v>
      </c>
      <c r="G978">
        <v>36</v>
      </c>
      <c r="H978">
        <v>70</v>
      </c>
      <c r="I978" s="217">
        <v>43586</v>
      </c>
      <c r="J978" t="s">
        <v>130</v>
      </c>
      <c r="K978">
        <v>33.58</v>
      </c>
      <c r="L978">
        <v>0.252</v>
      </c>
      <c r="Q978" s="4" t="str">
        <f>HYPERLINK("\\hopi-fs\shares\users\dhar\Stalk mount testing\Type 1e Quality Assurance\CRYO-2080-3365  2278 1E","folder")</f>
        <v>folder</v>
      </c>
      <c r="T978" t="s">
        <v>2720</v>
      </c>
      <c r="V978" s="407" t="s">
        <v>2440</v>
      </c>
      <c r="W978" s="29">
        <v>2</v>
      </c>
    </row>
    <row r="979" spans="1:28">
      <c r="A979" s="134">
        <v>2279</v>
      </c>
      <c r="B979" s="134">
        <v>16.399999999999999</v>
      </c>
      <c r="C979">
        <v>1.52</v>
      </c>
      <c r="D979" s="301">
        <v>7.09</v>
      </c>
      <c r="E979">
        <v>24.45</v>
      </c>
      <c r="F979" s="19" t="s">
        <v>2944</v>
      </c>
      <c r="G979">
        <v>36</v>
      </c>
      <c r="H979">
        <v>70</v>
      </c>
      <c r="I979" s="217">
        <v>43586</v>
      </c>
      <c r="J979" t="s">
        <v>130</v>
      </c>
      <c r="K979">
        <v>33.46</v>
      </c>
      <c r="L979">
        <v>0.67300000000000004</v>
      </c>
      <c r="Q979" s="4" t="str">
        <f>HYPERLINK("\\hopi-fs\shares\users\dhar\Stalk mount testing\Type 1e Quality Assurance\CRYO-2079-3366  2279 1E","folder")</f>
        <v>folder</v>
      </c>
      <c r="T979" t="s">
        <v>2720</v>
      </c>
      <c r="U979" t="s">
        <v>2953</v>
      </c>
      <c r="V979" s="407" t="s">
        <v>2948</v>
      </c>
      <c r="W979" s="29">
        <v>3</v>
      </c>
    </row>
    <row r="980" spans="1:28">
      <c r="A980" s="134">
        <v>2280</v>
      </c>
      <c r="B980" s="134">
        <v>18.8</v>
      </c>
      <c r="C980">
        <v>1.49</v>
      </c>
      <c r="D980" s="301">
        <v>7.11</v>
      </c>
      <c r="E980">
        <v>24.36</v>
      </c>
      <c r="F980" s="184" t="s">
        <v>2945</v>
      </c>
      <c r="G980">
        <v>36</v>
      </c>
      <c r="H980">
        <v>70</v>
      </c>
      <c r="I980" s="217">
        <v>43586</v>
      </c>
      <c r="J980" t="s">
        <v>130</v>
      </c>
      <c r="K980">
        <v>33.4</v>
      </c>
      <c r="L980">
        <v>0.505</v>
      </c>
      <c r="Q980" s="4" t="str">
        <f>HYPERLINK("\\hopi-fs\shares\users\dhar\Stalk mount testing\Type 1e Quality Assurance\CRYO-2079-3381  2280 1E","folder")</f>
        <v>folder</v>
      </c>
      <c r="T980" t="s">
        <v>2720</v>
      </c>
      <c r="U980" t="s">
        <v>2963</v>
      </c>
      <c r="V980" s="407" t="s">
        <v>2897</v>
      </c>
      <c r="W980" s="29">
        <v>5</v>
      </c>
    </row>
    <row r="981" spans="1:28">
      <c r="A981" s="134">
        <v>2281</v>
      </c>
      <c r="B981" s="134">
        <v>18</v>
      </c>
      <c r="C981">
        <v>1.49</v>
      </c>
      <c r="D981" s="301">
        <v>7.05</v>
      </c>
      <c r="E981">
        <v>24.4</v>
      </c>
      <c r="F981" s="19" t="s">
        <v>2946</v>
      </c>
      <c r="G981">
        <v>36</v>
      </c>
      <c r="H981">
        <v>70</v>
      </c>
      <c r="I981" s="217">
        <v>43586</v>
      </c>
      <c r="J981" t="s">
        <v>130</v>
      </c>
      <c r="K981">
        <v>33.380000000000003</v>
      </c>
      <c r="L981">
        <v>0.70499999999999996</v>
      </c>
      <c r="Q981" s="4" t="str">
        <f>HYPERLINK("\\hopi-fs\shares\users\dhar\Stalk mount testing\Type 1e Quality Assurance\CRYO-2078-3391  2281 1E","folder")</f>
        <v>folder</v>
      </c>
      <c r="T981" t="s">
        <v>2720</v>
      </c>
      <c r="U981" t="s">
        <v>2962</v>
      </c>
      <c r="V981" s="407" t="s">
        <v>2568</v>
      </c>
      <c r="W981" s="29">
        <v>2</v>
      </c>
    </row>
    <row r="982" spans="1:28">
      <c r="A982" s="134">
        <v>2282</v>
      </c>
      <c r="B982" s="134">
        <v>18.8</v>
      </c>
      <c r="C982">
        <v>1.49</v>
      </c>
      <c r="D982" s="301">
        <v>7.09</v>
      </c>
      <c r="E982">
        <v>24.42</v>
      </c>
      <c r="F982" s="19" t="s">
        <v>2947</v>
      </c>
      <c r="G982">
        <v>36</v>
      </c>
      <c r="H982">
        <v>70</v>
      </c>
      <c r="I982" s="217">
        <v>43586</v>
      </c>
      <c r="J982" t="s">
        <v>130</v>
      </c>
      <c r="K982">
        <v>33.44</v>
      </c>
      <c r="L982">
        <v>0.30199999999999999</v>
      </c>
      <c r="Q982" s="4" t="str">
        <f>HYPERLINK("\\hopi-fs\shares\users\dhar\Stalk mount testing\Type 1e Quality Assurance\CRYO-2078-3392  2282 1E","folder")</f>
        <v>folder</v>
      </c>
      <c r="T982" t="s">
        <v>2720</v>
      </c>
      <c r="U982" t="s">
        <v>2961</v>
      </c>
      <c r="V982" s="407" t="s">
        <v>2546</v>
      </c>
      <c r="W982" s="29">
        <v>2</v>
      </c>
    </row>
    <row r="983" spans="1:28">
      <c r="A983" s="134">
        <v>2283</v>
      </c>
      <c r="B983" s="134">
        <v>19</v>
      </c>
      <c r="C983">
        <v>1.49</v>
      </c>
      <c r="D983" s="301">
        <v>7.14</v>
      </c>
      <c r="E983">
        <v>24.32</v>
      </c>
      <c r="F983" s="184" t="s">
        <v>2950</v>
      </c>
      <c r="G983">
        <v>36</v>
      </c>
      <c r="H983">
        <v>70</v>
      </c>
      <c r="I983" s="217">
        <v>43586</v>
      </c>
      <c r="J983" t="s">
        <v>130</v>
      </c>
      <c r="K983">
        <v>33.36</v>
      </c>
      <c r="L983">
        <v>0.32200000000000001</v>
      </c>
      <c r="Q983" s="4" t="str">
        <f>HYPERLINK("\\hopi-fs\shares\users\dhar\Stalk mount testing\Type 1e Quality Assurance\CRYO-2080-3387  2283 1E","folder")</f>
        <v>folder</v>
      </c>
      <c r="T983" t="s">
        <v>2720</v>
      </c>
      <c r="U983" t="s">
        <v>2960</v>
      </c>
      <c r="V983" s="407" t="s">
        <v>2312</v>
      </c>
      <c r="W983" s="29">
        <v>5</v>
      </c>
    </row>
    <row r="984" spans="1:28">
      <c r="A984" s="134">
        <v>2284</v>
      </c>
      <c r="B984" s="134">
        <v>16.8</v>
      </c>
      <c r="C984">
        <v>1.49</v>
      </c>
      <c r="D984" s="301">
        <v>7.15</v>
      </c>
      <c r="E984">
        <v>24.41</v>
      </c>
      <c r="F984" s="45" t="s">
        <v>2951</v>
      </c>
      <c r="G984">
        <v>36</v>
      </c>
      <c r="H984">
        <v>70</v>
      </c>
      <c r="I984" s="217">
        <v>43586</v>
      </c>
      <c r="J984" t="s">
        <v>130</v>
      </c>
      <c r="K984">
        <v>33.47</v>
      </c>
      <c r="L984">
        <v>0.30299999999999999</v>
      </c>
      <c r="Q984" s="4" t="str">
        <f>HYPERLINK("\\hopi-fs\shares\users\dhar\Stalk mount testing\Type 1e Quality Assurance\CRYO-2078-3388  2284 1E","folder")</f>
        <v>folder</v>
      </c>
      <c r="T984" t="s">
        <v>2720</v>
      </c>
      <c r="U984" t="s">
        <v>2954</v>
      </c>
      <c r="V984" s="407" t="s">
        <v>2641</v>
      </c>
      <c r="W984" s="29">
        <v>0</v>
      </c>
    </row>
    <row r="985" spans="1:28">
      <c r="A985" s="134">
        <v>2285</v>
      </c>
      <c r="B985" s="134">
        <v>19.600000000000001</v>
      </c>
      <c r="C985">
        <v>1.49</v>
      </c>
      <c r="D985" s="301">
        <v>7.14</v>
      </c>
      <c r="E985">
        <v>24.39</v>
      </c>
      <c r="F985" s="19" t="s">
        <v>2952</v>
      </c>
      <c r="G985">
        <v>36</v>
      </c>
      <c r="H985">
        <v>70</v>
      </c>
      <c r="I985" s="217">
        <v>43586</v>
      </c>
      <c r="J985" t="s">
        <v>130</v>
      </c>
      <c r="K985">
        <v>33.47</v>
      </c>
      <c r="L985">
        <v>0.65400000000000003</v>
      </c>
      <c r="Q985" s="4" t="str">
        <f>HYPERLINK("\\hopi-fs\shares\users\dhar\Stalk mount testing\Type 1e Quality Assurance\CRYO-2079-3385  2285 1E","folder")</f>
        <v>folder</v>
      </c>
      <c r="T985" t="s">
        <v>2720</v>
      </c>
      <c r="U985" t="s">
        <v>2959</v>
      </c>
      <c r="V985" s="407" t="s">
        <v>2541</v>
      </c>
      <c r="W985" s="29">
        <v>2</v>
      </c>
    </row>
    <row r="986" spans="1:28" ht="30" customHeight="1">
      <c r="A986" s="134">
        <v>2286</v>
      </c>
      <c r="B986" s="134">
        <v>18.399999999999999</v>
      </c>
      <c r="C986">
        <v>1.49</v>
      </c>
      <c r="D986" s="301">
        <v>7.14</v>
      </c>
      <c r="E986">
        <v>24.4</v>
      </c>
      <c r="F986" s="19" t="s">
        <v>2965</v>
      </c>
      <c r="G986">
        <v>61</v>
      </c>
      <c r="H986">
        <v>69</v>
      </c>
      <c r="I986" s="217">
        <v>43626</v>
      </c>
      <c r="J986" t="s">
        <v>130</v>
      </c>
      <c r="K986">
        <v>33.53</v>
      </c>
      <c r="L986">
        <v>0.23699999999999999</v>
      </c>
      <c r="Q986" s="4" t="str">
        <f>HYPERLINK("\\hopi-fs\shares\users\dhar\Stalk mount testing\Type 1e Quality Assurance\CRYO-2081-3091  2286-1E","folder")</f>
        <v>folder</v>
      </c>
      <c r="T986" t="s">
        <v>2720</v>
      </c>
      <c r="U986" t="s">
        <v>2985</v>
      </c>
      <c r="V986" s="407" t="s">
        <v>2975</v>
      </c>
      <c r="W986" s="29">
        <v>1</v>
      </c>
      <c r="AB986" s="408"/>
    </row>
    <row r="987" spans="1:28">
      <c r="A987" s="134">
        <v>2287</v>
      </c>
      <c r="B987" s="134">
        <v>20</v>
      </c>
      <c r="C987">
        <v>1.51</v>
      </c>
      <c r="D987" s="301">
        <v>7.15</v>
      </c>
      <c r="E987">
        <v>24.41</v>
      </c>
      <c r="F987" s="19" t="s">
        <v>2966</v>
      </c>
      <c r="G987">
        <v>61</v>
      </c>
      <c r="H987">
        <v>69</v>
      </c>
      <c r="I987" s="217">
        <v>43626</v>
      </c>
      <c r="J987" t="s">
        <v>130</v>
      </c>
      <c r="K987">
        <v>33.57</v>
      </c>
      <c r="L987">
        <v>0.63</v>
      </c>
      <c r="Q987" s="4" t="str">
        <f>HYPERLINK("\\hopi-fs\shares\users\dhar\Stalk mount testing\Type 1e Quality Assurance\CRYO-2081-3092  2287 1E","folder")</f>
        <v>folder</v>
      </c>
      <c r="T987" t="s">
        <v>2720</v>
      </c>
      <c r="U987" t="s">
        <v>3042</v>
      </c>
      <c r="V987" s="407" t="s">
        <v>2840</v>
      </c>
      <c r="W987" s="29">
        <v>2</v>
      </c>
      <c r="AB987" s="408"/>
    </row>
    <row r="988" spans="1:28">
      <c r="A988" s="134">
        <v>2288</v>
      </c>
      <c r="B988" s="134">
        <v>18</v>
      </c>
      <c r="C988">
        <v>1.48</v>
      </c>
      <c r="D988" s="301">
        <v>7.14</v>
      </c>
      <c r="E988">
        <v>24.42</v>
      </c>
      <c r="F988" s="19" t="s">
        <v>2967</v>
      </c>
      <c r="G988">
        <v>57</v>
      </c>
      <c r="H988">
        <v>69</v>
      </c>
      <c r="I988" s="217">
        <v>43627</v>
      </c>
      <c r="J988" t="s">
        <v>130</v>
      </c>
      <c r="K988">
        <v>33.520000000000003</v>
      </c>
      <c r="L988">
        <v>0.36</v>
      </c>
      <c r="Q988" s="4" t="str">
        <f>HYPERLINK("\\hopi-fs\shares\users\dhar\Stalk mount testing\Type 1e Quality Assurance\CRYO-2077-3213  2288 1E","folder")</f>
        <v>folder</v>
      </c>
      <c r="T988" t="s">
        <v>2720</v>
      </c>
      <c r="U988" t="s">
        <v>2988</v>
      </c>
      <c r="V988" s="407" t="s">
        <v>2976</v>
      </c>
      <c r="W988" s="29">
        <v>1</v>
      </c>
      <c r="AB988" s="408"/>
    </row>
    <row r="989" spans="1:28">
      <c r="A989" s="134">
        <v>2289</v>
      </c>
      <c r="B989" s="134">
        <v>15.6</v>
      </c>
      <c r="C989">
        <v>1.51</v>
      </c>
      <c r="D989" s="301">
        <v>7.11</v>
      </c>
      <c r="E989">
        <v>24.42</v>
      </c>
      <c r="F989" s="19" t="s">
        <v>2968</v>
      </c>
      <c r="G989">
        <v>57</v>
      </c>
      <c r="H989">
        <v>69</v>
      </c>
      <c r="I989" s="217">
        <v>43627</v>
      </c>
      <c r="J989" t="s">
        <v>130</v>
      </c>
      <c r="K989">
        <v>33.549999999999997</v>
      </c>
      <c r="L989">
        <v>0.19</v>
      </c>
      <c r="Q989" s="4" t="str">
        <f>HYPERLINK("\\hopi-fs\shares\users\dhar\Stalk mount testing\Type 1e Quality Assurance\CRYO-2077-3195  2289 1E","folder")</f>
        <v>folder</v>
      </c>
      <c r="T989" t="s">
        <v>2720</v>
      </c>
      <c r="U989" t="s">
        <v>2988</v>
      </c>
      <c r="V989" s="407" t="s">
        <v>2977</v>
      </c>
      <c r="W989" s="29">
        <v>0</v>
      </c>
      <c r="AB989" s="408"/>
    </row>
    <row r="990" spans="1:28">
      <c r="A990" s="134">
        <v>2290</v>
      </c>
      <c r="B990" s="134">
        <v>16.8</v>
      </c>
      <c r="C990">
        <v>1.51</v>
      </c>
      <c r="D990" s="301">
        <v>7.14</v>
      </c>
      <c r="E990">
        <v>24.4</v>
      </c>
      <c r="F990" s="176" t="s">
        <v>2969</v>
      </c>
      <c r="G990">
        <v>57</v>
      </c>
      <c r="H990">
        <v>69</v>
      </c>
      <c r="I990" s="217">
        <v>43627</v>
      </c>
      <c r="J990" t="s">
        <v>130</v>
      </c>
      <c r="K990">
        <v>33.5</v>
      </c>
      <c r="Q990" s="4" t="str">
        <f>HYPERLINK("\\hopi-fs\shares\users\dhar\Stalk mount testing\Type 1e Quality Assurance\CRYO-2077-3197  2290 1E","folder")</f>
        <v>folder</v>
      </c>
      <c r="T990" t="s">
        <v>2720</v>
      </c>
      <c r="U990" t="s">
        <v>2978</v>
      </c>
      <c r="AB990" s="408"/>
    </row>
    <row r="991" spans="1:28">
      <c r="A991" s="134">
        <v>2291</v>
      </c>
      <c r="B991" s="134">
        <v>16</v>
      </c>
      <c r="C991">
        <v>1.5</v>
      </c>
      <c r="D991" s="301">
        <v>7.15</v>
      </c>
      <c r="E991">
        <v>24.38</v>
      </c>
      <c r="F991" s="19" t="s">
        <v>2970</v>
      </c>
      <c r="G991">
        <v>57</v>
      </c>
      <c r="H991">
        <v>69</v>
      </c>
      <c r="I991" s="217">
        <v>43627</v>
      </c>
      <c r="J991" t="s">
        <v>130</v>
      </c>
      <c r="K991">
        <v>33.54</v>
      </c>
      <c r="L991">
        <v>0.67800000000000005</v>
      </c>
      <c r="Q991" s="4" t="str">
        <f>HYPERLINK("\\hopi-fs\shares\users\dhar\Stalk mount testing\Type 1e Quality Assurance\CRYO-2077-3198  2291 1E","folder")</f>
        <v>folder</v>
      </c>
      <c r="T991" t="s">
        <v>2720</v>
      </c>
      <c r="U991" t="s">
        <v>2982</v>
      </c>
      <c r="V991" s="407" t="s">
        <v>2979</v>
      </c>
      <c r="W991" s="29">
        <v>1</v>
      </c>
      <c r="AB991" s="408"/>
    </row>
    <row r="992" spans="1:28">
      <c r="A992" s="134">
        <v>2292</v>
      </c>
      <c r="B992" s="134">
        <v>16</v>
      </c>
      <c r="C992">
        <v>1.51</v>
      </c>
      <c r="D992" s="301">
        <v>7.18</v>
      </c>
      <c r="E992">
        <v>24.43</v>
      </c>
      <c r="F992" s="19" t="s">
        <v>2971</v>
      </c>
      <c r="G992">
        <v>57</v>
      </c>
      <c r="H992">
        <v>69</v>
      </c>
      <c r="I992" s="217">
        <v>43627</v>
      </c>
      <c r="J992" t="s">
        <v>130</v>
      </c>
      <c r="K992">
        <v>33.57</v>
      </c>
      <c r="L992">
        <v>0.29699999999999999</v>
      </c>
      <c r="Q992" s="4" t="str">
        <f>HYPERLINK("\\hopi-fs\shares\users\dhar\Stalk mount testing\Type 1e Quality Assurance\CRYO-2077-3204  2292 1E","folder")</f>
        <v>folder</v>
      </c>
      <c r="T992" t="s">
        <v>2720</v>
      </c>
      <c r="U992" t="s">
        <v>2989</v>
      </c>
      <c r="V992" s="407" t="s">
        <v>2749</v>
      </c>
      <c r="W992" s="29">
        <v>0</v>
      </c>
      <c r="AB992" s="408"/>
    </row>
    <row r="993" spans="1:28">
      <c r="A993" s="134">
        <v>2293</v>
      </c>
      <c r="B993" s="134">
        <v>19</v>
      </c>
      <c r="C993">
        <v>1.5</v>
      </c>
      <c r="D993" s="301">
        <v>7.07</v>
      </c>
      <c r="E993">
        <v>24.44</v>
      </c>
      <c r="F993" s="19" t="s">
        <v>2972</v>
      </c>
      <c r="G993">
        <v>57</v>
      </c>
      <c r="H993">
        <v>69</v>
      </c>
      <c r="I993" s="217">
        <v>43627</v>
      </c>
      <c r="J993" t="s">
        <v>130</v>
      </c>
      <c r="K993">
        <v>33.5</v>
      </c>
      <c r="L993">
        <v>0.72</v>
      </c>
      <c r="Q993" s="4" t="str">
        <f>HYPERLINK("\\hopi-fs\shares\users\dhar\Stalk mount testing\Type 1e Quality Assurance\CRYO-2078-3208  2293 1E","folder")</f>
        <v>folder</v>
      </c>
      <c r="T993" t="s">
        <v>2720</v>
      </c>
      <c r="U993" t="s">
        <v>3146</v>
      </c>
      <c r="V993" s="407" t="s">
        <v>2980</v>
      </c>
      <c r="W993" s="29">
        <v>0</v>
      </c>
      <c r="AB993" s="408"/>
    </row>
    <row r="994" spans="1:28">
      <c r="A994" s="134">
        <v>2294</v>
      </c>
      <c r="B994" s="134">
        <v>19</v>
      </c>
      <c r="C994">
        <v>1.51</v>
      </c>
      <c r="D994" s="301">
        <v>7.15</v>
      </c>
      <c r="E994">
        <v>24.4</v>
      </c>
      <c r="F994" s="176" t="s">
        <v>2973</v>
      </c>
      <c r="G994">
        <v>57</v>
      </c>
      <c r="H994">
        <v>69</v>
      </c>
      <c r="I994" s="217">
        <v>43627</v>
      </c>
      <c r="J994" t="s">
        <v>130</v>
      </c>
      <c r="K994">
        <v>33.56</v>
      </c>
      <c r="L994">
        <v>0.56899999999999995</v>
      </c>
      <c r="Q994" s="4" t="str">
        <f>HYPERLINK("\\hopi-fs\shares\users\dhar\Stalk mount testing\Type 1e Quality Assurance\CRYO-2078-3333  2294 1E","folder")</f>
        <v>folder</v>
      </c>
      <c r="T994" t="s">
        <v>2720</v>
      </c>
      <c r="V994" s="407" t="s">
        <v>2981</v>
      </c>
      <c r="W994" s="29">
        <v>0</v>
      </c>
    </row>
    <row r="995" spans="1:28">
      <c r="A995" s="134">
        <v>2295</v>
      </c>
      <c r="B995" s="134">
        <v>19</v>
      </c>
      <c r="C995">
        <v>1.49</v>
      </c>
      <c r="D995" s="301">
        <v>7.11</v>
      </c>
      <c r="E995">
        <v>24.42</v>
      </c>
      <c r="F995" s="19" t="s">
        <v>2974</v>
      </c>
      <c r="G995">
        <v>57</v>
      </c>
      <c r="H995">
        <v>69</v>
      </c>
      <c r="I995" s="217">
        <v>43627</v>
      </c>
      <c r="J995" t="s">
        <v>130</v>
      </c>
      <c r="K995">
        <v>33.450000000000003</v>
      </c>
      <c r="L995">
        <v>0.56200000000000006</v>
      </c>
      <c r="Q995" s="4" t="str">
        <f>HYPERLINK("\\hopi-fs\shares\users\dhar\Stalk mount testing\Type 1e Quality Assurance\CRYO-2078-3334  2295 1E","folder")</f>
        <v>folder</v>
      </c>
      <c r="T995" t="s">
        <v>2720</v>
      </c>
      <c r="U995" t="s">
        <v>2986</v>
      </c>
      <c r="V995" s="407" t="s">
        <v>2730</v>
      </c>
      <c r="W995" s="29">
        <v>3</v>
      </c>
    </row>
    <row r="996" spans="1:28" ht="27.75" customHeight="1">
      <c r="A996" s="134">
        <v>2296</v>
      </c>
      <c r="B996" s="134">
        <v>16.399999999999999</v>
      </c>
      <c r="C996">
        <v>1.49</v>
      </c>
      <c r="D996" s="301">
        <v>7.1</v>
      </c>
      <c r="E996">
        <v>24.4</v>
      </c>
      <c r="F996" s="349" t="s">
        <v>2992</v>
      </c>
      <c r="G996">
        <v>60</v>
      </c>
      <c r="H996">
        <v>73</v>
      </c>
      <c r="I996" s="217">
        <v>43656</v>
      </c>
      <c r="J996" t="s">
        <v>130</v>
      </c>
      <c r="K996">
        <v>33.479999999999997</v>
      </c>
      <c r="L996">
        <v>0.61899999999999999</v>
      </c>
      <c r="M996" t="s">
        <v>1678</v>
      </c>
      <c r="Q996" s="4" t="str">
        <f>HYPERLINK("\\hopi-fs\shares\users\dhar\Stalk mount testing\Type 1e Quality Assurance\CRYO-2076-3407  2296 1E","folder")</f>
        <v>folder</v>
      </c>
      <c r="T996" t="s">
        <v>2720</v>
      </c>
      <c r="V996" s="407" t="s">
        <v>2999</v>
      </c>
      <c r="W996" s="29">
        <v>7</v>
      </c>
    </row>
    <row r="997" spans="1:28">
      <c r="A997" s="134">
        <v>2297</v>
      </c>
      <c r="B997" s="134">
        <v>18</v>
      </c>
      <c r="C997">
        <v>1.5</v>
      </c>
      <c r="D997" s="301">
        <v>7.12</v>
      </c>
      <c r="E997">
        <v>24.42</v>
      </c>
      <c r="F997" s="349" t="s">
        <v>2993</v>
      </c>
      <c r="G997">
        <v>60</v>
      </c>
      <c r="H997">
        <v>73</v>
      </c>
      <c r="I997" s="217">
        <v>43656</v>
      </c>
      <c r="J997" t="s">
        <v>130</v>
      </c>
      <c r="K997">
        <v>33.49</v>
      </c>
      <c r="L997">
        <v>0.85699999999999998</v>
      </c>
      <c r="Q997" s="4" t="str">
        <f>HYPERLINK("\\hopi-fs\shares\users\dhar\Stalk mount testing\Type 1e Quality Assurance\CRYO-2076-3409  2297 1E","folder")</f>
        <v>folder</v>
      </c>
      <c r="T997" t="s">
        <v>2720</v>
      </c>
      <c r="V997" s="407" t="s">
        <v>3000</v>
      </c>
      <c r="W997" s="29">
        <v>5</v>
      </c>
    </row>
    <row r="998" spans="1:28">
      <c r="A998" s="134">
        <v>2298</v>
      </c>
      <c r="B998" s="134">
        <v>19</v>
      </c>
      <c r="C998">
        <v>1.49</v>
      </c>
      <c r="D998" s="301">
        <v>7.09</v>
      </c>
      <c r="E998">
        <v>24.4</v>
      </c>
      <c r="F998" s="349" t="s">
        <v>2994</v>
      </c>
      <c r="G998">
        <v>60</v>
      </c>
      <c r="H998">
        <v>73</v>
      </c>
      <c r="I998" s="217">
        <v>43656</v>
      </c>
      <c r="J998" t="s">
        <v>130</v>
      </c>
      <c r="K998">
        <v>33.46</v>
      </c>
      <c r="L998">
        <v>0.14799999999999999</v>
      </c>
      <c r="Q998" s="4" t="str">
        <f>HYPERLINK("\\hopi-fs\shares\users\dhar\Stalk mount testing\Type 1e Quality Assurance\CRYO-2076-3415  2298 1E","folder")</f>
        <v>folder</v>
      </c>
      <c r="T998" t="s">
        <v>2720</v>
      </c>
      <c r="V998" s="407" t="s">
        <v>3001</v>
      </c>
      <c r="W998" s="29">
        <v>7</v>
      </c>
    </row>
    <row r="999" spans="1:28">
      <c r="A999" s="134">
        <v>2299</v>
      </c>
      <c r="B999" s="134">
        <v>19</v>
      </c>
      <c r="C999">
        <v>1.49</v>
      </c>
      <c r="D999" s="301">
        <v>7.13</v>
      </c>
      <c r="E999">
        <v>24.41</v>
      </c>
      <c r="F999" s="349" t="s">
        <v>2995</v>
      </c>
      <c r="G999">
        <v>60</v>
      </c>
      <c r="H999">
        <v>73</v>
      </c>
      <c r="I999" s="217">
        <v>43656</v>
      </c>
      <c r="J999" t="s">
        <v>130</v>
      </c>
      <c r="K999">
        <v>33.54</v>
      </c>
      <c r="L999">
        <v>0.312</v>
      </c>
      <c r="Q999" s="4" t="str">
        <f>HYPERLINK("\\hopi-fs\shares\users\dhar\Stalk mount testing\Type 1e Quality Assurance\CRYO-2080-3441  W10012299 1E","folder")</f>
        <v>folder</v>
      </c>
      <c r="T999" t="s">
        <v>2720</v>
      </c>
      <c r="V999" s="407" t="s">
        <v>3002</v>
      </c>
      <c r="W999" s="29">
        <v>3</v>
      </c>
    </row>
    <row r="1000" spans="1:28">
      <c r="A1000" s="134">
        <v>2300</v>
      </c>
      <c r="B1000" s="134">
        <v>20</v>
      </c>
      <c r="C1000">
        <v>1.49</v>
      </c>
      <c r="D1000" s="301">
        <v>7.12</v>
      </c>
      <c r="E1000">
        <v>24.44</v>
      </c>
      <c r="F1000" s="349" t="s">
        <v>2996</v>
      </c>
      <c r="G1000">
        <v>60</v>
      </c>
      <c r="H1000">
        <v>73</v>
      </c>
      <c r="I1000" s="217">
        <v>43656</v>
      </c>
      <c r="J1000" t="s">
        <v>130</v>
      </c>
      <c r="K1000">
        <v>33.520000000000003</v>
      </c>
      <c r="L1000">
        <v>0.35799999999999998</v>
      </c>
      <c r="Q1000" s="4" t="str">
        <f>HYPERLINK("\\hopi-fs\shares\users\dhar\Stalk mount testing\Type 1e Quality Assurance\CRYO-2081-3445  2300 1E","folder")</f>
        <v>folder</v>
      </c>
      <c r="T1000" t="s">
        <v>2720</v>
      </c>
      <c r="V1000" s="407" t="s">
        <v>3003</v>
      </c>
      <c r="W1000" s="29">
        <v>0</v>
      </c>
    </row>
    <row r="1001" spans="1:28">
      <c r="A1001" s="134">
        <v>2301</v>
      </c>
      <c r="B1001" s="134">
        <v>19</v>
      </c>
      <c r="C1001">
        <v>1.49</v>
      </c>
      <c r="D1001" s="301">
        <v>7.17</v>
      </c>
      <c r="E1001">
        <v>24.39</v>
      </c>
      <c r="F1001" s="351" t="s">
        <v>2997</v>
      </c>
      <c r="G1001">
        <v>60</v>
      </c>
      <c r="H1001">
        <v>73</v>
      </c>
      <c r="I1001" s="217">
        <v>43656</v>
      </c>
      <c r="J1001" t="s">
        <v>130</v>
      </c>
      <c r="K1001">
        <v>33.549999999999997</v>
      </c>
      <c r="L1001">
        <v>0.61499999999999999</v>
      </c>
      <c r="Q1001" s="4" t="str">
        <f>HYPERLINK("\\hopi-fs\shares\users\dhar\Stalk mount testing\Type 1e Quality Assurance\CRYO-2080-3447  2301 1E","folder")</f>
        <v>folder</v>
      </c>
      <c r="T1001" t="s">
        <v>2720</v>
      </c>
      <c r="U1001" t="s">
        <v>3043</v>
      </c>
      <c r="V1001" s="407" t="s">
        <v>3004</v>
      </c>
      <c r="W1001" s="29">
        <v>4</v>
      </c>
    </row>
    <row r="1002" spans="1:28">
      <c r="A1002" s="134">
        <v>2302</v>
      </c>
      <c r="B1002" s="134">
        <v>20</v>
      </c>
      <c r="C1002">
        <v>1.52</v>
      </c>
      <c r="D1002" s="301">
        <v>7.08</v>
      </c>
      <c r="E1002">
        <v>24.4</v>
      </c>
      <c r="F1002" s="349" t="s">
        <v>2998</v>
      </c>
      <c r="G1002">
        <v>60</v>
      </c>
      <c r="H1002">
        <v>73</v>
      </c>
      <c r="I1002" s="217">
        <v>43656</v>
      </c>
      <c r="J1002" t="s">
        <v>130</v>
      </c>
      <c r="K1002">
        <v>33.5</v>
      </c>
      <c r="L1002">
        <v>0.30099999999999999</v>
      </c>
      <c r="Q1002" s="4" t="str">
        <f>HYPERLINK("\\hopi-fs\shares\users\dhar\Stalk mount testing\Type 1e Quality Assurance\CRYO-2081-3450  2302 1E","folder")</f>
        <v>folder</v>
      </c>
      <c r="T1002" t="s">
        <v>2720</v>
      </c>
      <c r="V1002" s="407" t="s">
        <v>3005</v>
      </c>
      <c r="W1002" s="29">
        <v>2</v>
      </c>
    </row>
    <row r="1003" spans="1:28" ht="30" customHeight="1">
      <c r="A1003" s="134">
        <v>2296</v>
      </c>
      <c r="D1003" s="301"/>
      <c r="F1003" s="349" t="s">
        <v>3006</v>
      </c>
      <c r="G1003">
        <v>52</v>
      </c>
      <c r="H1003">
        <v>72</v>
      </c>
      <c r="I1003" s="217">
        <v>43658</v>
      </c>
      <c r="J1003" t="s">
        <v>130</v>
      </c>
      <c r="Q1003" s="4"/>
      <c r="T1003" t="s">
        <v>2720</v>
      </c>
      <c r="V1003" s="409"/>
    </row>
    <row r="1004" spans="1:28">
      <c r="A1004" s="134">
        <v>2297</v>
      </c>
      <c r="B1004" s="134">
        <v>19</v>
      </c>
      <c r="C1004">
        <v>1.5</v>
      </c>
      <c r="D1004" s="301">
        <v>7.13</v>
      </c>
      <c r="E1004">
        <v>24.46</v>
      </c>
      <c r="F1004" s="351" t="s">
        <v>3007</v>
      </c>
      <c r="G1004">
        <v>52</v>
      </c>
      <c r="H1004">
        <v>72</v>
      </c>
      <c r="I1004" s="217">
        <v>43658</v>
      </c>
      <c r="J1004" t="s">
        <v>130</v>
      </c>
      <c r="K1004">
        <v>33.57</v>
      </c>
      <c r="L1004">
        <v>0.47299999999999998</v>
      </c>
      <c r="Q1004" s="4" t="str">
        <f>HYPERLINK("\\hopi-fs\shares\users\dhar\Stalk mount testing\Type 1e Quality Assurance\CRYO-2076-3396  2297 1E","folder")</f>
        <v>folder</v>
      </c>
      <c r="T1004" t="s">
        <v>2720</v>
      </c>
      <c r="U1004" t="s">
        <v>3044</v>
      </c>
      <c r="V1004" s="409" t="s">
        <v>3012</v>
      </c>
      <c r="W1004" s="29">
        <v>3</v>
      </c>
    </row>
    <row r="1005" spans="1:28">
      <c r="A1005" s="134">
        <v>2298</v>
      </c>
      <c r="B1005" s="134">
        <v>19</v>
      </c>
      <c r="C1005">
        <v>1.49</v>
      </c>
      <c r="D1005" s="301">
        <v>7.11</v>
      </c>
      <c r="E1005">
        <v>24.43</v>
      </c>
      <c r="F1005" s="349" t="s">
        <v>3008</v>
      </c>
      <c r="G1005">
        <v>52</v>
      </c>
      <c r="H1005">
        <v>72</v>
      </c>
      <c r="I1005" s="217">
        <v>43658</v>
      </c>
      <c r="J1005" t="s">
        <v>130</v>
      </c>
      <c r="K1005">
        <v>33.520000000000003</v>
      </c>
      <c r="L1005">
        <v>0.54</v>
      </c>
      <c r="Q1005" s="4" t="str">
        <f>HYPERLINK("\\hopi-fs\shares\users\dhar\Stalk mount testing\Type 1e Quality Assurance\CRYO-2076-3411  2298 1E","folder")</f>
        <v>folder</v>
      </c>
      <c r="T1005" t="s">
        <v>2720</v>
      </c>
      <c r="U1005" t="s">
        <v>3016</v>
      </c>
      <c r="V1005" s="409" t="s">
        <v>2819</v>
      </c>
      <c r="W1005" s="29">
        <v>7</v>
      </c>
    </row>
    <row r="1006" spans="1:28">
      <c r="A1006" s="134">
        <v>2299</v>
      </c>
      <c r="B1006" s="134">
        <v>17.600000000000001</v>
      </c>
      <c r="C1006">
        <v>1.5</v>
      </c>
      <c r="D1006" s="301">
        <v>7.15</v>
      </c>
      <c r="E1006">
        <v>24.42</v>
      </c>
      <c r="F1006" s="351" t="s">
        <v>3009</v>
      </c>
      <c r="G1006">
        <v>52</v>
      </c>
      <c r="H1006">
        <v>72</v>
      </c>
      <c r="I1006" s="217">
        <v>43658</v>
      </c>
      <c r="J1006" t="s">
        <v>130</v>
      </c>
      <c r="K1006">
        <v>33.54</v>
      </c>
      <c r="L1006">
        <v>0.19900000000000001</v>
      </c>
      <c r="Q1006" s="4" t="str">
        <f>HYPERLINK("\\hopi-fs\shares\users\dhar\Stalk mount testing\Type 1e Quality Assurance\CRYO-2080-3448  2299 1E","folder")</f>
        <v>folder</v>
      </c>
      <c r="T1006" t="s">
        <v>2720</v>
      </c>
      <c r="U1006" t="s">
        <v>3031</v>
      </c>
      <c r="V1006" s="409" t="s">
        <v>3013</v>
      </c>
      <c r="W1006" s="29">
        <v>2</v>
      </c>
    </row>
    <row r="1007" spans="1:28">
      <c r="A1007" s="134">
        <v>2300</v>
      </c>
      <c r="B1007" s="134">
        <v>19</v>
      </c>
      <c r="C1007">
        <v>1.47</v>
      </c>
      <c r="D1007" s="301">
        <v>7.09</v>
      </c>
      <c r="E1007">
        <v>24.5</v>
      </c>
      <c r="F1007" s="351" t="s">
        <v>3010</v>
      </c>
      <c r="G1007">
        <v>52</v>
      </c>
      <c r="H1007">
        <v>72</v>
      </c>
      <c r="I1007" s="217">
        <v>43658</v>
      </c>
      <c r="J1007" t="s">
        <v>130</v>
      </c>
      <c r="K1007">
        <v>33.51</v>
      </c>
      <c r="L1007">
        <v>0.41799999999999998</v>
      </c>
      <c r="Q1007" s="4" t="str">
        <f>HYPERLINK("\\hopi-fs\shares\users\dhar\Stalk mount testing\Type 1e Quality Assurance\CRYO-2081-3449  2300 1E","folder")</f>
        <v>folder</v>
      </c>
      <c r="T1007" t="s">
        <v>2720</v>
      </c>
      <c r="U1007" t="s">
        <v>3522</v>
      </c>
      <c r="V1007" s="409" t="s">
        <v>3005</v>
      </c>
      <c r="W1007" s="29">
        <v>1</v>
      </c>
    </row>
    <row r="1008" spans="1:28">
      <c r="A1008" s="134">
        <v>2302</v>
      </c>
      <c r="B1008" s="134">
        <v>18</v>
      </c>
      <c r="C1008">
        <v>1.49</v>
      </c>
      <c r="D1008" s="301">
        <v>7.09</v>
      </c>
      <c r="E1008">
        <v>24.38</v>
      </c>
      <c r="F1008" s="351" t="s">
        <v>3011</v>
      </c>
      <c r="G1008">
        <v>52</v>
      </c>
      <c r="H1008">
        <v>72</v>
      </c>
      <c r="I1008" s="217">
        <v>43658</v>
      </c>
      <c r="J1008" t="s">
        <v>130</v>
      </c>
      <c r="K1008">
        <v>33.46</v>
      </c>
      <c r="L1008">
        <v>0.2</v>
      </c>
      <c r="Q1008" s="4" t="str">
        <f>HYPERLINK("\\hopi-fs\shares\users\dhar\Stalk mount testing\Type 1e Quality Assurance\CRYO-2080-3451  2302 1E","folder")</f>
        <v>folder</v>
      </c>
      <c r="T1008" t="s">
        <v>2720</v>
      </c>
      <c r="U1008" t="s">
        <v>3032</v>
      </c>
      <c r="V1008" s="409" t="s">
        <v>3013</v>
      </c>
      <c r="W1008" s="29">
        <v>0</v>
      </c>
    </row>
    <row r="1009" spans="1:27" ht="31.5" customHeight="1">
      <c r="A1009" s="134">
        <v>2303</v>
      </c>
      <c r="B1009" s="134">
        <v>19</v>
      </c>
      <c r="C1009">
        <v>1.52</v>
      </c>
      <c r="D1009" s="301">
        <v>7.15</v>
      </c>
      <c r="E1009">
        <v>24.4</v>
      </c>
      <c r="F1009" s="351" t="s">
        <v>3017</v>
      </c>
      <c r="G1009">
        <v>52</v>
      </c>
      <c r="H1009">
        <v>76</v>
      </c>
      <c r="I1009" s="217">
        <v>43664</v>
      </c>
      <c r="J1009" t="s">
        <v>130</v>
      </c>
      <c r="K1009">
        <v>33.56</v>
      </c>
      <c r="L1009">
        <v>0.36399999999999999</v>
      </c>
      <c r="Q1009" s="4" t="str">
        <f>HYPERLINK("\\hopi-fs\shares\users\dhar\Stalk mount testing\Type 1e Quality Assurance\CRYO-2081-3088  2303 1E","folder")</f>
        <v>folder</v>
      </c>
      <c r="T1009" t="s">
        <v>2720</v>
      </c>
      <c r="U1009" t="s">
        <v>3036</v>
      </c>
      <c r="V1009" s="407" t="s">
        <v>3023</v>
      </c>
      <c r="W1009" s="29">
        <v>3</v>
      </c>
    </row>
    <row r="1010" spans="1:27">
      <c r="A1010" s="134">
        <v>2304</v>
      </c>
      <c r="B1010" s="134">
        <v>17.2</v>
      </c>
      <c r="C1010">
        <v>1.46</v>
      </c>
      <c r="D1010" s="301">
        <v>7.12</v>
      </c>
      <c r="E1010">
        <v>24.37</v>
      </c>
      <c r="F1010" s="344" t="s">
        <v>3018</v>
      </c>
      <c r="G1010">
        <v>52</v>
      </c>
      <c r="H1010">
        <v>76</v>
      </c>
      <c r="I1010" s="217">
        <v>43664</v>
      </c>
      <c r="J1010" t="s">
        <v>130</v>
      </c>
      <c r="K1010">
        <v>33.43</v>
      </c>
      <c r="L1010">
        <v>0.52700000000000002</v>
      </c>
      <c r="Q1010" s="4" t="str">
        <f>HYPERLINK("\\hopi-fs\shares\users\dhar\Stalk mount testing\Type 1e Quality Assurance\CRYO-2081-3089  2304 1E","folder")</f>
        <v>folder</v>
      </c>
      <c r="T1010" t="s">
        <v>2720</v>
      </c>
      <c r="U1010" t="s">
        <v>3028</v>
      </c>
      <c r="V1010" s="407" t="s">
        <v>3024</v>
      </c>
      <c r="W1010" s="29">
        <v>1</v>
      </c>
    </row>
    <row r="1011" spans="1:27">
      <c r="A1011" s="134">
        <v>2305</v>
      </c>
      <c r="B1011" s="134">
        <v>19</v>
      </c>
      <c r="C1011">
        <v>1.51</v>
      </c>
      <c r="D1011" s="301">
        <v>7.09</v>
      </c>
      <c r="E1011">
        <v>24.35</v>
      </c>
      <c r="F1011" s="351" t="s">
        <v>3019</v>
      </c>
      <c r="G1011">
        <v>52</v>
      </c>
      <c r="H1011">
        <v>76</v>
      </c>
      <c r="I1011" s="217">
        <v>43664</v>
      </c>
      <c r="J1011" t="s">
        <v>130</v>
      </c>
      <c r="K1011">
        <v>33.47</v>
      </c>
      <c r="L1011">
        <v>0.39400000000000002</v>
      </c>
      <c r="Q1011" s="4" t="str">
        <f>HYPERLINK("\\hopi-fs\shares\users\dhar\Stalk mount testing\Type 1e Quality Assurance\CRYO-2081-3090  2305 1E","folder")</f>
        <v>folder</v>
      </c>
      <c r="T1011" t="s">
        <v>2720</v>
      </c>
      <c r="U1011" t="s">
        <v>3379</v>
      </c>
      <c r="V1011" s="407" t="s">
        <v>3012</v>
      </c>
      <c r="W1011" s="29">
        <v>1</v>
      </c>
    </row>
    <row r="1012" spans="1:27">
      <c r="A1012" s="134">
        <v>2306</v>
      </c>
      <c r="B1012" s="134">
        <v>16.8</v>
      </c>
      <c r="C1012">
        <v>1.49</v>
      </c>
      <c r="D1012" s="301">
        <v>7.13</v>
      </c>
      <c r="E1012">
        <v>24.41</v>
      </c>
      <c r="F1012" s="351" t="s">
        <v>3020</v>
      </c>
      <c r="G1012">
        <v>52</v>
      </c>
      <c r="H1012">
        <v>76</v>
      </c>
      <c r="I1012" s="217">
        <v>43664</v>
      </c>
      <c r="J1012" t="s">
        <v>130</v>
      </c>
      <c r="K1012">
        <v>33.49</v>
      </c>
      <c r="L1012">
        <v>0.50800000000000001</v>
      </c>
      <c r="Q1012" s="4" t="str">
        <f>HYPERLINK("\\hopi-fs\shares\users\dhar\Stalk mount testing\Type 1e Quality Assurance\CRYO-2075-3394  2306 1E","folder")</f>
        <v>folder</v>
      </c>
      <c r="T1012" t="s">
        <v>2720</v>
      </c>
      <c r="U1012" t="s">
        <v>3030</v>
      </c>
      <c r="V1012" s="407" t="s">
        <v>3025</v>
      </c>
      <c r="W1012" s="29">
        <v>6</v>
      </c>
    </row>
    <row r="1013" spans="1:27">
      <c r="A1013" s="134">
        <v>2307</v>
      </c>
      <c r="B1013" s="134">
        <v>18</v>
      </c>
      <c r="C1013">
        <v>1.51</v>
      </c>
      <c r="D1013" s="301">
        <v>7.13</v>
      </c>
      <c r="E1013">
        <v>24.42</v>
      </c>
      <c r="F1013" s="351" t="s">
        <v>3021</v>
      </c>
      <c r="G1013">
        <v>52</v>
      </c>
      <c r="H1013">
        <v>76</v>
      </c>
      <c r="I1013" s="217">
        <v>43664</v>
      </c>
      <c r="J1013" t="s">
        <v>130</v>
      </c>
      <c r="K1013">
        <v>33.520000000000003</v>
      </c>
      <c r="L1013">
        <v>0.56899999999999995</v>
      </c>
      <c r="Q1013" s="4" t="str">
        <f>HYPERLINK("\\hopi-fs\shares\users\dhar\Stalk mount testing\Type 1e Quality Assurance\CRYO-2077-3397  2307 1E","folder")</f>
        <v>folder</v>
      </c>
      <c r="T1013" t="s">
        <v>2720</v>
      </c>
      <c r="U1013" t="s">
        <v>3035</v>
      </c>
      <c r="V1013" s="407" t="s">
        <v>3026</v>
      </c>
      <c r="W1013" s="29">
        <v>3</v>
      </c>
    </row>
    <row r="1014" spans="1:27">
      <c r="A1014" s="134">
        <v>2245</v>
      </c>
      <c r="B1014" s="134">
        <v>18</v>
      </c>
      <c r="C1014">
        <v>1.51</v>
      </c>
      <c r="D1014" s="301">
        <v>7.17</v>
      </c>
      <c r="E1014">
        <v>24.41</v>
      </c>
      <c r="F1014" s="351" t="s">
        <v>3022</v>
      </c>
      <c r="G1014">
        <v>52</v>
      </c>
      <c r="H1014">
        <v>76</v>
      </c>
      <c r="I1014" s="217">
        <v>43664</v>
      </c>
      <c r="J1014" t="s">
        <v>130</v>
      </c>
      <c r="K1014">
        <v>33.56</v>
      </c>
      <c r="L1014">
        <v>0.86899999999999999</v>
      </c>
      <c r="Q1014" s="4" t="str">
        <f>HYPERLINK("\\hopi-fs\shares\users\dhar\Stalk mount testing\Type 1e Quality Assurance\CRYO-2077-3398  2245 1E","folder")</f>
        <v>folder</v>
      </c>
      <c r="T1014" t="s">
        <v>2720</v>
      </c>
      <c r="U1014" t="s">
        <v>3034</v>
      </c>
      <c r="V1014" s="410" t="s">
        <v>3027</v>
      </c>
      <c r="W1014" s="29">
        <v>0</v>
      </c>
    </row>
    <row r="1015" spans="1:27" ht="41.25" customHeight="1">
      <c r="A1015" s="134">
        <v>2036</v>
      </c>
      <c r="B1015" s="134">
        <v>18</v>
      </c>
      <c r="C1015">
        <v>1.5</v>
      </c>
      <c r="D1015" s="301">
        <v>7.13</v>
      </c>
      <c r="E1015">
        <v>24.33</v>
      </c>
      <c r="F1015" s="350" t="s">
        <v>3045</v>
      </c>
      <c r="G1015">
        <v>47</v>
      </c>
      <c r="H1015">
        <v>73.599999999999994</v>
      </c>
      <c r="I1015" s="217">
        <v>43677</v>
      </c>
      <c r="J1015" t="s">
        <v>130</v>
      </c>
      <c r="K1015">
        <v>33.42</v>
      </c>
      <c r="L1015">
        <v>0.52600000000000002</v>
      </c>
      <c r="Q1015" s="4" t="str">
        <f>HYPERLINK("\\hopi-fs\shares\users\dhar\Stalk mount testing\Type 1e Quality Assurance\CRYO-9081-0116  2036 1E","folder")</f>
        <v>folder</v>
      </c>
      <c r="T1015" t="s">
        <v>2720</v>
      </c>
      <c r="V1015" s="413"/>
    </row>
    <row r="1016" spans="1:27">
      <c r="A1016" s="134">
        <v>2178</v>
      </c>
      <c r="B1016" s="134">
        <v>16</v>
      </c>
      <c r="C1016">
        <v>1.46</v>
      </c>
      <c r="D1016" s="301">
        <v>7.09</v>
      </c>
      <c r="E1016">
        <v>24.42</v>
      </c>
      <c r="F1016" s="350" t="s">
        <v>3046</v>
      </c>
      <c r="G1016">
        <v>47</v>
      </c>
      <c r="H1016">
        <v>73.599999999999994</v>
      </c>
      <c r="I1016" s="217">
        <v>43677</v>
      </c>
      <c r="J1016" t="s">
        <v>130</v>
      </c>
      <c r="K1016">
        <v>33.42</v>
      </c>
      <c r="L1016">
        <v>0.60599999999999998</v>
      </c>
      <c r="Q1016" s="4" t="str">
        <f>HYPERLINK("\\hopi-fs\shares\users\dhar\Stalk mount testing\Type 1e Quality Assurance\CRYO-9081-0117  2178 1E","folder")</f>
        <v>folder</v>
      </c>
      <c r="T1016" t="s">
        <v>2720</v>
      </c>
      <c r="V1016" s="413"/>
    </row>
    <row r="1017" spans="1:27">
      <c r="A1017" s="134">
        <v>2210</v>
      </c>
      <c r="B1017" s="134">
        <v>16.8</v>
      </c>
      <c r="C1017">
        <v>1.49</v>
      </c>
      <c r="D1017" s="301">
        <v>7.13</v>
      </c>
      <c r="E1017">
        <v>24.35</v>
      </c>
      <c r="F1017" s="350" t="s">
        <v>3047</v>
      </c>
      <c r="G1017">
        <v>47</v>
      </c>
      <c r="H1017">
        <v>73.599999999999994</v>
      </c>
      <c r="I1017" s="217">
        <v>43677</v>
      </c>
      <c r="J1017" t="s">
        <v>130</v>
      </c>
      <c r="K1017">
        <v>33.409999999999997</v>
      </c>
      <c r="L1017">
        <v>0.30499999999999999</v>
      </c>
      <c r="Q1017" s="4" t="str">
        <f>HYPERLINK("\\hopi-fs\shares\users\dhar\Stalk mount testing\Type 1e Quality Assurance\CRYO-9082-0118  2210 1E","folder")</f>
        <v>folder</v>
      </c>
      <c r="T1017" t="s">
        <v>2720</v>
      </c>
      <c r="V1017" s="413"/>
    </row>
    <row r="1018" spans="1:27">
      <c r="A1018" s="134">
        <v>2278</v>
      </c>
      <c r="B1018" s="134">
        <v>19</v>
      </c>
      <c r="C1018">
        <v>1.5</v>
      </c>
      <c r="D1018" s="301">
        <v>7.15</v>
      </c>
      <c r="E1018">
        <v>24.53</v>
      </c>
      <c r="F1018" s="350" t="s">
        <v>3048</v>
      </c>
      <c r="G1018">
        <v>47</v>
      </c>
      <c r="H1018">
        <v>73.599999999999994</v>
      </c>
      <c r="I1018" s="217">
        <v>43677</v>
      </c>
      <c r="J1018" t="s">
        <v>130</v>
      </c>
      <c r="K1018">
        <v>33.6</v>
      </c>
      <c r="L1018">
        <v>0.29199999999999998</v>
      </c>
      <c r="Q1018" s="4" t="str">
        <f>HYPERLINK("\\hopi-fs\shares\users\dhar\Stalk mount testing\Type 1e Quality Assurance\CRYO-9081-0119  2278 1E","folder")</f>
        <v>folder</v>
      </c>
      <c r="T1018" t="s">
        <v>2720</v>
      </c>
      <c r="V1018" s="414" t="s">
        <v>3052</v>
      </c>
    </row>
    <row r="1019" spans="1:27">
      <c r="A1019" s="134">
        <v>2279</v>
      </c>
      <c r="B1019" s="134">
        <v>17.600000000000001</v>
      </c>
      <c r="C1019">
        <v>1.49</v>
      </c>
      <c r="D1019" s="301">
        <v>7.09</v>
      </c>
      <c r="E1019">
        <v>24.42</v>
      </c>
      <c r="F1019" s="350" t="s">
        <v>3049</v>
      </c>
      <c r="G1019">
        <v>47</v>
      </c>
      <c r="H1019">
        <v>73.599999999999994</v>
      </c>
      <c r="I1019" s="217">
        <v>43677</v>
      </c>
      <c r="J1019" t="s">
        <v>130</v>
      </c>
      <c r="K1019">
        <v>33.450000000000003</v>
      </c>
      <c r="L1019">
        <v>0.46800000000000003</v>
      </c>
      <c r="Q1019" s="4" t="str">
        <f>HYPERLINK("\\hopi-fs\shares\users\dhar\Stalk mount testing\Type 1e Quality Assurance\CRYO-9081-0121  2279 1E","folder")</f>
        <v>folder</v>
      </c>
      <c r="T1019" t="s">
        <v>2720</v>
      </c>
      <c r="V1019" s="413"/>
    </row>
    <row r="1020" spans="1:27">
      <c r="A1020" s="134">
        <v>2290</v>
      </c>
      <c r="B1020" s="134">
        <v>18</v>
      </c>
      <c r="C1020">
        <v>1.5</v>
      </c>
      <c r="D1020" s="301">
        <v>7.14</v>
      </c>
      <c r="E1020">
        <v>24.36</v>
      </c>
      <c r="F1020" s="351" t="s">
        <v>3050</v>
      </c>
      <c r="G1020">
        <v>47</v>
      </c>
      <c r="H1020">
        <v>73.599999999999994</v>
      </c>
      <c r="I1020" s="217">
        <v>43677</v>
      </c>
      <c r="J1020" t="s">
        <v>130</v>
      </c>
      <c r="K1020">
        <v>33.44</v>
      </c>
      <c r="L1020">
        <v>0.54200000000000004</v>
      </c>
      <c r="Q1020" s="4" t="str">
        <f>HYPERLINK("\\hopi-fs\shares\users\dhar\Stalk mount testing\Type 1e Quality Assurance\CRYO-9080-0122  2290 1E","folder")</f>
        <v>folder</v>
      </c>
      <c r="T1020" t="s">
        <v>2720</v>
      </c>
      <c r="U1020" t="s">
        <v>3069</v>
      </c>
      <c r="V1020" s="413" t="s">
        <v>2819</v>
      </c>
    </row>
    <row r="1021" spans="1:27">
      <c r="A1021" s="134">
        <v>2296</v>
      </c>
      <c r="B1021" s="134">
        <v>16.8</v>
      </c>
      <c r="C1021">
        <v>1.5</v>
      </c>
      <c r="D1021" s="301">
        <v>7.09</v>
      </c>
      <c r="E1021">
        <v>24.39</v>
      </c>
      <c r="F1021" s="350" t="s">
        <v>3051</v>
      </c>
      <c r="G1021">
        <v>47</v>
      </c>
      <c r="H1021">
        <v>73.599999999999994</v>
      </c>
      <c r="I1021" s="217">
        <v>43677</v>
      </c>
      <c r="J1021" t="s">
        <v>130</v>
      </c>
      <c r="K1021">
        <v>33.42</v>
      </c>
      <c r="L1021">
        <v>0.45300000000000001</v>
      </c>
      <c r="Q1021" s="4" t="str">
        <f>HYPERLINK("\\hopi-fs\shares\users\dhar\Stalk mount testing\Type 1e Quality Assurance\CRYO-9080-0123  2296 1E","folder")</f>
        <v>folder</v>
      </c>
      <c r="T1021" t="s">
        <v>2720</v>
      </c>
      <c r="V1021" s="413" t="s">
        <v>3053</v>
      </c>
      <c r="AA1021" s="351"/>
    </row>
    <row r="1022" spans="1:27">
      <c r="A1022" s="134">
        <v>2036</v>
      </c>
      <c r="B1022" s="134">
        <v>18.399999999999999</v>
      </c>
      <c r="C1022">
        <v>1.5</v>
      </c>
      <c r="D1022" s="301">
        <v>7.12</v>
      </c>
      <c r="E1022">
        <v>24.32</v>
      </c>
      <c r="F1022" s="350" t="s">
        <v>3054</v>
      </c>
      <c r="G1022">
        <v>47</v>
      </c>
      <c r="H1022">
        <v>73</v>
      </c>
      <c r="I1022" s="217">
        <v>43678</v>
      </c>
      <c r="J1022" t="s">
        <v>130</v>
      </c>
      <c r="K1022">
        <v>33.4</v>
      </c>
      <c r="L1022">
        <v>0.25</v>
      </c>
      <c r="Q1022" s="4" t="str">
        <f>HYPERLINK("\\hopi-fs\shares\users\dhar\Stalk mount testing\Type 1e Quality Assurance\CRYO-9081-0124  2036 1E","folder")</f>
        <v>folder</v>
      </c>
      <c r="T1022" t="s">
        <v>2720</v>
      </c>
      <c r="V1022" s="415" t="s">
        <v>3055</v>
      </c>
      <c r="AA1022" s="351"/>
    </row>
    <row r="1023" spans="1:27">
      <c r="A1023" s="134">
        <v>2178</v>
      </c>
      <c r="B1023" s="134">
        <v>17.600000000000001</v>
      </c>
      <c r="C1023">
        <v>1.49</v>
      </c>
      <c r="D1023" s="301">
        <v>7.09</v>
      </c>
      <c r="E1023">
        <v>24.41</v>
      </c>
      <c r="F1023" s="350" t="s">
        <v>3056</v>
      </c>
      <c r="G1023">
        <v>47</v>
      </c>
      <c r="H1023">
        <v>73</v>
      </c>
      <c r="I1023" s="217">
        <v>43678</v>
      </c>
      <c r="J1023" t="s">
        <v>130</v>
      </c>
      <c r="K1023">
        <v>33.42</v>
      </c>
      <c r="L1023">
        <v>0.68600000000000005</v>
      </c>
      <c r="Q1023" s="4" t="str">
        <f>HYPERLINK("\\HOPI-FS\shares\users\dhar\Stalk mount testing\Type 1e Quality Assurance\CRYO-9079-0127  2178 1E","folder")</f>
        <v>folder</v>
      </c>
      <c r="T1023" t="s">
        <v>2720</v>
      </c>
      <c r="V1023" s="415" t="s">
        <v>3057</v>
      </c>
      <c r="AA1023" s="351"/>
    </row>
    <row r="1024" spans="1:27">
      <c r="A1024" s="134">
        <v>2210</v>
      </c>
      <c r="B1024" s="134">
        <v>19</v>
      </c>
      <c r="C1024">
        <v>1.5</v>
      </c>
      <c r="D1024" s="301">
        <v>7.14</v>
      </c>
      <c r="E1024">
        <v>24.37</v>
      </c>
      <c r="F1024" s="350" t="s">
        <v>3058</v>
      </c>
      <c r="G1024">
        <v>47</v>
      </c>
      <c r="H1024">
        <v>73</v>
      </c>
      <c r="I1024" s="217">
        <v>43678</v>
      </c>
      <c r="J1024" t="s">
        <v>130</v>
      </c>
      <c r="K1024">
        <v>33.47</v>
      </c>
      <c r="L1024">
        <v>0.59399999999999997</v>
      </c>
      <c r="Q1024" s="4" t="str">
        <f>HYPERLINK("\\HOPI-FS\shares\users\dhar\Stalk mount testing\Type 1e Quality Assurance\CRYO-9079-0139  2210 1E","folder")</f>
        <v>folder</v>
      </c>
      <c r="T1024" t="s">
        <v>2720</v>
      </c>
      <c r="V1024" s="415" t="s">
        <v>3059</v>
      </c>
      <c r="AA1024" s="351"/>
    </row>
    <row r="1025" spans="1:27">
      <c r="A1025" s="134">
        <v>2279</v>
      </c>
      <c r="B1025" s="134">
        <v>19</v>
      </c>
      <c r="C1025">
        <v>1.51</v>
      </c>
      <c r="D1025" s="301">
        <v>7.09</v>
      </c>
      <c r="E1025">
        <v>24.42</v>
      </c>
      <c r="F1025" s="351" t="s">
        <v>3060</v>
      </c>
      <c r="G1025">
        <v>47</v>
      </c>
      <c r="H1025">
        <v>73</v>
      </c>
      <c r="I1025" s="217">
        <v>43678</v>
      </c>
      <c r="J1025" t="s">
        <v>130</v>
      </c>
      <c r="K1025">
        <v>33.47</v>
      </c>
      <c r="L1025">
        <v>0.3</v>
      </c>
      <c r="Q1025" s="4" t="str">
        <f>HYPERLINK("\\HOPI-FS\shares\users\dhar\Stalk mount testing\Type 1e Quality Assurance\CRYO-9079-0142  2279 1E","folder")</f>
        <v>folder</v>
      </c>
      <c r="T1025" t="s">
        <v>2720</v>
      </c>
      <c r="U1025" t="s">
        <v>3070</v>
      </c>
      <c r="V1025" s="415" t="s">
        <v>3061</v>
      </c>
      <c r="AA1025" s="351"/>
    </row>
    <row r="1026" spans="1:27">
      <c r="A1026" s="134">
        <v>2178</v>
      </c>
      <c r="B1026" s="134">
        <v>19</v>
      </c>
      <c r="C1026">
        <v>1.51</v>
      </c>
      <c r="D1026" s="301">
        <v>7.07</v>
      </c>
      <c r="E1026">
        <v>24.43</v>
      </c>
      <c r="F1026" s="351" t="s">
        <v>3062</v>
      </c>
      <c r="G1026">
        <v>47</v>
      </c>
      <c r="H1026">
        <v>73</v>
      </c>
      <c r="I1026" s="217">
        <v>43678</v>
      </c>
      <c r="J1026" t="s">
        <v>130</v>
      </c>
      <c r="K1026">
        <v>33.43</v>
      </c>
      <c r="L1026">
        <v>0.22</v>
      </c>
      <c r="Q1026" s="4" t="str">
        <f>HYPERLINK("\\HOPI-FS\shares\users\dhar\Stalk mount testing\Type 1e Quality Assurance\CRYO-9081-0140  2178 1E","folder")</f>
        <v>folder</v>
      </c>
      <c r="T1026" t="s">
        <v>2720</v>
      </c>
      <c r="U1026" t="s">
        <v>3071</v>
      </c>
      <c r="V1026" s="416" t="s">
        <v>3065</v>
      </c>
      <c r="AA1026" s="351"/>
    </row>
    <row r="1027" spans="1:27">
      <c r="A1027" s="134">
        <v>2210</v>
      </c>
      <c r="B1027" s="134">
        <v>16</v>
      </c>
      <c r="C1027">
        <v>1.5</v>
      </c>
      <c r="D1027" s="301">
        <v>7.13</v>
      </c>
      <c r="E1027">
        <v>24.37</v>
      </c>
      <c r="F1027" s="351" t="s">
        <v>3063</v>
      </c>
      <c r="G1027">
        <v>47</v>
      </c>
      <c r="H1027">
        <v>73</v>
      </c>
      <c r="I1027" s="217">
        <v>43678</v>
      </c>
      <c r="J1027" t="s">
        <v>130</v>
      </c>
      <c r="K1027">
        <v>33.44</v>
      </c>
      <c r="L1027">
        <v>0.31900000000000001</v>
      </c>
      <c r="Q1027" s="4" t="str">
        <f>HYPERLINK("\\HOPI-FS\shares\users\dhar\Stalk mount testing\Type 1e Quality Assurance\CRYO-9081-0132  2210 1E","folder")</f>
        <v>folder</v>
      </c>
      <c r="T1027" t="s">
        <v>2720</v>
      </c>
      <c r="U1027" t="s">
        <v>3071</v>
      </c>
      <c r="V1027" s="416" t="s">
        <v>3025</v>
      </c>
    </row>
    <row r="1028" spans="1:27">
      <c r="A1028" s="134">
        <v>2296</v>
      </c>
      <c r="B1028" s="134">
        <v>16</v>
      </c>
      <c r="C1028">
        <v>1.51</v>
      </c>
      <c r="D1028" s="301">
        <v>7.07</v>
      </c>
      <c r="E1028">
        <v>24.4</v>
      </c>
      <c r="F1028" s="351" t="s">
        <v>3064</v>
      </c>
      <c r="G1028">
        <v>47</v>
      </c>
      <c r="H1028">
        <v>73</v>
      </c>
      <c r="I1028" s="217">
        <v>43678</v>
      </c>
      <c r="J1028" t="s">
        <v>130</v>
      </c>
      <c r="K1028">
        <v>33.409999999999997</v>
      </c>
      <c r="L1028">
        <v>0.56000000000000005</v>
      </c>
      <c r="Q1028" s="4" t="str">
        <f>HYPERLINK("\\HOPI-FS\shares\users\dhar\Stalk mount testing\Type 1e Quality Assurance\CRYO-9081-0110  2296 1E","folder")</f>
        <v>folder</v>
      </c>
      <c r="T1028" t="s">
        <v>2720</v>
      </c>
      <c r="U1028" t="s">
        <v>3072</v>
      </c>
      <c r="V1028" s="415" t="s">
        <v>3055</v>
      </c>
    </row>
    <row r="1029" spans="1:27">
      <c r="A1029" s="134">
        <v>2278</v>
      </c>
      <c r="B1029" s="134">
        <v>19</v>
      </c>
      <c r="C1029">
        <v>1.48</v>
      </c>
      <c r="D1029" s="301">
        <v>7.14</v>
      </c>
      <c r="E1029">
        <v>24.49</v>
      </c>
      <c r="F1029" s="351" t="s">
        <v>3066</v>
      </c>
      <c r="G1029">
        <v>47</v>
      </c>
      <c r="H1029">
        <v>73</v>
      </c>
      <c r="I1029" s="217">
        <v>43678</v>
      </c>
      <c r="J1029" t="s">
        <v>130</v>
      </c>
      <c r="K1029">
        <v>33.57</v>
      </c>
      <c r="L1029">
        <v>0.75700000000000001</v>
      </c>
      <c r="Q1029" s="4" t="str">
        <f>HYPERLINK("\\HOPI-FS\shares\users\dhar\Stalk mount testing\Type 1e Quality Assurance\CRYO-9079-0130  2278 1E","folder")</f>
        <v>folder</v>
      </c>
      <c r="T1029" t="s">
        <v>2720</v>
      </c>
      <c r="U1029" t="s">
        <v>3073</v>
      </c>
      <c r="V1029" s="416" t="s">
        <v>3067</v>
      </c>
    </row>
    <row r="1030" spans="1:27">
      <c r="A1030" s="134">
        <v>2036</v>
      </c>
      <c r="B1030" s="134">
        <v>18.399999999999999</v>
      </c>
      <c r="C1030">
        <v>1.49</v>
      </c>
      <c r="D1030" s="301">
        <v>7.13</v>
      </c>
      <c r="E1030">
        <v>24.33</v>
      </c>
      <c r="F1030" s="351" t="s">
        <v>3068</v>
      </c>
      <c r="G1030">
        <v>46</v>
      </c>
      <c r="H1030">
        <v>73</v>
      </c>
      <c r="I1030" s="217">
        <v>43679</v>
      </c>
      <c r="J1030" t="s">
        <v>130</v>
      </c>
      <c r="K1030">
        <v>33.369999999999997</v>
      </c>
      <c r="L1030">
        <v>0.254</v>
      </c>
      <c r="Q1030" s="4" t="str">
        <f>HYPERLINK("\\HOPI-FS\shares\users\dhar\Stalk mount testing\Type 1e Quality Assurance\CRYO-9079-0138  2036 1E","folder")</f>
        <v>folder</v>
      </c>
      <c r="T1030" t="s">
        <v>2720</v>
      </c>
      <c r="U1030" t="s">
        <v>3214</v>
      </c>
      <c r="V1030" s="417" t="s">
        <v>3053</v>
      </c>
    </row>
    <row r="1031" spans="1:27">
      <c r="A1031" s="134">
        <v>2308</v>
      </c>
      <c r="I1031" s="217"/>
      <c r="K1031" t="s">
        <v>1678</v>
      </c>
      <c r="L1031" t="s">
        <v>1678</v>
      </c>
    </row>
    <row r="1032" spans="1:27">
      <c r="A1032" s="134">
        <v>2309</v>
      </c>
      <c r="G1032" t="s">
        <v>1678</v>
      </c>
      <c r="I1032" s="217"/>
    </row>
    <row r="1033" spans="1:27" s="301" customFormat="1" ht="24.75" customHeight="1">
      <c r="A1033" s="418">
        <v>2237</v>
      </c>
      <c r="B1033" s="418">
        <v>18.8</v>
      </c>
      <c r="C1033" s="301">
        <v>1.51</v>
      </c>
      <c r="D1033" s="301">
        <v>7.09</v>
      </c>
      <c r="E1033" s="301">
        <v>24.36</v>
      </c>
      <c r="F1033" s="176" t="s">
        <v>3078</v>
      </c>
      <c r="G1033" s="301">
        <v>42</v>
      </c>
      <c r="H1033" s="301">
        <v>75.400000000000006</v>
      </c>
      <c r="I1033" s="427">
        <v>43703</v>
      </c>
      <c r="J1033" s="301" t="s">
        <v>3074</v>
      </c>
      <c r="K1033" s="301">
        <v>33.47</v>
      </c>
      <c r="L1033" s="301">
        <v>0.26100000000000001</v>
      </c>
      <c r="Q1033" s="4" t="s">
        <v>3076</v>
      </c>
      <c r="T1033" t="s">
        <v>2720</v>
      </c>
      <c r="V1033" s="187" t="s">
        <v>3077</v>
      </c>
      <c r="W1033" s="580"/>
    </row>
    <row r="1034" spans="1:27">
      <c r="A1034" s="418">
        <v>2237</v>
      </c>
      <c r="B1034" s="418">
        <v>18.8</v>
      </c>
      <c r="C1034" s="301">
        <v>1.51</v>
      </c>
      <c r="D1034" s="301">
        <v>7.09</v>
      </c>
      <c r="E1034" s="301">
        <v>24.36</v>
      </c>
      <c r="F1034" s="176" t="s">
        <v>3088</v>
      </c>
      <c r="G1034" s="301">
        <v>44</v>
      </c>
      <c r="H1034" s="301">
        <v>75.900000000000006</v>
      </c>
      <c r="I1034" s="427">
        <v>43704</v>
      </c>
      <c r="J1034" s="301" t="s">
        <v>3074</v>
      </c>
      <c r="T1034" t="s">
        <v>1678</v>
      </c>
    </row>
    <row r="1035" spans="1:27" s="301" customFormat="1">
      <c r="A1035" s="418">
        <v>2231</v>
      </c>
      <c r="B1035" s="418">
        <v>16.8</v>
      </c>
      <c r="C1035" s="301">
        <v>1.56</v>
      </c>
      <c r="D1035" s="301">
        <v>7.11</v>
      </c>
      <c r="E1035" s="301">
        <v>24.4</v>
      </c>
      <c r="F1035" s="270" t="s">
        <v>3079</v>
      </c>
      <c r="G1035" s="301">
        <v>46</v>
      </c>
      <c r="H1035" s="301">
        <v>73.8</v>
      </c>
      <c r="I1035" s="427">
        <v>43704</v>
      </c>
      <c r="J1035" s="301" t="s">
        <v>3074</v>
      </c>
      <c r="K1035" s="301">
        <v>33.54</v>
      </c>
      <c r="L1035" s="301">
        <v>0.73099999999999998</v>
      </c>
      <c r="Q1035" s="4" t="s">
        <v>3076</v>
      </c>
      <c r="T1035" t="s">
        <v>2720</v>
      </c>
      <c r="V1035" s="187" t="s">
        <v>3080</v>
      </c>
      <c r="W1035" s="580"/>
    </row>
    <row r="1036" spans="1:27" s="301" customFormat="1">
      <c r="A1036" s="418">
        <v>2231</v>
      </c>
      <c r="B1036" s="418">
        <v>16.8</v>
      </c>
      <c r="C1036" s="301">
        <v>1.56</v>
      </c>
      <c r="D1036" s="301">
        <v>7.11</v>
      </c>
      <c r="E1036" s="301">
        <v>24.4</v>
      </c>
      <c r="F1036" s="270" t="s">
        <v>3098</v>
      </c>
      <c r="G1036" s="301">
        <v>45</v>
      </c>
      <c r="H1036" s="301">
        <v>74.8</v>
      </c>
      <c r="I1036" s="217">
        <v>43706</v>
      </c>
      <c r="J1036" s="301" t="s">
        <v>3074</v>
      </c>
      <c r="K1036" s="301">
        <v>33.549999999999997</v>
      </c>
      <c r="L1036" s="301">
        <v>0.214</v>
      </c>
      <c r="Q1036" s="4" t="s">
        <v>3076</v>
      </c>
      <c r="T1036" t="s">
        <v>2720</v>
      </c>
      <c r="V1036" s="187" t="s">
        <v>3099</v>
      </c>
      <c r="W1036" s="580"/>
    </row>
    <row r="1037" spans="1:27">
      <c r="A1037" s="418">
        <v>2231</v>
      </c>
      <c r="B1037" s="418">
        <v>16.8</v>
      </c>
      <c r="C1037" s="301">
        <v>1.56</v>
      </c>
      <c r="D1037" s="301">
        <v>7.11</v>
      </c>
      <c r="E1037" s="301">
        <v>24.4</v>
      </c>
      <c r="F1037" s="176" t="s">
        <v>3108</v>
      </c>
      <c r="G1037" s="301">
        <v>46</v>
      </c>
      <c r="H1037" s="301">
        <v>73.599999999999994</v>
      </c>
      <c r="I1037" s="217">
        <v>43707</v>
      </c>
      <c r="J1037" s="301" t="s">
        <v>3074</v>
      </c>
      <c r="Q1037" s="4" t="s">
        <v>3076</v>
      </c>
      <c r="T1037" t="s">
        <v>2720</v>
      </c>
      <c r="V1037" s="187" t="s">
        <v>3105</v>
      </c>
    </row>
    <row r="1038" spans="1:27">
      <c r="A1038" s="418">
        <v>2231</v>
      </c>
      <c r="B1038" s="418">
        <v>16.8</v>
      </c>
      <c r="C1038" s="301">
        <v>1.56</v>
      </c>
      <c r="D1038" s="301">
        <v>7.11</v>
      </c>
      <c r="E1038" s="301">
        <v>24.4</v>
      </c>
      <c r="F1038" s="176" t="s">
        <v>3104</v>
      </c>
      <c r="G1038" s="301">
        <v>45</v>
      </c>
      <c r="H1038" s="301">
        <v>74.3</v>
      </c>
      <c r="I1038" s="217">
        <v>43707</v>
      </c>
      <c r="J1038" s="301" t="s">
        <v>3074</v>
      </c>
      <c r="K1038" s="301">
        <v>33.49</v>
      </c>
      <c r="L1038" s="301">
        <v>0.47299999999999998</v>
      </c>
      <c r="Q1038" s="4" t="s">
        <v>3076</v>
      </c>
      <c r="T1038" t="s">
        <v>2720</v>
      </c>
      <c r="V1038" s="407" t="s">
        <v>3106</v>
      </c>
    </row>
    <row r="1039" spans="1:27">
      <c r="A1039" s="418">
        <v>2231</v>
      </c>
      <c r="B1039" s="418">
        <v>16.8</v>
      </c>
      <c r="C1039" s="301">
        <v>1.56</v>
      </c>
      <c r="D1039" s="301">
        <v>7.11</v>
      </c>
      <c r="E1039" s="301">
        <v>24.4</v>
      </c>
      <c r="F1039" s="19" t="s">
        <v>3107</v>
      </c>
      <c r="G1039" s="301">
        <v>44</v>
      </c>
      <c r="H1039" s="301">
        <v>74.099999999999994</v>
      </c>
      <c r="I1039" s="217">
        <v>43707</v>
      </c>
      <c r="J1039" s="301" t="s">
        <v>3074</v>
      </c>
      <c r="K1039" s="301">
        <v>33.549999999999997</v>
      </c>
      <c r="L1039" s="301">
        <v>0.42399999999999999</v>
      </c>
      <c r="Q1039" s="4" t="s">
        <v>3076</v>
      </c>
      <c r="T1039" t="s">
        <v>2720</v>
      </c>
      <c r="U1039" t="s">
        <v>3142</v>
      </c>
      <c r="V1039" s="407" t="s">
        <v>2818</v>
      </c>
      <c r="W1039" s="29">
        <v>3</v>
      </c>
    </row>
    <row r="1040" spans="1:27" s="301" customFormat="1">
      <c r="A1040" s="418">
        <v>2249</v>
      </c>
      <c r="B1040" s="418">
        <v>18.399999999999999</v>
      </c>
      <c r="C1040" s="301">
        <v>1.51</v>
      </c>
      <c r="D1040" s="301">
        <v>7.11</v>
      </c>
      <c r="E1040" s="301">
        <v>24.31</v>
      </c>
      <c r="F1040" s="176" t="s">
        <v>3075</v>
      </c>
      <c r="G1040" s="301">
        <v>45</v>
      </c>
      <c r="H1040" s="301">
        <v>75</v>
      </c>
      <c r="I1040" s="427">
        <v>43704</v>
      </c>
      <c r="J1040" s="301" t="s">
        <v>3074</v>
      </c>
      <c r="K1040" s="301">
        <v>33.44</v>
      </c>
      <c r="L1040" s="301">
        <v>0.55300000000000005</v>
      </c>
      <c r="Q1040" s="4" t="s">
        <v>3076</v>
      </c>
      <c r="T1040" t="s">
        <v>2720</v>
      </c>
      <c r="V1040" s="187" t="s">
        <v>3081</v>
      </c>
      <c r="W1040" s="580"/>
    </row>
    <row r="1041" spans="1:23" s="301" customFormat="1">
      <c r="A1041" s="418">
        <v>2253</v>
      </c>
      <c r="B1041" s="418">
        <v>18.8</v>
      </c>
      <c r="C1041" s="301">
        <v>1.48</v>
      </c>
      <c r="D1041" s="301">
        <v>7.11</v>
      </c>
      <c r="E1041" s="301">
        <v>24.44</v>
      </c>
      <c r="F1041" s="176" t="s">
        <v>3082</v>
      </c>
      <c r="G1041" s="301">
        <v>44</v>
      </c>
      <c r="H1041" s="301">
        <v>75.2</v>
      </c>
      <c r="I1041" s="427">
        <v>43704</v>
      </c>
      <c r="J1041" s="301" t="s">
        <v>3074</v>
      </c>
      <c r="K1041" s="301">
        <v>33.450000000000003</v>
      </c>
      <c r="L1041" s="301">
        <v>0.7</v>
      </c>
      <c r="Q1041" s="4" t="s">
        <v>3076</v>
      </c>
      <c r="T1041" t="s">
        <v>2720</v>
      </c>
      <c r="V1041" s="187" t="s">
        <v>3083</v>
      </c>
      <c r="W1041" s="580"/>
    </row>
    <row r="1042" spans="1:23" s="301" customFormat="1">
      <c r="A1042" s="418">
        <v>2253</v>
      </c>
      <c r="B1042" s="418">
        <v>18.8</v>
      </c>
      <c r="C1042" s="301">
        <v>1.48</v>
      </c>
      <c r="D1042" s="301">
        <v>7.11</v>
      </c>
      <c r="E1042" s="301">
        <v>24.44</v>
      </c>
      <c r="F1042" s="176" t="s">
        <v>3097</v>
      </c>
      <c r="G1042" s="301">
        <v>45</v>
      </c>
      <c r="H1042" s="301">
        <v>74.8</v>
      </c>
      <c r="I1042" s="217">
        <v>43706</v>
      </c>
      <c r="J1042" s="301" t="s">
        <v>3074</v>
      </c>
      <c r="Q1042" s="4" t="s">
        <v>3076</v>
      </c>
      <c r="T1042" t="s">
        <v>2720</v>
      </c>
      <c r="V1042" s="187"/>
      <c r="W1042" s="580"/>
    </row>
    <row r="1043" spans="1:23">
      <c r="A1043" s="134">
        <v>2253</v>
      </c>
      <c r="B1043" s="418">
        <v>18.8</v>
      </c>
      <c r="C1043" s="301">
        <v>1.48</v>
      </c>
      <c r="D1043" s="301">
        <v>7.11</v>
      </c>
      <c r="E1043" s="301">
        <v>24.44</v>
      </c>
      <c r="F1043" s="19" t="s">
        <v>3100</v>
      </c>
      <c r="G1043" s="301">
        <v>45</v>
      </c>
      <c r="H1043" s="301">
        <v>74.8</v>
      </c>
      <c r="I1043" s="217">
        <v>43706</v>
      </c>
      <c r="J1043" s="301" t="s">
        <v>3074</v>
      </c>
      <c r="K1043" s="301">
        <v>33.380000000000003</v>
      </c>
      <c r="L1043" s="301">
        <v>0.82399999999999995</v>
      </c>
      <c r="Q1043" s="4" t="s">
        <v>3076</v>
      </c>
      <c r="T1043" t="s">
        <v>2720</v>
      </c>
      <c r="U1043" t="s">
        <v>3841</v>
      </c>
      <c r="V1043" s="407" t="s">
        <v>2745</v>
      </c>
      <c r="W1043" s="29">
        <v>1</v>
      </c>
    </row>
    <row r="1044" spans="1:23" s="301" customFormat="1">
      <c r="A1044" s="418">
        <v>2234</v>
      </c>
      <c r="B1044" s="418">
        <v>16</v>
      </c>
      <c r="C1044" s="301">
        <v>1.52</v>
      </c>
      <c r="D1044" s="301">
        <v>7.08</v>
      </c>
      <c r="E1044" s="301">
        <v>24.29</v>
      </c>
      <c r="F1044" s="270" t="s">
        <v>3084</v>
      </c>
      <c r="G1044" s="301">
        <v>44</v>
      </c>
      <c r="H1044" s="301">
        <v>74.8</v>
      </c>
      <c r="I1044" s="427">
        <v>43704</v>
      </c>
      <c r="J1044" s="301" t="s">
        <v>3074</v>
      </c>
      <c r="K1044" s="301">
        <v>33.5</v>
      </c>
      <c r="L1044" s="301">
        <v>0.71799999999999997</v>
      </c>
      <c r="Q1044" s="4" t="s">
        <v>3076</v>
      </c>
      <c r="T1044" t="s">
        <v>2720</v>
      </c>
      <c r="U1044" s="301" t="s">
        <v>3102</v>
      </c>
      <c r="V1044" s="187" t="s">
        <v>3086</v>
      </c>
      <c r="W1044" s="580" t="s">
        <v>3103</v>
      </c>
    </row>
    <row r="1045" spans="1:23" s="301" customFormat="1">
      <c r="A1045" s="134">
        <v>2214</v>
      </c>
      <c r="B1045" s="134">
        <v>16.399999999999999</v>
      </c>
      <c r="C1045" s="301">
        <v>1.4750000000000001</v>
      </c>
      <c r="D1045" s="301">
        <v>7.11</v>
      </c>
      <c r="E1045" s="301">
        <v>24.32</v>
      </c>
      <c r="F1045" s="270" t="s">
        <v>3085</v>
      </c>
      <c r="G1045" s="301">
        <v>44</v>
      </c>
      <c r="H1045" s="301">
        <v>75.2</v>
      </c>
      <c r="I1045" s="427">
        <v>43704</v>
      </c>
      <c r="J1045" s="301" t="s">
        <v>3074</v>
      </c>
      <c r="K1045" s="301">
        <v>33.46</v>
      </c>
      <c r="L1045" s="301">
        <v>0.88900000000000001</v>
      </c>
      <c r="Q1045" s="4" t="s">
        <v>3076</v>
      </c>
      <c r="T1045" t="s">
        <v>2720</v>
      </c>
      <c r="U1045" s="301" t="s">
        <v>3847</v>
      </c>
      <c r="V1045" s="187" t="s">
        <v>3087</v>
      </c>
      <c r="W1045" s="580" t="s">
        <v>2935</v>
      </c>
    </row>
    <row r="1046" spans="1:23">
      <c r="A1046" s="134">
        <v>2248</v>
      </c>
      <c r="B1046" s="134">
        <v>17.600000000000001</v>
      </c>
      <c r="C1046" s="301">
        <v>1.5</v>
      </c>
      <c r="D1046" s="301">
        <v>7.15</v>
      </c>
      <c r="E1046" s="301">
        <v>24.38</v>
      </c>
      <c r="F1046" s="19" t="s">
        <v>3089</v>
      </c>
      <c r="G1046" s="301">
        <v>47</v>
      </c>
      <c r="H1046" s="301">
        <v>73</v>
      </c>
      <c r="I1046" s="217">
        <v>43705</v>
      </c>
      <c r="J1046" s="301" t="s">
        <v>3074</v>
      </c>
      <c r="K1046" s="301">
        <v>33.5</v>
      </c>
      <c r="L1046" s="301">
        <v>0.69899999999999995</v>
      </c>
      <c r="Q1046" s="4" t="s">
        <v>3076</v>
      </c>
      <c r="T1046" t="s">
        <v>2720</v>
      </c>
      <c r="U1046" t="s">
        <v>3143</v>
      </c>
      <c r="V1046" s="407" t="s">
        <v>3090</v>
      </c>
      <c r="W1046" s="29">
        <v>4</v>
      </c>
    </row>
    <row r="1047" spans="1:23">
      <c r="A1047" s="134">
        <v>2215</v>
      </c>
      <c r="B1047" s="134">
        <v>17.2</v>
      </c>
      <c r="C1047" s="301">
        <v>1.54</v>
      </c>
      <c r="D1047" s="301">
        <v>7.11</v>
      </c>
      <c r="E1047" s="301">
        <v>24.36</v>
      </c>
      <c r="F1047" s="176" t="s">
        <v>3091</v>
      </c>
      <c r="G1047" s="301">
        <v>41</v>
      </c>
      <c r="H1047" s="301">
        <v>74.099999999999994</v>
      </c>
      <c r="I1047" s="217">
        <v>43705</v>
      </c>
      <c r="J1047" s="301" t="s">
        <v>3074</v>
      </c>
      <c r="K1047" s="301">
        <v>33.42</v>
      </c>
      <c r="L1047" s="301">
        <v>0.23799999999999999</v>
      </c>
      <c r="Q1047" s="4" t="s">
        <v>3076</v>
      </c>
      <c r="T1047" t="s">
        <v>2720</v>
      </c>
    </row>
    <row r="1048" spans="1:23">
      <c r="A1048" s="134">
        <v>2215</v>
      </c>
      <c r="B1048" s="134">
        <v>17.2</v>
      </c>
      <c r="C1048" s="301">
        <v>1.54</v>
      </c>
      <c r="D1048" s="301">
        <v>7.11</v>
      </c>
      <c r="E1048" s="301">
        <v>24.36</v>
      </c>
      <c r="F1048" s="249" t="s">
        <v>3092</v>
      </c>
      <c r="G1048" s="301">
        <v>45</v>
      </c>
      <c r="H1048" s="301">
        <v>74.8</v>
      </c>
      <c r="I1048" s="217">
        <v>43705</v>
      </c>
      <c r="J1048" s="301" t="s">
        <v>3074</v>
      </c>
      <c r="K1048" s="301">
        <v>33.450000000000003</v>
      </c>
      <c r="L1048" s="301">
        <v>0.59599999999999997</v>
      </c>
      <c r="Q1048" s="4" t="s">
        <v>3076</v>
      </c>
      <c r="T1048" t="s">
        <v>2720</v>
      </c>
      <c r="U1048" s="301" t="s">
        <v>3144</v>
      </c>
      <c r="V1048" s="420" t="s">
        <v>3023</v>
      </c>
      <c r="W1048" s="29">
        <v>2</v>
      </c>
    </row>
    <row r="1049" spans="1:23">
      <c r="A1049" s="134">
        <v>2252</v>
      </c>
      <c r="B1049" s="134">
        <v>16.8</v>
      </c>
      <c r="C1049" s="301">
        <v>1.5</v>
      </c>
      <c r="D1049" s="301">
        <v>7.13</v>
      </c>
      <c r="E1049" s="301">
        <v>24.2</v>
      </c>
      <c r="F1049" s="19" t="s">
        <v>3093</v>
      </c>
      <c r="G1049" s="301">
        <v>45</v>
      </c>
      <c r="H1049" s="301">
        <v>75.599999999999994</v>
      </c>
      <c r="I1049" s="217">
        <v>43705</v>
      </c>
      <c r="J1049" s="301" t="s">
        <v>3074</v>
      </c>
      <c r="K1049" s="301">
        <v>33.39</v>
      </c>
      <c r="L1049" s="301">
        <v>0.17499999999999999</v>
      </c>
      <c r="Q1049" s="4" t="s">
        <v>3076</v>
      </c>
      <c r="T1049" t="s">
        <v>2720</v>
      </c>
      <c r="U1049" s="301" t="s">
        <v>3145</v>
      </c>
      <c r="V1049" s="420" t="s">
        <v>3094</v>
      </c>
      <c r="W1049" s="29">
        <v>2</v>
      </c>
    </row>
    <row r="1050" spans="1:23">
      <c r="A1050" s="418">
        <v>2237</v>
      </c>
      <c r="B1050" s="418">
        <v>18.8</v>
      </c>
      <c r="C1050" s="301">
        <v>1.51</v>
      </c>
      <c r="D1050" s="301">
        <v>7.09</v>
      </c>
      <c r="E1050" s="301">
        <v>24.36</v>
      </c>
      <c r="F1050" s="19" t="s">
        <v>3095</v>
      </c>
      <c r="G1050" s="301">
        <v>50</v>
      </c>
      <c r="H1050" s="301">
        <v>72.5</v>
      </c>
      <c r="I1050" s="217">
        <v>43706</v>
      </c>
      <c r="J1050" s="301" t="s">
        <v>3074</v>
      </c>
      <c r="K1050" s="301">
        <v>33.49</v>
      </c>
      <c r="L1050" s="301">
        <v>0.36799999999999999</v>
      </c>
      <c r="Q1050" s="4" t="s">
        <v>3076</v>
      </c>
      <c r="T1050" t="s">
        <v>2720</v>
      </c>
      <c r="U1050" s="301" t="s">
        <v>3139</v>
      </c>
      <c r="V1050" s="420" t="s">
        <v>3096</v>
      </c>
      <c r="W1050" s="29">
        <v>3</v>
      </c>
    </row>
    <row r="1051" spans="1:23" ht="25.5" customHeight="1">
      <c r="A1051" s="134">
        <v>2310</v>
      </c>
      <c r="B1051" s="418">
        <v>18.8</v>
      </c>
      <c r="C1051" s="301">
        <v>1.5</v>
      </c>
      <c r="D1051" s="301">
        <v>7.14</v>
      </c>
      <c r="E1051" s="301">
        <v>24.4</v>
      </c>
      <c r="F1051" s="19" t="s">
        <v>3110</v>
      </c>
      <c r="G1051" s="301">
        <v>43</v>
      </c>
      <c r="H1051" s="301">
        <v>73.2</v>
      </c>
      <c r="I1051" s="217">
        <v>43717</v>
      </c>
      <c r="J1051" s="301" t="s">
        <v>3074</v>
      </c>
      <c r="K1051" s="301">
        <v>33.5</v>
      </c>
      <c r="L1051" s="301">
        <v>0.84199999999999997</v>
      </c>
      <c r="Q1051" s="4" t="s">
        <v>3076</v>
      </c>
      <c r="T1051" t="s">
        <v>3109</v>
      </c>
      <c r="U1051" s="301" t="s">
        <v>3137</v>
      </c>
      <c r="V1051" s="407" t="s">
        <v>3090</v>
      </c>
    </row>
    <row r="1052" spans="1:23">
      <c r="A1052" s="134">
        <v>2311</v>
      </c>
      <c r="B1052" s="134">
        <v>16.399999999999999</v>
      </c>
      <c r="C1052" s="301">
        <v>1.51</v>
      </c>
      <c r="D1052" s="301">
        <v>7.17</v>
      </c>
      <c r="E1052" s="301">
        <v>24.47</v>
      </c>
      <c r="F1052" s="176" t="s">
        <v>3111</v>
      </c>
      <c r="G1052" s="301">
        <v>43</v>
      </c>
      <c r="H1052" s="301">
        <v>73.599999999999994</v>
      </c>
      <c r="I1052" s="217">
        <v>43717</v>
      </c>
      <c r="J1052" s="301" t="s">
        <v>3074</v>
      </c>
      <c r="Q1052" s="4" t="s">
        <v>3076</v>
      </c>
      <c r="T1052" t="s">
        <v>3109</v>
      </c>
    </row>
    <row r="1053" spans="1:23">
      <c r="A1053" s="134">
        <v>2311</v>
      </c>
      <c r="B1053" s="134">
        <v>16.399999999999999</v>
      </c>
      <c r="C1053" s="301">
        <v>1.51</v>
      </c>
      <c r="D1053" s="301">
        <v>7.17</v>
      </c>
      <c r="E1053" s="301">
        <v>24.47</v>
      </c>
      <c r="F1053" s="176" t="s">
        <v>3112</v>
      </c>
      <c r="G1053" s="301">
        <v>43</v>
      </c>
      <c r="H1053" s="301">
        <v>73.599999999999994</v>
      </c>
      <c r="I1053" s="217">
        <v>43717</v>
      </c>
      <c r="J1053" s="301" t="s">
        <v>3074</v>
      </c>
      <c r="V1053" s="429"/>
    </row>
    <row r="1054" spans="1:23">
      <c r="A1054" s="136">
        <v>2311</v>
      </c>
      <c r="B1054" s="134">
        <v>16.399999999999999</v>
      </c>
      <c r="C1054" s="301">
        <v>1.51</v>
      </c>
      <c r="D1054" s="301">
        <v>7.17</v>
      </c>
      <c r="E1054" s="301">
        <v>24.47</v>
      </c>
      <c r="F1054" s="176" t="s">
        <v>3113</v>
      </c>
      <c r="G1054" s="301">
        <v>47</v>
      </c>
      <c r="H1054" s="301">
        <v>73.2</v>
      </c>
      <c r="I1054" s="217">
        <v>43720</v>
      </c>
      <c r="J1054" s="301" t="s">
        <v>3074</v>
      </c>
      <c r="K1054" s="301">
        <v>33.42</v>
      </c>
      <c r="Q1054" s="4" t="s">
        <v>3076</v>
      </c>
      <c r="T1054" t="s">
        <v>3109</v>
      </c>
    </row>
    <row r="1055" spans="1:23">
      <c r="A1055" s="136">
        <v>2311</v>
      </c>
      <c r="B1055" s="134">
        <v>16.399999999999999</v>
      </c>
      <c r="C1055" s="301">
        <v>1.51</v>
      </c>
      <c r="D1055" s="301">
        <v>7.17</v>
      </c>
      <c r="E1055" s="301">
        <v>24.47</v>
      </c>
      <c r="F1055" s="187" t="s">
        <v>3131</v>
      </c>
      <c r="G1055" s="301">
        <v>42</v>
      </c>
      <c r="H1055" s="301">
        <v>73.599999999999994</v>
      </c>
      <c r="I1055" s="217">
        <v>43725</v>
      </c>
      <c r="J1055" s="301" t="s">
        <v>3074</v>
      </c>
      <c r="K1055" s="301">
        <v>33.4</v>
      </c>
      <c r="L1055">
        <v>0.86799999999999999</v>
      </c>
      <c r="Q1055" s="4" t="s">
        <v>3076</v>
      </c>
      <c r="T1055" t="s">
        <v>3109</v>
      </c>
      <c r="U1055" t="s">
        <v>3842</v>
      </c>
      <c r="V1055" s="430" t="s">
        <v>3087</v>
      </c>
      <c r="W1055" s="29">
        <v>2</v>
      </c>
    </row>
    <row r="1056" spans="1:23">
      <c r="A1056" s="134">
        <v>2312</v>
      </c>
      <c r="E1056" s="146">
        <v>23.65</v>
      </c>
    </row>
    <row r="1057" spans="1:23">
      <c r="A1057" s="136">
        <v>2313</v>
      </c>
      <c r="B1057" s="134">
        <v>16.399999999999999</v>
      </c>
      <c r="C1057" s="301">
        <v>1.54</v>
      </c>
      <c r="D1057" s="301">
        <v>7.05</v>
      </c>
      <c r="E1057" s="301">
        <v>24.41</v>
      </c>
      <c r="F1057" s="176" t="s">
        <v>3120</v>
      </c>
      <c r="G1057" s="301">
        <v>48</v>
      </c>
      <c r="H1057" s="301">
        <v>72.900000000000006</v>
      </c>
      <c r="I1057" s="217">
        <v>43724</v>
      </c>
      <c r="J1057" s="301" t="s">
        <v>3074</v>
      </c>
    </row>
    <row r="1058" spans="1:23">
      <c r="A1058" s="136">
        <v>2313</v>
      </c>
      <c r="B1058" s="134">
        <v>16.399999999999999</v>
      </c>
      <c r="C1058" s="301">
        <v>1.54</v>
      </c>
      <c r="D1058" s="301">
        <v>7.05</v>
      </c>
      <c r="E1058" s="301">
        <v>24.41</v>
      </c>
      <c r="F1058" s="19" t="s">
        <v>3121</v>
      </c>
      <c r="G1058" s="301">
        <v>48</v>
      </c>
      <c r="H1058" s="301">
        <v>72.900000000000006</v>
      </c>
      <c r="I1058" s="217">
        <v>43724</v>
      </c>
      <c r="J1058" s="301" t="s">
        <v>3074</v>
      </c>
      <c r="K1058" s="301">
        <v>33.46</v>
      </c>
      <c r="L1058" s="301">
        <v>0.79900000000000004</v>
      </c>
      <c r="Q1058" s="4" t="s">
        <v>3076</v>
      </c>
      <c r="T1058" t="s">
        <v>3109</v>
      </c>
      <c r="U1058" t="s">
        <v>3140</v>
      </c>
      <c r="V1058" s="407" t="s">
        <v>3122</v>
      </c>
    </row>
    <row r="1059" spans="1:23">
      <c r="A1059" s="134">
        <v>2314</v>
      </c>
      <c r="B1059" s="134">
        <v>18</v>
      </c>
      <c r="C1059" s="301">
        <v>1.5</v>
      </c>
      <c r="D1059" s="301">
        <v>7.09</v>
      </c>
      <c r="E1059" s="301">
        <v>24.42</v>
      </c>
      <c r="F1059" s="176" t="s">
        <v>3118</v>
      </c>
      <c r="G1059" s="301">
        <v>44</v>
      </c>
      <c r="H1059" s="301">
        <v>72</v>
      </c>
      <c r="I1059" s="217">
        <v>43721</v>
      </c>
      <c r="J1059" s="301" t="s">
        <v>3074</v>
      </c>
      <c r="Q1059" s="4" t="s">
        <v>3076</v>
      </c>
      <c r="T1059" t="s">
        <v>3109</v>
      </c>
    </row>
    <row r="1060" spans="1:23">
      <c r="A1060" s="134">
        <v>2314</v>
      </c>
      <c r="B1060" s="134">
        <v>18</v>
      </c>
      <c r="C1060" s="301">
        <v>1.5</v>
      </c>
      <c r="D1060" s="301">
        <v>7.09</v>
      </c>
      <c r="E1060" s="301">
        <v>24.42</v>
      </c>
      <c r="F1060" s="45" t="s">
        <v>3119</v>
      </c>
      <c r="G1060" s="301">
        <v>44</v>
      </c>
      <c r="H1060" s="301">
        <v>72</v>
      </c>
      <c r="I1060" s="217">
        <v>43721</v>
      </c>
      <c r="J1060" s="301" t="s">
        <v>3074</v>
      </c>
      <c r="K1060" s="301">
        <v>33.53</v>
      </c>
      <c r="L1060" s="301">
        <v>0.873</v>
      </c>
      <c r="Q1060" s="4" t="s">
        <v>3076</v>
      </c>
      <c r="T1060" t="s">
        <v>3109</v>
      </c>
      <c r="U1060" t="s">
        <v>3128</v>
      </c>
      <c r="V1060" s="407" t="s">
        <v>3001</v>
      </c>
      <c r="W1060" s="29">
        <v>0</v>
      </c>
    </row>
    <row r="1061" spans="1:23">
      <c r="A1061" s="134">
        <v>2315</v>
      </c>
      <c r="B1061" s="418">
        <v>16.8</v>
      </c>
      <c r="C1061" s="301">
        <v>1.51</v>
      </c>
      <c r="D1061" s="301">
        <v>7.08</v>
      </c>
      <c r="E1061" s="301">
        <v>24.43</v>
      </c>
      <c r="F1061" s="19" t="s">
        <v>3117</v>
      </c>
      <c r="G1061" s="301">
        <v>46</v>
      </c>
      <c r="H1061" s="301">
        <v>74.099999999999994</v>
      </c>
      <c r="I1061" s="217">
        <v>43720</v>
      </c>
      <c r="J1061" s="301" t="s">
        <v>3074</v>
      </c>
      <c r="K1061" s="301">
        <v>33.44</v>
      </c>
      <c r="L1061" s="301">
        <v>0.35599999999999998</v>
      </c>
      <c r="Q1061" s="4" t="s">
        <v>3076</v>
      </c>
      <c r="T1061" t="s">
        <v>3109</v>
      </c>
      <c r="U1061" t="s">
        <v>3138</v>
      </c>
      <c r="V1061" s="407" t="s">
        <v>3114</v>
      </c>
      <c r="W1061" s="29">
        <v>2</v>
      </c>
    </row>
    <row r="1062" spans="1:23">
      <c r="A1062" s="136">
        <v>2316</v>
      </c>
      <c r="B1062" s="134">
        <v>17.600000000000001</v>
      </c>
      <c r="C1062" s="301">
        <v>1.47</v>
      </c>
      <c r="D1062" s="301">
        <v>7.1</v>
      </c>
      <c r="E1062" s="301">
        <v>24.42</v>
      </c>
      <c r="F1062" s="270" t="s">
        <v>3115</v>
      </c>
      <c r="G1062" s="301">
        <v>46</v>
      </c>
      <c r="H1062" s="301">
        <v>74.099999999999994</v>
      </c>
      <c r="I1062" s="217">
        <v>43720</v>
      </c>
      <c r="J1062" s="301" t="s">
        <v>3074</v>
      </c>
      <c r="Q1062" s="4" t="s">
        <v>3076</v>
      </c>
      <c r="T1062" t="s">
        <v>3109</v>
      </c>
    </row>
    <row r="1063" spans="1:23">
      <c r="A1063" s="136">
        <v>2316</v>
      </c>
      <c r="B1063" s="134">
        <v>17.600000000000001</v>
      </c>
      <c r="C1063" s="301">
        <v>1.47</v>
      </c>
      <c r="D1063" s="301">
        <v>7.1</v>
      </c>
      <c r="E1063" s="301">
        <v>24.42</v>
      </c>
      <c r="F1063" s="19" t="s">
        <v>3133</v>
      </c>
      <c r="G1063" s="301">
        <v>37</v>
      </c>
      <c r="H1063" s="301">
        <v>73.8</v>
      </c>
      <c r="I1063" s="217">
        <v>43726</v>
      </c>
      <c r="J1063" s="301" t="s">
        <v>3074</v>
      </c>
      <c r="K1063" s="301">
        <v>33.35</v>
      </c>
      <c r="L1063" s="301">
        <v>0.88600000000000001</v>
      </c>
      <c r="Q1063" s="4" t="s">
        <v>3076</v>
      </c>
      <c r="T1063" t="s">
        <v>3109</v>
      </c>
      <c r="U1063" t="s">
        <v>3318</v>
      </c>
      <c r="V1063" s="407" t="s">
        <v>3134</v>
      </c>
      <c r="W1063" s="29">
        <v>3</v>
      </c>
    </row>
    <row r="1064" spans="1:23">
      <c r="A1064" s="136">
        <v>2317</v>
      </c>
      <c r="B1064" s="134">
        <v>18.8</v>
      </c>
      <c r="C1064" s="301">
        <v>1.53</v>
      </c>
      <c r="D1064" s="301">
        <v>7.12</v>
      </c>
      <c r="E1064" s="301">
        <v>24.4</v>
      </c>
      <c r="F1064" s="176" t="s">
        <v>3123</v>
      </c>
      <c r="G1064" s="301">
        <v>48</v>
      </c>
      <c r="H1064" s="301">
        <v>72.900000000000006</v>
      </c>
      <c r="I1064" s="217">
        <v>43724</v>
      </c>
      <c r="J1064" s="301" t="s">
        <v>3074</v>
      </c>
      <c r="K1064" s="301">
        <v>33.5</v>
      </c>
      <c r="L1064" s="301">
        <v>0.308</v>
      </c>
      <c r="Q1064" s="4" t="s">
        <v>3076</v>
      </c>
      <c r="T1064" t="s">
        <v>3109</v>
      </c>
      <c r="V1064" s="407" t="s">
        <v>3124</v>
      </c>
    </row>
    <row r="1065" spans="1:23">
      <c r="A1065" s="136">
        <v>2317</v>
      </c>
      <c r="B1065" s="134">
        <v>18.8</v>
      </c>
      <c r="C1065" s="301">
        <v>1.53</v>
      </c>
      <c r="D1065" s="301">
        <v>7.12</v>
      </c>
      <c r="E1065" s="301">
        <v>24.4</v>
      </c>
      <c r="F1065" s="19" t="s">
        <v>3125</v>
      </c>
      <c r="G1065" s="301">
        <v>47</v>
      </c>
      <c r="H1065" s="301">
        <v>73.900000000000006</v>
      </c>
      <c r="I1065" s="217">
        <v>43724</v>
      </c>
      <c r="J1065" s="301" t="s">
        <v>3074</v>
      </c>
      <c r="K1065" s="301">
        <v>33.5</v>
      </c>
      <c r="L1065" s="301">
        <v>0.745</v>
      </c>
      <c r="Q1065" s="4" t="s">
        <v>3076</v>
      </c>
      <c r="T1065" t="s">
        <v>3109</v>
      </c>
      <c r="U1065" t="s">
        <v>3141</v>
      </c>
      <c r="V1065" s="407" t="s">
        <v>2819</v>
      </c>
      <c r="W1065" s="29">
        <v>2</v>
      </c>
    </row>
    <row r="1066" spans="1:23">
      <c r="A1066" s="134">
        <v>2259</v>
      </c>
      <c r="B1066" s="134">
        <v>16</v>
      </c>
      <c r="C1066">
        <v>1.5</v>
      </c>
      <c r="D1066" s="301">
        <v>7.1</v>
      </c>
      <c r="E1066">
        <v>24.3</v>
      </c>
      <c r="F1066" s="270" t="s">
        <v>3116</v>
      </c>
      <c r="G1066" s="301">
        <v>46</v>
      </c>
      <c r="H1066" s="301">
        <v>74.099999999999994</v>
      </c>
      <c r="I1066" s="217">
        <v>43720</v>
      </c>
      <c r="J1066" s="301" t="s">
        <v>3074</v>
      </c>
      <c r="K1066" s="301">
        <v>33.47</v>
      </c>
      <c r="L1066" s="301">
        <v>0.76200000000000001</v>
      </c>
      <c r="Q1066" s="4" t="s">
        <v>3076</v>
      </c>
      <c r="T1066" t="s">
        <v>3109</v>
      </c>
      <c r="U1066" t="s">
        <v>3135</v>
      </c>
      <c r="V1066" s="407" t="s">
        <v>3136</v>
      </c>
      <c r="W1066" s="29">
        <v>2</v>
      </c>
    </row>
    <row r="1067" spans="1:23" ht="45">
      <c r="A1067" s="136">
        <v>2318</v>
      </c>
      <c r="B1067" s="134">
        <v>18</v>
      </c>
      <c r="C1067" s="301">
        <v>1.48</v>
      </c>
      <c r="D1067" s="301">
        <v>7.12</v>
      </c>
      <c r="E1067" s="301">
        <v>24.32</v>
      </c>
      <c r="F1067" s="19" t="s">
        <v>3126</v>
      </c>
      <c r="G1067" s="301">
        <v>47</v>
      </c>
      <c r="H1067" s="301">
        <v>73.900000000000006</v>
      </c>
      <c r="I1067" s="217">
        <v>43724</v>
      </c>
      <c r="J1067" s="301" t="s">
        <v>3074</v>
      </c>
      <c r="K1067" s="301">
        <v>33.49</v>
      </c>
      <c r="L1067" s="301">
        <v>0.23799999999999999</v>
      </c>
      <c r="Q1067" s="4" t="s">
        <v>3076</v>
      </c>
      <c r="T1067" t="s">
        <v>3109</v>
      </c>
      <c r="U1067" s="57" t="s">
        <v>3679</v>
      </c>
      <c r="V1067" s="407" t="s">
        <v>3127</v>
      </c>
      <c r="W1067" s="29">
        <v>4</v>
      </c>
    </row>
    <row r="1068" spans="1:23">
      <c r="A1068" s="136">
        <v>2319</v>
      </c>
      <c r="B1068" s="134">
        <v>18.8</v>
      </c>
      <c r="C1068" s="301">
        <v>1.52</v>
      </c>
      <c r="D1068" s="301">
        <v>7.08</v>
      </c>
      <c r="E1068" s="301">
        <v>24.4</v>
      </c>
      <c r="F1068" s="45" t="s">
        <v>3129</v>
      </c>
      <c r="G1068" s="301">
        <v>42</v>
      </c>
      <c r="H1068" s="301">
        <v>73.599999999999994</v>
      </c>
      <c r="I1068" s="217">
        <v>43725</v>
      </c>
      <c r="J1068" s="301" t="s">
        <v>3074</v>
      </c>
      <c r="K1068" s="301">
        <v>33.5</v>
      </c>
      <c r="L1068" s="301">
        <v>0.51600000000000001</v>
      </c>
      <c r="Q1068" s="4" t="s">
        <v>3076</v>
      </c>
      <c r="T1068" t="s">
        <v>3109</v>
      </c>
      <c r="U1068" t="s">
        <v>3132</v>
      </c>
      <c r="V1068" s="407" t="s">
        <v>3130</v>
      </c>
      <c r="W1068" s="29">
        <v>1</v>
      </c>
    </row>
    <row r="1069" spans="1:23" ht="25.5" customHeight="1">
      <c r="A1069" s="134">
        <v>2320</v>
      </c>
      <c r="B1069" s="134">
        <v>16.399999999999999</v>
      </c>
      <c r="C1069" s="301">
        <v>1.53</v>
      </c>
      <c r="D1069" s="301">
        <v>7.15</v>
      </c>
      <c r="E1069" s="301">
        <v>24.43</v>
      </c>
      <c r="F1069" s="19" t="s">
        <v>3149</v>
      </c>
      <c r="G1069" s="301">
        <v>36</v>
      </c>
      <c r="H1069" s="301">
        <v>73</v>
      </c>
      <c r="I1069" s="217">
        <v>43741</v>
      </c>
      <c r="J1069" s="301" t="s">
        <v>3074</v>
      </c>
      <c r="K1069" s="301">
        <v>33.58</v>
      </c>
      <c r="L1069" s="301">
        <v>0.51200000000000001</v>
      </c>
      <c r="Q1069" s="4" t="s">
        <v>3076</v>
      </c>
      <c r="T1069" t="s">
        <v>3109</v>
      </c>
      <c r="U1069" t="s">
        <v>3176</v>
      </c>
      <c r="V1069" s="407" t="s">
        <v>3065</v>
      </c>
      <c r="W1069" s="29">
        <v>3</v>
      </c>
    </row>
    <row r="1070" spans="1:23">
      <c r="A1070" s="134">
        <v>2322</v>
      </c>
      <c r="B1070" s="134">
        <v>16.8</v>
      </c>
      <c r="C1070" s="301">
        <v>1.49</v>
      </c>
      <c r="D1070" s="301">
        <v>7.13</v>
      </c>
      <c r="E1070" s="301">
        <v>24.41</v>
      </c>
      <c r="F1070" s="19" t="s">
        <v>3150</v>
      </c>
      <c r="G1070" s="301">
        <v>37</v>
      </c>
      <c r="H1070" s="301">
        <v>73.599999999999994</v>
      </c>
      <c r="I1070" s="217">
        <v>43741</v>
      </c>
      <c r="J1070" s="301" t="s">
        <v>3074</v>
      </c>
      <c r="K1070" s="301">
        <v>33.54</v>
      </c>
      <c r="L1070" s="301">
        <v>0.55900000000000005</v>
      </c>
      <c r="Q1070" s="4" t="s">
        <v>3076</v>
      </c>
      <c r="T1070" t="s">
        <v>3109</v>
      </c>
      <c r="U1070" t="s">
        <v>3177</v>
      </c>
      <c r="V1070" s="407" t="s">
        <v>3061</v>
      </c>
      <c r="W1070" s="29">
        <v>3</v>
      </c>
    </row>
    <row r="1071" spans="1:23">
      <c r="A1071" s="134">
        <v>2323</v>
      </c>
      <c r="B1071" s="134">
        <v>18.399999999999999</v>
      </c>
      <c r="C1071" s="301">
        <v>1.5</v>
      </c>
      <c r="D1071" s="301">
        <v>7.12</v>
      </c>
      <c r="E1071" s="301">
        <v>24.37</v>
      </c>
      <c r="F1071" s="19" t="s">
        <v>3152</v>
      </c>
      <c r="G1071" s="301">
        <v>38</v>
      </c>
      <c r="H1071" s="301">
        <v>73.8</v>
      </c>
      <c r="I1071" s="217">
        <v>43741</v>
      </c>
      <c r="J1071" s="301" t="s">
        <v>3074</v>
      </c>
      <c r="K1071" s="301">
        <v>33.47</v>
      </c>
      <c r="L1071" s="301">
        <v>0.21199999999999999</v>
      </c>
      <c r="Q1071" s="4" t="s">
        <v>3076</v>
      </c>
      <c r="T1071" t="s">
        <v>3109</v>
      </c>
      <c r="U1071" t="s">
        <v>3178</v>
      </c>
      <c r="V1071" s="407" t="s">
        <v>3151</v>
      </c>
      <c r="W1071" s="29">
        <v>1</v>
      </c>
    </row>
    <row r="1072" spans="1:23">
      <c r="A1072" s="134">
        <v>2324</v>
      </c>
      <c r="B1072" s="134">
        <v>18.8</v>
      </c>
      <c r="C1072" s="301">
        <v>1.5</v>
      </c>
      <c r="D1072" s="301">
        <v>7.07</v>
      </c>
      <c r="E1072" s="301">
        <v>24.34</v>
      </c>
      <c r="F1072" s="176" t="s">
        <v>3154</v>
      </c>
      <c r="G1072" s="301">
        <v>38</v>
      </c>
      <c r="H1072" s="301">
        <v>73.900000000000006</v>
      </c>
      <c r="I1072" s="217">
        <v>43741</v>
      </c>
      <c r="J1072" s="301" t="s">
        <v>3074</v>
      </c>
      <c r="K1072" s="301">
        <v>33.4</v>
      </c>
      <c r="L1072" s="301">
        <v>0.63900000000000001</v>
      </c>
      <c r="Q1072" s="4" t="s">
        <v>3076</v>
      </c>
      <c r="T1072" t="s">
        <v>3109</v>
      </c>
      <c r="U1072" t="s">
        <v>3155</v>
      </c>
      <c r="V1072" s="407" t="s">
        <v>2819</v>
      </c>
    </row>
    <row r="1073" spans="1:23">
      <c r="A1073" s="134">
        <v>2324</v>
      </c>
      <c r="B1073" s="134">
        <v>18.8</v>
      </c>
      <c r="C1073" s="301">
        <v>1.5</v>
      </c>
      <c r="D1073" s="301">
        <v>7.07</v>
      </c>
      <c r="E1073" s="301">
        <v>24.34</v>
      </c>
      <c r="F1073" s="432" t="s">
        <v>3171</v>
      </c>
      <c r="G1073" s="301">
        <v>22</v>
      </c>
      <c r="H1073" s="301">
        <v>73.599999999999994</v>
      </c>
      <c r="I1073" s="217">
        <v>43749</v>
      </c>
      <c r="J1073" s="301" t="s">
        <v>3074</v>
      </c>
      <c r="Q1073" s="4" t="s">
        <v>3076</v>
      </c>
      <c r="T1073" t="s">
        <v>3109</v>
      </c>
    </row>
    <row r="1074" spans="1:23">
      <c r="A1074" s="134">
        <v>2324</v>
      </c>
      <c r="B1074" s="134">
        <v>18.8</v>
      </c>
      <c r="C1074" s="301">
        <v>1.5</v>
      </c>
      <c r="D1074" s="301">
        <v>7.07</v>
      </c>
      <c r="E1074" s="301">
        <v>24.34</v>
      </c>
      <c r="F1074" s="69" t="s">
        <v>3172</v>
      </c>
      <c r="G1074" s="301">
        <v>22</v>
      </c>
      <c r="H1074" s="301">
        <v>73.599999999999994</v>
      </c>
      <c r="I1074" s="217">
        <v>43749</v>
      </c>
      <c r="J1074" s="301" t="s">
        <v>3074</v>
      </c>
      <c r="K1074" s="301">
        <v>33.450000000000003</v>
      </c>
      <c r="L1074" s="301">
        <v>0.78400000000000003</v>
      </c>
      <c r="Q1074" s="4" t="s">
        <v>3076</v>
      </c>
      <c r="T1074" t="s">
        <v>3109</v>
      </c>
      <c r="U1074" t="s">
        <v>3179</v>
      </c>
      <c r="V1074" s="407" t="s">
        <v>3173</v>
      </c>
      <c r="W1074" s="29">
        <v>1</v>
      </c>
    </row>
    <row r="1075" spans="1:23">
      <c r="A1075" s="134">
        <v>2325</v>
      </c>
      <c r="B1075" s="134">
        <v>18.399999999999999</v>
      </c>
      <c r="C1075" s="301">
        <v>1.51</v>
      </c>
      <c r="D1075" s="301">
        <v>7.05</v>
      </c>
      <c r="E1075" s="301">
        <v>24.35</v>
      </c>
      <c r="F1075" s="270" t="s">
        <v>3156</v>
      </c>
      <c r="G1075" s="301">
        <v>50</v>
      </c>
      <c r="H1075" s="301">
        <v>72.099999999999994</v>
      </c>
      <c r="I1075" s="217">
        <v>43745</v>
      </c>
      <c r="J1075" s="301" t="s">
        <v>3074</v>
      </c>
      <c r="K1075" s="301">
        <v>33.33</v>
      </c>
      <c r="L1075" s="301">
        <v>0.72099999999999997</v>
      </c>
      <c r="Q1075" s="4" t="s">
        <v>3076</v>
      </c>
      <c r="T1075" t="s">
        <v>3109</v>
      </c>
      <c r="U1075" t="s">
        <v>3153</v>
      </c>
      <c r="V1075" s="407" t="s">
        <v>3157</v>
      </c>
    </row>
    <row r="1076" spans="1:23">
      <c r="A1076" s="134">
        <v>2325</v>
      </c>
      <c r="B1076" s="134">
        <v>18.399999999999999</v>
      </c>
      <c r="C1076" s="301">
        <v>1.51</v>
      </c>
      <c r="D1076" s="301">
        <v>7.05</v>
      </c>
      <c r="E1076" s="301">
        <v>24.35</v>
      </c>
      <c r="F1076" s="19" t="s">
        <v>3174</v>
      </c>
      <c r="G1076" s="301">
        <v>22</v>
      </c>
      <c r="H1076" s="301">
        <v>73.599999999999994</v>
      </c>
      <c r="I1076" s="217">
        <v>43749</v>
      </c>
      <c r="J1076" s="301" t="s">
        <v>3074</v>
      </c>
      <c r="K1076" s="301">
        <v>33.35</v>
      </c>
      <c r="L1076" s="301">
        <v>0.59299999999999997</v>
      </c>
      <c r="Q1076" s="4" t="s">
        <v>3076</v>
      </c>
      <c r="T1076" t="s">
        <v>3109</v>
      </c>
      <c r="U1076" t="s">
        <v>3180</v>
      </c>
      <c r="V1076" s="431" t="s">
        <v>3175</v>
      </c>
      <c r="W1076" s="29">
        <v>4</v>
      </c>
    </row>
    <row r="1077" spans="1:23">
      <c r="A1077" s="134">
        <v>2327</v>
      </c>
      <c r="B1077" s="134">
        <v>17.2</v>
      </c>
      <c r="C1077" s="301">
        <v>1.55</v>
      </c>
      <c r="D1077" s="301">
        <v>7.14</v>
      </c>
      <c r="E1077" s="301">
        <v>24.37</v>
      </c>
      <c r="F1077" s="19" t="s">
        <v>3158</v>
      </c>
      <c r="G1077" s="301">
        <v>50</v>
      </c>
      <c r="H1077" s="301">
        <v>72.099999999999994</v>
      </c>
      <c r="I1077" s="217">
        <v>43745</v>
      </c>
      <c r="J1077" s="301" t="s">
        <v>3074</v>
      </c>
      <c r="K1077" s="301">
        <v>33.450000000000003</v>
      </c>
      <c r="L1077" s="301">
        <v>0.129</v>
      </c>
      <c r="Q1077" s="4" t="s">
        <v>3076</v>
      </c>
      <c r="T1077" t="s">
        <v>3109</v>
      </c>
      <c r="U1077" t="s">
        <v>3178</v>
      </c>
      <c r="V1077" s="407" t="s">
        <v>3159</v>
      </c>
      <c r="W1077" s="29">
        <v>1</v>
      </c>
    </row>
    <row r="1078" spans="1:23">
      <c r="A1078" s="134">
        <v>2328</v>
      </c>
      <c r="B1078" s="134">
        <v>16.399999999999999</v>
      </c>
      <c r="C1078" s="301">
        <v>1.5</v>
      </c>
      <c r="D1078" s="301">
        <v>7.08</v>
      </c>
      <c r="E1078" s="301">
        <v>24.4</v>
      </c>
      <c r="F1078" s="270" t="s">
        <v>3160</v>
      </c>
      <c r="G1078" s="301">
        <v>37</v>
      </c>
      <c r="H1078" s="301">
        <v>73.2</v>
      </c>
      <c r="I1078" s="217">
        <v>43746</v>
      </c>
      <c r="J1078" s="301" t="s">
        <v>3074</v>
      </c>
      <c r="K1078" s="301">
        <v>33.369999999999997</v>
      </c>
      <c r="L1078" s="301">
        <v>0.53700000000000003</v>
      </c>
      <c r="Q1078" s="4" t="s">
        <v>3076</v>
      </c>
      <c r="T1078" t="s">
        <v>3109</v>
      </c>
      <c r="U1078" s="3" t="s">
        <v>3161</v>
      </c>
      <c r="V1078" s="407" t="s">
        <v>3162</v>
      </c>
    </row>
    <row r="1079" spans="1:23">
      <c r="A1079" s="134">
        <v>2329</v>
      </c>
      <c r="B1079" s="134">
        <v>18</v>
      </c>
      <c r="C1079" s="301">
        <v>1.42</v>
      </c>
      <c r="D1079" s="301">
        <v>7.07</v>
      </c>
      <c r="E1079" s="301">
        <v>24.42</v>
      </c>
      <c r="F1079" s="249" t="s">
        <v>3163</v>
      </c>
      <c r="G1079" s="301">
        <v>37</v>
      </c>
      <c r="H1079" s="301">
        <v>73.2</v>
      </c>
      <c r="I1079" s="217">
        <v>43746</v>
      </c>
      <c r="J1079" s="301" t="s">
        <v>3074</v>
      </c>
      <c r="K1079" s="301">
        <v>33.36</v>
      </c>
      <c r="L1079" s="301">
        <v>0.45300000000000001</v>
      </c>
      <c r="Q1079" s="4" t="s">
        <v>3076</v>
      </c>
      <c r="T1079" t="s">
        <v>3109</v>
      </c>
      <c r="U1079" s="3" t="s">
        <v>3181</v>
      </c>
      <c r="V1079" s="407" t="s">
        <v>3026</v>
      </c>
    </row>
    <row r="1080" spans="1:23">
      <c r="A1080" s="134">
        <v>2330</v>
      </c>
      <c r="B1080" s="134">
        <v>17.2</v>
      </c>
      <c r="C1080" s="301">
        <v>1.52</v>
      </c>
      <c r="D1080" s="301">
        <v>7.16</v>
      </c>
      <c r="E1080" s="301">
        <v>24.4</v>
      </c>
      <c r="F1080" s="19" t="s">
        <v>3165</v>
      </c>
      <c r="G1080" s="301">
        <v>30</v>
      </c>
      <c r="H1080" s="301">
        <v>73.900000000000006</v>
      </c>
      <c r="I1080" s="217">
        <v>43748</v>
      </c>
      <c r="J1080" s="301" t="s">
        <v>3074</v>
      </c>
      <c r="K1080" s="301">
        <v>33.58</v>
      </c>
      <c r="L1080" s="301">
        <v>0.36699999999999999</v>
      </c>
      <c r="Q1080" s="4" t="s">
        <v>3076</v>
      </c>
      <c r="T1080" t="s">
        <v>3109</v>
      </c>
      <c r="U1080" t="s">
        <v>3871</v>
      </c>
      <c r="V1080" s="407" t="s">
        <v>3166</v>
      </c>
      <c r="W1080" s="29">
        <v>3</v>
      </c>
    </row>
    <row r="1081" spans="1:23">
      <c r="A1081" s="134">
        <v>2331</v>
      </c>
      <c r="B1081" s="134">
        <v>16.8</v>
      </c>
      <c r="C1081" s="301">
        <v>1.49</v>
      </c>
      <c r="D1081" s="301">
        <v>7.1</v>
      </c>
      <c r="E1081" s="301">
        <v>24.4</v>
      </c>
      <c r="F1081" s="176" t="s">
        <v>3167</v>
      </c>
      <c r="G1081" s="301">
        <v>30</v>
      </c>
      <c r="H1081" s="301">
        <v>73.900000000000006</v>
      </c>
      <c r="I1081" s="217">
        <v>43748</v>
      </c>
      <c r="J1081" s="301" t="s">
        <v>3074</v>
      </c>
      <c r="K1081" s="301">
        <v>33.6</v>
      </c>
      <c r="L1081" s="301">
        <v>0.56699999999999995</v>
      </c>
      <c r="Q1081" s="4" t="s">
        <v>3076</v>
      </c>
      <c r="T1081" t="s">
        <v>3109</v>
      </c>
      <c r="U1081" t="s">
        <v>3326</v>
      </c>
      <c r="V1081" s="407" t="s">
        <v>3168</v>
      </c>
    </row>
    <row r="1082" spans="1:23">
      <c r="A1082" s="134">
        <v>2259</v>
      </c>
      <c r="B1082" s="134">
        <v>16</v>
      </c>
      <c r="C1082">
        <v>1.42</v>
      </c>
      <c r="D1082" s="301">
        <v>7.1</v>
      </c>
      <c r="E1082">
        <v>24.3</v>
      </c>
      <c r="F1082" s="45" t="s">
        <v>3170</v>
      </c>
      <c r="G1082" s="301">
        <v>30</v>
      </c>
      <c r="H1082" s="301">
        <v>73.900000000000006</v>
      </c>
      <c r="I1082" s="217">
        <v>43748</v>
      </c>
      <c r="J1082" s="301" t="s">
        <v>3074</v>
      </c>
      <c r="K1082" s="301">
        <v>33.299999999999997</v>
      </c>
      <c r="L1082" s="301">
        <v>0.82699999999999996</v>
      </c>
      <c r="Q1082" s="4" t="s">
        <v>3076</v>
      </c>
      <c r="T1082" t="s">
        <v>3109</v>
      </c>
      <c r="U1082" t="s">
        <v>3169</v>
      </c>
      <c r="V1082" s="407" t="s">
        <v>3013</v>
      </c>
      <c r="W1082" s="29">
        <v>3</v>
      </c>
    </row>
    <row r="1083" spans="1:23" ht="24.95" customHeight="1">
      <c r="A1083" s="134">
        <v>2232</v>
      </c>
      <c r="B1083" s="134">
        <v>18.8</v>
      </c>
      <c r="C1083">
        <v>1.49</v>
      </c>
      <c r="D1083" s="301">
        <v>7.11</v>
      </c>
      <c r="E1083">
        <v>24.44</v>
      </c>
      <c r="F1083" s="438" t="s">
        <v>3190</v>
      </c>
      <c r="G1083" s="301">
        <v>16</v>
      </c>
      <c r="H1083" s="301">
        <v>72.5</v>
      </c>
      <c r="I1083" s="217">
        <v>43762</v>
      </c>
      <c r="J1083" s="301" t="s">
        <v>3074</v>
      </c>
      <c r="K1083" s="301">
        <v>33.380000000000003</v>
      </c>
      <c r="L1083" s="301">
        <v>0.61899999999999999</v>
      </c>
      <c r="Q1083" s="4" t="s">
        <v>3076</v>
      </c>
      <c r="T1083" t="s">
        <v>3109</v>
      </c>
      <c r="U1083" t="s">
        <v>3209</v>
      </c>
      <c r="V1083" s="433" t="s">
        <v>3127</v>
      </c>
      <c r="W1083" s="29">
        <v>5</v>
      </c>
    </row>
    <row r="1084" spans="1:23">
      <c r="A1084" s="134">
        <v>2321</v>
      </c>
      <c r="B1084" s="418">
        <v>17.2</v>
      </c>
      <c r="C1084" s="301">
        <v>1.5</v>
      </c>
      <c r="D1084" s="301">
        <v>7.1</v>
      </c>
      <c r="E1084" s="301">
        <v>24.43</v>
      </c>
      <c r="F1084" s="176" t="s">
        <v>3191</v>
      </c>
      <c r="G1084" s="301">
        <v>16</v>
      </c>
      <c r="H1084" s="301">
        <v>72.5</v>
      </c>
      <c r="I1084" s="217">
        <v>43762</v>
      </c>
      <c r="J1084" s="301" t="s">
        <v>3074</v>
      </c>
      <c r="K1084" s="301"/>
      <c r="L1084" s="301"/>
      <c r="Q1084" s="4" t="s">
        <v>3076</v>
      </c>
      <c r="U1084" s="435"/>
      <c r="V1084" s="433" t="s">
        <v>2819</v>
      </c>
    </row>
    <row r="1085" spans="1:23">
      <c r="A1085" s="134">
        <v>2321</v>
      </c>
      <c r="B1085" s="418">
        <v>17.2</v>
      </c>
      <c r="C1085" s="301">
        <v>1.5</v>
      </c>
      <c r="D1085" s="301">
        <v>7.1</v>
      </c>
      <c r="E1085" s="301">
        <v>24.43</v>
      </c>
      <c r="F1085" s="445" t="s">
        <v>3202</v>
      </c>
      <c r="G1085" s="301">
        <v>41</v>
      </c>
      <c r="H1085" s="301">
        <v>72.5</v>
      </c>
      <c r="I1085" s="217">
        <v>43768</v>
      </c>
      <c r="J1085" s="301" t="s">
        <v>3074</v>
      </c>
      <c r="K1085" s="301">
        <v>33.33</v>
      </c>
      <c r="L1085" s="301">
        <v>0.435</v>
      </c>
      <c r="Q1085" s="4" t="s">
        <v>3076</v>
      </c>
      <c r="T1085" t="s">
        <v>3109</v>
      </c>
      <c r="U1085" s="435" t="s">
        <v>3203</v>
      </c>
      <c r="V1085" s="436" t="s">
        <v>3204</v>
      </c>
      <c r="W1085" s="29">
        <v>8</v>
      </c>
    </row>
    <row r="1086" spans="1:23">
      <c r="A1086" s="134">
        <v>2326</v>
      </c>
      <c r="B1086" s="418">
        <v>16</v>
      </c>
      <c r="C1086" s="301">
        <v>1.49</v>
      </c>
      <c r="D1086" s="301">
        <v>7.17</v>
      </c>
      <c r="E1086" s="301">
        <v>24.4</v>
      </c>
      <c r="F1086" s="270" t="s">
        <v>3187</v>
      </c>
      <c r="G1086" s="301">
        <v>17</v>
      </c>
      <c r="H1086" s="301">
        <v>72.3</v>
      </c>
      <c r="I1086" s="217">
        <v>43762</v>
      </c>
      <c r="J1086" s="301" t="s">
        <v>3074</v>
      </c>
      <c r="K1086" s="301">
        <v>33.42</v>
      </c>
      <c r="L1086" s="301">
        <v>0.47899999999999998</v>
      </c>
      <c r="Q1086" s="4" t="s">
        <v>3076</v>
      </c>
      <c r="T1086" t="s">
        <v>3109</v>
      </c>
      <c r="U1086" s="435" t="s">
        <v>3189</v>
      </c>
      <c r="V1086" s="407" t="s">
        <v>3188</v>
      </c>
      <c r="W1086" s="29">
        <v>5</v>
      </c>
    </row>
    <row r="1087" spans="1:23" ht="15" customHeight="1">
      <c r="A1087" s="134">
        <v>2332</v>
      </c>
      <c r="B1087" s="134">
        <v>18</v>
      </c>
      <c r="C1087" s="301">
        <v>1.51</v>
      </c>
      <c r="D1087" s="301">
        <v>7.02</v>
      </c>
      <c r="E1087" s="301">
        <v>24.4</v>
      </c>
      <c r="F1087" s="270" t="s">
        <v>3182</v>
      </c>
      <c r="G1087" s="301">
        <v>28</v>
      </c>
      <c r="H1087" s="301">
        <v>73.2</v>
      </c>
      <c r="I1087" s="217">
        <v>43761</v>
      </c>
      <c r="J1087" s="301" t="s">
        <v>3074</v>
      </c>
      <c r="Q1087" s="4" t="s">
        <v>3076</v>
      </c>
      <c r="T1087" t="s">
        <v>3109</v>
      </c>
      <c r="V1087" s="407" t="s">
        <v>3186</v>
      </c>
    </row>
    <row r="1088" spans="1:23">
      <c r="A1088" s="134">
        <v>2332</v>
      </c>
      <c r="B1088" s="134">
        <v>18</v>
      </c>
      <c r="C1088" s="301">
        <v>1.51</v>
      </c>
      <c r="D1088" s="301">
        <v>7.02</v>
      </c>
      <c r="E1088" s="301">
        <v>24.4</v>
      </c>
      <c r="F1088" s="270" t="s">
        <v>3183</v>
      </c>
      <c r="G1088" s="301">
        <v>28</v>
      </c>
      <c r="H1088" s="301">
        <v>73.2</v>
      </c>
      <c r="I1088" s="217">
        <v>43761</v>
      </c>
      <c r="J1088" s="301" t="s">
        <v>3074</v>
      </c>
    </row>
    <row r="1089" spans="1:24">
      <c r="A1089" s="134">
        <v>2332</v>
      </c>
      <c r="B1089" s="134">
        <v>18</v>
      </c>
      <c r="C1089" s="301">
        <v>1.51</v>
      </c>
      <c r="D1089" s="301">
        <v>7.02</v>
      </c>
      <c r="E1089" s="301">
        <v>24.4</v>
      </c>
      <c r="F1089" s="437" t="s">
        <v>3184</v>
      </c>
      <c r="G1089" s="301">
        <v>16</v>
      </c>
      <c r="H1089" s="301">
        <v>71.8</v>
      </c>
      <c r="I1089" s="217">
        <v>43762</v>
      </c>
      <c r="J1089" s="301" t="s">
        <v>3074</v>
      </c>
      <c r="K1089" s="301">
        <v>33.22</v>
      </c>
      <c r="L1089" s="301">
        <v>0.433</v>
      </c>
      <c r="Q1089" s="4" t="s">
        <v>3076</v>
      </c>
      <c r="T1089" t="s">
        <v>3109</v>
      </c>
      <c r="U1089" s="434" t="s">
        <v>3210</v>
      </c>
      <c r="V1089" s="433" t="s">
        <v>3185</v>
      </c>
      <c r="W1089" s="29">
        <v>6</v>
      </c>
    </row>
    <row r="1090" spans="1:24">
      <c r="A1090" s="134">
        <v>2333</v>
      </c>
      <c r="B1090" s="134">
        <v>17.600000000000001</v>
      </c>
      <c r="C1090" s="301">
        <v>1.48</v>
      </c>
      <c r="D1090" s="301">
        <v>7.14</v>
      </c>
      <c r="E1090" s="301">
        <v>24.43</v>
      </c>
      <c r="F1090" s="176" t="s">
        <v>3192</v>
      </c>
      <c r="G1090" s="301">
        <v>29</v>
      </c>
      <c r="H1090" s="301">
        <v>72.3</v>
      </c>
      <c r="I1090" s="217">
        <v>43763</v>
      </c>
      <c r="J1090" s="301" t="s">
        <v>3074</v>
      </c>
      <c r="K1090" s="301">
        <v>33.380000000000003</v>
      </c>
      <c r="L1090">
        <v>0.73199999999999998</v>
      </c>
      <c r="Q1090" s="4" t="s">
        <v>3076</v>
      </c>
      <c r="T1090" t="s">
        <v>3109</v>
      </c>
      <c r="U1090" t="s">
        <v>3401</v>
      </c>
      <c r="V1090" s="407" t="s">
        <v>3012</v>
      </c>
      <c r="W1090" s="29">
        <v>8</v>
      </c>
    </row>
    <row r="1091" spans="1:24">
      <c r="A1091" s="134">
        <v>2334</v>
      </c>
      <c r="B1091" s="134">
        <v>18.399999999999999</v>
      </c>
      <c r="C1091" s="301">
        <v>1.49</v>
      </c>
      <c r="D1091" s="301">
        <v>7.14</v>
      </c>
      <c r="E1091" s="301">
        <v>24.4</v>
      </c>
      <c r="F1091" s="184" t="s">
        <v>3193</v>
      </c>
      <c r="G1091" s="301">
        <v>29</v>
      </c>
      <c r="H1091" s="301">
        <v>72.3</v>
      </c>
      <c r="I1091" s="217">
        <v>43763</v>
      </c>
      <c r="J1091" s="301" t="s">
        <v>3074</v>
      </c>
      <c r="K1091" s="301">
        <v>33.369999999999997</v>
      </c>
      <c r="L1091" s="301">
        <v>0.71899999999999997</v>
      </c>
      <c r="Q1091" s="4" t="s">
        <v>3076</v>
      </c>
      <c r="T1091" t="s">
        <v>3109</v>
      </c>
      <c r="U1091" t="s">
        <v>3211</v>
      </c>
      <c r="V1091" s="407" t="s">
        <v>3194</v>
      </c>
      <c r="W1091" s="29">
        <v>6</v>
      </c>
    </row>
    <row r="1092" spans="1:24">
      <c r="A1092" s="134">
        <v>2335</v>
      </c>
      <c r="B1092" s="134">
        <v>16.399999999999999</v>
      </c>
      <c r="C1092" s="301">
        <v>1.51</v>
      </c>
      <c r="D1092" s="301">
        <v>7.05</v>
      </c>
      <c r="E1092" s="301">
        <v>24.37</v>
      </c>
      <c r="F1092" s="247" t="s">
        <v>3195</v>
      </c>
      <c r="G1092" s="301">
        <v>26</v>
      </c>
      <c r="H1092" s="301">
        <v>72.7</v>
      </c>
      <c r="I1092" s="217">
        <v>43763</v>
      </c>
      <c r="J1092" s="301" t="s">
        <v>3074</v>
      </c>
      <c r="K1092" s="301">
        <v>33.39</v>
      </c>
      <c r="L1092" s="301">
        <v>0.64700000000000002</v>
      </c>
      <c r="Q1092" s="4" t="s">
        <v>3076</v>
      </c>
      <c r="T1092" t="s">
        <v>3109</v>
      </c>
      <c r="U1092" t="s">
        <v>3286</v>
      </c>
      <c r="V1092" s="407" t="s">
        <v>3081</v>
      </c>
      <c r="W1092" s="29">
        <v>10</v>
      </c>
    </row>
    <row r="1093" spans="1:24">
      <c r="A1093" s="134">
        <v>2336</v>
      </c>
      <c r="B1093" s="134">
        <v>18.8</v>
      </c>
      <c r="C1093" s="301">
        <v>1.5</v>
      </c>
      <c r="D1093" s="301">
        <v>7.15</v>
      </c>
      <c r="E1093" s="301">
        <v>24.3</v>
      </c>
      <c r="F1093" s="176" t="s">
        <v>3196</v>
      </c>
      <c r="G1093" s="301">
        <v>26</v>
      </c>
      <c r="H1093" s="301">
        <v>72.7</v>
      </c>
      <c r="I1093" s="217">
        <v>43763</v>
      </c>
      <c r="J1093" s="301" t="s">
        <v>3074</v>
      </c>
      <c r="K1093" s="301">
        <v>33.47</v>
      </c>
      <c r="L1093" s="301">
        <v>0.745</v>
      </c>
      <c r="Q1093" s="4" t="s">
        <v>3076</v>
      </c>
      <c r="T1093" t="s">
        <v>3109</v>
      </c>
      <c r="U1093" t="s">
        <v>3197</v>
      </c>
      <c r="V1093" s="407" t="s">
        <v>3025</v>
      </c>
      <c r="W1093" s="29">
        <v>5</v>
      </c>
    </row>
    <row r="1094" spans="1:24">
      <c r="A1094" s="134">
        <v>2336</v>
      </c>
      <c r="B1094" s="134">
        <v>18.8</v>
      </c>
      <c r="C1094" s="301">
        <v>1.5</v>
      </c>
      <c r="D1094" s="301">
        <v>7.15</v>
      </c>
      <c r="E1094" s="301">
        <v>24.3</v>
      </c>
      <c r="F1094" s="437" t="s">
        <v>3205</v>
      </c>
      <c r="G1094" s="301">
        <v>41</v>
      </c>
      <c r="H1094" s="301">
        <v>72.5</v>
      </c>
      <c r="I1094" s="217">
        <v>43768</v>
      </c>
      <c r="J1094" s="301" t="s">
        <v>3074</v>
      </c>
      <c r="K1094" s="301">
        <v>33.35</v>
      </c>
      <c r="L1094" s="301">
        <v>0.49</v>
      </c>
      <c r="Q1094" s="4" t="s">
        <v>3076</v>
      </c>
      <c r="T1094" t="s">
        <v>3109</v>
      </c>
      <c r="U1094" t="s">
        <v>3210</v>
      </c>
      <c r="V1094" s="436" t="s">
        <v>3065</v>
      </c>
      <c r="W1094" s="29">
        <v>4</v>
      </c>
    </row>
    <row r="1095" spans="1:24">
      <c r="A1095" s="134">
        <v>2337</v>
      </c>
      <c r="B1095" s="418">
        <v>17.2</v>
      </c>
      <c r="C1095" s="301">
        <v>1.49</v>
      </c>
      <c r="D1095" s="301">
        <v>7.12</v>
      </c>
      <c r="E1095" s="301">
        <v>24.4</v>
      </c>
      <c r="F1095" s="184" t="s">
        <v>3206</v>
      </c>
      <c r="G1095" s="301">
        <v>41</v>
      </c>
      <c r="H1095" s="301">
        <v>72.5</v>
      </c>
      <c r="I1095" s="217">
        <v>43768</v>
      </c>
      <c r="J1095" s="301" t="s">
        <v>3074</v>
      </c>
      <c r="K1095" s="301">
        <v>33.36</v>
      </c>
      <c r="L1095" s="301">
        <v>0.54</v>
      </c>
      <c r="Q1095" s="4" t="s">
        <v>3076</v>
      </c>
      <c r="T1095" t="s">
        <v>3109</v>
      </c>
      <c r="U1095" t="s">
        <v>3212</v>
      </c>
      <c r="V1095" s="407" t="s">
        <v>3124</v>
      </c>
      <c r="W1095" s="29">
        <v>5</v>
      </c>
    </row>
    <row r="1096" spans="1:24">
      <c r="A1096" s="134">
        <v>2338</v>
      </c>
      <c r="B1096" s="134">
        <v>16.399999999999999</v>
      </c>
      <c r="C1096" s="301">
        <v>1.48</v>
      </c>
      <c r="D1096" s="301">
        <v>7.11</v>
      </c>
      <c r="E1096" s="301">
        <v>24.31</v>
      </c>
      <c r="F1096" s="184" t="s">
        <v>3199</v>
      </c>
      <c r="G1096" s="301">
        <v>40</v>
      </c>
      <c r="H1096" s="301">
        <v>72.3</v>
      </c>
      <c r="I1096" s="217">
        <v>43766</v>
      </c>
      <c r="J1096" s="301" t="s">
        <v>3074</v>
      </c>
      <c r="K1096" s="301">
        <v>33.340000000000003</v>
      </c>
      <c r="L1096" s="301">
        <v>0.69799999999999995</v>
      </c>
      <c r="Q1096" s="4" t="s">
        <v>3076</v>
      </c>
      <c r="T1096" t="s">
        <v>3109</v>
      </c>
      <c r="U1096" t="s">
        <v>3213</v>
      </c>
      <c r="V1096" s="407" t="s">
        <v>3200</v>
      </c>
      <c r="W1096" s="29">
        <v>6</v>
      </c>
    </row>
    <row r="1097" spans="1:24">
      <c r="A1097" s="134">
        <v>2339</v>
      </c>
      <c r="B1097" s="134">
        <v>16.8</v>
      </c>
      <c r="C1097" s="301">
        <v>1.49</v>
      </c>
      <c r="D1097" s="301">
        <v>7.12</v>
      </c>
      <c r="E1097" s="301">
        <v>24.36</v>
      </c>
      <c r="F1097" s="176" t="s">
        <v>3201</v>
      </c>
      <c r="G1097" s="301">
        <v>40</v>
      </c>
      <c r="H1097" s="301">
        <v>72.3</v>
      </c>
      <c r="I1097" s="217">
        <v>43766</v>
      </c>
      <c r="J1097" s="301" t="s">
        <v>3074</v>
      </c>
      <c r="L1097" s="301">
        <v>0.79300000000000004</v>
      </c>
      <c r="Q1097" s="4" t="s">
        <v>3076</v>
      </c>
      <c r="T1097" t="s">
        <v>3109</v>
      </c>
      <c r="U1097" t="s">
        <v>3197</v>
      </c>
      <c r="V1097" s="407" t="s">
        <v>3027</v>
      </c>
    </row>
    <row r="1098" spans="1:24">
      <c r="A1098" s="134">
        <v>2291</v>
      </c>
      <c r="B1098" s="134">
        <v>16</v>
      </c>
      <c r="C1098">
        <v>1.5</v>
      </c>
      <c r="D1098" s="301">
        <v>7.15</v>
      </c>
      <c r="E1098">
        <v>24.38</v>
      </c>
      <c r="F1098" s="69" t="s">
        <v>3207</v>
      </c>
      <c r="G1098" s="301">
        <v>47</v>
      </c>
      <c r="H1098" s="301">
        <v>73.400000000000006</v>
      </c>
      <c r="I1098" s="217">
        <v>43769</v>
      </c>
      <c r="J1098" s="301" t="s">
        <v>3074</v>
      </c>
      <c r="K1098" s="301">
        <v>33.42</v>
      </c>
      <c r="L1098" s="301">
        <v>0.78700000000000003</v>
      </c>
      <c r="Q1098" s="4" t="s">
        <v>3076</v>
      </c>
      <c r="T1098" t="s">
        <v>3109</v>
      </c>
      <c r="U1098" t="s">
        <v>3843</v>
      </c>
      <c r="V1098" s="407" t="s">
        <v>3208</v>
      </c>
      <c r="W1098" s="29">
        <v>3</v>
      </c>
    </row>
    <row r="1099" spans="1:24" ht="24.95" customHeight="1">
      <c r="A1099" s="134">
        <v>2328</v>
      </c>
      <c r="B1099" s="134">
        <v>16.399999999999999</v>
      </c>
      <c r="C1099" s="301">
        <v>1.5</v>
      </c>
      <c r="D1099" s="301">
        <v>7.08</v>
      </c>
      <c r="E1099" s="301">
        <v>24.4</v>
      </c>
      <c r="F1099" s="270" t="s">
        <v>3216</v>
      </c>
      <c r="G1099" s="170">
        <v>10</v>
      </c>
      <c r="H1099" s="170">
        <v>72.900000000000006</v>
      </c>
      <c r="I1099" s="426">
        <v>43804</v>
      </c>
      <c r="J1099" s="170" t="s">
        <v>3074</v>
      </c>
      <c r="K1099" s="170"/>
      <c r="L1099" s="170"/>
      <c r="M1099" s="13"/>
      <c r="N1099" s="13"/>
      <c r="O1099" s="13"/>
      <c r="P1099" s="13"/>
      <c r="Q1099" s="34"/>
      <c r="R1099" s="13"/>
      <c r="S1099" s="13"/>
      <c r="T1099" s="13"/>
      <c r="U1099" s="13"/>
      <c r="V1099" s="19"/>
    </row>
    <row r="1100" spans="1:24" ht="15" customHeight="1">
      <c r="A1100" s="136">
        <v>2328</v>
      </c>
      <c r="B1100" s="134">
        <v>16.399999999999999</v>
      </c>
      <c r="C1100" s="301">
        <v>1.5</v>
      </c>
      <c r="D1100" s="301">
        <v>7.08</v>
      </c>
      <c r="E1100" s="301">
        <v>24.4</v>
      </c>
      <c r="F1100" s="445" t="s">
        <v>3217</v>
      </c>
      <c r="G1100" s="170">
        <v>10</v>
      </c>
      <c r="H1100" s="170">
        <v>72.900000000000006</v>
      </c>
      <c r="I1100" s="426">
        <v>43804</v>
      </c>
      <c r="J1100" s="170" t="s">
        <v>3074</v>
      </c>
      <c r="K1100" s="170">
        <v>33.369999999999997</v>
      </c>
      <c r="L1100" s="170">
        <v>0.59599999999999997</v>
      </c>
      <c r="M1100" s="13"/>
      <c r="N1100" s="13"/>
      <c r="O1100" s="13"/>
      <c r="P1100" s="13"/>
      <c r="Q1100" s="34" t="s">
        <v>3076</v>
      </c>
      <c r="R1100" s="13"/>
      <c r="S1100" s="13"/>
      <c r="T1100" t="s">
        <v>3109</v>
      </c>
      <c r="U1100" s="13"/>
      <c r="V1100" s="19" t="s">
        <v>3080</v>
      </c>
    </row>
    <row r="1101" spans="1:24" s="13" customFormat="1" ht="15" customHeight="1">
      <c r="A1101" s="136">
        <v>2328</v>
      </c>
      <c r="B1101" s="134">
        <v>16.8</v>
      </c>
      <c r="C1101" s="301">
        <v>1.5</v>
      </c>
      <c r="D1101" s="301">
        <v>7.08</v>
      </c>
      <c r="E1101" s="301">
        <v>24.4</v>
      </c>
      <c r="F1101" s="445" t="s">
        <v>3254</v>
      </c>
      <c r="G1101" s="170">
        <v>10</v>
      </c>
      <c r="H1101" s="170">
        <v>71.8</v>
      </c>
      <c r="I1101" s="217">
        <v>43816</v>
      </c>
      <c r="J1101" s="170" t="s">
        <v>3074</v>
      </c>
      <c r="K1101" s="170">
        <v>33.36</v>
      </c>
      <c r="L1101" s="170">
        <v>0.40699999999999997</v>
      </c>
      <c r="Q1101" s="34" t="s">
        <v>3076</v>
      </c>
      <c r="T1101" t="s">
        <v>3109</v>
      </c>
      <c r="U1101" s="13" t="s">
        <v>3256</v>
      </c>
      <c r="V1101" s="19" t="s">
        <v>3255</v>
      </c>
      <c r="W1101" s="269">
        <v>5</v>
      </c>
      <c r="X1101" s="13" t="s">
        <v>2620</v>
      </c>
    </row>
    <row r="1102" spans="1:24">
      <c r="A1102" s="134">
        <v>2340</v>
      </c>
      <c r="B1102" s="134">
        <v>16.8</v>
      </c>
      <c r="C1102" s="301">
        <v>1.51</v>
      </c>
      <c r="D1102" s="301">
        <v>7.14</v>
      </c>
      <c r="E1102" s="301">
        <v>24.36</v>
      </c>
      <c r="F1102" s="437" t="s">
        <v>3218</v>
      </c>
      <c r="G1102" s="170">
        <v>10</v>
      </c>
      <c r="H1102" s="170">
        <v>71.8</v>
      </c>
      <c r="I1102" s="217">
        <v>43805</v>
      </c>
      <c r="J1102" s="170" t="s">
        <v>3074</v>
      </c>
      <c r="K1102" s="170">
        <v>33.31</v>
      </c>
      <c r="L1102" s="170">
        <v>0.78</v>
      </c>
      <c r="Q1102" s="4" t="s">
        <v>3076</v>
      </c>
      <c r="T1102" t="s">
        <v>3109</v>
      </c>
      <c r="U1102" s="439" t="s">
        <v>3285</v>
      </c>
      <c r="V1102" s="407" t="s">
        <v>3219</v>
      </c>
      <c r="W1102" s="29">
        <v>4</v>
      </c>
    </row>
    <row r="1103" spans="1:24">
      <c r="A1103" s="134">
        <v>2341</v>
      </c>
      <c r="B1103" s="134">
        <v>18.399999999999999</v>
      </c>
      <c r="C1103" s="301">
        <v>1.51</v>
      </c>
      <c r="D1103" s="301">
        <v>7.12</v>
      </c>
      <c r="E1103" s="301">
        <v>24.38</v>
      </c>
      <c r="F1103" s="446" t="s">
        <v>3220</v>
      </c>
      <c r="G1103" s="170">
        <v>10</v>
      </c>
      <c r="H1103" s="170">
        <v>71.8</v>
      </c>
      <c r="I1103" s="217">
        <v>43805</v>
      </c>
      <c r="J1103" s="170" t="s">
        <v>3074</v>
      </c>
      <c r="K1103" s="170">
        <v>33.369999999999997</v>
      </c>
      <c r="L1103" s="170">
        <v>0.23200000000000001</v>
      </c>
      <c r="Q1103" s="4" t="s">
        <v>3076</v>
      </c>
      <c r="T1103" t="s">
        <v>3109</v>
      </c>
      <c r="U1103" s="29" t="s">
        <v>3223</v>
      </c>
      <c r="V1103" s="407" t="s">
        <v>3221</v>
      </c>
      <c r="W1103" s="29">
        <v>4</v>
      </c>
    </row>
    <row r="1104" spans="1:24">
      <c r="A1104" s="134">
        <v>2342</v>
      </c>
      <c r="B1104" s="134">
        <v>18.8</v>
      </c>
      <c r="C1104" s="301">
        <v>1.49</v>
      </c>
      <c r="D1104" s="301">
        <v>7.09</v>
      </c>
      <c r="E1104" s="301">
        <v>24.32</v>
      </c>
      <c r="F1104" s="184" t="s">
        <v>3222</v>
      </c>
      <c r="G1104" s="170">
        <v>10</v>
      </c>
      <c r="H1104" s="170">
        <v>71.8</v>
      </c>
      <c r="I1104" s="217">
        <v>43805</v>
      </c>
      <c r="J1104" s="170" t="s">
        <v>3074</v>
      </c>
      <c r="K1104" s="170">
        <v>33.299999999999997</v>
      </c>
      <c r="L1104" s="170">
        <v>0.27700000000000002</v>
      </c>
      <c r="Q1104" s="4" t="s">
        <v>3076</v>
      </c>
      <c r="T1104" t="s">
        <v>3109</v>
      </c>
      <c r="U1104" s="29" t="s">
        <v>3284</v>
      </c>
      <c r="V1104" s="407" t="s">
        <v>3224</v>
      </c>
      <c r="W1104" s="29">
        <v>7</v>
      </c>
    </row>
    <row r="1105" spans="1:23">
      <c r="A1105" s="134">
        <v>2343</v>
      </c>
      <c r="B1105" s="418">
        <v>17.2</v>
      </c>
      <c r="C1105" s="301">
        <v>1.5</v>
      </c>
      <c r="D1105" s="301">
        <v>7.08</v>
      </c>
      <c r="E1105" s="301">
        <v>24.41</v>
      </c>
      <c r="F1105" s="176" t="s">
        <v>3227</v>
      </c>
      <c r="G1105" s="170">
        <v>16</v>
      </c>
      <c r="H1105" s="170">
        <v>72.3</v>
      </c>
      <c r="I1105" s="217">
        <v>43808</v>
      </c>
      <c r="J1105" s="170" t="s">
        <v>3074</v>
      </c>
      <c r="K1105" s="170">
        <v>33.4</v>
      </c>
      <c r="Q1105" s="4" t="s">
        <v>3076</v>
      </c>
      <c r="T1105" t="s">
        <v>3109</v>
      </c>
    </row>
    <row r="1106" spans="1:23">
      <c r="A1106" s="134">
        <v>2343</v>
      </c>
      <c r="B1106" s="418">
        <v>17.600000000000001</v>
      </c>
      <c r="C1106" s="301">
        <v>1.49</v>
      </c>
      <c r="D1106" s="301">
        <v>7.08</v>
      </c>
      <c r="E1106" s="301">
        <v>24.41</v>
      </c>
      <c r="F1106" s="445" t="s">
        <v>3245</v>
      </c>
      <c r="G1106" s="170">
        <v>10</v>
      </c>
      <c r="H1106" s="170">
        <v>73.2</v>
      </c>
      <c r="I1106" s="217">
        <v>43811</v>
      </c>
      <c r="J1106" s="170" t="s">
        <v>3074</v>
      </c>
      <c r="K1106" s="170">
        <v>33.35</v>
      </c>
      <c r="L1106" s="170">
        <v>0.66120000000000001</v>
      </c>
      <c r="Q1106" s="4" t="s">
        <v>3076</v>
      </c>
      <c r="T1106" t="s">
        <v>3109</v>
      </c>
      <c r="U1106" t="s">
        <v>3246</v>
      </c>
      <c r="V1106" s="442" t="s">
        <v>3001</v>
      </c>
      <c r="W1106" s="29">
        <v>8</v>
      </c>
    </row>
    <row r="1107" spans="1:23">
      <c r="A1107" s="136">
        <v>2343</v>
      </c>
      <c r="B1107" s="418">
        <v>17.2</v>
      </c>
      <c r="C1107" s="301">
        <v>1.48</v>
      </c>
      <c r="D1107" s="301">
        <v>7.08</v>
      </c>
      <c r="E1107" s="301">
        <v>24.41</v>
      </c>
      <c r="F1107" s="437" t="s">
        <v>3247</v>
      </c>
      <c r="G1107" s="170">
        <v>10</v>
      </c>
      <c r="H1107" s="170">
        <v>73.8</v>
      </c>
      <c r="I1107" s="217">
        <v>43811</v>
      </c>
      <c r="J1107" s="170" t="s">
        <v>3074</v>
      </c>
      <c r="K1107" s="170">
        <v>33.42</v>
      </c>
      <c r="L1107" s="170">
        <v>0.55400000000000005</v>
      </c>
      <c r="Q1107" s="4" t="s">
        <v>3076</v>
      </c>
      <c r="T1107" t="s">
        <v>3109</v>
      </c>
      <c r="U1107" t="s">
        <v>3283</v>
      </c>
      <c r="V1107" s="407" t="s">
        <v>3012</v>
      </c>
      <c r="W1107" s="29">
        <v>5</v>
      </c>
    </row>
    <row r="1108" spans="1:23">
      <c r="A1108" s="134">
        <v>2344</v>
      </c>
      <c r="B1108" s="134">
        <v>16</v>
      </c>
      <c r="C1108" s="301">
        <v>1.45</v>
      </c>
      <c r="D1108" s="301">
        <v>7.1</v>
      </c>
      <c r="E1108" s="301">
        <v>24.26</v>
      </c>
      <c r="F1108" s="176" t="s">
        <v>3229</v>
      </c>
      <c r="G1108" s="170">
        <v>16</v>
      </c>
      <c r="H1108" s="170">
        <v>72.3</v>
      </c>
      <c r="I1108" s="217">
        <v>43808</v>
      </c>
      <c r="J1108" s="170" t="s">
        <v>3074</v>
      </c>
      <c r="K1108" s="170">
        <v>33.33</v>
      </c>
      <c r="L1108" s="170">
        <v>0.64700000000000002</v>
      </c>
      <c r="Q1108" s="4" t="s">
        <v>3076</v>
      </c>
      <c r="T1108" t="s">
        <v>3109</v>
      </c>
      <c r="V1108" s="407" t="s">
        <v>3232</v>
      </c>
    </row>
    <row r="1109" spans="1:23">
      <c r="A1109" s="134">
        <v>2345</v>
      </c>
      <c r="B1109" s="418">
        <v>17.600000000000001</v>
      </c>
      <c r="C1109" s="301">
        <v>1.5</v>
      </c>
      <c r="D1109">
        <v>7.1</v>
      </c>
      <c r="E1109">
        <v>24.39</v>
      </c>
      <c r="F1109" s="445" t="s">
        <v>3230</v>
      </c>
      <c r="G1109" s="170">
        <v>26</v>
      </c>
      <c r="H1109" s="170">
        <v>72</v>
      </c>
      <c r="I1109" s="217">
        <v>43809</v>
      </c>
      <c r="J1109" s="170" t="s">
        <v>3074</v>
      </c>
      <c r="K1109" s="170">
        <v>33.43</v>
      </c>
      <c r="L1109" s="170">
        <v>0.53100000000000003</v>
      </c>
      <c r="Q1109" s="4" t="s">
        <v>3076</v>
      </c>
      <c r="T1109" t="s">
        <v>3109</v>
      </c>
      <c r="V1109" s="407" t="s">
        <v>3231</v>
      </c>
    </row>
    <row r="1110" spans="1:23">
      <c r="A1110" s="134">
        <v>2345</v>
      </c>
      <c r="B1110" s="418">
        <v>17.2</v>
      </c>
      <c r="C1110" s="301">
        <v>1.5</v>
      </c>
      <c r="D1110">
        <v>7.1</v>
      </c>
      <c r="E1110">
        <v>24.39</v>
      </c>
      <c r="F1110" s="445" t="s">
        <v>3257</v>
      </c>
      <c r="G1110" s="170">
        <v>10</v>
      </c>
      <c r="H1110" s="170">
        <v>71.8</v>
      </c>
      <c r="I1110" s="217">
        <v>43816</v>
      </c>
      <c r="J1110" s="170" t="s">
        <v>3074</v>
      </c>
      <c r="K1110" s="170">
        <v>33.35</v>
      </c>
      <c r="L1110" s="170">
        <v>0.108</v>
      </c>
      <c r="Q1110" s="4" t="s">
        <v>3076</v>
      </c>
      <c r="T1110" t="s">
        <v>3109</v>
      </c>
      <c r="V1110" s="444" t="s">
        <v>3258</v>
      </c>
    </row>
    <row r="1111" spans="1:23">
      <c r="A1111" s="134">
        <v>2345</v>
      </c>
      <c r="B1111" s="418">
        <v>17.2</v>
      </c>
      <c r="C1111" s="301">
        <v>1.5</v>
      </c>
      <c r="D1111">
        <v>7.1</v>
      </c>
      <c r="E1111">
        <v>24.39</v>
      </c>
      <c r="F1111" s="445" t="s">
        <v>3260</v>
      </c>
      <c r="G1111" s="170">
        <v>10</v>
      </c>
      <c r="H1111" s="170">
        <v>72.7</v>
      </c>
      <c r="I1111" s="217">
        <v>43816</v>
      </c>
      <c r="J1111" s="170" t="s">
        <v>3074</v>
      </c>
      <c r="K1111" s="170"/>
      <c r="L1111" s="170"/>
      <c r="Q1111" s="4"/>
      <c r="T1111" t="s">
        <v>3109</v>
      </c>
      <c r="V1111" s="447"/>
    </row>
    <row r="1112" spans="1:23">
      <c r="A1112" s="134">
        <v>2345</v>
      </c>
      <c r="B1112" s="418">
        <v>17.2</v>
      </c>
      <c r="C1112" s="301">
        <v>1.5</v>
      </c>
      <c r="D1112">
        <v>7.1</v>
      </c>
      <c r="E1112">
        <v>24.39</v>
      </c>
      <c r="F1112" s="437" t="s">
        <v>3261</v>
      </c>
      <c r="G1112" s="170">
        <v>10</v>
      </c>
      <c r="H1112" s="170">
        <v>72.7</v>
      </c>
      <c r="I1112" s="217">
        <v>43816</v>
      </c>
      <c r="J1112" s="170" t="s">
        <v>3074</v>
      </c>
      <c r="K1112" s="170">
        <v>33.44</v>
      </c>
      <c r="L1112" s="170">
        <v>0.87</v>
      </c>
      <c r="Q1112" s="4" t="s">
        <v>3076</v>
      </c>
      <c r="T1112" t="s">
        <v>3109</v>
      </c>
      <c r="U1112" t="s">
        <v>3282</v>
      </c>
      <c r="V1112" s="447" t="s">
        <v>3262</v>
      </c>
      <c r="W1112" s="29">
        <v>5</v>
      </c>
    </row>
    <row r="1113" spans="1:23">
      <c r="A1113" s="134">
        <v>2346</v>
      </c>
      <c r="B1113" s="134">
        <v>17.2</v>
      </c>
      <c r="C1113" s="301">
        <v>1.51</v>
      </c>
      <c r="D1113" s="301">
        <v>7.12</v>
      </c>
      <c r="E1113" s="301">
        <v>24.37</v>
      </c>
      <c r="F1113" s="176" t="s">
        <v>3233</v>
      </c>
      <c r="G1113" s="170">
        <v>26</v>
      </c>
      <c r="H1113" s="170">
        <v>72</v>
      </c>
      <c r="I1113" s="217">
        <v>43809</v>
      </c>
      <c r="J1113" s="170" t="s">
        <v>3074</v>
      </c>
      <c r="Q1113" s="4" t="s">
        <v>3076</v>
      </c>
      <c r="T1113" t="s">
        <v>3109</v>
      </c>
      <c r="V1113" s="407" t="s">
        <v>3234</v>
      </c>
    </row>
    <row r="1114" spans="1:23">
      <c r="A1114" s="134">
        <v>2346</v>
      </c>
      <c r="B1114" s="134">
        <v>17.2</v>
      </c>
      <c r="C1114" s="301">
        <v>1.51</v>
      </c>
      <c r="D1114" s="301">
        <v>7.12</v>
      </c>
      <c r="E1114" s="301">
        <v>24.37</v>
      </c>
      <c r="F1114" s="445" t="s">
        <v>3235</v>
      </c>
      <c r="G1114" s="170">
        <v>23</v>
      </c>
      <c r="H1114" s="170">
        <v>72.5</v>
      </c>
      <c r="I1114" s="217">
        <v>43809</v>
      </c>
      <c r="J1114" s="170" t="s">
        <v>3074</v>
      </c>
      <c r="Q1114" s="4"/>
      <c r="T1114" t="s">
        <v>3109</v>
      </c>
      <c r="V1114" s="440"/>
    </row>
    <row r="1115" spans="1:23">
      <c r="A1115" s="134">
        <v>2346</v>
      </c>
      <c r="B1115" s="418">
        <v>17.2</v>
      </c>
      <c r="C1115" s="301">
        <v>1.51</v>
      </c>
      <c r="D1115" s="301">
        <v>7.12</v>
      </c>
      <c r="E1115" s="301">
        <v>24.37</v>
      </c>
      <c r="F1115" s="445" t="s">
        <v>3236</v>
      </c>
      <c r="G1115" s="170">
        <v>10</v>
      </c>
      <c r="H1115" s="170">
        <v>72</v>
      </c>
      <c r="I1115" s="217">
        <v>43810</v>
      </c>
      <c r="J1115" s="170" t="s">
        <v>3074</v>
      </c>
      <c r="Q1115" s="4" t="s">
        <v>3076</v>
      </c>
      <c r="V1115" s="441" t="s">
        <v>3237</v>
      </c>
    </row>
    <row r="1116" spans="1:23">
      <c r="A1116" s="134">
        <v>2346</v>
      </c>
      <c r="B1116" s="134">
        <v>18.8</v>
      </c>
      <c r="C1116" s="301">
        <v>1.47</v>
      </c>
      <c r="D1116" s="301">
        <v>7.12</v>
      </c>
      <c r="E1116" s="301">
        <v>24.37</v>
      </c>
      <c r="F1116" s="445" t="s">
        <v>3243</v>
      </c>
      <c r="G1116" s="170">
        <v>10</v>
      </c>
      <c r="H1116" s="170">
        <v>73.2</v>
      </c>
      <c r="I1116" s="217">
        <v>43811</v>
      </c>
      <c r="J1116" s="170" t="s">
        <v>3074</v>
      </c>
      <c r="Q1116" s="4" t="s">
        <v>3076</v>
      </c>
      <c r="T1116" t="s">
        <v>3109</v>
      </c>
    </row>
    <row r="1117" spans="1:23">
      <c r="A1117" s="134">
        <v>2346</v>
      </c>
      <c r="B1117" s="134">
        <v>18.8</v>
      </c>
      <c r="C1117" s="301">
        <v>1.47</v>
      </c>
      <c r="D1117" s="301">
        <v>7.12</v>
      </c>
      <c r="E1117" s="301">
        <v>24.37</v>
      </c>
      <c r="F1117" s="445" t="s">
        <v>3244</v>
      </c>
      <c r="G1117" s="170">
        <v>10</v>
      </c>
      <c r="H1117" s="170">
        <v>73.2</v>
      </c>
      <c r="I1117" s="217">
        <v>43811</v>
      </c>
      <c r="J1117" s="170" t="s">
        <v>3074</v>
      </c>
      <c r="T1117" t="s">
        <v>3109</v>
      </c>
    </row>
    <row r="1118" spans="1:23">
      <c r="A1118" s="136">
        <v>2346</v>
      </c>
      <c r="B1118" s="134">
        <v>18.8</v>
      </c>
      <c r="C1118" s="301">
        <v>1.47</v>
      </c>
      <c r="D1118" s="301">
        <v>7.12</v>
      </c>
      <c r="E1118" s="301">
        <v>24.37</v>
      </c>
      <c r="F1118" s="437" t="s">
        <v>3249</v>
      </c>
      <c r="G1118" s="170">
        <v>10</v>
      </c>
      <c r="H1118" s="170">
        <v>72.900000000000006</v>
      </c>
      <c r="I1118" s="217">
        <v>43812</v>
      </c>
      <c r="J1118" s="170" t="s">
        <v>3074</v>
      </c>
      <c r="K1118" s="170">
        <v>33.31</v>
      </c>
      <c r="L1118" s="170">
        <v>0.68300000000000005</v>
      </c>
      <c r="Q1118" s="4" t="s">
        <v>3076</v>
      </c>
      <c r="T1118" t="s">
        <v>3109</v>
      </c>
      <c r="U1118" t="s">
        <v>3281</v>
      </c>
      <c r="V1118" s="407" t="s">
        <v>3166</v>
      </c>
      <c r="W1118" s="29">
        <v>7</v>
      </c>
    </row>
    <row r="1119" spans="1:23">
      <c r="A1119" s="134">
        <v>2347</v>
      </c>
      <c r="B1119" s="134">
        <v>16.399999999999999</v>
      </c>
      <c r="C1119" s="301">
        <v>1.52</v>
      </c>
      <c r="D1119" s="301">
        <v>7.14</v>
      </c>
      <c r="E1119" s="301">
        <v>24.47</v>
      </c>
      <c r="F1119" s="187" t="s">
        <v>3239</v>
      </c>
      <c r="G1119" s="170">
        <v>10</v>
      </c>
      <c r="H1119" s="170">
        <v>73.400000000000006</v>
      </c>
      <c r="I1119" s="217">
        <v>43810</v>
      </c>
      <c r="J1119" s="170" t="s">
        <v>3074</v>
      </c>
      <c r="K1119" s="170">
        <v>33.409999999999997</v>
      </c>
      <c r="L1119" s="170">
        <v>0.64</v>
      </c>
      <c r="Q1119" s="4" t="s">
        <v>3076</v>
      </c>
      <c r="T1119" t="s">
        <v>3109</v>
      </c>
      <c r="V1119" s="407" t="s">
        <v>3240</v>
      </c>
      <c r="W1119" s="29">
        <v>7</v>
      </c>
    </row>
    <row r="1120" spans="1:23">
      <c r="A1120" s="134">
        <v>2348</v>
      </c>
      <c r="B1120" s="134">
        <v>18.8</v>
      </c>
      <c r="C1120" s="301">
        <v>1.5</v>
      </c>
      <c r="D1120" s="301">
        <v>7.1</v>
      </c>
      <c r="E1120" s="301">
        <v>24.4</v>
      </c>
      <c r="F1120" s="445" t="s">
        <v>3238</v>
      </c>
      <c r="G1120" s="170">
        <v>10</v>
      </c>
      <c r="H1120" s="170">
        <v>72</v>
      </c>
      <c r="I1120" s="217">
        <v>43810</v>
      </c>
      <c r="J1120" s="170" t="s">
        <v>3074</v>
      </c>
      <c r="K1120">
        <v>33.380000000000003</v>
      </c>
      <c r="T1120" t="s">
        <v>3109</v>
      </c>
    </row>
    <row r="1121" spans="1:23">
      <c r="A1121" s="136">
        <v>2348</v>
      </c>
      <c r="B1121" s="134">
        <v>16.399999999999999</v>
      </c>
      <c r="C1121" s="301">
        <v>1.52</v>
      </c>
      <c r="D1121" s="301">
        <v>7.1</v>
      </c>
      <c r="E1121" s="301">
        <v>24.4</v>
      </c>
      <c r="F1121" s="176" t="s">
        <v>3241</v>
      </c>
      <c r="G1121" s="170">
        <v>10</v>
      </c>
      <c r="H1121" s="170">
        <v>72</v>
      </c>
      <c r="I1121" s="217">
        <v>43810</v>
      </c>
      <c r="J1121" s="170" t="s">
        <v>3074</v>
      </c>
      <c r="K1121" s="170">
        <v>33.369999999999997</v>
      </c>
      <c r="L1121" s="170">
        <v>0.46899999999999997</v>
      </c>
      <c r="Q1121" s="4" t="s">
        <v>3076</v>
      </c>
      <c r="T1121" t="s">
        <v>3109</v>
      </c>
      <c r="V1121" s="407" t="s">
        <v>3242</v>
      </c>
    </row>
    <row r="1122" spans="1:23">
      <c r="A1122" s="136">
        <v>2348</v>
      </c>
      <c r="B1122" s="134">
        <v>16.399999999999999</v>
      </c>
      <c r="C1122" s="301">
        <v>1.52</v>
      </c>
      <c r="D1122" s="301">
        <v>7.1</v>
      </c>
      <c r="E1122" s="301">
        <v>24.4</v>
      </c>
      <c r="F1122" s="176" t="s">
        <v>3250</v>
      </c>
      <c r="G1122" s="170">
        <v>10</v>
      </c>
      <c r="H1122" s="170">
        <v>72.900000000000006</v>
      </c>
      <c r="I1122" s="217">
        <v>43812</v>
      </c>
      <c r="J1122" s="170" t="s">
        <v>3074</v>
      </c>
      <c r="K1122" s="170">
        <v>33.39</v>
      </c>
      <c r="L1122" s="170">
        <v>0.60799999999999998</v>
      </c>
      <c r="Q1122" s="4" t="s">
        <v>3076</v>
      </c>
      <c r="T1122" t="s">
        <v>3109</v>
      </c>
      <c r="V1122" s="407" t="s">
        <v>3251</v>
      </c>
      <c r="W1122" s="29">
        <v>7</v>
      </c>
    </row>
    <row r="1123" spans="1:23" ht="25.5" customHeight="1">
      <c r="A1123" s="134">
        <v>2349</v>
      </c>
      <c r="B1123" s="134">
        <v>17.600000000000001</v>
      </c>
      <c r="C1123" s="301">
        <v>1.52</v>
      </c>
      <c r="D1123" s="301">
        <v>7.12</v>
      </c>
      <c r="E1123" s="301">
        <v>24.36</v>
      </c>
      <c r="F1123" s="176" t="s">
        <v>3265</v>
      </c>
      <c r="G1123" s="170">
        <v>30</v>
      </c>
      <c r="H1123" s="170">
        <v>71.400000000000006</v>
      </c>
      <c r="I1123" s="217">
        <v>43844</v>
      </c>
      <c r="J1123" s="170" t="s">
        <v>3074</v>
      </c>
      <c r="K1123" s="170">
        <v>33.42</v>
      </c>
      <c r="L1123" s="170">
        <v>0.84099999999999997</v>
      </c>
      <c r="Q1123" s="4" t="s">
        <v>3076</v>
      </c>
      <c r="T1123" t="s">
        <v>3109</v>
      </c>
      <c r="U1123" t="s">
        <v>3266</v>
      </c>
    </row>
    <row r="1124" spans="1:23">
      <c r="A1124" s="134">
        <v>2350</v>
      </c>
      <c r="B1124" s="134">
        <v>18.399999999999999</v>
      </c>
      <c r="C1124" s="301">
        <v>1.49</v>
      </c>
      <c r="D1124" s="301">
        <v>7.15</v>
      </c>
      <c r="E1124" s="301">
        <v>24.34</v>
      </c>
      <c r="F1124" s="176" t="s">
        <v>3267</v>
      </c>
      <c r="G1124" s="170">
        <v>29</v>
      </c>
      <c r="H1124" s="170">
        <v>71.099999999999994</v>
      </c>
      <c r="I1124" s="217">
        <v>43846</v>
      </c>
      <c r="J1124" s="170" t="s">
        <v>3074</v>
      </c>
      <c r="Q1124" s="4" t="s">
        <v>3076</v>
      </c>
      <c r="T1124" t="s">
        <v>3109</v>
      </c>
    </row>
    <row r="1125" spans="1:23">
      <c r="A1125" s="134">
        <v>2350</v>
      </c>
      <c r="B1125" s="134">
        <v>18.399999999999999</v>
      </c>
      <c r="C1125" s="301">
        <v>1.49</v>
      </c>
      <c r="D1125" s="301">
        <v>7.15</v>
      </c>
      <c r="E1125" s="301">
        <v>24.34</v>
      </c>
      <c r="F1125" s="176" t="s">
        <v>3268</v>
      </c>
      <c r="G1125" s="170">
        <v>29</v>
      </c>
      <c r="H1125" s="170">
        <v>71.2</v>
      </c>
      <c r="I1125" s="217">
        <v>43846</v>
      </c>
      <c r="J1125" s="170" t="s">
        <v>3074</v>
      </c>
      <c r="Q1125" s="4" t="s">
        <v>3076</v>
      </c>
      <c r="T1125" t="s">
        <v>3109</v>
      </c>
    </row>
    <row r="1126" spans="1:23">
      <c r="A1126" s="134">
        <v>2350</v>
      </c>
      <c r="B1126" s="134">
        <v>18.399999999999999</v>
      </c>
      <c r="C1126" s="301">
        <v>1.49</v>
      </c>
      <c r="D1126" s="301">
        <v>7.15</v>
      </c>
      <c r="E1126" s="301">
        <v>24.34</v>
      </c>
      <c r="F1126" s="448" t="s">
        <v>3269</v>
      </c>
      <c r="G1126" s="170">
        <v>29</v>
      </c>
      <c r="H1126" s="170">
        <v>71.2</v>
      </c>
      <c r="I1126" s="217">
        <v>43846</v>
      </c>
      <c r="J1126" s="170" t="s">
        <v>3074</v>
      </c>
      <c r="K1126" s="170">
        <v>33.47</v>
      </c>
      <c r="L1126" s="170">
        <v>0.31</v>
      </c>
      <c r="Q1126" s="4" t="s">
        <v>3076</v>
      </c>
      <c r="T1126" t="s">
        <v>3109</v>
      </c>
      <c r="U1126" t="s">
        <v>3311</v>
      </c>
      <c r="V1126" s="448" t="s">
        <v>2728</v>
      </c>
      <c r="W1126" s="29">
        <v>8</v>
      </c>
    </row>
    <row r="1127" spans="1:23">
      <c r="A1127" s="134">
        <v>2351</v>
      </c>
      <c r="B1127" s="134">
        <v>17.2</v>
      </c>
      <c r="C1127" s="301">
        <v>1.5</v>
      </c>
      <c r="D1127" s="301">
        <v>7.13</v>
      </c>
      <c r="E1127" s="301">
        <v>24.41</v>
      </c>
      <c r="F1127" s="176" t="s">
        <v>3270</v>
      </c>
      <c r="G1127" s="170">
        <v>29</v>
      </c>
      <c r="H1127" s="170">
        <v>71.2</v>
      </c>
      <c r="I1127" s="217">
        <v>43846</v>
      </c>
      <c r="J1127" s="170" t="s">
        <v>3074</v>
      </c>
      <c r="Q1127" s="4" t="s">
        <v>3076</v>
      </c>
      <c r="T1127" t="s">
        <v>3109</v>
      </c>
    </row>
    <row r="1128" spans="1:23">
      <c r="A1128" s="134">
        <v>2352</v>
      </c>
      <c r="B1128" s="134">
        <v>18.399999999999999</v>
      </c>
      <c r="C1128" s="301">
        <v>1.5</v>
      </c>
      <c r="D1128" s="301">
        <v>7.09</v>
      </c>
      <c r="E1128" s="301">
        <v>24.32</v>
      </c>
      <c r="F1128" s="375" t="s">
        <v>3271</v>
      </c>
      <c r="G1128" s="170">
        <v>10</v>
      </c>
      <c r="H1128" s="170">
        <v>71.099999999999994</v>
      </c>
      <c r="I1128" s="217">
        <v>43847</v>
      </c>
      <c r="J1128" s="170" t="s">
        <v>3074</v>
      </c>
      <c r="K1128" s="170">
        <v>33.520000000000003</v>
      </c>
      <c r="L1128" s="170">
        <v>0.628</v>
      </c>
      <c r="Q1128" s="4" t="s">
        <v>3076</v>
      </c>
      <c r="T1128" t="s">
        <v>3109</v>
      </c>
      <c r="U1128" t="s">
        <v>3317</v>
      </c>
      <c r="V1128" s="407" t="s">
        <v>3272</v>
      </c>
      <c r="W1128" s="29">
        <v>9</v>
      </c>
    </row>
    <row r="1129" spans="1:23">
      <c r="A1129" s="134">
        <v>2353</v>
      </c>
      <c r="B1129" s="134">
        <v>18.8</v>
      </c>
      <c r="C1129" s="301">
        <v>1.5</v>
      </c>
      <c r="D1129" s="301">
        <v>7.03</v>
      </c>
      <c r="E1129" s="301">
        <v>24.44</v>
      </c>
      <c r="F1129" s="375" t="s">
        <v>3273</v>
      </c>
      <c r="G1129" s="170">
        <v>10</v>
      </c>
      <c r="H1129" s="170">
        <v>71.2</v>
      </c>
      <c r="I1129" s="217">
        <v>43847</v>
      </c>
      <c r="J1129" s="170" t="s">
        <v>3074</v>
      </c>
      <c r="K1129" s="170">
        <v>33.44</v>
      </c>
      <c r="L1129" s="170">
        <v>0.59899999999999998</v>
      </c>
      <c r="Q1129" s="4" t="s">
        <v>3076</v>
      </c>
      <c r="T1129" t="s">
        <v>3109</v>
      </c>
      <c r="U1129" t="s">
        <v>3312</v>
      </c>
      <c r="V1129" s="407" t="s">
        <v>3274</v>
      </c>
      <c r="W1129" s="29">
        <v>6</v>
      </c>
    </row>
    <row r="1130" spans="1:23">
      <c r="A1130" s="134">
        <v>2354</v>
      </c>
      <c r="B1130" s="134">
        <v>16</v>
      </c>
      <c r="C1130" s="301">
        <v>1.52</v>
      </c>
      <c r="D1130" s="301">
        <v>7.12</v>
      </c>
      <c r="E1130" s="301">
        <v>24.32</v>
      </c>
      <c r="F1130" s="375" t="s">
        <v>3275</v>
      </c>
      <c r="G1130" s="170">
        <v>10</v>
      </c>
      <c r="H1130" s="170">
        <v>71.3</v>
      </c>
      <c r="I1130" s="217">
        <v>43847</v>
      </c>
      <c r="J1130" s="170" t="s">
        <v>3074</v>
      </c>
      <c r="K1130" s="170">
        <v>33.44</v>
      </c>
      <c r="L1130" s="170">
        <v>0.91200000000000003</v>
      </c>
      <c r="Q1130" s="4" t="s">
        <v>3076</v>
      </c>
      <c r="T1130" t="s">
        <v>3109</v>
      </c>
      <c r="U1130" t="s">
        <v>3313</v>
      </c>
      <c r="V1130" s="407" t="s">
        <v>3080</v>
      </c>
      <c r="W1130" s="29">
        <v>6</v>
      </c>
    </row>
    <row r="1131" spans="1:23">
      <c r="A1131" s="134">
        <v>2355</v>
      </c>
      <c r="B1131" s="134">
        <v>17.2</v>
      </c>
      <c r="C1131" s="301">
        <v>1.49</v>
      </c>
      <c r="D1131" s="301">
        <v>7.09</v>
      </c>
      <c r="E1131" s="301">
        <v>24.34</v>
      </c>
      <c r="F1131" s="19" t="s">
        <v>3276</v>
      </c>
      <c r="G1131" s="170">
        <v>10</v>
      </c>
      <c r="H1131" s="170">
        <v>71.8</v>
      </c>
      <c r="I1131" s="217">
        <v>43852</v>
      </c>
      <c r="J1131" s="170" t="s">
        <v>3074</v>
      </c>
      <c r="K1131" s="170">
        <v>33.46</v>
      </c>
      <c r="L1131" s="170">
        <v>0.54200000000000004</v>
      </c>
      <c r="Q1131" s="4" t="s">
        <v>3076</v>
      </c>
      <c r="T1131" t="s">
        <v>3109</v>
      </c>
      <c r="U1131" t="s">
        <v>3316</v>
      </c>
      <c r="V1131" s="407" t="s">
        <v>3277</v>
      </c>
      <c r="W1131" s="29">
        <v>5</v>
      </c>
    </row>
    <row r="1132" spans="1:23" ht="24.95" customHeight="1">
      <c r="A1132" s="134">
        <v>2356</v>
      </c>
      <c r="B1132" s="418">
        <v>18.399999999999999</v>
      </c>
      <c r="C1132" s="301">
        <v>1.5</v>
      </c>
      <c r="D1132" s="301">
        <v>7.13</v>
      </c>
      <c r="E1132" s="301">
        <v>24.43</v>
      </c>
      <c r="F1132" s="247" t="s">
        <v>3280</v>
      </c>
      <c r="G1132" s="170">
        <v>10</v>
      </c>
      <c r="H1132" s="170">
        <v>70</v>
      </c>
      <c r="I1132" s="217">
        <v>43853</v>
      </c>
      <c r="J1132" s="170" t="s">
        <v>3074</v>
      </c>
      <c r="K1132" s="170">
        <v>33.840000000000003</v>
      </c>
      <c r="L1132" s="170">
        <v>0.34200000000000003</v>
      </c>
      <c r="Q1132" s="4" t="s">
        <v>3076</v>
      </c>
      <c r="T1132" t="s">
        <v>3109</v>
      </c>
      <c r="U1132" t="s">
        <v>3288</v>
      </c>
      <c r="V1132" s="407" t="s">
        <v>3105</v>
      </c>
      <c r="W1132" s="29">
        <v>7</v>
      </c>
    </row>
    <row r="1133" spans="1:23">
      <c r="A1133" s="134">
        <v>2357</v>
      </c>
      <c r="B1133" s="134">
        <v>16.8</v>
      </c>
      <c r="C1133" s="301">
        <v>1.49</v>
      </c>
      <c r="D1133" s="301">
        <v>7.1</v>
      </c>
      <c r="E1133" s="301">
        <v>24.3</v>
      </c>
      <c r="F1133" s="176" t="s">
        <v>3278</v>
      </c>
      <c r="G1133" s="170">
        <v>10</v>
      </c>
      <c r="H1133" s="170">
        <v>71.8</v>
      </c>
      <c r="I1133" s="217">
        <v>43852</v>
      </c>
      <c r="J1133" s="170" t="s">
        <v>3074</v>
      </c>
      <c r="Q1133" s="4" t="s">
        <v>3076</v>
      </c>
      <c r="T1133" t="s">
        <v>3109</v>
      </c>
    </row>
    <row r="1134" spans="1:23">
      <c r="A1134" s="134">
        <v>2358</v>
      </c>
      <c r="B1134" s="134">
        <v>18.8</v>
      </c>
      <c r="C1134" s="301">
        <v>1.54</v>
      </c>
      <c r="D1134" s="301">
        <v>7.1</v>
      </c>
      <c r="E1134" s="301">
        <v>24.31</v>
      </c>
      <c r="F1134" s="327" t="s">
        <v>3279</v>
      </c>
      <c r="G1134" s="170">
        <v>10</v>
      </c>
      <c r="H1134" s="170">
        <v>71.8</v>
      </c>
      <c r="I1134" s="217">
        <v>43852</v>
      </c>
      <c r="J1134" s="170" t="s">
        <v>3074</v>
      </c>
      <c r="Q1134" s="4" t="s">
        <v>3076</v>
      </c>
      <c r="T1134" t="s">
        <v>3109</v>
      </c>
    </row>
    <row r="1135" spans="1:23">
      <c r="A1135" s="134">
        <v>2359</v>
      </c>
      <c r="B1135" s="134">
        <v>16.399999999999999</v>
      </c>
      <c r="C1135" s="301">
        <v>1.49</v>
      </c>
      <c r="D1135" s="301">
        <v>7.08</v>
      </c>
      <c r="E1135" s="301">
        <v>24.36</v>
      </c>
      <c r="F1135" s="176" t="s">
        <v>3289</v>
      </c>
      <c r="G1135" s="170">
        <v>10</v>
      </c>
      <c r="H1135" s="170">
        <v>71.2</v>
      </c>
      <c r="I1135" s="217">
        <v>43853</v>
      </c>
      <c r="J1135" s="170" t="s">
        <v>3074</v>
      </c>
      <c r="Q1135" s="4" t="s">
        <v>3076</v>
      </c>
      <c r="T1135" t="s">
        <v>3109</v>
      </c>
    </row>
    <row r="1136" spans="1:23">
      <c r="A1136" s="134">
        <v>2359</v>
      </c>
      <c r="B1136" s="134">
        <v>16.399999999999999</v>
      </c>
      <c r="C1136" s="301">
        <v>1.49</v>
      </c>
      <c r="D1136" s="301">
        <v>7.08</v>
      </c>
      <c r="E1136" s="301">
        <v>24.36</v>
      </c>
      <c r="F1136" s="176" t="s">
        <v>3290</v>
      </c>
      <c r="G1136" s="170">
        <v>10</v>
      </c>
      <c r="H1136" s="170">
        <v>71.2</v>
      </c>
      <c r="I1136" s="217">
        <v>43853</v>
      </c>
      <c r="J1136" s="170" t="s">
        <v>3074</v>
      </c>
      <c r="Q1136" s="4" t="s">
        <v>3076</v>
      </c>
      <c r="T1136" t="s">
        <v>3109</v>
      </c>
      <c r="V1136" s="449"/>
    </row>
    <row r="1137" spans="1:23">
      <c r="A1137" s="134">
        <v>2359</v>
      </c>
      <c r="B1137" s="134">
        <v>16.399999999999999</v>
      </c>
      <c r="C1137" s="301">
        <v>1.49</v>
      </c>
      <c r="D1137" s="301">
        <v>7.08</v>
      </c>
      <c r="E1137" s="301">
        <v>24.36</v>
      </c>
      <c r="F1137" s="176" t="s">
        <v>3291</v>
      </c>
      <c r="G1137" s="170">
        <v>10</v>
      </c>
      <c r="H1137" s="170">
        <v>71.2</v>
      </c>
      <c r="I1137" s="217">
        <v>43853</v>
      </c>
      <c r="J1137" s="170" t="s">
        <v>3074</v>
      </c>
      <c r="Q1137" s="4" t="s">
        <v>3076</v>
      </c>
      <c r="T1137" t="s">
        <v>3109</v>
      </c>
      <c r="V1137" s="449"/>
    </row>
    <row r="1138" spans="1:23">
      <c r="A1138" s="134">
        <v>2359</v>
      </c>
      <c r="B1138" s="134">
        <v>16.399999999999999</v>
      </c>
      <c r="C1138" s="301">
        <v>1.49</v>
      </c>
      <c r="D1138" s="301">
        <v>7.08</v>
      </c>
      <c r="E1138" s="301">
        <v>24.36</v>
      </c>
      <c r="F1138" s="248" t="s">
        <v>3292</v>
      </c>
      <c r="G1138" s="170">
        <v>10</v>
      </c>
      <c r="H1138" s="170">
        <v>71.2</v>
      </c>
      <c r="I1138" s="217">
        <v>43853</v>
      </c>
      <c r="J1138" s="170" t="s">
        <v>3074</v>
      </c>
      <c r="K1138" s="170">
        <v>33.43</v>
      </c>
      <c r="L1138" s="170">
        <v>0.877</v>
      </c>
      <c r="Q1138" s="4" t="s">
        <v>3076</v>
      </c>
      <c r="T1138" t="s">
        <v>3109</v>
      </c>
      <c r="U1138" t="s">
        <v>3294</v>
      </c>
      <c r="V1138" s="449" t="s">
        <v>3293</v>
      </c>
      <c r="W1138" s="29">
        <v>4</v>
      </c>
    </row>
    <row r="1139" spans="1:23">
      <c r="A1139" s="134">
        <v>2321</v>
      </c>
      <c r="B1139" s="418">
        <v>16</v>
      </c>
      <c r="C1139" s="301">
        <v>1.49</v>
      </c>
      <c r="D1139" s="301">
        <v>7.17</v>
      </c>
      <c r="E1139" s="301">
        <v>24.4</v>
      </c>
      <c r="F1139" s="176" t="s">
        <v>3295</v>
      </c>
      <c r="G1139" s="170">
        <v>10</v>
      </c>
      <c r="H1139" s="170">
        <v>71.2</v>
      </c>
      <c r="I1139" s="217">
        <v>43853</v>
      </c>
      <c r="J1139" s="170" t="s">
        <v>3074</v>
      </c>
      <c r="K1139" s="170">
        <v>33.47</v>
      </c>
      <c r="Q1139" s="4" t="s">
        <v>3076</v>
      </c>
      <c r="T1139" t="s">
        <v>3109</v>
      </c>
    </row>
    <row r="1140" spans="1:23">
      <c r="A1140" s="134">
        <v>2326</v>
      </c>
      <c r="B1140" s="418">
        <v>17.2</v>
      </c>
      <c r="C1140" s="301">
        <v>1.5</v>
      </c>
      <c r="D1140" s="301">
        <v>7.1</v>
      </c>
      <c r="E1140" s="301">
        <v>24.43</v>
      </c>
    </row>
    <row r="1142" spans="1:23">
      <c r="A1142">
        <v>2360</v>
      </c>
      <c r="B1142">
        <v>18.8</v>
      </c>
      <c r="C1142">
        <v>1.51</v>
      </c>
      <c r="D1142">
        <v>7.12</v>
      </c>
      <c r="E1142">
        <v>24.35</v>
      </c>
      <c r="F1142" s="270" t="s">
        <v>3296</v>
      </c>
      <c r="G1142" s="170">
        <v>19</v>
      </c>
      <c r="H1142" s="170">
        <v>71.8</v>
      </c>
      <c r="I1142" s="217">
        <v>43867</v>
      </c>
      <c r="J1142" s="170" t="s">
        <v>3074</v>
      </c>
      <c r="T1142" t="s">
        <v>3109</v>
      </c>
    </row>
    <row r="1143" spans="1:23">
      <c r="A1143">
        <v>2360</v>
      </c>
      <c r="B1143">
        <v>18.8</v>
      </c>
      <c r="C1143">
        <v>1.51</v>
      </c>
      <c r="D1143">
        <v>7.12</v>
      </c>
      <c r="E1143">
        <v>24.35</v>
      </c>
      <c r="F1143" s="270" t="s">
        <v>3297</v>
      </c>
      <c r="G1143" s="170">
        <v>19</v>
      </c>
      <c r="H1143" s="170">
        <v>71.8</v>
      </c>
      <c r="I1143" s="217">
        <v>43867</v>
      </c>
      <c r="J1143" s="170" t="s">
        <v>3074</v>
      </c>
      <c r="K1143" s="170">
        <v>33.479999999999997</v>
      </c>
      <c r="L1143" s="170">
        <v>0.46400000000000002</v>
      </c>
      <c r="Q1143" s="4" t="s">
        <v>3076</v>
      </c>
      <c r="T1143" t="s">
        <v>3109</v>
      </c>
      <c r="V1143" s="450"/>
    </row>
    <row r="1144" spans="1:23">
      <c r="A1144">
        <v>2361</v>
      </c>
      <c r="B1144">
        <v>16.8</v>
      </c>
      <c r="C1144">
        <v>1.53</v>
      </c>
      <c r="D1144">
        <v>7.1</v>
      </c>
      <c r="E1144">
        <v>24.39</v>
      </c>
      <c r="F1144" s="270" t="s">
        <v>3298</v>
      </c>
      <c r="G1144" s="170">
        <v>19</v>
      </c>
      <c r="H1144" s="170">
        <v>71.8</v>
      </c>
      <c r="I1144" s="217">
        <v>43867</v>
      </c>
      <c r="J1144" s="170" t="s">
        <v>3074</v>
      </c>
      <c r="K1144" s="170">
        <v>33.340000000000003</v>
      </c>
      <c r="Q1144" s="4" t="s">
        <v>3076</v>
      </c>
      <c r="T1144" t="s">
        <v>3109</v>
      </c>
    </row>
    <row r="1145" spans="1:23">
      <c r="A1145">
        <v>2361</v>
      </c>
      <c r="B1145">
        <v>16.8</v>
      </c>
      <c r="C1145">
        <v>1.53</v>
      </c>
      <c r="D1145">
        <v>7.1</v>
      </c>
      <c r="E1145">
        <v>24.39</v>
      </c>
      <c r="F1145" s="270" t="s">
        <v>3299</v>
      </c>
      <c r="G1145" s="170">
        <v>19</v>
      </c>
      <c r="H1145" s="170">
        <v>70</v>
      </c>
      <c r="I1145" s="217">
        <v>43868</v>
      </c>
      <c r="J1145" s="170" t="s">
        <v>3074</v>
      </c>
      <c r="K1145" s="170">
        <v>33.46</v>
      </c>
      <c r="L1145" s="170">
        <v>1.19</v>
      </c>
      <c r="T1145" t="s">
        <v>3109</v>
      </c>
    </row>
    <row r="1146" spans="1:23">
      <c r="A1146">
        <v>2361</v>
      </c>
      <c r="B1146">
        <v>16.8</v>
      </c>
      <c r="C1146">
        <v>1.53</v>
      </c>
      <c r="D1146">
        <v>7.1</v>
      </c>
      <c r="E1146">
        <v>24.39</v>
      </c>
      <c r="F1146" s="249" t="s">
        <v>3307</v>
      </c>
      <c r="G1146" s="170">
        <v>25</v>
      </c>
      <c r="H1146" s="170">
        <v>70</v>
      </c>
      <c r="I1146" s="217">
        <v>43872</v>
      </c>
      <c r="J1146" s="170" t="s">
        <v>3074</v>
      </c>
      <c r="K1146" s="170">
        <v>33.4</v>
      </c>
      <c r="L1146" s="170">
        <v>0.58799999999999997</v>
      </c>
      <c r="Q1146" s="4" t="s">
        <v>3076</v>
      </c>
      <c r="T1146" t="s">
        <v>3109</v>
      </c>
      <c r="U1146" t="s">
        <v>3320</v>
      </c>
      <c r="V1146" s="451" t="s">
        <v>2697</v>
      </c>
      <c r="W1146" s="29">
        <v>5</v>
      </c>
    </row>
    <row r="1147" spans="1:23">
      <c r="A1147">
        <v>2362</v>
      </c>
      <c r="B1147">
        <v>18.8</v>
      </c>
      <c r="C1147">
        <v>1.5</v>
      </c>
      <c r="D1147">
        <v>7.17</v>
      </c>
      <c r="E1147">
        <v>24.37</v>
      </c>
      <c r="F1147" s="249" t="s">
        <v>3308</v>
      </c>
      <c r="G1147" s="170">
        <v>25</v>
      </c>
      <c r="H1147" s="170">
        <v>70</v>
      </c>
      <c r="I1147" s="217">
        <v>43872</v>
      </c>
      <c r="J1147" s="170" t="s">
        <v>3074</v>
      </c>
      <c r="K1147" s="170">
        <v>33.43</v>
      </c>
      <c r="L1147" s="170">
        <v>0.93899999999999995</v>
      </c>
      <c r="Q1147" s="4" t="s">
        <v>3076</v>
      </c>
      <c r="T1147" t="s">
        <v>3109</v>
      </c>
      <c r="U1147" t="s">
        <v>3525</v>
      </c>
      <c r="V1147" s="451" t="s">
        <v>3024</v>
      </c>
      <c r="W1147" s="29">
        <v>6</v>
      </c>
    </row>
    <row r="1148" spans="1:23">
      <c r="A1148">
        <v>2363</v>
      </c>
      <c r="B1148">
        <v>18.399999999999999</v>
      </c>
      <c r="C1148">
        <v>1.51</v>
      </c>
      <c r="D1148">
        <v>7.15</v>
      </c>
      <c r="E1148">
        <v>24.36</v>
      </c>
      <c r="F1148" s="19" t="s">
        <v>3301</v>
      </c>
      <c r="G1148" s="170">
        <v>17</v>
      </c>
      <c r="H1148" s="170">
        <v>70.900000000000006</v>
      </c>
      <c r="I1148" s="217">
        <v>43868</v>
      </c>
      <c r="J1148" s="170" t="s">
        <v>3074</v>
      </c>
      <c r="K1148" s="170">
        <v>33.549999999999997</v>
      </c>
      <c r="L1148" s="170">
        <v>0.58799999999999997</v>
      </c>
      <c r="Q1148" s="4" t="s">
        <v>3076</v>
      </c>
      <c r="T1148" t="s">
        <v>3109</v>
      </c>
      <c r="U1148" t="s">
        <v>3321</v>
      </c>
      <c r="V1148" s="407" t="s">
        <v>3012</v>
      </c>
      <c r="W1148" s="29">
        <v>5</v>
      </c>
    </row>
    <row r="1149" spans="1:23">
      <c r="A1149">
        <v>2364</v>
      </c>
      <c r="B1149">
        <v>16</v>
      </c>
      <c r="C1149">
        <v>1.47</v>
      </c>
      <c r="D1149">
        <v>7.16</v>
      </c>
      <c r="E1149">
        <v>24.34</v>
      </c>
      <c r="F1149" s="270" t="s">
        <v>3300</v>
      </c>
      <c r="G1149" s="170">
        <v>19</v>
      </c>
      <c r="H1149" s="170">
        <v>70</v>
      </c>
      <c r="I1149" s="217">
        <v>43868</v>
      </c>
      <c r="J1149" s="170" t="s">
        <v>3074</v>
      </c>
      <c r="K1149" s="170">
        <v>33.380000000000003</v>
      </c>
      <c r="L1149" s="170">
        <v>0.33200000000000002</v>
      </c>
      <c r="Q1149" s="4" t="s">
        <v>3076</v>
      </c>
      <c r="T1149" t="s">
        <v>3109</v>
      </c>
      <c r="V1149" s="407" t="s">
        <v>3053</v>
      </c>
      <c r="W1149" s="29">
        <v>6</v>
      </c>
    </row>
    <row r="1150" spans="1:23">
      <c r="A1150">
        <v>2365</v>
      </c>
      <c r="B1150">
        <v>18</v>
      </c>
      <c r="C1150">
        <v>1.51</v>
      </c>
      <c r="D1150">
        <v>7.09</v>
      </c>
      <c r="E1150">
        <v>24.36</v>
      </c>
      <c r="F1150" s="375" t="s">
        <v>3309</v>
      </c>
      <c r="G1150" s="170">
        <v>10</v>
      </c>
      <c r="H1150" s="170">
        <v>71.099999999999994</v>
      </c>
      <c r="I1150" s="217">
        <v>43873</v>
      </c>
      <c r="J1150" s="170" t="s">
        <v>3074</v>
      </c>
      <c r="K1150" s="170">
        <v>33.39</v>
      </c>
      <c r="L1150" s="170">
        <v>0.83699999999999997</v>
      </c>
      <c r="Q1150" s="4" t="s">
        <v>3076</v>
      </c>
      <c r="T1150" t="s">
        <v>3109</v>
      </c>
      <c r="U1150" t="s">
        <v>3322</v>
      </c>
      <c r="V1150" s="407" t="s">
        <v>2955</v>
      </c>
      <c r="W1150" s="29">
        <v>3</v>
      </c>
    </row>
    <row r="1151" spans="1:23">
      <c r="A1151">
        <v>2366</v>
      </c>
      <c r="B1151">
        <v>18.8</v>
      </c>
      <c r="C1151">
        <v>1.51</v>
      </c>
      <c r="D1151">
        <v>7.11</v>
      </c>
      <c r="E1151">
        <v>24.41</v>
      </c>
      <c r="F1151" s="375" t="s">
        <v>3302</v>
      </c>
      <c r="G1151" s="170">
        <v>17</v>
      </c>
      <c r="H1151" s="170">
        <v>70.900000000000006</v>
      </c>
      <c r="I1151" s="217">
        <v>43868</v>
      </c>
      <c r="J1151" s="170" t="s">
        <v>3074</v>
      </c>
      <c r="K1151" s="170">
        <v>33.28</v>
      </c>
      <c r="L1151" s="170">
        <v>0.93100000000000005</v>
      </c>
      <c r="Q1151" s="4" t="s">
        <v>3076</v>
      </c>
      <c r="T1151" t="s">
        <v>3109</v>
      </c>
      <c r="U1151" t="s">
        <v>3323</v>
      </c>
      <c r="V1151" s="407" t="s">
        <v>2770</v>
      </c>
      <c r="W1151" s="29">
        <v>5</v>
      </c>
    </row>
    <row r="1152" spans="1:23">
      <c r="A1152">
        <v>2367</v>
      </c>
      <c r="B1152">
        <v>17.2</v>
      </c>
      <c r="C1152">
        <v>1.5</v>
      </c>
      <c r="D1152">
        <v>7.12</v>
      </c>
      <c r="E1152">
        <v>24.41</v>
      </c>
      <c r="F1152" s="176" t="s">
        <v>3304</v>
      </c>
      <c r="G1152" s="170">
        <v>25</v>
      </c>
      <c r="H1152" s="170">
        <v>70.900000000000006</v>
      </c>
      <c r="I1152" s="217">
        <v>43871</v>
      </c>
      <c r="J1152" s="170" t="s">
        <v>3074</v>
      </c>
      <c r="K1152" s="170">
        <v>33.43</v>
      </c>
      <c r="L1152" s="170">
        <v>0.108</v>
      </c>
      <c r="Q1152" s="4" t="s">
        <v>3076</v>
      </c>
      <c r="T1152" t="s">
        <v>3109</v>
      </c>
      <c r="V1152" s="407" t="s">
        <v>3306</v>
      </c>
    </row>
    <row r="1153" spans="1:24">
      <c r="A1153">
        <v>2368</v>
      </c>
      <c r="B1153">
        <v>18.8</v>
      </c>
      <c r="C1153">
        <v>1.51</v>
      </c>
      <c r="D1153">
        <v>7.08</v>
      </c>
      <c r="E1153">
        <v>24.35</v>
      </c>
      <c r="F1153" s="453" t="s">
        <v>3305</v>
      </c>
      <c r="G1153" s="170">
        <v>25</v>
      </c>
      <c r="H1153" s="170">
        <v>70.900000000000006</v>
      </c>
      <c r="I1153" s="217">
        <v>43871</v>
      </c>
      <c r="J1153" s="170" t="s">
        <v>3074</v>
      </c>
      <c r="K1153" s="170">
        <v>33.380000000000003</v>
      </c>
      <c r="L1153" s="170">
        <v>0.33700000000000002</v>
      </c>
      <c r="Q1153" s="4" t="s">
        <v>3076</v>
      </c>
      <c r="T1153" t="s">
        <v>3109</v>
      </c>
      <c r="U1153" t="s">
        <v>3324</v>
      </c>
      <c r="V1153" s="407" t="s">
        <v>2770</v>
      </c>
      <c r="W1153" s="29">
        <v>7</v>
      </c>
    </row>
    <row r="1154" spans="1:24">
      <c r="A1154">
        <v>2369</v>
      </c>
      <c r="B1154">
        <v>17.600000000000001</v>
      </c>
      <c r="C1154">
        <v>1.5</v>
      </c>
      <c r="D1154">
        <v>7.13</v>
      </c>
      <c r="E1154">
        <v>24.27</v>
      </c>
      <c r="F1154" s="375" t="s">
        <v>3310</v>
      </c>
      <c r="G1154" s="170">
        <v>10</v>
      </c>
      <c r="H1154" s="170">
        <v>71.099999999999994</v>
      </c>
      <c r="I1154" s="217">
        <v>43873</v>
      </c>
      <c r="J1154" s="170" t="s">
        <v>3074</v>
      </c>
      <c r="K1154" s="170">
        <v>33.31</v>
      </c>
      <c r="L1154" s="170">
        <v>0.67800000000000005</v>
      </c>
      <c r="Q1154" s="4" t="s">
        <v>3076</v>
      </c>
      <c r="T1154" t="s">
        <v>3109</v>
      </c>
      <c r="U1154" t="s">
        <v>3325</v>
      </c>
      <c r="V1154" s="407" t="s">
        <v>2697</v>
      </c>
      <c r="W1154" s="29">
        <v>5</v>
      </c>
    </row>
    <row r="1155" spans="1:24">
      <c r="B1155" s="418"/>
      <c r="C1155" s="301"/>
      <c r="D1155" s="301"/>
      <c r="E1155" s="301"/>
    </row>
    <row r="1156" spans="1:24">
      <c r="A1156" s="134">
        <v>2370</v>
      </c>
      <c r="B1156" s="134">
        <v>16.399999999999999</v>
      </c>
      <c r="C1156">
        <v>1.5</v>
      </c>
      <c r="D1156">
        <v>7.15</v>
      </c>
      <c r="E1156">
        <v>24.37</v>
      </c>
      <c r="F1156" s="176" t="s">
        <v>3327</v>
      </c>
      <c r="G1156" s="170">
        <v>20</v>
      </c>
      <c r="H1156" s="170">
        <v>72.7</v>
      </c>
      <c r="I1156" s="217">
        <v>43907</v>
      </c>
      <c r="J1156" s="170" t="s">
        <v>3074</v>
      </c>
      <c r="K1156" s="170">
        <v>33.520000000000003</v>
      </c>
      <c r="L1156" s="170">
        <v>0.65900000000000003</v>
      </c>
      <c r="Q1156" s="4" t="s">
        <v>3076</v>
      </c>
      <c r="T1156" t="s">
        <v>3109</v>
      </c>
    </row>
    <row r="1157" spans="1:24">
      <c r="A1157" s="134">
        <v>2370</v>
      </c>
      <c r="B1157" s="134">
        <v>16.399999999999999</v>
      </c>
      <c r="C1157">
        <v>1.5</v>
      </c>
      <c r="D1157">
        <v>7.15</v>
      </c>
      <c r="E1157">
        <v>24.37</v>
      </c>
      <c r="F1157" s="249" t="s">
        <v>3328</v>
      </c>
      <c r="G1157" s="170">
        <v>10</v>
      </c>
      <c r="H1157" s="170">
        <v>70.7</v>
      </c>
      <c r="I1157" s="217">
        <v>43908</v>
      </c>
      <c r="J1157" s="170" t="s">
        <v>3074</v>
      </c>
      <c r="K1157" s="170">
        <v>33.520000000000003</v>
      </c>
      <c r="L1157" s="170">
        <v>0.29599999999999999</v>
      </c>
      <c r="Q1157" s="4" t="s">
        <v>3076</v>
      </c>
      <c r="T1157" t="s">
        <v>3109</v>
      </c>
      <c r="U1157" t="s">
        <v>3448</v>
      </c>
      <c r="V1157" s="454" t="s">
        <v>3329</v>
      </c>
      <c r="W1157" s="29">
        <v>5</v>
      </c>
    </row>
    <row r="1158" spans="1:24">
      <c r="A1158" s="134">
        <v>2371</v>
      </c>
      <c r="B1158" s="134">
        <v>18.399999999999999</v>
      </c>
      <c r="C1158">
        <v>1.5</v>
      </c>
      <c r="D1158">
        <v>7.15</v>
      </c>
      <c r="E1158">
        <v>24.34</v>
      </c>
      <c r="F1158" s="19" t="s">
        <v>3330</v>
      </c>
      <c r="G1158" s="170">
        <v>10</v>
      </c>
      <c r="H1158" s="170">
        <v>70.7</v>
      </c>
      <c r="I1158" s="217">
        <v>43908</v>
      </c>
      <c r="J1158" s="170" t="s">
        <v>3074</v>
      </c>
      <c r="K1158" s="170">
        <v>33.54</v>
      </c>
      <c r="L1158" s="170">
        <v>0.47399999999999998</v>
      </c>
      <c r="Q1158" s="4" t="s">
        <v>3076</v>
      </c>
      <c r="T1158" t="s">
        <v>3109</v>
      </c>
      <c r="U1158" t="s">
        <v>3381</v>
      </c>
      <c r="V1158" s="407" t="s">
        <v>3005</v>
      </c>
      <c r="W1158" s="29">
        <v>5</v>
      </c>
    </row>
    <row r="1159" spans="1:24">
      <c r="A1159" s="134">
        <v>2372</v>
      </c>
      <c r="B1159" s="134">
        <v>16.399999999999999</v>
      </c>
      <c r="C1159">
        <v>1.51</v>
      </c>
      <c r="D1159">
        <v>7.09</v>
      </c>
      <c r="E1159">
        <v>24.47</v>
      </c>
      <c r="F1159" s="176" t="s">
        <v>3331</v>
      </c>
      <c r="G1159" s="170">
        <v>10</v>
      </c>
      <c r="H1159" s="170">
        <v>72</v>
      </c>
      <c r="I1159" s="217">
        <v>43908</v>
      </c>
      <c r="J1159" s="170" t="s">
        <v>3074</v>
      </c>
      <c r="T1159" t="s">
        <v>3109</v>
      </c>
    </row>
    <row r="1160" spans="1:24">
      <c r="A1160" s="134">
        <v>2372</v>
      </c>
      <c r="B1160" s="134">
        <v>16.399999999999999</v>
      </c>
      <c r="C1160">
        <v>1.51</v>
      </c>
      <c r="D1160">
        <v>7.09</v>
      </c>
      <c r="E1160">
        <v>24.47</v>
      </c>
      <c r="F1160" s="176" t="s">
        <v>3336</v>
      </c>
      <c r="G1160" s="170">
        <v>30</v>
      </c>
      <c r="H1160" s="170">
        <v>70.2</v>
      </c>
      <c r="I1160" s="217">
        <v>43909</v>
      </c>
      <c r="J1160" s="170" t="s">
        <v>3074</v>
      </c>
      <c r="Q1160" s="4" t="s">
        <v>3076</v>
      </c>
      <c r="T1160" t="s">
        <v>3109</v>
      </c>
      <c r="V1160" s="455"/>
    </row>
    <row r="1161" spans="1:24">
      <c r="A1161" s="134">
        <v>2373</v>
      </c>
      <c r="B1161" s="134">
        <v>16.399999999999999</v>
      </c>
      <c r="C1161">
        <v>1.5</v>
      </c>
      <c r="D1161">
        <v>7.12</v>
      </c>
      <c r="E1161">
        <v>24.33</v>
      </c>
      <c r="F1161" s="176" t="s">
        <v>3337</v>
      </c>
      <c r="G1161" s="170">
        <v>30</v>
      </c>
      <c r="H1161" s="170">
        <v>70.2</v>
      </c>
      <c r="I1161" s="217">
        <v>43909</v>
      </c>
      <c r="J1161" s="170" t="s">
        <v>3074</v>
      </c>
      <c r="K1161" s="170">
        <v>33.49</v>
      </c>
      <c r="L1161" s="170">
        <v>0.91400000000000003</v>
      </c>
      <c r="Q1161" s="4" t="s">
        <v>3076</v>
      </c>
      <c r="T1161" t="s">
        <v>3109</v>
      </c>
      <c r="U1161" t="s">
        <v>3848</v>
      </c>
      <c r="V1161" s="407" t="s">
        <v>3023</v>
      </c>
      <c r="W1161" s="29">
        <v>4</v>
      </c>
    </row>
    <row r="1162" spans="1:24">
      <c r="A1162" s="134">
        <v>2374</v>
      </c>
      <c r="B1162" s="134">
        <v>18</v>
      </c>
      <c r="C1162">
        <v>1.52</v>
      </c>
      <c r="D1162">
        <v>7.08</v>
      </c>
      <c r="E1162">
        <v>24.4</v>
      </c>
      <c r="F1162" s="176" t="s">
        <v>3338</v>
      </c>
      <c r="G1162" s="170">
        <v>34</v>
      </c>
      <c r="H1162" s="170">
        <v>73.599999999999994</v>
      </c>
      <c r="I1162" s="217">
        <v>43984</v>
      </c>
      <c r="J1162" s="170" t="s">
        <v>3074</v>
      </c>
      <c r="K1162" s="170">
        <v>33.520000000000003</v>
      </c>
      <c r="L1162" s="170">
        <v>0.624</v>
      </c>
      <c r="Q1162" s="4" t="s">
        <v>3076</v>
      </c>
      <c r="T1162" t="s">
        <v>3109</v>
      </c>
      <c r="U1162" t="s">
        <v>3859</v>
      </c>
      <c r="V1162" s="407" t="s">
        <v>3340</v>
      </c>
    </row>
    <row r="1163" spans="1:24">
      <c r="A1163" s="136">
        <v>2375</v>
      </c>
      <c r="B1163" s="134">
        <v>17.2</v>
      </c>
      <c r="C1163">
        <v>1.48</v>
      </c>
      <c r="D1163">
        <v>7.12</v>
      </c>
      <c r="E1163">
        <v>24.3</v>
      </c>
      <c r="F1163" s="176" t="s">
        <v>3341</v>
      </c>
      <c r="G1163" s="170">
        <v>34</v>
      </c>
      <c r="H1163" s="170">
        <v>73.599999999999994</v>
      </c>
      <c r="I1163" s="217">
        <v>43984</v>
      </c>
      <c r="J1163" s="170" t="s">
        <v>3074</v>
      </c>
      <c r="K1163" s="170">
        <v>33.53</v>
      </c>
      <c r="L1163" s="170">
        <v>0.61499999999999999</v>
      </c>
      <c r="Q1163" s="4" t="s">
        <v>3076</v>
      </c>
      <c r="T1163" t="s">
        <v>3109</v>
      </c>
      <c r="U1163" t="s">
        <v>3860</v>
      </c>
      <c r="V1163" s="407" t="s">
        <v>3351</v>
      </c>
      <c r="W1163" s="29">
        <v>3</v>
      </c>
    </row>
    <row r="1164" spans="1:24">
      <c r="A1164" s="136">
        <v>2376</v>
      </c>
      <c r="B1164" s="134">
        <v>17.600000000000001</v>
      </c>
      <c r="C1164">
        <v>1.48</v>
      </c>
      <c r="D1164">
        <v>7.03</v>
      </c>
      <c r="E1164">
        <v>24.36</v>
      </c>
      <c r="F1164" s="270" t="s">
        <v>3342</v>
      </c>
      <c r="G1164" s="170">
        <v>35</v>
      </c>
      <c r="H1164" s="170">
        <v>73.599999999999994</v>
      </c>
      <c r="I1164" s="217">
        <v>43984</v>
      </c>
      <c r="J1164" s="170" t="s">
        <v>3074</v>
      </c>
      <c r="K1164" s="170">
        <v>33.520000000000003</v>
      </c>
      <c r="L1164">
        <v>0.36799999999999999</v>
      </c>
      <c r="Q1164" s="4" t="s">
        <v>3076</v>
      </c>
      <c r="T1164" t="s">
        <v>3109</v>
      </c>
      <c r="U1164" t="s">
        <v>3343</v>
      </c>
      <c r="V1164" s="407" t="s">
        <v>3166</v>
      </c>
      <c r="W1164" s="29">
        <v>5</v>
      </c>
      <c r="X1164" t="s">
        <v>2620</v>
      </c>
    </row>
    <row r="1165" spans="1:24">
      <c r="A1165" s="136">
        <v>2377</v>
      </c>
      <c r="B1165" s="134">
        <v>16.8</v>
      </c>
      <c r="C1165">
        <v>1.49</v>
      </c>
      <c r="D1165">
        <v>7.07</v>
      </c>
      <c r="E1165">
        <v>24.38</v>
      </c>
      <c r="F1165" s="270" t="s">
        <v>3347</v>
      </c>
      <c r="G1165" s="170">
        <v>46</v>
      </c>
      <c r="H1165" s="170">
        <v>73.8</v>
      </c>
      <c r="I1165" s="217">
        <v>43985</v>
      </c>
      <c r="J1165" s="170" t="s">
        <v>3074</v>
      </c>
      <c r="K1165" s="170">
        <v>33.44</v>
      </c>
      <c r="L1165" s="170">
        <v>0.441</v>
      </c>
      <c r="Q1165" s="4" t="s">
        <v>3076</v>
      </c>
      <c r="T1165" t="s">
        <v>3109</v>
      </c>
      <c r="U1165" t="s">
        <v>3348</v>
      </c>
      <c r="V1165" s="407" t="s">
        <v>3277</v>
      </c>
      <c r="W1165" s="29">
        <v>5</v>
      </c>
      <c r="X1165" t="s">
        <v>2620</v>
      </c>
    </row>
    <row r="1166" spans="1:24">
      <c r="A1166" s="136">
        <v>2378</v>
      </c>
      <c r="B1166" s="134">
        <v>16</v>
      </c>
      <c r="C1166">
        <v>1.5</v>
      </c>
      <c r="D1166">
        <v>7.18</v>
      </c>
      <c r="E1166">
        <v>24.32</v>
      </c>
      <c r="F1166" s="19" t="s">
        <v>3350</v>
      </c>
      <c r="G1166" s="170">
        <v>46</v>
      </c>
      <c r="H1166" s="170">
        <v>73.8</v>
      </c>
      <c r="I1166" s="217">
        <v>43985</v>
      </c>
      <c r="J1166" s="170" t="s">
        <v>3074</v>
      </c>
      <c r="K1166" s="170">
        <v>33.520000000000003</v>
      </c>
      <c r="L1166" s="170">
        <v>0.84</v>
      </c>
      <c r="Q1166" s="4" t="s">
        <v>3076</v>
      </c>
      <c r="T1166" t="s">
        <v>3109</v>
      </c>
      <c r="U1166" t="s">
        <v>3378</v>
      </c>
      <c r="V1166" s="407" t="s">
        <v>3053</v>
      </c>
      <c r="W1166" s="29">
        <v>3</v>
      </c>
    </row>
    <row r="1167" spans="1:24">
      <c r="A1167" s="136">
        <v>2379</v>
      </c>
      <c r="B1167" s="134">
        <v>18.8</v>
      </c>
      <c r="C1167">
        <v>1.51</v>
      </c>
      <c r="D1167">
        <v>7.12</v>
      </c>
      <c r="E1167">
        <v>24.43</v>
      </c>
      <c r="F1167" s="176" t="s">
        <v>3354</v>
      </c>
      <c r="G1167" s="170">
        <v>51</v>
      </c>
      <c r="H1167" s="170">
        <v>71.2</v>
      </c>
      <c r="I1167" s="217">
        <v>43986</v>
      </c>
      <c r="J1167" s="170" t="s">
        <v>3074</v>
      </c>
      <c r="K1167" s="170">
        <v>33.56</v>
      </c>
      <c r="L1167" s="170">
        <v>0.23</v>
      </c>
      <c r="Q1167" s="4" t="s">
        <v>3076</v>
      </c>
      <c r="T1167" t="s">
        <v>3109</v>
      </c>
      <c r="U1167" t="s">
        <v>3850</v>
      </c>
      <c r="V1167" s="407" t="s">
        <v>3175</v>
      </c>
      <c r="W1167" s="29">
        <v>5</v>
      </c>
    </row>
    <row r="1168" spans="1:24">
      <c r="A1168" s="136"/>
    </row>
    <row r="1169" spans="1:24">
      <c r="A1169" s="136">
        <v>2380</v>
      </c>
      <c r="B1169" s="134">
        <v>18.8</v>
      </c>
      <c r="C1169">
        <v>1.49</v>
      </c>
      <c r="D1169">
        <v>7.18</v>
      </c>
      <c r="E1169">
        <v>24.37</v>
      </c>
      <c r="F1169" s="176" t="s">
        <v>3355</v>
      </c>
      <c r="G1169" s="170">
        <v>51</v>
      </c>
      <c r="H1169" s="170">
        <v>71.2</v>
      </c>
      <c r="I1169" s="217">
        <v>43986</v>
      </c>
      <c r="J1169" s="170" t="s">
        <v>3074</v>
      </c>
      <c r="K1169" s="170">
        <v>33.6</v>
      </c>
      <c r="L1169" s="170">
        <v>0.84</v>
      </c>
      <c r="Q1169" s="4" t="s">
        <v>3076</v>
      </c>
      <c r="T1169" t="s">
        <v>3109</v>
      </c>
      <c r="U1169" t="s">
        <v>3849</v>
      </c>
      <c r="V1169" s="407" t="s">
        <v>3077</v>
      </c>
      <c r="W1169" s="29">
        <v>6</v>
      </c>
    </row>
    <row r="1170" spans="1:24">
      <c r="A1170" s="136">
        <v>2381</v>
      </c>
      <c r="B1170" s="134">
        <v>16.8</v>
      </c>
      <c r="C1170">
        <v>1.5</v>
      </c>
      <c r="D1170">
        <v>7.14</v>
      </c>
      <c r="E1170">
        <v>24.39</v>
      </c>
      <c r="F1170" s="19" t="s">
        <v>3356</v>
      </c>
      <c r="G1170" s="170">
        <v>45</v>
      </c>
      <c r="H1170" s="170">
        <v>75.2</v>
      </c>
      <c r="I1170" s="217">
        <v>43986</v>
      </c>
      <c r="J1170" s="170" t="s">
        <v>3074</v>
      </c>
      <c r="K1170" s="170">
        <v>33.44</v>
      </c>
      <c r="L1170" s="170">
        <v>0.94199999999999995</v>
      </c>
      <c r="Q1170" s="4" t="s">
        <v>3076</v>
      </c>
      <c r="T1170" t="s">
        <v>3109</v>
      </c>
      <c r="U1170" t="s">
        <v>3377</v>
      </c>
      <c r="V1170" s="407" t="s">
        <v>3175</v>
      </c>
      <c r="W1170" s="29">
        <v>3</v>
      </c>
    </row>
    <row r="1171" spans="1:24">
      <c r="A1171" s="136">
        <v>2382</v>
      </c>
      <c r="B1171" s="134">
        <v>16.8</v>
      </c>
      <c r="C1171">
        <v>1.5</v>
      </c>
      <c r="D1171">
        <v>7.11</v>
      </c>
      <c r="E1171">
        <v>24.2</v>
      </c>
      <c r="F1171" s="19" t="s">
        <v>3358</v>
      </c>
      <c r="G1171" s="170">
        <v>45</v>
      </c>
      <c r="H1171" s="170">
        <v>76.099999999999994</v>
      </c>
      <c r="I1171" s="217">
        <v>43986</v>
      </c>
      <c r="J1171" s="170" t="s">
        <v>3074</v>
      </c>
      <c r="K1171" s="170">
        <v>33.51</v>
      </c>
      <c r="L1171" s="170">
        <v>0.81399999999999995</v>
      </c>
      <c r="Q1171" s="4" t="s">
        <v>3076</v>
      </c>
      <c r="T1171" t="s">
        <v>3109</v>
      </c>
      <c r="U1171" t="s">
        <v>3357</v>
      </c>
      <c r="V1171" s="407" t="s">
        <v>3221</v>
      </c>
      <c r="W1171" s="29">
        <v>3</v>
      </c>
    </row>
    <row r="1172" spans="1:24">
      <c r="A1172" s="136">
        <v>2383</v>
      </c>
      <c r="B1172" s="134">
        <v>17.600000000000001</v>
      </c>
      <c r="C1172">
        <v>1.49</v>
      </c>
      <c r="D1172">
        <v>7.14</v>
      </c>
      <c r="E1172">
        <v>24.42</v>
      </c>
      <c r="F1172" s="176" t="s">
        <v>3359</v>
      </c>
      <c r="G1172" s="170">
        <v>39</v>
      </c>
      <c r="H1172" s="170">
        <v>73.599999999999994</v>
      </c>
      <c r="I1172" s="217">
        <v>43999</v>
      </c>
      <c r="J1172" s="170" t="s">
        <v>3074</v>
      </c>
      <c r="T1172" t="s">
        <v>3109</v>
      </c>
    </row>
    <row r="1173" spans="1:24">
      <c r="A1173" s="136">
        <v>2383</v>
      </c>
      <c r="B1173" s="134">
        <v>17.600000000000001</v>
      </c>
      <c r="C1173">
        <v>1.49</v>
      </c>
      <c r="D1173">
        <v>7.14</v>
      </c>
      <c r="E1173">
        <v>24.42</v>
      </c>
      <c r="F1173" s="19" t="s">
        <v>3369</v>
      </c>
      <c r="G1173" s="170">
        <v>50</v>
      </c>
      <c r="H1173" s="170">
        <v>73</v>
      </c>
      <c r="I1173" s="217">
        <v>44004</v>
      </c>
      <c r="J1173" s="170" t="s">
        <v>3074</v>
      </c>
      <c r="K1173" s="170">
        <v>33.5</v>
      </c>
      <c r="L1173" s="170">
        <v>0.92</v>
      </c>
      <c r="Q1173" s="4" t="s">
        <v>3076</v>
      </c>
      <c r="T1173" t="s">
        <v>3109</v>
      </c>
      <c r="U1173" t="s">
        <v>3450</v>
      </c>
      <c r="V1173" s="457" t="s">
        <v>3277</v>
      </c>
      <c r="W1173" s="29">
        <v>4</v>
      </c>
      <c r="X1173" t="s">
        <v>217</v>
      </c>
    </row>
    <row r="1174" spans="1:24">
      <c r="A1174" s="136">
        <v>2384</v>
      </c>
      <c r="B1174" s="134">
        <v>16</v>
      </c>
      <c r="C1174">
        <v>1.5</v>
      </c>
      <c r="D1174">
        <v>7.13</v>
      </c>
      <c r="E1174">
        <v>24.39</v>
      </c>
      <c r="F1174" s="249" t="s">
        <v>3360</v>
      </c>
      <c r="G1174" s="170">
        <v>48</v>
      </c>
      <c r="H1174" s="170">
        <v>72.5</v>
      </c>
      <c r="I1174" s="217">
        <v>44000</v>
      </c>
      <c r="J1174" s="170" t="s">
        <v>3074</v>
      </c>
      <c r="K1174" s="170">
        <v>33.61</v>
      </c>
      <c r="L1174" s="170">
        <v>0.49199999999999999</v>
      </c>
      <c r="Q1174" s="4" t="s">
        <v>3076</v>
      </c>
      <c r="T1174" t="s">
        <v>3109</v>
      </c>
      <c r="U1174" t="s">
        <v>3412</v>
      </c>
      <c r="V1174" s="407" t="s">
        <v>3065</v>
      </c>
      <c r="W1174" s="29">
        <v>1</v>
      </c>
    </row>
    <row r="1175" spans="1:24">
      <c r="A1175" s="136">
        <v>2385</v>
      </c>
      <c r="B1175" s="134">
        <v>18.8</v>
      </c>
      <c r="C1175">
        <v>1.5</v>
      </c>
      <c r="D1175">
        <v>7.13</v>
      </c>
      <c r="E1175">
        <v>24.37</v>
      </c>
      <c r="F1175" s="19" t="s">
        <v>3361</v>
      </c>
      <c r="G1175" s="170">
        <v>48</v>
      </c>
      <c r="H1175" s="170">
        <v>72.5</v>
      </c>
      <c r="I1175" s="217">
        <v>44000</v>
      </c>
      <c r="J1175" s="170" t="s">
        <v>3074</v>
      </c>
      <c r="K1175" s="170">
        <v>33.47</v>
      </c>
      <c r="L1175" s="170">
        <v>0.84899999999999998</v>
      </c>
      <c r="Q1175" s="4" t="s">
        <v>3076</v>
      </c>
      <c r="T1175" t="s">
        <v>3109</v>
      </c>
      <c r="U1175" t="s">
        <v>3449</v>
      </c>
      <c r="V1175" s="407" t="s">
        <v>3362</v>
      </c>
      <c r="W1175" s="29">
        <v>2</v>
      </c>
    </row>
    <row r="1176" spans="1:24">
      <c r="A1176" s="136">
        <v>2386</v>
      </c>
      <c r="B1176" s="134">
        <v>17.2</v>
      </c>
      <c r="C1176">
        <v>1.49</v>
      </c>
      <c r="D1176">
        <v>7.13</v>
      </c>
      <c r="E1176">
        <v>24.36</v>
      </c>
      <c r="F1176" s="327" t="s">
        <v>3363</v>
      </c>
      <c r="G1176" s="170">
        <v>48</v>
      </c>
      <c r="H1176" s="170">
        <v>72.5</v>
      </c>
      <c r="I1176" s="217">
        <v>44000</v>
      </c>
      <c r="J1176" s="170" t="s">
        <v>3074</v>
      </c>
      <c r="T1176" t="s">
        <v>3109</v>
      </c>
    </row>
    <row r="1177" spans="1:24">
      <c r="A1177" s="136">
        <v>2386</v>
      </c>
      <c r="B1177" s="134">
        <v>17.2</v>
      </c>
      <c r="C1177">
        <v>1.5</v>
      </c>
      <c r="D1177">
        <v>7.13</v>
      </c>
      <c r="E1177">
        <v>24.36</v>
      </c>
      <c r="F1177" s="327" t="s">
        <v>3364</v>
      </c>
      <c r="G1177" s="170">
        <v>42</v>
      </c>
      <c r="H1177" s="170">
        <v>75.7</v>
      </c>
      <c r="I1177" s="217">
        <v>44000</v>
      </c>
      <c r="J1177" s="170" t="s">
        <v>3074</v>
      </c>
      <c r="Q1177" s="4" t="s">
        <v>3076</v>
      </c>
      <c r="T1177" t="s">
        <v>3109</v>
      </c>
      <c r="V1177" s="458"/>
    </row>
    <row r="1178" spans="1:24">
      <c r="A1178" s="136">
        <v>2387</v>
      </c>
      <c r="B1178" s="134">
        <v>18.399999999999999</v>
      </c>
      <c r="C1178">
        <v>1.49</v>
      </c>
      <c r="D1178">
        <v>7.16</v>
      </c>
      <c r="E1178">
        <v>24.28</v>
      </c>
      <c r="F1178" s="327" t="s">
        <v>3365</v>
      </c>
      <c r="G1178" s="170">
        <v>46</v>
      </c>
      <c r="H1178" s="170">
        <v>73.900000000000006</v>
      </c>
      <c r="I1178" s="217">
        <v>44001</v>
      </c>
      <c r="J1178" s="170" t="s">
        <v>3074</v>
      </c>
      <c r="Q1178" s="4" t="s">
        <v>3076</v>
      </c>
      <c r="T1178" t="s">
        <v>3109</v>
      </c>
    </row>
    <row r="1179" spans="1:24">
      <c r="A1179" s="136">
        <v>2387</v>
      </c>
      <c r="B1179" s="134">
        <v>18.399999999999999</v>
      </c>
      <c r="C1179">
        <v>1.49</v>
      </c>
      <c r="D1179">
        <v>7.16</v>
      </c>
      <c r="E1179">
        <v>24.28</v>
      </c>
      <c r="F1179" s="69" t="s">
        <v>3368</v>
      </c>
      <c r="G1179" s="170">
        <v>50</v>
      </c>
      <c r="H1179" s="170">
        <v>73</v>
      </c>
      <c r="I1179" s="217">
        <v>44004</v>
      </c>
      <c r="J1179" s="170" t="s">
        <v>3074</v>
      </c>
      <c r="K1179">
        <v>33.6</v>
      </c>
      <c r="L1179" s="170">
        <v>0.90700000000000003</v>
      </c>
      <c r="Q1179" s="4" t="s">
        <v>3076</v>
      </c>
      <c r="T1179" t="s">
        <v>3109</v>
      </c>
      <c r="U1179" t="s">
        <v>3410</v>
      </c>
      <c r="V1179" s="459" t="s">
        <v>3127</v>
      </c>
      <c r="W1179" s="29">
        <v>1</v>
      </c>
    </row>
    <row r="1180" spans="1:24">
      <c r="A1180" s="136">
        <v>2388</v>
      </c>
      <c r="B1180" s="134">
        <v>16.8</v>
      </c>
      <c r="C1180">
        <v>1.5</v>
      </c>
      <c r="D1180">
        <v>7.11</v>
      </c>
      <c r="E1180">
        <v>24.33</v>
      </c>
      <c r="F1180" s="19" t="s">
        <v>3366</v>
      </c>
      <c r="G1180" s="170">
        <v>46</v>
      </c>
      <c r="H1180" s="170">
        <v>73.900000000000006</v>
      </c>
      <c r="I1180" s="217">
        <v>44001</v>
      </c>
      <c r="J1180" s="170" t="s">
        <v>3074</v>
      </c>
      <c r="K1180" s="170">
        <v>33.520000000000003</v>
      </c>
      <c r="L1180" s="170">
        <v>0.437</v>
      </c>
      <c r="Q1180" s="4" t="s">
        <v>3076</v>
      </c>
      <c r="T1180" t="s">
        <v>3109</v>
      </c>
      <c r="U1180" t="s">
        <v>3410</v>
      </c>
      <c r="V1180" s="407" t="s">
        <v>3025</v>
      </c>
      <c r="W1180" s="29">
        <v>5</v>
      </c>
    </row>
    <row r="1181" spans="1:24">
      <c r="A1181" s="136">
        <v>2389</v>
      </c>
      <c r="B1181" s="134">
        <v>16.399999999999999</v>
      </c>
      <c r="C1181">
        <v>1.5</v>
      </c>
      <c r="D1181">
        <v>7.07</v>
      </c>
      <c r="E1181">
        <v>24.32</v>
      </c>
      <c r="F1181" s="19" t="s">
        <v>3367</v>
      </c>
      <c r="G1181" s="170">
        <v>46</v>
      </c>
      <c r="H1181" s="170">
        <v>73.900000000000006</v>
      </c>
      <c r="I1181" s="217">
        <v>44001</v>
      </c>
      <c r="J1181" s="170" t="s">
        <v>3074</v>
      </c>
      <c r="K1181" s="170">
        <v>33.39</v>
      </c>
      <c r="L1181" s="170">
        <v>0.438</v>
      </c>
      <c r="Q1181" s="4" t="s">
        <v>3076</v>
      </c>
      <c r="T1181" t="s">
        <v>3109</v>
      </c>
      <c r="U1181" t="s">
        <v>3411</v>
      </c>
      <c r="V1181" s="407" t="s">
        <v>2713</v>
      </c>
      <c r="W1181" s="29">
        <v>0</v>
      </c>
    </row>
    <row r="1182" spans="1:24">
      <c r="A1182" s="136">
        <v>2328</v>
      </c>
      <c r="B1182" s="134">
        <v>18.399999999999999</v>
      </c>
      <c r="C1182">
        <v>1.47</v>
      </c>
      <c r="D1182">
        <v>7.1</v>
      </c>
      <c r="E1182">
        <v>24.37</v>
      </c>
      <c r="F1182" s="19" t="s">
        <v>3370</v>
      </c>
      <c r="G1182">
        <v>45</v>
      </c>
      <c r="H1182">
        <v>74.099999999999994</v>
      </c>
      <c r="I1182" s="217">
        <v>44006</v>
      </c>
      <c r="J1182" t="s">
        <v>3074</v>
      </c>
      <c r="K1182">
        <v>33.47</v>
      </c>
      <c r="L1182" s="170">
        <v>0.26200000000000001</v>
      </c>
      <c r="Q1182" s="4" t="s">
        <v>3076</v>
      </c>
      <c r="T1182" t="s">
        <v>3109</v>
      </c>
      <c r="U1182" t="s">
        <v>3376</v>
      </c>
      <c r="V1182" s="460" t="s">
        <v>2713</v>
      </c>
      <c r="W1182" s="29">
        <v>3</v>
      </c>
    </row>
    <row r="1183" spans="1:24">
      <c r="A1183" s="136">
        <v>2326</v>
      </c>
      <c r="B1183" s="134">
        <v>17.2</v>
      </c>
      <c r="C1183">
        <v>1.45</v>
      </c>
      <c r="D1183">
        <v>7.17</v>
      </c>
      <c r="E1183">
        <v>24.34</v>
      </c>
      <c r="F1183" s="19" t="s">
        <v>3371</v>
      </c>
      <c r="G1183">
        <v>45</v>
      </c>
      <c r="H1183">
        <v>74.099999999999994</v>
      </c>
      <c r="I1183" s="217">
        <v>44006</v>
      </c>
      <c r="J1183" t="s">
        <v>3074</v>
      </c>
      <c r="K1183">
        <v>33.49</v>
      </c>
      <c r="L1183" s="170">
        <v>0.42120000000000002</v>
      </c>
      <c r="Q1183" s="4" t="s">
        <v>3076</v>
      </c>
      <c r="T1183" t="s">
        <v>3109</v>
      </c>
      <c r="U1183" t="s">
        <v>3376</v>
      </c>
      <c r="V1183" s="407" t="s">
        <v>2819</v>
      </c>
      <c r="W1183" s="29">
        <v>3</v>
      </c>
    </row>
    <row r="1184" spans="1:24">
      <c r="A1184" s="136">
        <v>2306</v>
      </c>
      <c r="B1184" s="134">
        <v>17.600000000000001</v>
      </c>
      <c r="C1184">
        <v>1.5</v>
      </c>
      <c r="D1184">
        <v>7.18</v>
      </c>
      <c r="E1184">
        <v>24.37</v>
      </c>
      <c r="F1184" s="327" t="s">
        <v>3372</v>
      </c>
      <c r="G1184">
        <v>47</v>
      </c>
      <c r="H1184">
        <v>73.8</v>
      </c>
      <c r="I1184" s="217">
        <v>44011</v>
      </c>
      <c r="J1184" t="s">
        <v>3074</v>
      </c>
      <c r="Q1184" s="4" t="s">
        <v>3076</v>
      </c>
      <c r="T1184" t="s">
        <v>3109</v>
      </c>
      <c r="V1184" s="407" t="s">
        <v>3373</v>
      </c>
    </row>
    <row r="1185" spans="1:24">
      <c r="A1185" s="136">
        <v>2341</v>
      </c>
      <c r="B1185" s="134">
        <v>18.399999999999999</v>
      </c>
      <c r="C1185">
        <v>1.51</v>
      </c>
      <c r="D1185">
        <v>7.14</v>
      </c>
      <c r="E1185">
        <v>24.42</v>
      </c>
      <c r="F1185" s="19" t="s">
        <v>3374</v>
      </c>
      <c r="G1185">
        <v>47</v>
      </c>
      <c r="H1185">
        <v>73.8</v>
      </c>
      <c r="I1185" s="217">
        <v>44011</v>
      </c>
      <c r="J1185" t="s">
        <v>3074</v>
      </c>
      <c r="K1185">
        <v>33.549999999999997</v>
      </c>
      <c r="L1185">
        <v>0.58299999999999996</v>
      </c>
      <c r="Q1185" s="4" t="s">
        <v>3076</v>
      </c>
      <c r="T1185" t="s">
        <v>3109</v>
      </c>
      <c r="U1185" t="s">
        <v>3415</v>
      </c>
      <c r="V1185" s="407" t="s">
        <v>3375</v>
      </c>
      <c r="W1185" s="29">
        <v>2</v>
      </c>
    </row>
    <row r="1186" spans="1:24">
      <c r="A1186" s="136">
        <v>2321</v>
      </c>
      <c r="B1186" s="134">
        <v>17.2</v>
      </c>
      <c r="C1186">
        <v>1.48</v>
      </c>
      <c r="D1186">
        <v>7.06</v>
      </c>
      <c r="E1186">
        <v>24.39</v>
      </c>
      <c r="F1186" s="19" t="s">
        <v>3382</v>
      </c>
      <c r="G1186">
        <v>51</v>
      </c>
      <c r="H1186">
        <v>72.5</v>
      </c>
      <c r="I1186" s="217">
        <v>44012</v>
      </c>
      <c r="J1186" t="s">
        <v>3074</v>
      </c>
      <c r="K1186">
        <v>33.49</v>
      </c>
      <c r="L1186">
        <v>0.52700000000000002</v>
      </c>
      <c r="Q1186" s="4" t="s">
        <v>3076</v>
      </c>
      <c r="T1186" t="s">
        <v>3109</v>
      </c>
      <c r="U1186" t="s">
        <v>3445</v>
      </c>
      <c r="V1186" s="407" t="s">
        <v>3173</v>
      </c>
      <c r="W1186" s="29">
        <v>5</v>
      </c>
    </row>
    <row r="1187" spans="1:24">
      <c r="A1187" s="136">
        <v>2376</v>
      </c>
      <c r="B1187" s="134">
        <v>17.600000000000001</v>
      </c>
      <c r="C1187">
        <v>1.48</v>
      </c>
      <c r="D1187">
        <v>7.03</v>
      </c>
      <c r="E1187">
        <v>24.36</v>
      </c>
      <c r="F1187" s="176" t="s">
        <v>3383</v>
      </c>
      <c r="G1187">
        <v>51</v>
      </c>
      <c r="H1187">
        <v>72.5</v>
      </c>
      <c r="I1187" s="217">
        <v>44012</v>
      </c>
      <c r="J1187" t="s">
        <v>3074</v>
      </c>
      <c r="K1187">
        <v>33.549999999999997</v>
      </c>
      <c r="L1187">
        <v>0.53600000000000003</v>
      </c>
      <c r="Q1187" s="4" t="s">
        <v>3076</v>
      </c>
      <c r="T1187" t="s">
        <v>3109</v>
      </c>
      <c r="U1187" t="s">
        <v>3384</v>
      </c>
      <c r="X1187" t="s">
        <v>2620</v>
      </c>
    </row>
    <row r="1188" spans="1:24">
      <c r="A1188" s="136">
        <v>2376</v>
      </c>
      <c r="B1188" s="134">
        <v>17.600000000000001</v>
      </c>
      <c r="C1188">
        <v>1.48</v>
      </c>
      <c r="D1188">
        <v>7.03</v>
      </c>
      <c r="E1188">
        <v>24.36</v>
      </c>
      <c r="F1188" s="176" t="s">
        <v>3385</v>
      </c>
      <c r="G1188">
        <v>51</v>
      </c>
      <c r="H1188">
        <v>72.5</v>
      </c>
      <c r="I1188" s="217">
        <v>44012</v>
      </c>
      <c r="J1188" t="s">
        <v>3074</v>
      </c>
    </row>
    <row r="1189" spans="1:24">
      <c r="A1189" s="136">
        <v>2382</v>
      </c>
      <c r="B1189" s="134">
        <v>16.8</v>
      </c>
      <c r="C1189">
        <v>1.5</v>
      </c>
      <c r="D1189">
        <v>7.11</v>
      </c>
      <c r="E1189">
        <v>24.2</v>
      </c>
      <c r="F1189" s="19" t="s">
        <v>3386</v>
      </c>
      <c r="G1189">
        <v>46</v>
      </c>
      <c r="H1189">
        <v>74.8</v>
      </c>
      <c r="I1189" s="217">
        <v>44012</v>
      </c>
      <c r="J1189" t="s">
        <v>3074</v>
      </c>
      <c r="K1189">
        <v>33.47</v>
      </c>
      <c r="L1189">
        <v>0.67100000000000004</v>
      </c>
      <c r="Q1189" s="4" t="s">
        <v>3076</v>
      </c>
      <c r="T1189" t="s">
        <v>3109</v>
      </c>
      <c r="U1189" t="s">
        <v>3414</v>
      </c>
      <c r="V1189" s="407" t="s">
        <v>3351</v>
      </c>
      <c r="W1189" s="29">
        <v>3</v>
      </c>
    </row>
    <row r="1190" spans="1:24">
      <c r="A1190" s="136">
        <v>2377</v>
      </c>
      <c r="B1190" s="134">
        <v>16.8</v>
      </c>
      <c r="C1190">
        <v>1.49</v>
      </c>
      <c r="D1190">
        <v>7.07</v>
      </c>
      <c r="E1190">
        <v>24.38</v>
      </c>
      <c r="F1190" s="19" t="s">
        <v>3387</v>
      </c>
      <c r="G1190">
        <v>46</v>
      </c>
      <c r="H1190">
        <v>74.8</v>
      </c>
      <c r="I1190" s="217">
        <v>44012</v>
      </c>
      <c r="J1190" t="s">
        <v>3074</v>
      </c>
      <c r="K1190">
        <v>33.47</v>
      </c>
      <c r="L1190">
        <v>0.60199999999999998</v>
      </c>
      <c r="Q1190" s="4" t="s">
        <v>3076</v>
      </c>
      <c r="T1190" t="s">
        <v>3109</v>
      </c>
      <c r="U1190" t="s">
        <v>3413</v>
      </c>
      <c r="V1190" s="407" t="s">
        <v>3277</v>
      </c>
      <c r="W1190" s="29">
        <v>2</v>
      </c>
    </row>
    <row r="1191" spans="1:24" ht="33" customHeight="1">
      <c r="A1191" s="134">
        <v>2390</v>
      </c>
      <c r="B1191" s="134">
        <v>18</v>
      </c>
      <c r="C1191">
        <v>1.52</v>
      </c>
      <c r="D1191">
        <v>7.13</v>
      </c>
      <c r="E1191">
        <v>24.35</v>
      </c>
      <c r="F1191" s="176" t="s">
        <v>3392</v>
      </c>
      <c r="G1191">
        <v>47</v>
      </c>
      <c r="H1191">
        <v>73.599999999999994</v>
      </c>
      <c r="I1191" s="217">
        <v>44018</v>
      </c>
      <c r="J1191" t="s">
        <v>3074</v>
      </c>
      <c r="T1191" t="s">
        <v>3109</v>
      </c>
    </row>
    <row r="1192" spans="1:24">
      <c r="A1192" s="134">
        <v>2390</v>
      </c>
      <c r="B1192" s="134">
        <v>18</v>
      </c>
      <c r="C1192">
        <v>1.52</v>
      </c>
      <c r="D1192">
        <v>7.13</v>
      </c>
      <c r="E1192">
        <v>24.35</v>
      </c>
      <c r="F1192" s="249" t="s">
        <v>3393</v>
      </c>
      <c r="G1192">
        <v>47</v>
      </c>
      <c r="H1192">
        <v>73.599999999999994</v>
      </c>
      <c r="I1192" s="217">
        <v>44018</v>
      </c>
      <c r="J1192" t="s">
        <v>3074</v>
      </c>
      <c r="K1192">
        <v>33.54</v>
      </c>
      <c r="L1192">
        <v>0.22900000000000001</v>
      </c>
      <c r="Q1192" s="4" t="s">
        <v>3076</v>
      </c>
      <c r="T1192" t="s">
        <v>3109</v>
      </c>
      <c r="U1192" t="s">
        <v>3417</v>
      </c>
      <c r="V1192" s="461" t="s">
        <v>3394</v>
      </c>
      <c r="W1192" s="29">
        <v>3</v>
      </c>
    </row>
    <row r="1193" spans="1:24">
      <c r="A1193" s="134">
        <v>2391</v>
      </c>
      <c r="B1193" s="134">
        <v>17.2</v>
      </c>
      <c r="C1193">
        <v>1.49</v>
      </c>
      <c r="D1193">
        <v>7.07</v>
      </c>
      <c r="E1193">
        <v>24.34</v>
      </c>
      <c r="F1193" s="19" t="s">
        <v>3395</v>
      </c>
      <c r="G1193">
        <v>45</v>
      </c>
      <c r="H1193">
        <v>74.8</v>
      </c>
      <c r="I1193" s="217">
        <v>44018</v>
      </c>
      <c r="J1193" t="s">
        <v>3074</v>
      </c>
      <c r="K1193">
        <v>33.409999999999997</v>
      </c>
      <c r="L1193">
        <v>0.33100000000000002</v>
      </c>
      <c r="Q1193" s="4" t="s">
        <v>3076</v>
      </c>
      <c r="T1193" t="s">
        <v>3109</v>
      </c>
      <c r="U1193" t="s">
        <v>3418</v>
      </c>
      <c r="V1193" s="407" t="s">
        <v>3001</v>
      </c>
      <c r="W1193" s="29">
        <v>2</v>
      </c>
    </row>
    <row r="1194" spans="1:24">
      <c r="A1194" s="134">
        <v>2392</v>
      </c>
      <c r="B1194" s="134">
        <v>16.8</v>
      </c>
      <c r="C1194">
        <v>1.49</v>
      </c>
      <c r="D1194">
        <v>7.08</v>
      </c>
      <c r="E1194">
        <v>24.33</v>
      </c>
      <c r="F1194" s="19" t="s">
        <v>3396</v>
      </c>
      <c r="G1194">
        <v>45</v>
      </c>
      <c r="H1194">
        <v>74.8</v>
      </c>
      <c r="I1194" s="217">
        <v>44018</v>
      </c>
      <c r="J1194" t="s">
        <v>3074</v>
      </c>
      <c r="K1194">
        <v>33.32</v>
      </c>
      <c r="L1194">
        <v>0.35199999999999998</v>
      </c>
      <c r="Q1194" s="4" t="s">
        <v>3397</v>
      </c>
      <c r="T1194" t="s">
        <v>3109</v>
      </c>
      <c r="U1194" t="s">
        <v>3419</v>
      </c>
      <c r="V1194" s="407" t="s">
        <v>3024</v>
      </c>
      <c r="W1194" s="29">
        <v>2</v>
      </c>
    </row>
    <row r="1195" spans="1:24">
      <c r="A1195" s="134">
        <v>2393</v>
      </c>
      <c r="B1195" s="134">
        <v>18</v>
      </c>
      <c r="C1195">
        <v>1.51</v>
      </c>
      <c r="D1195">
        <v>7.13</v>
      </c>
      <c r="E1195">
        <v>24.33</v>
      </c>
      <c r="F1195" s="19" t="s">
        <v>3398</v>
      </c>
      <c r="G1195">
        <v>48</v>
      </c>
      <c r="H1195">
        <v>73.400000000000006</v>
      </c>
      <c r="I1195" s="217">
        <v>44019</v>
      </c>
      <c r="J1195" t="s">
        <v>3074</v>
      </c>
      <c r="K1195">
        <v>33.44</v>
      </c>
      <c r="L1195">
        <v>0.29399999999999998</v>
      </c>
      <c r="Q1195" s="4" t="s">
        <v>3076</v>
      </c>
      <c r="T1195" t="s">
        <v>3109</v>
      </c>
      <c r="U1195" t="s">
        <v>3420</v>
      </c>
      <c r="V1195" s="462" t="s">
        <v>3001</v>
      </c>
      <c r="W1195" s="29">
        <v>4</v>
      </c>
    </row>
    <row r="1196" spans="1:24">
      <c r="A1196" s="134">
        <v>2394</v>
      </c>
      <c r="B1196" s="134">
        <v>17.600000000000001</v>
      </c>
      <c r="C1196">
        <v>1.51</v>
      </c>
      <c r="D1196">
        <v>7.07</v>
      </c>
      <c r="E1196">
        <v>24.39</v>
      </c>
      <c r="F1196" s="19" t="s">
        <v>3399</v>
      </c>
      <c r="G1196">
        <v>48</v>
      </c>
      <c r="H1196">
        <v>73.400000000000006</v>
      </c>
      <c r="I1196" s="217">
        <v>44019</v>
      </c>
      <c r="J1196" t="s">
        <v>3074</v>
      </c>
      <c r="K1196">
        <v>33.479999999999997</v>
      </c>
      <c r="L1196">
        <v>0.82199999999999995</v>
      </c>
      <c r="Q1196" s="4" t="s">
        <v>3076</v>
      </c>
      <c r="T1196" t="s">
        <v>3109</v>
      </c>
      <c r="U1196" t="s">
        <v>3583</v>
      </c>
      <c r="V1196" s="407" t="s">
        <v>3136</v>
      </c>
      <c r="W1196" s="29">
        <v>6</v>
      </c>
    </row>
    <row r="1197" spans="1:24">
      <c r="A1197" s="134">
        <v>2395</v>
      </c>
      <c r="B1197" s="134">
        <v>18</v>
      </c>
      <c r="C1197">
        <v>1.47</v>
      </c>
      <c r="D1197">
        <v>7.05</v>
      </c>
      <c r="E1197">
        <v>24.3</v>
      </c>
      <c r="F1197" s="176" t="s">
        <v>3400</v>
      </c>
      <c r="G1197">
        <v>46</v>
      </c>
      <c r="H1197">
        <v>74.099999999999994</v>
      </c>
      <c r="I1197" s="217">
        <v>44019</v>
      </c>
      <c r="J1197" t="s">
        <v>3074</v>
      </c>
      <c r="K1197">
        <v>33.409999999999997</v>
      </c>
      <c r="L1197">
        <v>0.628</v>
      </c>
      <c r="Q1197" s="4" t="s">
        <v>3076</v>
      </c>
      <c r="T1197" t="s">
        <v>3109</v>
      </c>
      <c r="U1197" t="s">
        <v>3401</v>
      </c>
      <c r="V1197" s="407" t="s">
        <v>3402</v>
      </c>
      <c r="W1197" s="29">
        <v>7</v>
      </c>
    </row>
    <row r="1198" spans="1:24">
      <c r="A1198" s="134">
        <v>2395</v>
      </c>
      <c r="B1198" s="134">
        <v>18</v>
      </c>
      <c r="C1198">
        <v>1.47</v>
      </c>
      <c r="D1198">
        <v>7.05</v>
      </c>
      <c r="E1198">
        <v>24.3</v>
      </c>
      <c r="F1198" s="249" t="s">
        <v>3403</v>
      </c>
      <c r="G1198">
        <v>46</v>
      </c>
      <c r="H1198">
        <v>74.099999999999994</v>
      </c>
      <c r="I1198" s="217">
        <v>44019</v>
      </c>
      <c r="J1198" t="s">
        <v>3074</v>
      </c>
      <c r="K1198">
        <v>33.44</v>
      </c>
      <c r="L1198">
        <v>0.67200000000000004</v>
      </c>
      <c r="Q1198" s="4" t="s">
        <v>3076</v>
      </c>
      <c r="T1198" t="s">
        <v>3109</v>
      </c>
      <c r="U1198" t="s">
        <v>3421</v>
      </c>
      <c r="V1198" s="463" t="s">
        <v>3025</v>
      </c>
      <c r="W1198" s="29">
        <v>5</v>
      </c>
    </row>
    <row r="1199" spans="1:24">
      <c r="A1199" s="134">
        <v>2396</v>
      </c>
      <c r="B1199" s="134">
        <v>18.399999999999999</v>
      </c>
      <c r="C1199">
        <v>1.5</v>
      </c>
      <c r="D1199">
        <v>7.12</v>
      </c>
      <c r="E1199">
        <v>24.37</v>
      </c>
      <c r="F1199" s="19" t="s">
        <v>3404</v>
      </c>
      <c r="G1199">
        <v>46</v>
      </c>
      <c r="H1199">
        <v>74.099999999999994</v>
      </c>
      <c r="I1199" s="217">
        <v>44019</v>
      </c>
      <c r="J1199" t="s">
        <v>3074</v>
      </c>
      <c r="K1199">
        <v>33.49</v>
      </c>
      <c r="L1199">
        <v>0.76800000000000002</v>
      </c>
      <c r="Q1199" s="4" t="s">
        <v>3076</v>
      </c>
      <c r="T1199" t="s">
        <v>3109</v>
      </c>
      <c r="U1199" t="s">
        <v>3422</v>
      </c>
      <c r="V1199" s="407" t="s">
        <v>3026</v>
      </c>
      <c r="W1199" s="29">
        <v>3</v>
      </c>
    </row>
    <row r="1200" spans="1:24">
      <c r="A1200" s="134">
        <v>2397</v>
      </c>
      <c r="B1200" s="134">
        <v>16</v>
      </c>
      <c r="C1200">
        <v>1.5</v>
      </c>
      <c r="D1200">
        <v>7.12</v>
      </c>
      <c r="E1200">
        <v>24.37</v>
      </c>
      <c r="F1200" s="19" t="s">
        <v>3405</v>
      </c>
      <c r="G1200">
        <v>52</v>
      </c>
      <c r="H1200">
        <v>72.3</v>
      </c>
      <c r="I1200" s="217">
        <v>44020</v>
      </c>
      <c r="J1200" t="s">
        <v>3074</v>
      </c>
      <c r="K1200">
        <v>33.49</v>
      </c>
      <c r="L1200">
        <v>0.84099999999999997</v>
      </c>
      <c r="Q1200" s="4" t="s">
        <v>3076</v>
      </c>
      <c r="T1200" t="s">
        <v>3109</v>
      </c>
      <c r="U1200" t="s">
        <v>3423</v>
      </c>
      <c r="V1200" s="407" t="s">
        <v>3406</v>
      </c>
      <c r="W1200" s="29">
        <v>6</v>
      </c>
    </row>
    <row r="1201" spans="1:24">
      <c r="A1201" s="134">
        <v>2398</v>
      </c>
      <c r="B1201" s="134">
        <v>16.399999999999999</v>
      </c>
      <c r="C1201">
        <v>1.5</v>
      </c>
      <c r="D1201">
        <v>7.1</v>
      </c>
      <c r="E1201">
        <v>24.34</v>
      </c>
      <c r="F1201" s="176" t="s">
        <v>3407</v>
      </c>
      <c r="G1201">
        <v>48</v>
      </c>
      <c r="H1201">
        <v>73</v>
      </c>
      <c r="I1201" s="217">
        <v>44021</v>
      </c>
      <c r="J1201" t="s">
        <v>3074</v>
      </c>
      <c r="K1201">
        <v>33.57</v>
      </c>
      <c r="L1201">
        <v>0.878</v>
      </c>
      <c r="Q1201" s="4" t="s">
        <v>3076</v>
      </c>
      <c r="T1201" t="s">
        <v>3109</v>
      </c>
      <c r="U1201" t="s">
        <v>3408</v>
      </c>
      <c r="V1201" s="407" t="s">
        <v>3277</v>
      </c>
    </row>
    <row r="1202" spans="1:24">
      <c r="A1202" s="134">
        <v>2399</v>
      </c>
      <c r="B1202" s="134">
        <v>18.8</v>
      </c>
      <c r="C1202">
        <v>1.51</v>
      </c>
      <c r="D1202">
        <v>7.12</v>
      </c>
      <c r="E1202">
        <v>24.25</v>
      </c>
      <c r="F1202" s="19" t="s">
        <v>3409</v>
      </c>
      <c r="G1202">
        <v>48</v>
      </c>
      <c r="H1202">
        <v>73</v>
      </c>
      <c r="I1202" s="217">
        <v>44021</v>
      </c>
      <c r="J1202" t="s">
        <v>3074</v>
      </c>
      <c r="K1202">
        <v>33.46</v>
      </c>
      <c r="L1202">
        <v>0.53900000000000003</v>
      </c>
      <c r="Q1202" s="4" t="s">
        <v>3076</v>
      </c>
      <c r="T1202" t="s">
        <v>3109</v>
      </c>
      <c r="U1202" t="s">
        <v>3678</v>
      </c>
      <c r="V1202" s="407" t="s">
        <v>3122</v>
      </c>
      <c r="W1202" s="29">
        <v>7</v>
      </c>
    </row>
    <row r="1203" spans="1:24" ht="29.25" customHeight="1">
      <c r="A1203" s="136">
        <v>2376</v>
      </c>
      <c r="B1203" s="134">
        <v>18</v>
      </c>
      <c r="C1203">
        <v>1.5</v>
      </c>
      <c r="D1203">
        <v>7.14</v>
      </c>
      <c r="E1203">
        <v>24.36</v>
      </c>
      <c r="F1203" s="249" t="s">
        <v>3429</v>
      </c>
      <c r="G1203">
        <v>47</v>
      </c>
      <c r="H1203">
        <v>74.099999999999994</v>
      </c>
      <c r="I1203" s="217">
        <v>44060</v>
      </c>
      <c r="J1203" t="s">
        <v>3074</v>
      </c>
      <c r="K1203">
        <v>33.700000000000003</v>
      </c>
      <c r="L1203">
        <v>0.501</v>
      </c>
      <c r="Q1203" s="4" t="s">
        <v>3076</v>
      </c>
      <c r="T1203" t="s">
        <v>3109</v>
      </c>
      <c r="U1203" t="s">
        <v>3446</v>
      </c>
      <c r="V1203" s="465" t="s">
        <v>3086</v>
      </c>
      <c r="W1203" s="29">
        <v>3</v>
      </c>
    </row>
    <row r="1204" spans="1:24">
      <c r="A1204" s="134">
        <v>2411</v>
      </c>
      <c r="B1204" s="134">
        <v>18</v>
      </c>
      <c r="C1204">
        <v>1.5</v>
      </c>
      <c r="D1204">
        <v>7.11</v>
      </c>
      <c r="E1204" s="134">
        <v>24.38</v>
      </c>
      <c r="F1204" s="375" t="s">
        <v>3430</v>
      </c>
      <c r="G1204">
        <v>47</v>
      </c>
      <c r="H1204">
        <v>74.099999999999994</v>
      </c>
      <c r="I1204" s="217">
        <v>44060</v>
      </c>
      <c r="J1204" t="s">
        <v>3074</v>
      </c>
      <c r="K1204">
        <v>33.520000000000003</v>
      </c>
      <c r="L1204">
        <v>0.495</v>
      </c>
      <c r="Q1204" s="4" t="s">
        <v>3076</v>
      </c>
      <c r="T1204" t="s">
        <v>3109</v>
      </c>
      <c r="U1204" t="s">
        <v>3447</v>
      </c>
      <c r="V1204" s="407" t="s">
        <v>3157</v>
      </c>
      <c r="W1204" s="29">
        <v>3</v>
      </c>
    </row>
    <row r="1205" spans="1:24" ht="31.5" customHeight="1">
      <c r="A1205">
        <v>1740</v>
      </c>
      <c r="B1205">
        <v>17.600000000000001</v>
      </c>
      <c r="C1205">
        <v>1.5</v>
      </c>
      <c r="D1205">
        <v>7.11</v>
      </c>
      <c r="E1205">
        <v>24.38</v>
      </c>
      <c r="F1205" s="466" t="s">
        <v>3431</v>
      </c>
      <c r="G1205">
        <v>46</v>
      </c>
      <c r="H1205">
        <v>75.400000000000006</v>
      </c>
      <c r="I1205" s="217">
        <v>44075</v>
      </c>
      <c r="J1205" t="s">
        <v>3074</v>
      </c>
      <c r="K1205">
        <v>33.49</v>
      </c>
      <c r="L1205">
        <v>0.44</v>
      </c>
      <c r="Q1205" s="4" t="s">
        <v>3076</v>
      </c>
      <c r="T1205" t="s">
        <v>3109</v>
      </c>
      <c r="U1205" t="s">
        <v>3839</v>
      </c>
      <c r="V1205" s="466" t="s">
        <v>3127</v>
      </c>
      <c r="W1205" s="29">
        <v>2</v>
      </c>
    </row>
    <row r="1206" spans="1:24">
      <c r="A1206">
        <v>1949</v>
      </c>
      <c r="B1206">
        <v>18</v>
      </c>
      <c r="C1206">
        <v>1.48</v>
      </c>
      <c r="D1206">
        <v>7.07</v>
      </c>
      <c r="E1206">
        <v>24.32</v>
      </c>
      <c r="F1206" s="176" t="s">
        <v>3432</v>
      </c>
      <c r="G1206">
        <v>46</v>
      </c>
      <c r="H1206">
        <v>75.400000000000006</v>
      </c>
      <c r="I1206" s="217">
        <v>44075</v>
      </c>
      <c r="J1206" t="s">
        <v>3074</v>
      </c>
      <c r="K1206">
        <v>33.35</v>
      </c>
      <c r="L1206">
        <v>0.55900000000000005</v>
      </c>
      <c r="Q1206" s="4" t="s">
        <v>3076</v>
      </c>
      <c r="T1206" t="s">
        <v>3109</v>
      </c>
      <c r="U1206" t="s">
        <v>3433</v>
      </c>
      <c r="V1206" s="466" t="s">
        <v>3200</v>
      </c>
    </row>
    <row r="1207" spans="1:24">
      <c r="A1207">
        <v>1490</v>
      </c>
      <c r="B1207">
        <v>18.399999999999999</v>
      </c>
      <c r="C1207">
        <v>1.53</v>
      </c>
      <c r="D1207">
        <v>7.11</v>
      </c>
      <c r="E1207">
        <v>24.38</v>
      </c>
      <c r="F1207" s="69" t="s">
        <v>3434</v>
      </c>
      <c r="G1207">
        <v>54</v>
      </c>
      <c r="H1207">
        <v>72.3</v>
      </c>
      <c r="I1207" s="217">
        <v>44076</v>
      </c>
      <c r="J1207" t="s">
        <v>3074</v>
      </c>
      <c r="K1207">
        <v>33.409999999999997</v>
      </c>
      <c r="L1207">
        <v>0.71599999999999997</v>
      </c>
      <c r="Q1207" s="4" t="s">
        <v>3076</v>
      </c>
      <c r="T1207" t="s">
        <v>3109</v>
      </c>
      <c r="U1207" t="s">
        <v>4240</v>
      </c>
      <c r="V1207" s="466" t="s">
        <v>3168</v>
      </c>
      <c r="W1207" s="29">
        <v>2</v>
      </c>
    </row>
    <row r="1208" spans="1:24">
      <c r="A1208">
        <v>1413</v>
      </c>
      <c r="B1208">
        <v>16</v>
      </c>
      <c r="C1208">
        <v>1.5</v>
      </c>
      <c r="D1208">
        <v>7.18</v>
      </c>
      <c r="E1208">
        <v>24.25</v>
      </c>
      <c r="F1208" s="176" t="s">
        <v>3435</v>
      </c>
      <c r="G1208">
        <v>49</v>
      </c>
      <c r="H1208">
        <v>74.099999999999994</v>
      </c>
      <c r="I1208" s="217">
        <v>44076</v>
      </c>
      <c r="J1208" t="s">
        <v>3074</v>
      </c>
      <c r="K1208">
        <v>33.4</v>
      </c>
      <c r="L1208">
        <v>0.91600000000000004</v>
      </c>
      <c r="Q1208" s="4" t="s">
        <v>3076</v>
      </c>
      <c r="T1208" t="s">
        <v>3109</v>
      </c>
      <c r="U1208" t="s">
        <v>3436</v>
      </c>
      <c r="V1208" s="466"/>
      <c r="X1208" t="s">
        <v>2620</v>
      </c>
    </row>
    <row r="1209" spans="1:24">
      <c r="A1209">
        <v>2306</v>
      </c>
      <c r="B1209">
        <v>16.399999999999999</v>
      </c>
      <c r="C1209">
        <v>1.48</v>
      </c>
      <c r="D1209">
        <v>7.13</v>
      </c>
      <c r="E1209">
        <v>24.37</v>
      </c>
      <c r="F1209" s="176" t="s">
        <v>3437</v>
      </c>
      <c r="G1209">
        <v>52</v>
      </c>
      <c r="H1209">
        <v>72.5</v>
      </c>
      <c r="I1209" s="217">
        <v>44077</v>
      </c>
      <c r="J1209" t="s">
        <v>3074</v>
      </c>
      <c r="K1209">
        <v>33.54</v>
      </c>
      <c r="L1209">
        <v>0.67900000000000005</v>
      </c>
      <c r="Q1209" s="4" t="s">
        <v>3076</v>
      </c>
      <c r="T1209" t="s">
        <v>3109</v>
      </c>
      <c r="U1209" t="s">
        <v>3433</v>
      </c>
      <c r="V1209" s="466" t="s">
        <v>3127</v>
      </c>
    </row>
    <row r="1210" spans="1:24">
      <c r="A1210">
        <v>1954</v>
      </c>
      <c r="B1210">
        <v>17.600000000000001</v>
      </c>
      <c r="C1210">
        <v>1.52</v>
      </c>
      <c r="D1210">
        <v>7.18</v>
      </c>
      <c r="E1210">
        <v>24.36</v>
      </c>
      <c r="F1210" s="19" t="s">
        <v>3438</v>
      </c>
      <c r="G1210">
        <v>52</v>
      </c>
      <c r="H1210">
        <v>72.5</v>
      </c>
      <c r="I1210" s="217">
        <v>44077</v>
      </c>
      <c r="J1210" t="s">
        <v>3074</v>
      </c>
      <c r="K1210">
        <v>33.5</v>
      </c>
      <c r="L1210">
        <v>0.69299999999999995</v>
      </c>
      <c r="Q1210" s="4" t="s">
        <v>3076</v>
      </c>
      <c r="T1210" t="s">
        <v>3109</v>
      </c>
      <c r="U1210" t="s">
        <v>3492</v>
      </c>
      <c r="V1210" s="466" t="s">
        <v>3439</v>
      </c>
      <c r="W1210" s="29">
        <v>1</v>
      </c>
    </row>
    <row r="1211" spans="1:24">
      <c r="A1211">
        <v>2294</v>
      </c>
      <c r="B1211">
        <v>18</v>
      </c>
      <c r="C1211">
        <v>1.51</v>
      </c>
      <c r="D1211">
        <v>7.16</v>
      </c>
      <c r="E1211">
        <v>24.34</v>
      </c>
      <c r="F1211" s="466" t="s">
        <v>3440</v>
      </c>
      <c r="G1211">
        <v>52</v>
      </c>
      <c r="H1211">
        <v>72.5</v>
      </c>
      <c r="I1211" s="217">
        <v>44077</v>
      </c>
      <c r="J1211" t="s">
        <v>3074</v>
      </c>
      <c r="K1211">
        <v>33.4</v>
      </c>
      <c r="L1211">
        <v>0.88200000000000001</v>
      </c>
      <c r="Q1211" s="4" t="s">
        <v>3076</v>
      </c>
      <c r="T1211" t="s">
        <v>3109</v>
      </c>
      <c r="U1211" t="s">
        <v>3441</v>
      </c>
      <c r="V1211" s="466" t="s">
        <v>3023</v>
      </c>
      <c r="W1211" s="29">
        <v>1</v>
      </c>
    </row>
    <row r="1212" spans="1:24">
      <c r="A1212">
        <v>1809</v>
      </c>
      <c r="B1212">
        <v>18.8</v>
      </c>
      <c r="C1212">
        <v>1.52</v>
      </c>
      <c r="D1212">
        <v>7.09</v>
      </c>
      <c r="E1212">
        <v>24.33</v>
      </c>
      <c r="F1212" s="19" t="s">
        <v>3451</v>
      </c>
      <c r="G1212">
        <v>49</v>
      </c>
      <c r="H1212">
        <v>72.900000000000006</v>
      </c>
      <c r="I1212" s="217">
        <v>44078</v>
      </c>
      <c r="J1212" t="s">
        <v>3074</v>
      </c>
      <c r="K1212">
        <v>33.340000000000003</v>
      </c>
      <c r="L1212">
        <v>0.59899999999999998</v>
      </c>
      <c r="Q1212" s="4" t="s">
        <v>3076</v>
      </c>
      <c r="T1212" t="s">
        <v>3109</v>
      </c>
      <c r="U1212" t="s">
        <v>3491</v>
      </c>
      <c r="V1212" s="466" t="s">
        <v>3175</v>
      </c>
      <c r="W1212" s="29">
        <v>2</v>
      </c>
    </row>
    <row r="1213" spans="1:24">
      <c r="A1213">
        <v>1891</v>
      </c>
      <c r="B1213">
        <v>16.8</v>
      </c>
      <c r="C1213">
        <v>1.52</v>
      </c>
      <c r="D1213">
        <v>7.12</v>
      </c>
      <c r="E1213">
        <v>24.28</v>
      </c>
      <c r="F1213" s="176" t="s">
        <v>3452</v>
      </c>
      <c r="G1213">
        <v>49</v>
      </c>
      <c r="H1213">
        <v>72.900000000000006</v>
      </c>
      <c r="I1213" s="217">
        <v>44078</v>
      </c>
      <c r="J1213" t="s">
        <v>3074</v>
      </c>
      <c r="Q1213" s="4" t="s">
        <v>3076</v>
      </c>
      <c r="T1213" t="s">
        <v>3109</v>
      </c>
      <c r="V1213" s="466"/>
      <c r="X1213" t="s">
        <v>2620</v>
      </c>
    </row>
    <row r="1214" spans="1:24">
      <c r="A1214">
        <v>1584</v>
      </c>
      <c r="B1214">
        <v>16.8</v>
      </c>
      <c r="C1214">
        <v>1.52</v>
      </c>
      <c r="D1214">
        <v>7.18</v>
      </c>
      <c r="E1214">
        <v>24.38</v>
      </c>
      <c r="F1214" s="19" t="s">
        <v>3453</v>
      </c>
      <c r="G1214">
        <v>45</v>
      </c>
      <c r="H1214">
        <v>73.2</v>
      </c>
      <c r="I1214" s="217">
        <v>44078</v>
      </c>
      <c r="J1214" t="s">
        <v>3074</v>
      </c>
      <c r="K1214">
        <v>33.44</v>
      </c>
      <c r="L1214">
        <v>0.66400000000000003</v>
      </c>
      <c r="Q1214" s="4" t="s">
        <v>3076</v>
      </c>
      <c r="T1214" t="s">
        <v>3109</v>
      </c>
      <c r="U1214" t="s">
        <v>3492</v>
      </c>
      <c r="V1214" s="466" t="s">
        <v>3194</v>
      </c>
      <c r="W1214" s="29">
        <v>1</v>
      </c>
    </row>
    <row r="1215" spans="1:24">
      <c r="A1215">
        <v>2364</v>
      </c>
      <c r="B1215">
        <v>16.2</v>
      </c>
      <c r="C1215">
        <v>1.49</v>
      </c>
      <c r="D1215">
        <v>7.17</v>
      </c>
      <c r="E1215">
        <v>24.31</v>
      </c>
      <c r="F1215" s="19" t="s">
        <v>3454</v>
      </c>
      <c r="G1215">
        <v>55</v>
      </c>
      <c r="H1215">
        <v>70.3</v>
      </c>
      <c r="I1215" s="217">
        <v>44082</v>
      </c>
      <c r="J1215" t="s">
        <v>3074</v>
      </c>
      <c r="K1215">
        <v>33.39</v>
      </c>
      <c r="L1215">
        <v>0.88</v>
      </c>
      <c r="Q1215" s="4" t="s">
        <v>3076</v>
      </c>
      <c r="T1215" t="s">
        <v>3109</v>
      </c>
      <c r="U1215" t="s">
        <v>3493</v>
      </c>
      <c r="V1215" s="466" t="s">
        <v>3208</v>
      </c>
      <c r="W1215" s="29">
        <v>2</v>
      </c>
    </row>
    <row r="1216" spans="1:24">
      <c r="A1216">
        <v>3045</v>
      </c>
      <c r="B1216">
        <v>17.2</v>
      </c>
      <c r="C1216">
        <v>1.51</v>
      </c>
      <c r="D1216">
        <v>7.14</v>
      </c>
      <c r="E1216">
        <v>24.27</v>
      </c>
      <c r="F1216" s="19" t="s">
        <v>3455</v>
      </c>
      <c r="G1216">
        <v>55</v>
      </c>
      <c r="H1216">
        <v>70.3</v>
      </c>
      <c r="I1216" s="217">
        <v>44082</v>
      </c>
      <c r="J1216" t="s">
        <v>3074</v>
      </c>
      <c r="K1216">
        <v>33.49</v>
      </c>
      <c r="L1216">
        <v>0.73599999999999999</v>
      </c>
      <c r="Q1216" s="4" t="s">
        <v>3076</v>
      </c>
      <c r="T1216" t="s">
        <v>3109</v>
      </c>
      <c r="U1216" t="s">
        <v>3494</v>
      </c>
      <c r="V1216" s="466" t="s">
        <v>3026</v>
      </c>
      <c r="W1216" s="29">
        <v>2</v>
      </c>
    </row>
    <row r="1217" spans="1:23">
      <c r="A1217">
        <v>1372</v>
      </c>
      <c r="B1217">
        <v>17.2</v>
      </c>
      <c r="C1217">
        <v>1.49</v>
      </c>
      <c r="D1217">
        <v>7.04</v>
      </c>
      <c r="E1217">
        <v>24.28</v>
      </c>
      <c r="F1217" s="19" t="s">
        <v>3456</v>
      </c>
      <c r="G1217">
        <v>55</v>
      </c>
      <c r="H1217">
        <v>70.3</v>
      </c>
      <c r="I1217" s="217">
        <v>44082</v>
      </c>
      <c r="J1217" t="s">
        <v>3074</v>
      </c>
      <c r="K1217">
        <v>33.299999999999997</v>
      </c>
      <c r="L1217">
        <v>0.71099999999999997</v>
      </c>
      <c r="Q1217" s="4" t="s">
        <v>3076</v>
      </c>
      <c r="T1217" t="s">
        <v>3109</v>
      </c>
      <c r="U1217" t="s">
        <v>3457</v>
      </c>
      <c r="V1217" s="466" t="s">
        <v>3023</v>
      </c>
      <c r="W1217" s="29">
        <v>2</v>
      </c>
    </row>
    <row r="1218" spans="1:23">
      <c r="A1218">
        <v>2271</v>
      </c>
      <c r="B1218">
        <v>17.2</v>
      </c>
      <c r="C1218">
        <v>1.52</v>
      </c>
      <c r="D1218">
        <v>7.13</v>
      </c>
      <c r="E1218">
        <v>24.45</v>
      </c>
      <c r="F1218" s="466" t="s">
        <v>3458</v>
      </c>
      <c r="G1218">
        <v>49</v>
      </c>
      <c r="H1218">
        <v>73.8</v>
      </c>
      <c r="I1218" s="217">
        <v>44082</v>
      </c>
      <c r="J1218" t="s">
        <v>3074</v>
      </c>
      <c r="K1218">
        <v>33.450000000000003</v>
      </c>
      <c r="L1218">
        <v>0.3</v>
      </c>
      <c r="Q1218" s="4" t="s">
        <v>3076</v>
      </c>
      <c r="T1218" t="s">
        <v>3109</v>
      </c>
      <c r="U1218" t="s">
        <v>3838</v>
      </c>
      <c r="V1218" s="466" t="s">
        <v>3175</v>
      </c>
      <c r="W1218" s="29">
        <v>4</v>
      </c>
    </row>
    <row r="1219" spans="1:23">
      <c r="A1219">
        <v>2367</v>
      </c>
      <c r="B1219">
        <v>18</v>
      </c>
      <c r="C1219">
        <v>1.52</v>
      </c>
      <c r="D1219">
        <v>7.15</v>
      </c>
      <c r="E1219">
        <v>24.34</v>
      </c>
      <c r="F1219" s="45" t="s">
        <v>3459</v>
      </c>
      <c r="G1219">
        <v>49</v>
      </c>
      <c r="H1219">
        <v>73.599999999999994</v>
      </c>
      <c r="I1219" s="217">
        <v>44083</v>
      </c>
      <c r="J1219" t="s">
        <v>3074</v>
      </c>
      <c r="K1219">
        <v>33.44</v>
      </c>
      <c r="L1219">
        <v>0.435</v>
      </c>
      <c r="Q1219" s="4" t="s">
        <v>3076</v>
      </c>
      <c r="T1219" t="s">
        <v>3109</v>
      </c>
      <c r="U1219" t="s">
        <v>3460</v>
      </c>
      <c r="V1219" s="466" t="s">
        <v>3166</v>
      </c>
      <c r="W1219" s="29">
        <v>2</v>
      </c>
    </row>
    <row r="1220" spans="1:23">
      <c r="A1220">
        <v>2360</v>
      </c>
      <c r="B1220">
        <v>17.2</v>
      </c>
      <c r="C1220">
        <v>1.51</v>
      </c>
      <c r="D1220">
        <v>7.09</v>
      </c>
      <c r="E1220">
        <v>24.4</v>
      </c>
      <c r="F1220" s="19" t="s">
        <v>3461</v>
      </c>
      <c r="G1220">
        <v>49</v>
      </c>
      <c r="H1220">
        <v>73.599999999999994</v>
      </c>
      <c r="I1220" s="217">
        <v>44083</v>
      </c>
      <c r="J1220" t="s">
        <v>3074</v>
      </c>
      <c r="K1220">
        <v>33.54</v>
      </c>
      <c r="L1220">
        <v>0.51900000000000002</v>
      </c>
      <c r="Q1220" s="4" t="s">
        <v>3076</v>
      </c>
      <c r="T1220" t="s">
        <v>3109</v>
      </c>
      <c r="U1220" t="s">
        <v>3490</v>
      </c>
      <c r="V1220" s="464" t="s">
        <v>3026</v>
      </c>
      <c r="W1220" s="29">
        <v>1</v>
      </c>
    </row>
    <row r="1221" spans="1:23">
      <c r="A1221">
        <v>2277</v>
      </c>
      <c r="B1221">
        <v>18.8</v>
      </c>
      <c r="C1221">
        <v>1.51</v>
      </c>
      <c r="D1221">
        <v>7.16</v>
      </c>
      <c r="E1221">
        <v>24.38</v>
      </c>
      <c r="F1221" s="19" t="s">
        <v>3462</v>
      </c>
      <c r="G1221">
        <v>49</v>
      </c>
      <c r="H1221">
        <v>73.599999999999994</v>
      </c>
      <c r="I1221" s="217">
        <v>44083</v>
      </c>
      <c r="J1221" t="s">
        <v>3074</v>
      </c>
      <c r="K1221">
        <v>33.53</v>
      </c>
      <c r="L1221">
        <v>0.70799999999999996</v>
      </c>
      <c r="Q1221" s="4" t="s">
        <v>3076</v>
      </c>
      <c r="T1221" t="s">
        <v>3109</v>
      </c>
      <c r="U1221" t="s">
        <v>3490</v>
      </c>
      <c r="V1221" s="466" t="s">
        <v>3277</v>
      </c>
      <c r="W1221" s="29">
        <v>0</v>
      </c>
    </row>
    <row r="1222" spans="1:23" ht="30" customHeight="1">
      <c r="A1222">
        <v>1464</v>
      </c>
      <c r="B1222">
        <v>18.8</v>
      </c>
      <c r="C1222">
        <v>1.53</v>
      </c>
      <c r="D1222">
        <v>7.12</v>
      </c>
      <c r="E1222">
        <v>24.35</v>
      </c>
      <c r="F1222" s="19" t="s">
        <v>3464</v>
      </c>
      <c r="G1222">
        <v>16</v>
      </c>
      <c r="H1222">
        <v>73</v>
      </c>
      <c r="I1222" s="217">
        <v>44095</v>
      </c>
      <c r="J1222" t="s">
        <v>3074</v>
      </c>
      <c r="K1222">
        <v>33.380000000000003</v>
      </c>
      <c r="L1222">
        <v>0.318</v>
      </c>
      <c r="Q1222" s="4" t="s">
        <v>3076</v>
      </c>
      <c r="T1222" t="s">
        <v>3109</v>
      </c>
      <c r="U1222" t="s">
        <v>3518</v>
      </c>
      <c r="V1222" s="466" t="s">
        <v>3466</v>
      </c>
      <c r="W1222" s="29">
        <v>6</v>
      </c>
    </row>
    <row r="1223" spans="1:23">
      <c r="A1223">
        <v>2147</v>
      </c>
      <c r="B1223">
        <v>18</v>
      </c>
      <c r="C1223">
        <v>1.47</v>
      </c>
      <c r="D1223">
        <v>7.16</v>
      </c>
      <c r="E1223">
        <v>24.39</v>
      </c>
      <c r="F1223" s="176" t="s">
        <v>3467</v>
      </c>
      <c r="G1223">
        <v>16</v>
      </c>
      <c r="H1223">
        <v>73</v>
      </c>
      <c r="I1223" s="217">
        <v>44095</v>
      </c>
      <c r="J1223" t="s">
        <v>3074</v>
      </c>
      <c r="Q1223" s="4" t="s">
        <v>3076</v>
      </c>
      <c r="T1223" t="s">
        <v>3109</v>
      </c>
      <c r="U1223" t="s">
        <v>3465</v>
      </c>
      <c r="V1223" s="466"/>
    </row>
    <row r="1224" spans="1:23">
      <c r="A1224">
        <v>2351</v>
      </c>
      <c r="B1224">
        <v>17.600000000000001</v>
      </c>
      <c r="C1224">
        <v>1.48</v>
      </c>
      <c r="D1224">
        <v>7.09</v>
      </c>
      <c r="E1224">
        <v>24.44</v>
      </c>
      <c r="F1224" s="176" t="s">
        <v>3468</v>
      </c>
      <c r="G1224">
        <v>26</v>
      </c>
      <c r="H1224">
        <v>71.8</v>
      </c>
      <c r="I1224" s="217">
        <v>44096</v>
      </c>
      <c r="J1224" t="s">
        <v>3074</v>
      </c>
      <c r="Q1224" s="4" t="s">
        <v>3076</v>
      </c>
      <c r="T1224" t="s">
        <v>3109</v>
      </c>
      <c r="U1224" t="s">
        <v>3470</v>
      </c>
      <c r="V1224" s="468"/>
    </row>
    <row r="1225" spans="1:23">
      <c r="A1225">
        <v>2298</v>
      </c>
      <c r="B1225">
        <v>17.600000000000001</v>
      </c>
      <c r="C1225">
        <v>1.48</v>
      </c>
      <c r="D1225">
        <v>7.15</v>
      </c>
      <c r="E1225">
        <v>24.36</v>
      </c>
      <c r="F1225" s="176" t="s">
        <v>3469</v>
      </c>
      <c r="G1225">
        <v>26</v>
      </c>
      <c r="H1225">
        <v>71.8</v>
      </c>
      <c r="I1225" s="217">
        <v>44096</v>
      </c>
      <c r="J1225" t="s">
        <v>3074</v>
      </c>
      <c r="K1225">
        <v>33.4</v>
      </c>
      <c r="L1225">
        <v>0.98</v>
      </c>
      <c r="Q1225" s="4" t="s">
        <v>3076</v>
      </c>
      <c r="T1225" t="s">
        <v>3109</v>
      </c>
      <c r="U1225" t="s">
        <v>3471</v>
      </c>
      <c r="V1225" s="468" t="s">
        <v>3013</v>
      </c>
      <c r="W1225" s="29">
        <v>3</v>
      </c>
    </row>
    <row r="1226" spans="1:23">
      <c r="A1226">
        <v>2149</v>
      </c>
      <c r="B1226">
        <v>16.8</v>
      </c>
      <c r="C1226">
        <v>1.49</v>
      </c>
      <c r="D1226">
        <v>7.12</v>
      </c>
      <c r="E1226">
        <v>24.37</v>
      </c>
      <c r="F1226" s="19" t="s">
        <v>3472</v>
      </c>
      <c r="G1226">
        <v>24</v>
      </c>
      <c r="H1226">
        <v>74.7</v>
      </c>
      <c r="I1226" s="217">
        <v>44096</v>
      </c>
      <c r="J1226" t="s">
        <v>3074</v>
      </c>
      <c r="K1226">
        <v>33.51</v>
      </c>
      <c r="L1226">
        <v>0.63400000000000001</v>
      </c>
      <c r="Q1226" s="4" t="s">
        <v>3076</v>
      </c>
      <c r="T1226" t="s">
        <v>3109</v>
      </c>
      <c r="U1226" t="s">
        <v>3845</v>
      </c>
      <c r="V1226" s="468" t="s">
        <v>3439</v>
      </c>
      <c r="W1226" s="29">
        <v>7</v>
      </c>
    </row>
    <row r="1227" spans="1:23">
      <c r="A1227">
        <v>2190</v>
      </c>
      <c r="B1227">
        <v>17.2</v>
      </c>
      <c r="C1227">
        <v>1.52</v>
      </c>
      <c r="D1227">
        <v>7.13</v>
      </c>
      <c r="E1227">
        <v>24.35</v>
      </c>
      <c r="F1227" s="176" t="s">
        <v>3473</v>
      </c>
      <c r="G1227">
        <v>43</v>
      </c>
      <c r="H1227">
        <v>73.2</v>
      </c>
      <c r="I1227" s="217">
        <v>44097</v>
      </c>
      <c r="J1227" t="s">
        <v>3074</v>
      </c>
      <c r="Q1227" s="4" t="s">
        <v>3076</v>
      </c>
      <c r="T1227" t="s">
        <v>3109</v>
      </c>
      <c r="U1227" t="s">
        <v>3475</v>
      </c>
      <c r="V1227" s="468"/>
    </row>
    <row r="1228" spans="1:23">
      <c r="A1228">
        <v>2199</v>
      </c>
      <c r="B1228">
        <v>18</v>
      </c>
      <c r="C1228">
        <v>1.49</v>
      </c>
      <c r="D1228">
        <v>7.09</v>
      </c>
      <c r="E1228" s="62">
        <v>24.35</v>
      </c>
      <c r="F1228" s="469" t="s">
        <v>3474</v>
      </c>
      <c r="G1228">
        <v>43</v>
      </c>
      <c r="H1228">
        <v>73.2</v>
      </c>
      <c r="I1228" s="217">
        <v>44097</v>
      </c>
      <c r="J1228" t="s">
        <v>3074</v>
      </c>
      <c r="K1228">
        <v>33.450000000000003</v>
      </c>
      <c r="L1228">
        <v>0.112</v>
      </c>
      <c r="Q1228" s="4" t="s">
        <v>3076</v>
      </c>
      <c r="T1228" t="s">
        <v>3109</v>
      </c>
      <c r="U1228" t="s">
        <v>3827</v>
      </c>
      <c r="V1228" s="468" t="s">
        <v>3024</v>
      </c>
    </row>
    <row r="1229" spans="1:23">
      <c r="A1229">
        <v>1669</v>
      </c>
      <c r="B1229">
        <v>16.399999999999999</v>
      </c>
      <c r="C1229">
        <v>1.5</v>
      </c>
      <c r="D1229">
        <v>7.08</v>
      </c>
      <c r="E1229">
        <v>24.4</v>
      </c>
      <c r="F1229" s="176" t="s">
        <v>3476</v>
      </c>
      <c r="G1229">
        <v>43</v>
      </c>
      <c r="H1229">
        <v>73.2</v>
      </c>
      <c r="I1229" s="217">
        <v>44097</v>
      </c>
      <c r="J1229" t="s">
        <v>3074</v>
      </c>
      <c r="K1229">
        <v>33.51</v>
      </c>
      <c r="L1229">
        <v>0.84599999999999997</v>
      </c>
      <c r="Q1229" s="4" t="s">
        <v>3076</v>
      </c>
      <c r="T1229" t="s">
        <v>3109</v>
      </c>
      <c r="U1229" t="s">
        <v>3826</v>
      </c>
      <c r="V1229" s="468" t="s">
        <v>3277</v>
      </c>
      <c r="W1229" s="29">
        <v>10</v>
      </c>
    </row>
    <row r="1230" spans="1:23">
      <c r="A1230">
        <v>2202</v>
      </c>
      <c r="B1230">
        <v>16.399999999999999</v>
      </c>
      <c r="C1230">
        <v>1.52</v>
      </c>
      <c r="D1230">
        <v>7.14</v>
      </c>
      <c r="E1230">
        <v>24.4</v>
      </c>
      <c r="F1230" s="11" t="s">
        <v>3477</v>
      </c>
      <c r="G1230">
        <v>40</v>
      </c>
      <c r="H1230">
        <v>74.3</v>
      </c>
      <c r="I1230" s="217">
        <v>44097</v>
      </c>
      <c r="J1230" t="s">
        <v>3074</v>
      </c>
      <c r="K1230">
        <v>33.53</v>
      </c>
      <c r="L1230">
        <v>0.627</v>
      </c>
      <c r="Q1230" s="4" t="s">
        <v>3076</v>
      </c>
      <c r="T1230" t="s">
        <v>3109</v>
      </c>
      <c r="U1230" t="s">
        <v>3517</v>
      </c>
      <c r="V1230" s="468" t="s">
        <v>3175</v>
      </c>
      <c r="W1230" s="29">
        <v>4</v>
      </c>
    </row>
    <row r="1231" spans="1:23">
      <c r="A1231">
        <v>2269</v>
      </c>
      <c r="B1231">
        <v>18</v>
      </c>
      <c r="C1231">
        <v>1.53</v>
      </c>
      <c r="D1231">
        <v>7.13</v>
      </c>
      <c r="E1231">
        <v>24.36</v>
      </c>
      <c r="F1231" s="19" t="s">
        <v>3478</v>
      </c>
      <c r="G1231">
        <v>47</v>
      </c>
      <c r="H1231">
        <v>73.2</v>
      </c>
      <c r="I1231" s="217">
        <v>44098</v>
      </c>
      <c r="J1231" t="s">
        <v>3074</v>
      </c>
      <c r="K1231">
        <v>33.56</v>
      </c>
      <c r="L1231">
        <v>0.27400000000000002</v>
      </c>
      <c r="Q1231" s="4" t="s">
        <v>3076</v>
      </c>
      <c r="T1231" t="s">
        <v>3109</v>
      </c>
      <c r="U1231" t="s">
        <v>3516</v>
      </c>
      <c r="V1231" s="468" t="s">
        <v>3479</v>
      </c>
      <c r="W1231" s="29">
        <v>5</v>
      </c>
    </row>
    <row r="1232" spans="1:23">
      <c r="A1232">
        <v>2339</v>
      </c>
      <c r="B1232">
        <v>18.399999999999999</v>
      </c>
      <c r="C1232">
        <v>1.48</v>
      </c>
      <c r="D1232">
        <v>7.12</v>
      </c>
      <c r="E1232">
        <v>24.43</v>
      </c>
      <c r="F1232" s="176" t="s">
        <v>3480</v>
      </c>
      <c r="G1232">
        <v>49</v>
      </c>
      <c r="H1232">
        <v>73</v>
      </c>
      <c r="I1232" s="217">
        <v>44102</v>
      </c>
      <c r="J1232" t="s">
        <v>3074</v>
      </c>
      <c r="K1232">
        <v>33.520000000000003</v>
      </c>
      <c r="L1232">
        <v>0.88</v>
      </c>
      <c r="Q1232" s="4" t="s">
        <v>3076</v>
      </c>
      <c r="T1232" t="s">
        <v>3109</v>
      </c>
      <c r="U1232" t="s">
        <v>3825</v>
      </c>
      <c r="V1232" s="468" t="s">
        <v>3004</v>
      </c>
    </row>
    <row r="1233" spans="1:23">
      <c r="A1233">
        <v>2333</v>
      </c>
      <c r="B1233">
        <v>17.600000000000001</v>
      </c>
      <c r="C1233">
        <v>1.5</v>
      </c>
      <c r="D1233">
        <v>7.18</v>
      </c>
      <c r="E1233">
        <v>24.32</v>
      </c>
      <c r="F1233" s="327" t="s">
        <v>3482</v>
      </c>
      <c r="G1233">
        <v>49</v>
      </c>
      <c r="H1233">
        <v>73</v>
      </c>
      <c r="I1233" s="217">
        <v>44102</v>
      </c>
      <c r="J1233" t="s">
        <v>3074</v>
      </c>
      <c r="Q1233" s="4" t="s">
        <v>3076</v>
      </c>
      <c r="T1233" t="s">
        <v>3109</v>
      </c>
      <c r="U1233" t="s">
        <v>3483</v>
      </c>
      <c r="V1233" s="468"/>
    </row>
    <row r="1234" spans="1:23">
      <c r="A1234">
        <v>2247</v>
      </c>
      <c r="B1234">
        <v>18.8</v>
      </c>
      <c r="C1234">
        <v>1.52</v>
      </c>
      <c r="D1234">
        <v>7.15</v>
      </c>
      <c r="E1234">
        <v>24.4</v>
      </c>
      <c r="F1234" s="469" t="s">
        <v>3484</v>
      </c>
      <c r="G1234">
        <v>49</v>
      </c>
      <c r="H1234">
        <v>73</v>
      </c>
      <c r="I1234" s="217">
        <v>44102</v>
      </c>
      <c r="J1234" t="s">
        <v>3074</v>
      </c>
      <c r="Q1234" s="4" t="s">
        <v>3076</v>
      </c>
      <c r="T1234" t="s">
        <v>3109</v>
      </c>
      <c r="V1234" s="468"/>
    </row>
    <row r="1235" spans="1:23">
      <c r="A1235">
        <v>2247</v>
      </c>
      <c r="B1235">
        <v>18.8</v>
      </c>
      <c r="C1235">
        <v>1.52</v>
      </c>
      <c r="D1235">
        <v>7.15</v>
      </c>
      <c r="E1235">
        <v>24.4</v>
      </c>
      <c r="F1235" s="476" t="s">
        <v>3485</v>
      </c>
      <c r="G1235">
        <v>53</v>
      </c>
      <c r="H1235">
        <v>74.099999999999994</v>
      </c>
      <c r="I1235" s="217">
        <v>44103</v>
      </c>
      <c r="J1235" t="s">
        <v>3074</v>
      </c>
      <c r="K1235">
        <v>33.58</v>
      </c>
      <c r="L1235">
        <v>0.90500000000000003</v>
      </c>
      <c r="Q1235" s="4" t="s">
        <v>3076</v>
      </c>
      <c r="T1235" t="s">
        <v>3109</v>
      </c>
      <c r="U1235" t="s">
        <v>3520</v>
      </c>
      <c r="V1235" s="468" t="s">
        <v>3166</v>
      </c>
      <c r="W1235" s="29">
        <v>7</v>
      </c>
    </row>
    <row r="1236" spans="1:23">
      <c r="A1236">
        <v>1827</v>
      </c>
      <c r="B1236">
        <v>17.600000000000001</v>
      </c>
      <c r="C1236">
        <v>1.5</v>
      </c>
      <c r="D1236">
        <v>7.1</v>
      </c>
      <c r="E1236">
        <v>24.34</v>
      </c>
      <c r="F1236" s="19" t="s">
        <v>3486</v>
      </c>
      <c r="G1236">
        <v>53</v>
      </c>
      <c r="H1236">
        <v>74.099999999999994</v>
      </c>
      <c r="I1236" s="217">
        <v>44103</v>
      </c>
      <c r="J1236" t="s">
        <v>3074</v>
      </c>
      <c r="K1236">
        <v>33.46</v>
      </c>
      <c r="L1236">
        <v>0.443</v>
      </c>
      <c r="Q1236" s="4" t="s">
        <v>3076</v>
      </c>
      <c r="T1236" t="s">
        <v>3109</v>
      </c>
      <c r="U1236" t="s">
        <v>3519</v>
      </c>
      <c r="V1236" s="470" t="s">
        <v>3166</v>
      </c>
      <c r="W1236" s="29">
        <v>4</v>
      </c>
    </row>
    <row r="1237" spans="1:23">
      <c r="A1237">
        <v>2154</v>
      </c>
      <c r="B1237">
        <v>18.399999999999999</v>
      </c>
      <c r="C1237">
        <v>1.49</v>
      </c>
      <c r="D1237">
        <v>7.17</v>
      </c>
      <c r="E1237">
        <v>24.36</v>
      </c>
      <c r="F1237" s="45" t="s">
        <v>3487</v>
      </c>
      <c r="G1237">
        <v>53</v>
      </c>
      <c r="H1237">
        <v>74.099999999999994</v>
      </c>
      <c r="I1237" s="217">
        <v>44103</v>
      </c>
      <c r="J1237" t="s">
        <v>3074</v>
      </c>
      <c r="K1237">
        <v>33.520000000000003</v>
      </c>
      <c r="L1237">
        <v>0.38400000000000001</v>
      </c>
      <c r="Q1237" s="4" t="s">
        <v>3076</v>
      </c>
      <c r="T1237" t="s">
        <v>3109</v>
      </c>
      <c r="U1237" t="s">
        <v>3339</v>
      </c>
      <c r="V1237" s="470" t="s">
        <v>3157</v>
      </c>
      <c r="W1237" s="29">
        <v>10</v>
      </c>
    </row>
    <row r="1238" spans="1:23">
      <c r="A1238">
        <v>2398</v>
      </c>
      <c r="B1238">
        <v>18</v>
      </c>
      <c r="C1238">
        <v>1.5</v>
      </c>
      <c r="D1238">
        <v>7.16</v>
      </c>
      <c r="E1238">
        <v>24.38</v>
      </c>
      <c r="F1238" s="327" t="s">
        <v>3488</v>
      </c>
      <c r="G1238">
        <v>53</v>
      </c>
      <c r="H1238">
        <v>74.099999999999994</v>
      </c>
      <c r="I1238" s="217">
        <v>44103</v>
      </c>
      <c r="J1238" t="s">
        <v>3074</v>
      </c>
      <c r="K1238">
        <v>33.56</v>
      </c>
      <c r="L1238">
        <v>0.56499999999999995</v>
      </c>
      <c r="Q1238" s="4" t="s">
        <v>3076</v>
      </c>
      <c r="T1238" t="s">
        <v>3109</v>
      </c>
      <c r="U1238" t="s">
        <v>3489</v>
      </c>
      <c r="V1238" s="470" t="s">
        <v>3105</v>
      </c>
    </row>
    <row r="1239" spans="1:23">
      <c r="A1239">
        <v>2219</v>
      </c>
      <c r="B1239">
        <v>18.8</v>
      </c>
      <c r="C1239">
        <v>1.51</v>
      </c>
      <c r="D1239">
        <v>7.12</v>
      </c>
      <c r="E1239">
        <v>24.37</v>
      </c>
      <c r="F1239" s="69" t="s">
        <v>3495</v>
      </c>
      <c r="G1239">
        <v>41</v>
      </c>
      <c r="H1239">
        <v>74.099999999999994</v>
      </c>
      <c r="I1239" s="217">
        <v>44104</v>
      </c>
      <c r="J1239" t="s">
        <v>3074</v>
      </c>
      <c r="K1239">
        <v>33.5</v>
      </c>
      <c r="L1239">
        <v>0.46</v>
      </c>
      <c r="Q1239" s="4" t="s">
        <v>3076</v>
      </c>
      <c r="T1239" t="s">
        <v>3109</v>
      </c>
      <c r="U1239" t="s">
        <v>3521</v>
      </c>
      <c r="V1239" s="470" t="s">
        <v>3027</v>
      </c>
      <c r="W1239" s="29">
        <v>4</v>
      </c>
    </row>
    <row r="1240" spans="1:23">
      <c r="A1240">
        <v>2304</v>
      </c>
      <c r="B1240">
        <v>18.399999999999999</v>
      </c>
      <c r="C1240">
        <v>1.48</v>
      </c>
      <c r="D1240">
        <v>7.13</v>
      </c>
      <c r="E1240">
        <v>24.33</v>
      </c>
      <c r="F1240" s="45" t="s">
        <v>3496</v>
      </c>
      <c r="G1240">
        <v>41</v>
      </c>
      <c r="H1240">
        <v>74.099999999999994</v>
      </c>
      <c r="I1240" s="217">
        <v>44104</v>
      </c>
      <c r="J1240" t="s">
        <v>3074</v>
      </c>
      <c r="K1240">
        <v>33.44</v>
      </c>
      <c r="L1240">
        <v>0.98799999999999999</v>
      </c>
      <c r="Q1240" s="4" t="s">
        <v>3076</v>
      </c>
      <c r="T1240" t="s">
        <v>3109</v>
      </c>
      <c r="U1240" t="s">
        <v>3497</v>
      </c>
      <c r="V1240" s="468" t="s">
        <v>3026</v>
      </c>
      <c r="W1240" s="29">
        <v>7</v>
      </c>
    </row>
    <row r="1241" spans="1:23" ht="24" customHeight="1">
      <c r="A1241">
        <v>2170</v>
      </c>
      <c r="B1241">
        <v>18.399999999999999</v>
      </c>
      <c r="C1241">
        <v>1.49</v>
      </c>
      <c r="D1241">
        <v>7.1</v>
      </c>
      <c r="E1241">
        <v>24.41</v>
      </c>
      <c r="F1241" s="471" t="s">
        <v>3498</v>
      </c>
      <c r="G1241">
        <v>39</v>
      </c>
      <c r="H1241">
        <v>72</v>
      </c>
      <c r="I1241" s="217">
        <v>44109</v>
      </c>
      <c r="J1241" t="s">
        <v>3074</v>
      </c>
      <c r="K1241">
        <v>33.450000000000003</v>
      </c>
      <c r="L1241">
        <v>0.95</v>
      </c>
      <c r="Q1241" s="4" t="s">
        <v>3076</v>
      </c>
      <c r="T1241" t="s">
        <v>3109</v>
      </c>
      <c r="U1241" t="s">
        <v>3831</v>
      </c>
      <c r="V1241" s="471" t="s">
        <v>3025</v>
      </c>
      <c r="W1241" s="29">
        <v>6</v>
      </c>
    </row>
    <row r="1242" spans="1:23">
      <c r="A1242">
        <v>2372</v>
      </c>
      <c r="B1242">
        <v>16</v>
      </c>
      <c r="C1242">
        <v>1.46</v>
      </c>
      <c r="D1242">
        <v>7.06</v>
      </c>
      <c r="E1242">
        <v>24.45</v>
      </c>
      <c r="F1242" s="176" t="s">
        <v>3499</v>
      </c>
      <c r="G1242">
        <v>39</v>
      </c>
      <c r="H1242">
        <v>72</v>
      </c>
      <c r="I1242" s="217">
        <v>44109</v>
      </c>
      <c r="J1242" t="s">
        <v>3074</v>
      </c>
      <c r="T1242" t="s">
        <v>3109</v>
      </c>
      <c r="V1242" s="471"/>
    </row>
    <row r="1243" spans="1:23">
      <c r="A1243">
        <v>2383</v>
      </c>
      <c r="B1243">
        <v>17.600000000000001</v>
      </c>
      <c r="C1243">
        <v>1.47</v>
      </c>
      <c r="D1243">
        <v>7.16</v>
      </c>
      <c r="E1243">
        <v>24.38</v>
      </c>
      <c r="F1243" s="176" t="s">
        <v>3500</v>
      </c>
      <c r="G1243">
        <v>34</v>
      </c>
      <c r="H1243">
        <v>71.900000000000006</v>
      </c>
      <c r="I1243" s="217">
        <v>44110</v>
      </c>
      <c r="J1243" t="s">
        <v>3074</v>
      </c>
      <c r="K1243">
        <v>33.49</v>
      </c>
      <c r="L1243">
        <v>0.69499999999999995</v>
      </c>
      <c r="Q1243" s="4" t="s">
        <v>3076</v>
      </c>
      <c r="T1243" t="s">
        <v>3109</v>
      </c>
      <c r="U1243" t="s">
        <v>3503</v>
      </c>
      <c r="V1243" s="471" t="s">
        <v>3127</v>
      </c>
      <c r="W1243" s="29">
        <v>5</v>
      </c>
    </row>
    <row r="1244" spans="1:23">
      <c r="A1244">
        <v>2348</v>
      </c>
      <c r="B1244">
        <v>16.399999999999999</v>
      </c>
      <c r="C1244">
        <v>1.47</v>
      </c>
      <c r="D1244">
        <v>7.06</v>
      </c>
      <c r="E1244">
        <v>24.34</v>
      </c>
      <c r="F1244" s="472" t="s">
        <v>3502</v>
      </c>
      <c r="G1244">
        <v>34</v>
      </c>
      <c r="H1244">
        <v>71.900000000000006</v>
      </c>
      <c r="I1244" s="217">
        <v>44110</v>
      </c>
      <c r="J1244" t="s">
        <v>3074</v>
      </c>
      <c r="K1244">
        <v>33.380000000000003</v>
      </c>
      <c r="L1244">
        <v>0.92400000000000004</v>
      </c>
      <c r="Q1244" s="4" t="s">
        <v>3076</v>
      </c>
      <c r="T1244" t="s">
        <v>3109</v>
      </c>
      <c r="U1244" t="s">
        <v>3820</v>
      </c>
      <c r="V1244" s="472" t="s">
        <v>3501</v>
      </c>
      <c r="W1244" s="29">
        <v>7</v>
      </c>
    </row>
    <row r="1245" spans="1:23">
      <c r="A1245">
        <v>2386</v>
      </c>
      <c r="B1245">
        <v>16</v>
      </c>
      <c r="C1245">
        <v>1.5</v>
      </c>
      <c r="D1245">
        <v>7.16</v>
      </c>
      <c r="E1245">
        <v>24.32</v>
      </c>
      <c r="F1245" s="19" t="s">
        <v>3504</v>
      </c>
      <c r="G1245">
        <v>38</v>
      </c>
      <c r="H1245">
        <v>72.5</v>
      </c>
      <c r="I1245" s="217">
        <v>44111</v>
      </c>
      <c r="J1245" t="s">
        <v>3074</v>
      </c>
      <c r="K1245">
        <v>33.5</v>
      </c>
      <c r="L1245">
        <v>0.29799999999999999</v>
      </c>
      <c r="Q1245" s="4" t="s">
        <v>3076</v>
      </c>
      <c r="T1245" t="s">
        <v>3109</v>
      </c>
      <c r="U1245" t="s">
        <v>3526</v>
      </c>
      <c r="V1245" s="472" t="s">
        <v>3105</v>
      </c>
      <c r="W1245" s="29">
        <v>3</v>
      </c>
    </row>
    <row r="1246" spans="1:23">
      <c r="A1246">
        <v>2254</v>
      </c>
      <c r="B1246">
        <v>16.8</v>
      </c>
      <c r="C1246">
        <v>1.49</v>
      </c>
      <c r="D1246">
        <v>7.13</v>
      </c>
      <c r="E1246">
        <v>24.45</v>
      </c>
      <c r="F1246" s="176" t="s">
        <v>3505</v>
      </c>
      <c r="G1246">
        <v>38</v>
      </c>
      <c r="H1246">
        <v>72.5</v>
      </c>
      <c r="I1246" s="217">
        <v>44111</v>
      </c>
      <c r="J1246" t="s">
        <v>3074</v>
      </c>
      <c r="T1246" t="s">
        <v>3109</v>
      </c>
      <c r="V1246" s="472"/>
    </row>
    <row r="1247" spans="1:23">
      <c r="A1247">
        <v>2180</v>
      </c>
      <c r="B1247">
        <v>18.8</v>
      </c>
      <c r="C1247">
        <v>1.52</v>
      </c>
      <c r="D1247">
        <v>7.1</v>
      </c>
      <c r="E1247">
        <v>24.36</v>
      </c>
      <c r="F1247" s="19" t="s">
        <v>3506</v>
      </c>
      <c r="G1247">
        <v>38</v>
      </c>
      <c r="H1247">
        <v>72.5</v>
      </c>
      <c r="I1247" s="217">
        <v>44111</v>
      </c>
      <c r="J1247" t="s">
        <v>3074</v>
      </c>
      <c r="K1247">
        <v>33.42</v>
      </c>
      <c r="L1247">
        <v>0.33200000000000002</v>
      </c>
      <c r="Q1247" s="4" t="s">
        <v>3076</v>
      </c>
      <c r="T1247" t="s">
        <v>3109</v>
      </c>
      <c r="U1247" t="s">
        <v>3526</v>
      </c>
      <c r="V1247" s="472" t="s">
        <v>3024</v>
      </c>
      <c r="W1247" s="29">
        <v>4</v>
      </c>
    </row>
    <row r="1248" spans="1:23">
      <c r="A1248">
        <v>2151</v>
      </c>
      <c r="B1248">
        <v>16.8</v>
      </c>
      <c r="C1248">
        <v>1.51</v>
      </c>
      <c r="D1248">
        <v>7.14</v>
      </c>
      <c r="E1248">
        <v>24.4</v>
      </c>
      <c r="F1248" s="69" t="s">
        <v>3507</v>
      </c>
      <c r="G1248">
        <v>38</v>
      </c>
      <c r="H1248">
        <v>74.8</v>
      </c>
      <c r="I1248" s="217">
        <v>44111</v>
      </c>
      <c r="J1248" t="s">
        <v>3074</v>
      </c>
      <c r="K1248">
        <v>33.380000000000003</v>
      </c>
      <c r="L1248">
        <v>0.86699999999999999</v>
      </c>
      <c r="Q1248" s="4" t="s">
        <v>3076</v>
      </c>
      <c r="T1248" t="s">
        <v>3109</v>
      </c>
      <c r="U1248" t="s">
        <v>3822</v>
      </c>
      <c r="V1248" s="472" t="s">
        <v>3053</v>
      </c>
      <c r="W1248" s="29">
        <v>3</v>
      </c>
    </row>
    <row r="1249" spans="1:23">
      <c r="A1249">
        <v>1769</v>
      </c>
      <c r="B1249">
        <v>18.399999999999999</v>
      </c>
      <c r="C1249">
        <v>1.51</v>
      </c>
      <c r="D1249">
        <v>7.1</v>
      </c>
      <c r="E1249">
        <v>24.32</v>
      </c>
      <c r="F1249" s="69" t="s">
        <v>3508</v>
      </c>
      <c r="G1249">
        <v>38</v>
      </c>
      <c r="H1249">
        <v>74.8</v>
      </c>
      <c r="I1249" s="217">
        <v>44111</v>
      </c>
      <c r="J1249" t="s">
        <v>3074</v>
      </c>
      <c r="K1249">
        <v>33.44</v>
      </c>
      <c r="L1249">
        <v>0.98099999999999998</v>
      </c>
      <c r="Q1249" s="4" t="s">
        <v>3076</v>
      </c>
      <c r="T1249" t="s">
        <v>3109</v>
      </c>
      <c r="U1249" t="s">
        <v>3821</v>
      </c>
      <c r="V1249" s="473" t="s">
        <v>3053</v>
      </c>
      <c r="W1249" s="29">
        <v>3</v>
      </c>
    </row>
    <row r="1250" spans="1:23">
      <c r="A1250">
        <v>2234</v>
      </c>
      <c r="B1250">
        <v>17.2</v>
      </c>
      <c r="C1250">
        <v>1.53</v>
      </c>
      <c r="D1250">
        <v>7.08</v>
      </c>
      <c r="E1250">
        <v>24.43</v>
      </c>
      <c r="F1250" s="69" t="s">
        <v>3512</v>
      </c>
      <c r="G1250">
        <v>35</v>
      </c>
      <c r="H1250">
        <v>70.5</v>
      </c>
      <c r="I1250" s="217">
        <v>44112</v>
      </c>
      <c r="J1250" t="s">
        <v>3074</v>
      </c>
      <c r="K1250">
        <v>33.369999999999997</v>
      </c>
      <c r="L1250">
        <v>0.12</v>
      </c>
      <c r="Q1250" s="4" t="s">
        <v>3076</v>
      </c>
      <c r="T1250" t="s">
        <v>3109</v>
      </c>
      <c r="U1250" t="s">
        <v>3524</v>
      </c>
      <c r="V1250" s="471" t="s">
        <v>3080</v>
      </c>
      <c r="W1250" s="29">
        <v>6</v>
      </c>
    </row>
    <row r="1251" spans="1:23">
      <c r="A1251">
        <v>2058</v>
      </c>
      <c r="B1251">
        <v>18.8</v>
      </c>
      <c r="C1251">
        <v>1.53</v>
      </c>
      <c r="D1251">
        <v>7.14</v>
      </c>
      <c r="E1251">
        <v>24.23</v>
      </c>
      <c r="F1251" s="69" t="s">
        <v>3513</v>
      </c>
      <c r="G1251">
        <v>35</v>
      </c>
      <c r="H1251">
        <v>70.5</v>
      </c>
      <c r="I1251" s="217">
        <v>44112</v>
      </c>
      <c r="J1251" t="s">
        <v>3074</v>
      </c>
      <c r="K1251">
        <v>33.32</v>
      </c>
      <c r="L1251">
        <v>0.81200000000000006</v>
      </c>
      <c r="Q1251" s="4" t="s">
        <v>3076</v>
      </c>
      <c r="T1251" t="s">
        <v>3109</v>
      </c>
      <c r="U1251" t="s">
        <v>3529</v>
      </c>
      <c r="V1251" s="474" t="s">
        <v>3025</v>
      </c>
      <c r="W1251" s="29">
        <v>5</v>
      </c>
    </row>
    <row r="1252" spans="1:23">
      <c r="A1252">
        <v>2182</v>
      </c>
      <c r="B1252">
        <v>18</v>
      </c>
      <c r="C1252">
        <v>1.47</v>
      </c>
      <c r="D1252">
        <v>7.1</v>
      </c>
      <c r="E1252">
        <v>24.45</v>
      </c>
      <c r="F1252" s="69" t="s">
        <v>3514</v>
      </c>
      <c r="G1252">
        <v>32</v>
      </c>
      <c r="H1252">
        <v>73</v>
      </c>
      <c r="I1252" s="217">
        <v>44112</v>
      </c>
      <c r="J1252" t="s">
        <v>3074</v>
      </c>
      <c r="K1252">
        <v>33.479999999999997</v>
      </c>
      <c r="L1252">
        <v>0.28000000000000003</v>
      </c>
      <c r="Q1252" s="4" t="s">
        <v>3076</v>
      </c>
      <c r="T1252" t="s">
        <v>3109</v>
      </c>
      <c r="U1252" t="s">
        <v>3528</v>
      </c>
      <c r="V1252" s="475" t="s">
        <v>3013</v>
      </c>
      <c r="W1252" s="29">
        <v>6</v>
      </c>
    </row>
    <row r="1253" spans="1:23">
      <c r="A1253">
        <v>2192</v>
      </c>
      <c r="B1253">
        <v>18.399999999999999</v>
      </c>
      <c r="C1253">
        <v>1.52</v>
      </c>
      <c r="D1253">
        <v>7.12</v>
      </c>
      <c r="E1253">
        <v>24.42</v>
      </c>
      <c r="F1253" s="69" t="s">
        <v>3515</v>
      </c>
      <c r="G1253">
        <v>32</v>
      </c>
      <c r="H1253">
        <v>73</v>
      </c>
      <c r="I1253" s="217">
        <v>44112</v>
      </c>
      <c r="J1253" t="s">
        <v>3074</v>
      </c>
      <c r="K1253">
        <v>33.54</v>
      </c>
      <c r="L1253">
        <v>0.55200000000000005</v>
      </c>
      <c r="Q1253" s="4" t="s">
        <v>3076</v>
      </c>
      <c r="T1253" t="s">
        <v>3109</v>
      </c>
      <c r="U1253" t="s">
        <v>3527</v>
      </c>
      <c r="V1253" s="475" t="s">
        <v>3127</v>
      </c>
      <c r="W1253" s="29">
        <v>3</v>
      </c>
    </row>
    <row r="1254" spans="1:23" ht="24" customHeight="1">
      <c r="A1254" s="134">
        <v>2183</v>
      </c>
      <c r="B1254" s="134">
        <v>17.2</v>
      </c>
      <c r="C1254">
        <v>1.5</v>
      </c>
      <c r="D1254" s="301">
        <v>7.13</v>
      </c>
      <c r="E1254">
        <v>24.43</v>
      </c>
      <c r="F1254" s="69" t="s">
        <v>3530</v>
      </c>
      <c r="G1254">
        <v>10</v>
      </c>
      <c r="H1254">
        <v>73.900000000000006</v>
      </c>
      <c r="I1254" s="217">
        <v>44152</v>
      </c>
      <c r="J1254" t="s">
        <v>626</v>
      </c>
      <c r="K1254" s="13">
        <v>33.43</v>
      </c>
      <c r="L1254" s="13">
        <v>0.78400000000000003</v>
      </c>
      <c r="Q1254" s="34" t="s">
        <v>3076</v>
      </c>
      <c r="T1254" s="477" t="s">
        <v>3109</v>
      </c>
      <c r="U1254" t="s">
        <v>3536</v>
      </c>
      <c r="V1254" s="19" t="s">
        <v>3136</v>
      </c>
    </row>
    <row r="1255" spans="1:23">
      <c r="A1255" s="134">
        <v>2239</v>
      </c>
      <c r="B1255" s="134">
        <v>16.399999999999999</v>
      </c>
      <c r="C1255" s="478">
        <v>1.48</v>
      </c>
      <c r="D1255" s="301">
        <v>7.07</v>
      </c>
      <c r="E1255" s="478">
        <v>24.41</v>
      </c>
      <c r="F1255" s="69" t="s">
        <v>3531</v>
      </c>
      <c r="G1255">
        <v>11</v>
      </c>
      <c r="H1255">
        <v>71.599999999999994</v>
      </c>
      <c r="I1255" s="217">
        <v>44160</v>
      </c>
      <c r="J1255" t="s">
        <v>626</v>
      </c>
      <c r="K1255" s="13">
        <v>33.270000000000003</v>
      </c>
      <c r="L1255" s="13">
        <v>0.47099999999999997</v>
      </c>
      <c r="Q1255" s="4" t="s">
        <v>3076</v>
      </c>
      <c r="T1255" s="478" t="s">
        <v>3109</v>
      </c>
      <c r="U1255" s="478" t="s">
        <v>3537</v>
      </c>
      <c r="V1255" s="475" t="s">
        <v>3053</v>
      </c>
    </row>
    <row r="1256" spans="1:23" ht="24" customHeight="1">
      <c r="A1256" s="134">
        <v>2357</v>
      </c>
      <c r="B1256" s="134">
        <v>16.8</v>
      </c>
      <c r="C1256" s="301">
        <v>1.49</v>
      </c>
      <c r="D1256" s="301">
        <v>7.1</v>
      </c>
      <c r="E1256" s="301">
        <v>24.3</v>
      </c>
      <c r="F1256" s="69" t="s">
        <v>3532</v>
      </c>
      <c r="G1256" s="301">
        <v>19</v>
      </c>
      <c r="H1256" s="301">
        <v>74.099999999999994</v>
      </c>
      <c r="I1256" s="217">
        <v>44166</v>
      </c>
      <c r="J1256" t="s">
        <v>626</v>
      </c>
      <c r="K1256" s="13">
        <v>33.340000000000003</v>
      </c>
      <c r="L1256" s="13">
        <v>0.47599999999999998</v>
      </c>
      <c r="Q1256" s="4" t="s">
        <v>3076</v>
      </c>
      <c r="T1256" s="478" t="s">
        <v>3109</v>
      </c>
      <c r="U1256" t="s">
        <v>3581</v>
      </c>
      <c r="V1256" s="475" t="s">
        <v>2819</v>
      </c>
      <c r="W1256" s="29">
        <v>4</v>
      </c>
    </row>
    <row r="1257" spans="1:23">
      <c r="A1257" s="134">
        <v>1372</v>
      </c>
      <c r="B1257" s="478">
        <v>17.2</v>
      </c>
      <c r="C1257" s="478">
        <v>1.49</v>
      </c>
      <c r="D1257" s="478">
        <v>7.04</v>
      </c>
      <c r="E1257" s="478">
        <v>24.35</v>
      </c>
      <c r="F1257" s="346" t="s">
        <v>3534</v>
      </c>
      <c r="G1257">
        <v>10</v>
      </c>
      <c r="H1257">
        <v>73</v>
      </c>
      <c r="I1257" s="217">
        <v>44169</v>
      </c>
      <c r="J1257" t="s">
        <v>626</v>
      </c>
      <c r="K1257" s="13">
        <v>33.14</v>
      </c>
      <c r="L1257" s="13">
        <v>0.96899999999999997</v>
      </c>
      <c r="Q1257" s="4" t="s">
        <v>3076</v>
      </c>
      <c r="T1257" s="478" t="s">
        <v>3109</v>
      </c>
      <c r="U1257" t="s">
        <v>3535</v>
      </c>
      <c r="V1257" s="474" t="s">
        <v>3053</v>
      </c>
      <c r="W1257" s="29">
        <v>6</v>
      </c>
    </row>
    <row r="1258" spans="1:23">
      <c r="A1258" s="134">
        <v>2356</v>
      </c>
      <c r="B1258" s="418">
        <v>18.399999999999999</v>
      </c>
      <c r="C1258" s="301">
        <v>1.5</v>
      </c>
      <c r="D1258" s="301">
        <v>7.13</v>
      </c>
      <c r="E1258" s="301">
        <v>24.43</v>
      </c>
      <c r="F1258" s="69" t="s">
        <v>3541</v>
      </c>
      <c r="G1258" s="301">
        <v>10</v>
      </c>
      <c r="H1258" s="301">
        <v>72.5</v>
      </c>
      <c r="I1258" s="217">
        <v>44173</v>
      </c>
      <c r="J1258" t="s">
        <v>626</v>
      </c>
      <c r="K1258" s="13">
        <v>33.58</v>
      </c>
      <c r="L1258" s="13">
        <v>0.53</v>
      </c>
      <c r="Q1258" s="4" t="s">
        <v>3076</v>
      </c>
      <c r="T1258" s="478" t="s">
        <v>3109</v>
      </c>
      <c r="U1258" s="478" t="s">
        <v>3533</v>
      </c>
      <c r="V1258" s="474" t="s">
        <v>3208</v>
      </c>
      <c r="W1258" s="29">
        <v>4</v>
      </c>
    </row>
    <row r="1259" spans="1:23">
      <c r="A1259" s="134">
        <v>2184</v>
      </c>
      <c r="B1259" s="134">
        <v>18</v>
      </c>
      <c r="C1259" s="478">
        <v>1.5</v>
      </c>
      <c r="D1259" s="301">
        <v>7.11</v>
      </c>
      <c r="E1259" s="478">
        <v>24.46</v>
      </c>
      <c r="F1259" s="69" t="s">
        <v>3542</v>
      </c>
      <c r="G1259">
        <v>10</v>
      </c>
      <c r="H1259">
        <v>74.099999999999994</v>
      </c>
      <c r="I1259" s="217">
        <v>44173</v>
      </c>
      <c r="J1259" s="478" t="s">
        <v>626</v>
      </c>
      <c r="K1259" s="13">
        <v>33.31</v>
      </c>
      <c r="L1259" s="13">
        <v>0.81299999999999994</v>
      </c>
      <c r="Q1259" s="4" t="s">
        <v>3076</v>
      </c>
      <c r="T1259" s="478" t="s">
        <v>3109</v>
      </c>
      <c r="U1259" s="478" t="s">
        <v>3581</v>
      </c>
      <c r="V1259" s="471" t="s">
        <v>3065</v>
      </c>
      <c r="W1259" s="29">
        <v>4</v>
      </c>
    </row>
    <row r="1260" spans="1:23">
      <c r="A1260" s="134">
        <v>2262</v>
      </c>
      <c r="B1260" s="134">
        <v>19</v>
      </c>
      <c r="C1260" s="478">
        <v>1.51</v>
      </c>
      <c r="D1260" s="301">
        <v>7.1</v>
      </c>
      <c r="E1260" s="478">
        <v>24.39</v>
      </c>
      <c r="F1260" s="69" t="s">
        <v>3543</v>
      </c>
      <c r="G1260" s="301">
        <v>10</v>
      </c>
      <c r="H1260" s="301">
        <v>74.3</v>
      </c>
      <c r="I1260" s="217">
        <v>44173</v>
      </c>
      <c r="J1260" s="478" t="s">
        <v>626</v>
      </c>
      <c r="K1260" s="13">
        <v>33.36</v>
      </c>
      <c r="L1260" s="13">
        <v>0.438</v>
      </c>
      <c r="Q1260" s="4" t="s">
        <v>3076</v>
      </c>
      <c r="T1260" s="478" t="s">
        <v>3109</v>
      </c>
      <c r="U1260" s="478" t="s">
        <v>3582</v>
      </c>
      <c r="V1260" s="464" t="s">
        <v>3025</v>
      </c>
      <c r="W1260" s="29">
        <v>4</v>
      </c>
    </row>
    <row r="1261" spans="1:23" s="478" customFormat="1">
      <c r="A1261" s="134">
        <v>2358</v>
      </c>
      <c r="B1261" s="134">
        <v>18.8</v>
      </c>
      <c r="C1261" s="301">
        <v>1.54</v>
      </c>
      <c r="D1261" s="301">
        <v>7.1</v>
      </c>
      <c r="E1261" s="301">
        <v>24.31</v>
      </c>
      <c r="F1261" s="327" t="s">
        <v>3544</v>
      </c>
      <c r="G1261" s="301">
        <v>15</v>
      </c>
      <c r="H1261" s="301">
        <v>73.2</v>
      </c>
      <c r="I1261" s="217">
        <v>44176</v>
      </c>
      <c r="J1261" s="478" t="s">
        <v>626</v>
      </c>
      <c r="K1261" s="13">
        <v>33.229999999999997</v>
      </c>
      <c r="L1261" s="13">
        <v>0.186</v>
      </c>
      <c r="Q1261" s="4" t="s">
        <v>3076</v>
      </c>
      <c r="T1261" s="478" t="s">
        <v>3109</v>
      </c>
      <c r="U1261" s="478" t="s">
        <v>3844</v>
      </c>
      <c r="V1261" s="479" t="s">
        <v>3024</v>
      </c>
      <c r="W1261" s="581" t="s">
        <v>3545</v>
      </c>
    </row>
    <row r="1262" spans="1:23" s="478" customFormat="1">
      <c r="A1262" s="134">
        <v>2064</v>
      </c>
      <c r="B1262" s="136">
        <v>17.600000000000001</v>
      </c>
      <c r="C1262" s="478">
        <v>1.48</v>
      </c>
      <c r="D1262" s="478">
        <v>7.1</v>
      </c>
      <c r="E1262" s="478">
        <v>24.3</v>
      </c>
      <c r="F1262" s="69" t="s">
        <v>3546</v>
      </c>
      <c r="G1262" s="301">
        <v>16</v>
      </c>
      <c r="H1262" s="301">
        <v>74.3</v>
      </c>
      <c r="I1262" s="217">
        <v>44176</v>
      </c>
      <c r="J1262" s="478" t="s">
        <v>626</v>
      </c>
      <c r="K1262" s="13">
        <v>33.21</v>
      </c>
      <c r="L1262" s="13">
        <v>0.125</v>
      </c>
      <c r="Q1262" s="4" t="s">
        <v>3076</v>
      </c>
      <c r="T1262" s="478" t="s">
        <v>3109</v>
      </c>
      <c r="U1262" s="478" t="s">
        <v>3580</v>
      </c>
      <c r="V1262" s="479" t="s">
        <v>3157</v>
      </c>
      <c r="W1262" s="29">
        <v>4</v>
      </c>
    </row>
    <row r="1263" spans="1:23" s="478" customFormat="1">
      <c r="A1263" s="136">
        <v>2274</v>
      </c>
      <c r="B1263" s="134">
        <v>18.8</v>
      </c>
      <c r="C1263" s="478">
        <v>1.49</v>
      </c>
      <c r="D1263" s="301">
        <v>7.14</v>
      </c>
      <c r="E1263" s="62">
        <v>24.26</v>
      </c>
      <c r="F1263" s="327" t="s">
        <v>3547</v>
      </c>
      <c r="G1263" s="62"/>
      <c r="I1263" s="217">
        <v>44179</v>
      </c>
      <c r="J1263" s="478" t="s">
        <v>626</v>
      </c>
      <c r="Q1263" s="4" t="s">
        <v>3076</v>
      </c>
      <c r="T1263" s="478" t="s">
        <v>3109</v>
      </c>
      <c r="U1263" s="478" t="s">
        <v>3548</v>
      </c>
      <c r="V1263" s="479"/>
      <c r="W1263" s="29"/>
    </row>
    <row r="1264" spans="1:23" s="478" customFormat="1">
      <c r="A1264" s="136">
        <v>2274</v>
      </c>
      <c r="B1264" s="134">
        <v>18.8</v>
      </c>
      <c r="C1264" s="478">
        <v>1.49</v>
      </c>
      <c r="D1264" s="301">
        <v>7.14</v>
      </c>
      <c r="E1264" s="62">
        <v>24.26</v>
      </c>
      <c r="F1264" s="327" t="s">
        <v>3549</v>
      </c>
      <c r="G1264" s="62"/>
      <c r="I1264" s="217">
        <v>44179</v>
      </c>
      <c r="J1264" s="478" t="s">
        <v>626</v>
      </c>
      <c r="Q1264" s="4" t="s">
        <v>3076</v>
      </c>
      <c r="T1264" s="478" t="s">
        <v>3109</v>
      </c>
      <c r="U1264" s="478" t="s">
        <v>3550</v>
      </c>
      <c r="V1264" s="480"/>
      <c r="W1264" s="29"/>
    </row>
    <row r="1265" spans="1:23" s="478" customFormat="1">
      <c r="A1265" s="136">
        <v>2274</v>
      </c>
      <c r="B1265" s="134">
        <v>18.8</v>
      </c>
      <c r="C1265" s="478">
        <v>1.49</v>
      </c>
      <c r="D1265" s="301">
        <v>7.14</v>
      </c>
      <c r="E1265" s="478">
        <v>24.26</v>
      </c>
      <c r="F1265" s="327" t="s">
        <v>3551</v>
      </c>
      <c r="G1265" s="481">
        <v>10</v>
      </c>
      <c r="H1265" s="301">
        <v>73.900000000000006</v>
      </c>
      <c r="I1265" s="217">
        <v>44179</v>
      </c>
      <c r="J1265" s="478" t="s">
        <v>626</v>
      </c>
      <c r="K1265" s="478">
        <v>33.380000000000003</v>
      </c>
      <c r="L1265" s="478">
        <v>0.72599999999999998</v>
      </c>
      <c r="Q1265" s="4" t="s">
        <v>3076</v>
      </c>
      <c r="T1265" s="478" t="s">
        <v>3109</v>
      </c>
      <c r="U1265" s="478" t="s">
        <v>3552</v>
      </c>
      <c r="V1265" s="480" t="s">
        <v>3553</v>
      </c>
      <c r="W1265" s="29">
        <v>6</v>
      </c>
    </row>
    <row r="1266" spans="1:23" s="478" customFormat="1">
      <c r="A1266" s="136">
        <v>2274</v>
      </c>
      <c r="B1266" s="134">
        <v>18.8</v>
      </c>
      <c r="C1266" s="478">
        <v>1.49</v>
      </c>
      <c r="D1266" s="301">
        <v>7.14</v>
      </c>
      <c r="E1266" s="478">
        <v>24.26</v>
      </c>
      <c r="F1266" s="69" t="s">
        <v>3554</v>
      </c>
      <c r="G1266" s="481">
        <v>10</v>
      </c>
      <c r="H1266" s="301">
        <v>73.900000000000006</v>
      </c>
      <c r="I1266" s="217">
        <v>44179</v>
      </c>
      <c r="J1266" s="478" t="s">
        <v>626</v>
      </c>
      <c r="K1266" s="478">
        <v>33.32</v>
      </c>
      <c r="L1266" s="478">
        <v>0.45600000000000002</v>
      </c>
      <c r="Q1266" s="4" t="s">
        <v>3076</v>
      </c>
      <c r="T1266" s="478" t="s">
        <v>3109</v>
      </c>
      <c r="U1266" s="478" t="s">
        <v>3584</v>
      </c>
      <c r="V1266" s="479" t="s">
        <v>3555</v>
      </c>
      <c r="W1266" s="29">
        <v>6</v>
      </c>
    </row>
    <row r="1267" spans="1:23" s="478" customFormat="1">
      <c r="A1267" s="134">
        <v>2086</v>
      </c>
      <c r="B1267" s="134">
        <v>18</v>
      </c>
      <c r="C1267" s="478">
        <v>1.46</v>
      </c>
      <c r="D1267" s="301">
        <v>7.14</v>
      </c>
      <c r="E1267" s="478">
        <v>24.43</v>
      </c>
      <c r="F1267" s="69" t="s">
        <v>3556</v>
      </c>
      <c r="G1267" s="168">
        <v>10</v>
      </c>
      <c r="H1267" s="301">
        <v>73.8</v>
      </c>
      <c r="I1267" s="217">
        <v>44180</v>
      </c>
      <c r="J1267" s="478" t="s">
        <v>626</v>
      </c>
      <c r="K1267" s="478">
        <v>33.369999999999997</v>
      </c>
      <c r="L1267" s="478">
        <v>0.16900000000000001</v>
      </c>
      <c r="Q1267" s="4" t="s">
        <v>3076</v>
      </c>
      <c r="T1267" s="478" t="s">
        <v>3109</v>
      </c>
      <c r="U1267" s="478" t="s">
        <v>3557</v>
      </c>
      <c r="V1267" s="479" t="s">
        <v>2955</v>
      </c>
      <c r="W1267" s="29">
        <v>5</v>
      </c>
    </row>
    <row r="1268" spans="1:23" s="478" customFormat="1">
      <c r="A1268" s="418">
        <v>2249</v>
      </c>
      <c r="B1268" s="134">
        <v>17.2</v>
      </c>
      <c r="C1268" s="301">
        <v>1.5</v>
      </c>
      <c r="D1268" s="301">
        <v>7.11</v>
      </c>
      <c r="E1268" s="301">
        <v>24.31</v>
      </c>
      <c r="F1268" s="69" t="s">
        <v>3558</v>
      </c>
      <c r="G1268" s="168">
        <v>10</v>
      </c>
      <c r="H1268" s="301">
        <v>73.8</v>
      </c>
      <c r="I1268" s="217">
        <v>44180</v>
      </c>
      <c r="J1268" s="478" t="s">
        <v>626</v>
      </c>
      <c r="K1268" s="478">
        <v>33.340000000000003</v>
      </c>
      <c r="L1268" s="478">
        <v>0.58099999999999996</v>
      </c>
      <c r="Q1268" s="4" t="s">
        <v>3076</v>
      </c>
      <c r="T1268" s="478" t="s">
        <v>3109</v>
      </c>
      <c r="U1268" s="478" t="s">
        <v>3585</v>
      </c>
      <c r="V1268" s="479" t="s">
        <v>3237</v>
      </c>
      <c r="W1268" s="29">
        <v>2</v>
      </c>
    </row>
    <row r="1269" spans="1:23" s="478" customFormat="1" ht="25.5" customHeight="1">
      <c r="A1269" s="418">
        <v>2410</v>
      </c>
      <c r="B1269" s="134">
        <v>16.8</v>
      </c>
      <c r="C1269" s="301">
        <v>1.51</v>
      </c>
      <c r="D1269" s="301">
        <v>7.09</v>
      </c>
      <c r="E1269" s="301">
        <v>24.41</v>
      </c>
      <c r="F1269" s="69" t="s">
        <v>3560</v>
      </c>
      <c r="G1269" s="168">
        <v>20</v>
      </c>
      <c r="H1269" s="301">
        <v>72</v>
      </c>
      <c r="I1269" s="217">
        <v>44207</v>
      </c>
      <c r="J1269" s="478" t="s">
        <v>3074</v>
      </c>
      <c r="K1269" s="478">
        <v>33.49</v>
      </c>
      <c r="L1269" s="478">
        <v>0.51100000000000001</v>
      </c>
      <c r="Q1269" s="4" t="s">
        <v>3076</v>
      </c>
      <c r="T1269" s="478" t="s">
        <v>3109</v>
      </c>
      <c r="U1269" s="478" t="s">
        <v>3650</v>
      </c>
      <c r="V1269" s="483" t="s">
        <v>3559</v>
      </c>
      <c r="W1269" s="29">
        <v>5</v>
      </c>
    </row>
    <row r="1270" spans="1:23" s="478" customFormat="1">
      <c r="A1270" s="418">
        <v>2412</v>
      </c>
      <c r="B1270" s="134">
        <v>16.8</v>
      </c>
      <c r="C1270" s="301">
        <v>1.52</v>
      </c>
      <c r="D1270" s="301">
        <v>7.1</v>
      </c>
      <c r="E1270" s="301">
        <v>24.31</v>
      </c>
      <c r="F1270" s="69" t="s">
        <v>3561</v>
      </c>
      <c r="G1270" s="168">
        <v>20</v>
      </c>
      <c r="H1270" s="301">
        <v>72</v>
      </c>
      <c r="I1270" s="217">
        <v>44207</v>
      </c>
      <c r="J1270" s="478" t="s">
        <v>3074</v>
      </c>
      <c r="K1270" s="478">
        <v>33.49</v>
      </c>
      <c r="L1270" s="478">
        <v>0.81699999999999995</v>
      </c>
      <c r="Q1270" s="4" t="s">
        <v>3076</v>
      </c>
      <c r="T1270" s="478" t="s">
        <v>3109</v>
      </c>
      <c r="U1270" s="478" t="s">
        <v>3601</v>
      </c>
      <c r="V1270" s="483" t="s">
        <v>3024</v>
      </c>
      <c r="W1270" s="29">
        <v>5</v>
      </c>
    </row>
    <row r="1271" spans="1:23" s="478" customFormat="1">
      <c r="A1271" s="418">
        <v>2419</v>
      </c>
      <c r="B1271" s="134">
        <v>18.399999999999999</v>
      </c>
      <c r="C1271" s="301">
        <v>1.5</v>
      </c>
      <c r="D1271" s="301">
        <v>7.09</v>
      </c>
      <c r="E1271" s="301">
        <v>24.37</v>
      </c>
      <c r="F1271" s="69" t="s">
        <v>3562</v>
      </c>
      <c r="G1271" s="168">
        <v>15</v>
      </c>
      <c r="H1271" s="301">
        <v>72.3</v>
      </c>
      <c r="I1271" s="217">
        <v>44208</v>
      </c>
      <c r="J1271" s="478" t="s">
        <v>3074</v>
      </c>
      <c r="K1271" s="478">
        <v>33.65</v>
      </c>
      <c r="L1271" s="478">
        <v>0.89100000000000001</v>
      </c>
      <c r="Q1271" s="4" t="s">
        <v>3076</v>
      </c>
      <c r="T1271" s="478" t="s">
        <v>3109</v>
      </c>
      <c r="U1271" s="478" t="s">
        <v>3738</v>
      </c>
      <c r="V1271" s="484" t="s">
        <v>3559</v>
      </c>
      <c r="W1271" s="29">
        <v>5</v>
      </c>
    </row>
    <row r="1272" spans="1:23" s="478" customFormat="1">
      <c r="A1272" s="418">
        <v>2413</v>
      </c>
      <c r="B1272" s="134">
        <v>16.2</v>
      </c>
      <c r="C1272" s="301">
        <v>1.48</v>
      </c>
      <c r="D1272" s="301">
        <v>7.1</v>
      </c>
      <c r="E1272" s="301">
        <v>24.34</v>
      </c>
      <c r="F1272" s="495" t="s">
        <v>3563</v>
      </c>
      <c r="G1272" s="168">
        <v>15</v>
      </c>
      <c r="H1272" s="301">
        <v>72.3</v>
      </c>
      <c r="I1272" s="217">
        <v>44208</v>
      </c>
      <c r="J1272" s="478" t="s">
        <v>3074</v>
      </c>
      <c r="K1272" s="478">
        <v>33.590000000000003</v>
      </c>
      <c r="L1272" s="478">
        <v>0.41599999999999998</v>
      </c>
      <c r="Q1272" s="4" t="s">
        <v>3076</v>
      </c>
      <c r="T1272" s="478" t="s">
        <v>3109</v>
      </c>
      <c r="U1272" s="478" t="s">
        <v>3600</v>
      </c>
      <c r="V1272" s="483" t="s">
        <v>2713</v>
      </c>
      <c r="W1272" s="29">
        <v>2</v>
      </c>
    </row>
    <row r="1273" spans="1:23" s="478" customFormat="1">
      <c r="A1273" s="418">
        <v>2416</v>
      </c>
      <c r="B1273" s="134">
        <v>18.8</v>
      </c>
      <c r="C1273" s="301">
        <v>1.51</v>
      </c>
      <c r="D1273" s="301">
        <v>7.13</v>
      </c>
      <c r="E1273" s="301">
        <v>24.35</v>
      </c>
      <c r="F1273" s="69" t="s">
        <v>3564</v>
      </c>
      <c r="G1273" s="168">
        <v>11</v>
      </c>
      <c r="H1273" s="301">
        <v>70.7</v>
      </c>
      <c r="I1273" s="217">
        <v>44209</v>
      </c>
      <c r="J1273" s="478" t="s">
        <v>3074</v>
      </c>
      <c r="K1273" s="478">
        <v>33.58</v>
      </c>
      <c r="L1273" s="478">
        <v>0.45</v>
      </c>
      <c r="Q1273" s="4" t="s">
        <v>3076</v>
      </c>
      <c r="T1273" s="478" t="s">
        <v>3109</v>
      </c>
      <c r="U1273" s="478" t="s">
        <v>3600</v>
      </c>
      <c r="V1273" s="483" t="s">
        <v>3012</v>
      </c>
      <c r="W1273" s="29">
        <v>4</v>
      </c>
    </row>
    <row r="1274" spans="1:23" s="478" customFormat="1">
      <c r="A1274" s="418">
        <v>2418</v>
      </c>
      <c r="B1274" s="134">
        <v>16.399999999999999</v>
      </c>
      <c r="C1274" s="301">
        <v>1.48</v>
      </c>
      <c r="D1274" s="301">
        <v>7.14</v>
      </c>
      <c r="E1274" s="301">
        <v>24.41</v>
      </c>
      <c r="F1274" s="327" t="s">
        <v>3565</v>
      </c>
      <c r="G1274" s="168">
        <v>11</v>
      </c>
      <c r="H1274" s="301">
        <v>70.7</v>
      </c>
      <c r="I1274" s="217">
        <v>44209</v>
      </c>
      <c r="J1274" s="478" t="s">
        <v>3074</v>
      </c>
      <c r="K1274" s="478">
        <v>33.65</v>
      </c>
      <c r="Q1274" s="4"/>
      <c r="T1274" s="478" t="s">
        <v>3109</v>
      </c>
      <c r="V1274" s="483"/>
      <c r="W1274" s="29"/>
    </row>
    <row r="1275" spans="1:23" s="478" customFormat="1">
      <c r="A1275" s="418">
        <v>2418</v>
      </c>
      <c r="B1275" s="134">
        <v>16.399999999999999</v>
      </c>
      <c r="C1275" s="301">
        <v>1.48</v>
      </c>
      <c r="D1275" s="301">
        <v>7.14</v>
      </c>
      <c r="E1275" s="301">
        <v>24.41</v>
      </c>
      <c r="F1275" s="69" t="s">
        <v>3577</v>
      </c>
      <c r="G1275" s="168">
        <v>20</v>
      </c>
      <c r="H1275" s="301">
        <v>72.5</v>
      </c>
      <c r="I1275" s="217">
        <v>44210</v>
      </c>
      <c r="J1275" s="478" t="s">
        <v>3074</v>
      </c>
      <c r="K1275" s="478">
        <v>33.65</v>
      </c>
      <c r="L1275" s="478">
        <v>0.57399999999999995</v>
      </c>
      <c r="Q1275" s="4" t="s">
        <v>3076</v>
      </c>
      <c r="T1275" s="478" t="s">
        <v>3109</v>
      </c>
      <c r="U1275" s="478" t="s">
        <v>3599</v>
      </c>
      <c r="V1275" s="486" t="s">
        <v>2769</v>
      </c>
      <c r="W1275" s="29">
        <v>2</v>
      </c>
    </row>
    <row r="1276" spans="1:23" s="478" customFormat="1">
      <c r="A1276" s="418">
        <v>2409</v>
      </c>
      <c r="B1276" s="134">
        <v>18</v>
      </c>
      <c r="C1276" s="301">
        <v>1.53</v>
      </c>
      <c r="D1276" s="301">
        <v>7.1</v>
      </c>
      <c r="E1276" s="301">
        <v>24.4</v>
      </c>
      <c r="F1276" s="327" t="s">
        <v>3566</v>
      </c>
      <c r="G1276" s="168">
        <v>10</v>
      </c>
      <c r="H1276" s="301">
        <v>72.3</v>
      </c>
      <c r="I1276" s="217">
        <v>44209</v>
      </c>
      <c r="J1276" s="478" t="s">
        <v>3074</v>
      </c>
      <c r="K1276" s="478">
        <v>33.5</v>
      </c>
      <c r="L1276" s="478">
        <v>0.90400000000000003</v>
      </c>
      <c r="Q1276" s="4" t="s">
        <v>3076</v>
      </c>
      <c r="T1276" s="478" t="s">
        <v>3109</v>
      </c>
      <c r="U1276" s="478" t="s">
        <v>3567</v>
      </c>
      <c r="V1276" s="483" t="s">
        <v>3568</v>
      </c>
      <c r="W1276" s="29">
        <v>3</v>
      </c>
    </row>
    <row r="1277" spans="1:23" s="478" customFormat="1">
      <c r="A1277" s="418">
        <v>2405</v>
      </c>
      <c r="B1277" s="134">
        <v>18</v>
      </c>
      <c r="C1277" s="301">
        <v>1.51</v>
      </c>
      <c r="D1277" s="301">
        <v>7.08</v>
      </c>
      <c r="E1277" s="301">
        <v>24.33</v>
      </c>
      <c r="F1277" s="327" t="s">
        <v>3569</v>
      </c>
      <c r="G1277" s="168">
        <v>10</v>
      </c>
      <c r="H1277" s="301">
        <v>72.3</v>
      </c>
      <c r="I1277" s="217">
        <v>44209</v>
      </c>
      <c r="J1277" s="478" t="s">
        <v>3074</v>
      </c>
      <c r="K1277" s="478">
        <v>33.380000000000003</v>
      </c>
      <c r="L1277" s="478">
        <v>0.89200000000000002</v>
      </c>
      <c r="Q1277" s="4" t="s">
        <v>3076</v>
      </c>
      <c r="T1277" s="478" t="s">
        <v>3109</v>
      </c>
      <c r="U1277" s="478" t="s">
        <v>3570</v>
      </c>
      <c r="V1277" s="483" t="s">
        <v>3571</v>
      </c>
      <c r="W1277" s="29"/>
    </row>
    <row r="1278" spans="1:23" s="478" customFormat="1">
      <c r="A1278" s="418">
        <v>2404</v>
      </c>
      <c r="B1278" s="134">
        <v>16</v>
      </c>
      <c r="C1278" s="301">
        <v>1.48</v>
      </c>
      <c r="D1278" s="301">
        <v>7.09</v>
      </c>
      <c r="E1278" s="301">
        <v>24.43</v>
      </c>
      <c r="F1278" s="69" t="s">
        <v>3572</v>
      </c>
      <c r="G1278" s="168">
        <v>20</v>
      </c>
      <c r="H1278" s="301">
        <v>70.2</v>
      </c>
      <c r="I1278" s="217">
        <v>44210</v>
      </c>
      <c r="J1278" s="478" t="s">
        <v>3074</v>
      </c>
      <c r="K1278" s="478">
        <v>33.51</v>
      </c>
      <c r="L1278" s="478">
        <v>0.97599999999999998</v>
      </c>
      <c r="Q1278" s="4" t="s">
        <v>3076</v>
      </c>
      <c r="T1278" s="478" t="s">
        <v>3109</v>
      </c>
      <c r="U1278" s="478" t="s">
        <v>3598</v>
      </c>
      <c r="V1278" s="485" t="s">
        <v>2710</v>
      </c>
      <c r="W1278" s="29">
        <v>6</v>
      </c>
    </row>
    <row r="1279" spans="1:23" s="478" customFormat="1">
      <c r="A1279" s="418">
        <v>2407</v>
      </c>
      <c r="B1279" s="134">
        <v>17.600000000000001</v>
      </c>
      <c r="C1279" s="301">
        <v>1.5</v>
      </c>
      <c r="D1279" s="301">
        <v>7.08</v>
      </c>
      <c r="E1279" s="301">
        <v>24.38</v>
      </c>
      <c r="F1279" s="69" t="s">
        <v>3573</v>
      </c>
      <c r="G1279" s="168">
        <v>20</v>
      </c>
      <c r="H1279" s="301">
        <v>70.2</v>
      </c>
      <c r="I1279" s="217">
        <v>44210</v>
      </c>
      <c r="J1279" s="478" t="s">
        <v>3074</v>
      </c>
      <c r="K1279" s="478">
        <v>33.39</v>
      </c>
      <c r="L1279" s="478">
        <v>0.68400000000000005</v>
      </c>
      <c r="Q1279" s="4" t="s">
        <v>3076</v>
      </c>
      <c r="T1279" s="478" t="s">
        <v>3109</v>
      </c>
      <c r="U1279" s="478" t="s">
        <v>3823</v>
      </c>
      <c r="V1279" s="485" t="s">
        <v>3013</v>
      </c>
      <c r="W1279" s="29">
        <v>5</v>
      </c>
    </row>
    <row r="1280" spans="1:23" s="478" customFormat="1">
      <c r="A1280" s="418">
        <v>2406</v>
      </c>
      <c r="B1280" s="134">
        <v>16.399999999999999</v>
      </c>
      <c r="C1280" s="301">
        <v>1.5</v>
      </c>
      <c r="D1280" s="301">
        <v>7.11</v>
      </c>
      <c r="E1280" s="301">
        <v>24.45</v>
      </c>
      <c r="F1280" s="69" t="s">
        <v>3574</v>
      </c>
      <c r="G1280" s="168">
        <v>20</v>
      </c>
      <c r="H1280" s="301">
        <v>70.2</v>
      </c>
      <c r="I1280" s="217">
        <v>44210</v>
      </c>
      <c r="J1280" s="478" t="s">
        <v>3074</v>
      </c>
      <c r="K1280" s="478">
        <v>33.53</v>
      </c>
      <c r="L1280" s="478">
        <v>0.75600000000000001</v>
      </c>
      <c r="Q1280" s="4" t="s">
        <v>3076</v>
      </c>
      <c r="T1280" s="478" t="s">
        <v>3109</v>
      </c>
      <c r="U1280" s="478" t="s">
        <v>3596</v>
      </c>
      <c r="V1280" s="485" t="s">
        <v>3575</v>
      </c>
      <c r="W1280" s="29">
        <v>7</v>
      </c>
    </row>
    <row r="1281" spans="1:23" s="478" customFormat="1">
      <c r="A1281" s="418">
        <v>2408</v>
      </c>
      <c r="B1281" s="134">
        <v>18.600000000000001</v>
      </c>
      <c r="C1281" s="301">
        <v>1.5</v>
      </c>
      <c r="D1281" s="301">
        <v>7.12</v>
      </c>
      <c r="E1281" s="301">
        <v>24.4</v>
      </c>
      <c r="F1281" s="69" t="s">
        <v>3576</v>
      </c>
      <c r="G1281" s="168">
        <v>20</v>
      </c>
      <c r="H1281" s="301">
        <v>72.5</v>
      </c>
      <c r="I1281" s="217">
        <v>44210</v>
      </c>
      <c r="J1281" s="478" t="s">
        <v>3074</v>
      </c>
      <c r="K1281" s="478">
        <v>33.619999999999997</v>
      </c>
      <c r="L1281" s="478">
        <v>0.97899999999999998</v>
      </c>
      <c r="Q1281" s="4" t="s">
        <v>3076</v>
      </c>
      <c r="T1281" s="478" t="s">
        <v>3109</v>
      </c>
      <c r="U1281" s="478" t="s">
        <v>3597</v>
      </c>
      <c r="V1281" s="486" t="s">
        <v>3157</v>
      </c>
      <c r="W1281" s="29">
        <v>6</v>
      </c>
    </row>
    <row r="1282" spans="1:23" ht="27.75" customHeight="1">
      <c r="A1282" s="134">
        <v>2351</v>
      </c>
      <c r="B1282" s="134">
        <v>17.600000000000001</v>
      </c>
      <c r="C1282" s="478">
        <v>1.48</v>
      </c>
      <c r="D1282" s="478">
        <v>7.09</v>
      </c>
      <c r="E1282" s="478">
        <v>24.44</v>
      </c>
      <c r="F1282" s="45" t="s">
        <v>3586</v>
      </c>
      <c r="G1282" s="168">
        <v>10</v>
      </c>
      <c r="H1282" s="301">
        <v>71.2</v>
      </c>
      <c r="I1282" s="217">
        <v>44236</v>
      </c>
      <c r="J1282" s="478" t="s">
        <v>3074</v>
      </c>
      <c r="K1282">
        <v>33.35</v>
      </c>
      <c r="L1282">
        <v>0.20300000000000001</v>
      </c>
      <c r="Q1282" s="4" t="s">
        <v>3076</v>
      </c>
      <c r="T1282" s="478" t="s">
        <v>3109</v>
      </c>
      <c r="U1282" t="s">
        <v>3587</v>
      </c>
      <c r="V1282" s="407" t="s">
        <v>3026</v>
      </c>
      <c r="W1282" s="29">
        <v>5</v>
      </c>
    </row>
    <row r="1283" spans="1:23" s="478" customFormat="1">
      <c r="A1283" s="418">
        <v>1949</v>
      </c>
      <c r="B1283" s="134">
        <v>16.399999999999999</v>
      </c>
      <c r="C1283" s="301">
        <v>1.49</v>
      </c>
      <c r="D1283" s="301">
        <v>7.06</v>
      </c>
      <c r="E1283" s="301">
        <v>24.35</v>
      </c>
      <c r="F1283" s="69" t="s">
        <v>3588</v>
      </c>
      <c r="G1283" s="168">
        <v>10</v>
      </c>
      <c r="H1283" s="301">
        <v>71.2</v>
      </c>
      <c r="I1283" s="217">
        <v>44236</v>
      </c>
      <c r="J1283" s="478" t="s">
        <v>3074</v>
      </c>
      <c r="K1283" s="478">
        <v>33.35</v>
      </c>
      <c r="L1283" s="478">
        <v>0.93700000000000006</v>
      </c>
      <c r="Q1283" s="4" t="s">
        <v>3076</v>
      </c>
      <c r="T1283" s="478" t="s">
        <v>3109</v>
      </c>
      <c r="U1283" s="478" t="s">
        <v>3677</v>
      </c>
      <c r="V1283" s="486" t="s">
        <v>3237</v>
      </c>
      <c r="W1283" s="29">
        <v>3</v>
      </c>
    </row>
    <row r="1284" spans="1:23" s="478" customFormat="1">
      <c r="A1284" s="418">
        <v>2147</v>
      </c>
      <c r="B1284" s="134">
        <v>18</v>
      </c>
      <c r="C1284" s="301">
        <v>1.47</v>
      </c>
      <c r="D1284" s="301">
        <v>7.13</v>
      </c>
      <c r="E1284" s="301">
        <v>24.39</v>
      </c>
      <c r="F1284" s="69" t="s">
        <v>3595</v>
      </c>
      <c r="G1284" s="168">
        <v>10</v>
      </c>
      <c r="H1284" s="301">
        <v>72</v>
      </c>
      <c r="I1284" s="217">
        <v>44236</v>
      </c>
      <c r="J1284" s="478" t="s">
        <v>3074</v>
      </c>
      <c r="K1284" s="478">
        <v>33.450000000000003</v>
      </c>
      <c r="L1284" s="478">
        <v>0.69399999999999995</v>
      </c>
      <c r="Q1284" s="4" t="s">
        <v>3076</v>
      </c>
      <c r="T1284" s="478" t="s">
        <v>3109</v>
      </c>
      <c r="U1284" s="478" t="s">
        <v>3837</v>
      </c>
      <c r="V1284" s="486" t="s">
        <v>3027</v>
      </c>
      <c r="W1284" s="29">
        <v>4</v>
      </c>
    </row>
    <row r="1285" spans="1:23" s="478" customFormat="1">
      <c r="A1285" s="418">
        <v>2254</v>
      </c>
      <c r="B1285" s="134">
        <v>17.2</v>
      </c>
      <c r="C1285" s="301">
        <v>1.49</v>
      </c>
      <c r="D1285" s="301">
        <v>7.15</v>
      </c>
      <c r="E1285" s="301">
        <v>24.41</v>
      </c>
      <c r="F1285" s="327" t="s">
        <v>3589</v>
      </c>
      <c r="G1285" s="168">
        <v>10</v>
      </c>
      <c r="H1285" s="301">
        <v>71.8</v>
      </c>
      <c r="I1285" s="217">
        <v>44237</v>
      </c>
      <c r="J1285" s="478" t="s">
        <v>3074</v>
      </c>
      <c r="K1285" s="478">
        <v>33.520000000000003</v>
      </c>
      <c r="Q1285" s="4"/>
      <c r="T1285" s="478" t="s">
        <v>3109</v>
      </c>
      <c r="V1285" s="486"/>
      <c r="W1285" s="29"/>
    </row>
    <row r="1286" spans="1:23" s="478" customFormat="1">
      <c r="A1286" s="418">
        <v>2254</v>
      </c>
      <c r="B1286" s="134">
        <v>17.2</v>
      </c>
      <c r="C1286" s="301">
        <v>1.49</v>
      </c>
      <c r="D1286" s="301">
        <v>7.15</v>
      </c>
      <c r="E1286" s="301">
        <v>24.41</v>
      </c>
      <c r="F1286" s="69" t="s">
        <v>3590</v>
      </c>
      <c r="G1286" s="168">
        <v>10</v>
      </c>
      <c r="H1286" s="301">
        <v>71.8</v>
      </c>
      <c r="I1286" s="217">
        <v>44237</v>
      </c>
      <c r="J1286" s="478" t="s">
        <v>3074</v>
      </c>
      <c r="K1286" s="478">
        <v>33.5</v>
      </c>
      <c r="L1286" s="478">
        <v>0.83699999999999997</v>
      </c>
      <c r="Q1286" s="4" t="s">
        <v>3076</v>
      </c>
      <c r="T1286" s="478" t="s">
        <v>3109</v>
      </c>
      <c r="U1286" s="478" t="s">
        <v>3675</v>
      </c>
      <c r="V1286" s="486" t="s">
        <v>3277</v>
      </c>
      <c r="W1286" s="29">
        <v>4</v>
      </c>
    </row>
    <row r="1287" spans="1:23" s="478" customFormat="1">
      <c r="A1287" s="418">
        <v>2372</v>
      </c>
      <c r="B1287" s="134">
        <v>16.399999999999999</v>
      </c>
      <c r="C1287" s="301">
        <v>1.5</v>
      </c>
      <c r="D1287" s="301">
        <v>7.08</v>
      </c>
      <c r="E1287" s="301">
        <v>24.44</v>
      </c>
      <c r="F1287" s="69" t="s">
        <v>3591</v>
      </c>
      <c r="G1287" s="168">
        <v>10</v>
      </c>
      <c r="H1287" s="301">
        <v>71.8</v>
      </c>
      <c r="I1287" s="217">
        <v>44237</v>
      </c>
      <c r="J1287" s="478" t="s">
        <v>3074</v>
      </c>
      <c r="K1287" s="478">
        <v>33.369999999999997</v>
      </c>
      <c r="L1287" s="478">
        <v>0.52200000000000002</v>
      </c>
      <c r="Q1287" s="4" t="s">
        <v>3076</v>
      </c>
      <c r="T1287" s="478" t="s">
        <v>3109</v>
      </c>
      <c r="U1287" s="478" t="s">
        <v>3673</v>
      </c>
      <c r="V1287" s="487" t="s">
        <v>3065</v>
      </c>
      <c r="W1287" s="29">
        <v>6</v>
      </c>
    </row>
    <row r="1288" spans="1:23" s="478" customFormat="1">
      <c r="A1288" s="418">
        <v>1413</v>
      </c>
      <c r="B1288" s="134">
        <v>16</v>
      </c>
      <c r="C1288" s="301">
        <v>1.5</v>
      </c>
      <c r="D1288" s="301">
        <v>7.13</v>
      </c>
      <c r="E1288" s="301">
        <v>24.25</v>
      </c>
      <c r="F1288" s="327" t="s">
        <v>3592</v>
      </c>
      <c r="G1288" s="168">
        <v>10</v>
      </c>
      <c r="H1288" s="301">
        <v>71.599999999999994</v>
      </c>
      <c r="I1288" s="217">
        <v>44237</v>
      </c>
      <c r="J1288" s="478" t="s">
        <v>3074</v>
      </c>
      <c r="K1288" s="478">
        <v>33.31</v>
      </c>
      <c r="L1288" s="478">
        <v>0.81599999999999995</v>
      </c>
      <c r="Q1288" s="4" t="s">
        <v>3076</v>
      </c>
      <c r="T1288" s="478" t="s">
        <v>3109</v>
      </c>
      <c r="U1288" s="478" t="s">
        <v>3587</v>
      </c>
      <c r="V1288" s="487"/>
      <c r="W1288" s="29"/>
    </row>
    <row r="1289" spans="1:23" s="478" customFormat="1">
      <c r="A1289" s="418">
        <v>1413</v>
      </c>
      <c r="B1289" s="134">
        <v>16</v>
      </c>
      <c r="C1289" s="301">
        <v>1.5</v>
      </c>
      <c r="D1289" s="301">
        <v>7.13</v>
      </c>
      <c r="E1289" s="301">
        <v>24.25</v>
      </c>
      <c r="F1289" s="69" t="s">
        <v>3593</v>
      </c>
      <c r="G1289" s="168">
        <v>10</v>
      </c>
      <c r="H1289" s="301">
        <v>69.400000000000006</v>
      </c>
      <c r="I1289" s="217">
        <v>44238</v>
      </c>
      <c r="J1289" s="478" t="s">
        <v>3074</v>
      </c>
      <c r="K1289" s="478">
        <v>33.299999999999997</v>
      </c>
      <c r="L1289" s="478">
        <v>0.86199999999999999</v>
      </c>
      <c r="Q1289" s="4" t="s">
        <v>3076</v>
      </c>
      <c r="T1289" s="478" t="s">
        <v>3109</v>
      </c>
      <c r="U1289" s="478" t="s">
        <v>3674</v>
      </c>
      <c r="V1289" s="487" t="s">
        <v>3194</v>
      </c>
      <c r="W1289" s="29">
        <v>6</v>
      </c>
    </row>
    <row r="1290" spans="1:23" s="478" customFormat="1">
      <c r="A1290" s="418">
        <v>1891</v>
      </c>
      <c r="B1290" s="134">
        <v>17.600000000000001</v>
      </c>
      <c r="C1290" s="301">
        <v>1.51</v>
      </c>
      <c r="D1290" s="301">
        <v>7.11</v>
      </c>
      <c r="E1290" s="301">
        <v>24.29</v>
      </c>
      <c r="F1290" s="69" t="s">
        <v>3594</v>
      </c>
      <c r="G1290" s="168">
        <v>10</v>
      </c>
      <c r="H1290" s="301">
        <v>69.400000000000006</v>
      </c>
      <c r="I1290" s="217">
        <v>44238</v>
      </c>
      <c r="J1290" s="478" t="s">
        <v>3074</v>
      </c>
      <c r="K1290" s="478">
        <v>33.380000000000003</v>
      </c>
      <c r="L1290" s="478">
        <v>0.106</v>
      </c>
      <c r="Q1290" s="4" t="s">
        <v>3076</v>
      </c>
      <c r="T1290" s="478" t="s">
        <v>3109</v>
      </c>
      <c r="U1290" s="478" t="s">
        <v>3676</v>
      </c>
      <c r="V1290" s="487" t="s">
        <v>3025</v>
      </c>
      <c r="W1290" s="29">
        <v>5</v>
      </c>
    </row>
    <row r="1291" spans="1:23" s="478" customFormat="1" ht="24" customHeight="1">
      <c r="A1291" s="478">
        <v>2398</v>
      </c>
      <c r="B1291" s="478">
        <v>18</v>
      </c>
      <c r="C1291" s="478">
        <v>1.5</v>
      </c>
      <c r="D1291" s="478">
        <v>7.16</v>
      </c>
      <c r="E1291" s="478">
        <v>24.38</v>
      </c>
      <c r="F1291" s="491" t="s">
        <v>3602</v>
      </c>
      <c r="G1291" s="301">
        <v>10</v>
      </c>
      <c r="H1291" s="301">
        <v>74.8</v>
      </c>
      <c r="I1291" s="217">
        <v>44257</v>
      </c>
      <c r="J1291" s="478" t="s">
        <v>626</v>
      </c>
      <c r="K1291" s="13">
        <v>33.799999999999997</v>
      </c>
      <c r="L1291" s="13">
        <v>0.68799999999999994</v>
      </c>
      <c r="Q1291" s="4" t="s">
        <v>3076</v>
      </c>
      <c r="T1291" s="478" t="s">
        <v>3603</v>
      </c>
      <c r="U1291" s="146" t="s">
        <v>3819</v>
      </c>
      <c r="V1291" s="488" t="s">
        <v>3025</v>
      </c>
      <c r="W1291" s="29">
        <v>2</v>
      </c>
    </row>
    <row r="1292" spans="1:23" s="478" customFormat="1">
      <c r="A1292" s="418">
        <v>2190</v>
      </c>
      <c r="B1292" s="478">
        <v>17.2</v>
      </c>
      <c r="C1292" s="478">
        <v>1.47</v>
      </c>
      <c r="D1292" s="478">
        <v>7.13</v>
      </c>
      <c r="E1292" s="478">
        <v>24.35</v>
      </c>
      <c r="F1292" s="69" t="s">
        <v>3614</v>
      </c>
      <c r="G1292" s="168">
        <v>10</v>
      </c>
      <c r="H1292" s="301">
        <v>73.2</v>
      </c>
      <c r="I1292" s="217">
        <v>44260</v>
      </c>
      <c r="J1292" s="478" t="s">
        <v>626</v>
      </c>
      <c r="K1292" s="13">
        <v>33.4</v>
      </c>
      <c r="L1292" s="13">
        <v>0.85799999999999998</v>
      </c>
      <c r="Q1292" s="4" t="s">
        <v>3076</v>
      </c>
      <c r="T1292" s="478" t="s">
        <v>3612</v>
      </c>
      <c r="U1292" s="478" t="s">
        <v>3669</v>
      </c>
      <c r="V1292" s="487" t="s">
        <v>3026</v>
      </c>
      <c r="W1292" s="29">
        <v>5</v>
      </c>
    </row>
    <row r="1293" spans="1:23" s="478" customFormat="1">
      <c r="A1293" s="478">
        <v>2333</v>
      </c>
      <c r="B1293" s="478">
        <v>17.600000000000001</v>
      </c>
      <c r="C1293" s="478">
        <v>1.45</v>
      </c>
      <c r="D1293" s="478">
        <v>7.18</v>
      </c>
      <c r="E1293" s="478">
        <v>24.32</v>
      </c>
      <c r="F1293" s="69" t="s">
        <v>3613</v>
      </c>
      <c r="G1293" s="168">
        <v>10</v>
      </c>
      <c r="H1293" s="301">
        <v>74.7</v>
      </c>
      <c r="I1293" s="217">
        <v>44260</v>
      </c>
      <c r="J1293" s="478" t="s">
        <v>626</v>
      </c>
      <c r="K1293" s="13">
        <v>33.299999999999997</v>
      </c>
      <c r="L1293" s="13">
        <v>0.872</v>
      </c>
      <c r="Q1293" s="4" t="s">
        <v>3076</v>
      </c>
      <c r="T1293" s="478" t="s">
        <v>3612</v>
      </c>
      <c r="U1293" s="478" t="s">
        <v>3817</v>
      </c>
      <c r="V1293" s="487" t="s">
        <v>3013</v>
      </c>
      <c r="W1293" s="29">
        <v>5</v>
      </c>
    </row>
    <row r="1294" spans="1:23" s="478" customFormat="1">
      <c r="A1294" s="134">
        <v>2411</v>
      </c>
      <c r="B1294" s="134">
        <v>18</v>
      </c>
      <c r="C1294" s="478">
        <v>1.5</v>
      </c>
      <c r="D1294" s="478">
        <v>7.11</v>
      </c>
      <c r="E1294" s="134">
        <v>24.38</v>
      </c>
      <c r="F1294" s="69" t="s">
        <v>3615</v>
      </c>
      <c r="G1294" s="168">
        <v>20</v>
      </c>
      <c r="H1294" s="301">
        <v>73.2</v>
      </c>
      <c r="I1294" s="217">
        <v>44264</v>
      </c>
      <c r="J1294" s="478" t="s">
        <v>626</v>
      </c>
      <c r="K1294" s="13">
        <v>33.4</v>
      </c>
      <c r="L1294" s="13">
        <v>0.78100000000000003</v>
      </c>
      <c r="Q1294" s="4" t="s">
        <v>3076</v>
      </c>
      <c r="T1294" s="478" t="s">
        <v>3612</v>
      </c>
      <c r="U1294" s="478" t="s">
        <v>3670</v>
      </c>
      <c r="V1294" s="487" t="s">
        <v>3105</v>
      </c>
      <c r="W1294" s="29">
        <v>4</v>
      </c>
    </row>
    <row r="1295" spans="1:23" s="478" customFormat="1">
      <c r="A1295" s="478">
        <v>2298</v>
      </c>
      <c r="B1295" s="478">
        <v>17.600000000000001</v>
      </c>
      <c r="C1295" s="478">
        <v>1.48</v>
      </c>
      <c r="D1295" s="478">
        <v>7.15</v>
      </c>
      <c r="E1295" s="478">
        <v>24.36</v>
      </c>
      <c r="F1295" s="69" t="s">
        <v>3616</v>
      </c>
      <c r="G1295" s="168">
        <v>17</v>
      </c>
      <c r="H1295" s="301">
        <v>74.7</v>
      </c>
      <c r="I1295" s="217">
        <v>44264</v>
      </c>
      <c r="J1295" s="478" t="s">
        <v>626</v>
      </c>
      <c r="K1295" s="13">
        <v>33.299999999999997</v>
      </c>
      <c r="L1295" s="13">
        <v>0.77700000000000002</v>
      </c>
      <c r="Q1295" s="4" t="s">
        <v>3076</v>
      </c>
      <c r="T1295" s="478" t="s">
        <v>3612</v>
      </c>
      <c r="U1295" s="478" t="s">
        <v>3671</v>
      </c>
      <c r="V1295" s="487" t="s">
        <v>3175</v>
      </c>
      <c r="W1295" s="29">
        <v>5</v>
      </c>
    </row>
    <row r="1296" spans="1:23" s="478" customFormat="1">
      <c r="A1296" s="418">
        <v>2308</v>
      </c>
      <c r="B1296" s="134">
        <v>18</v>
      </c>
      <c r="C1296" s="301">
        <v>1.52</v>
      </c>
      <c r="D1296" s="301">
        <v>7.13</v>
      </c>
      <c r="E1296" s="301">
        <v>24.32</v>
      </c>
      <c r="F1296" s="327" t="s">
        <v>3617</v>
      </c>
      <c r="G1296" s="168">
        <v>10</v>
      </c>
      <c r="H1296" s="301">
        <v>74.8</v>
      </c>
      <c r="I1296" s="217">
        <v>44271</v>
      </c>
      <c r="J1296" s="478" t="s">
        <v>626</v>
      </c>
      <c r="K1296" s="13">
        <v>33.4</v>
      </c>
      <c r="L1296" s="13">
        <v>8.5000000000000006E-2</v>
      </c>
      <c r="Q1296" s="4" t="s">
        <v>3076</v>
      </c>
      <c r="T1296" s="478" t="s">
        <v>3612</v>
      </c>
      <c r="U1296" s="478" t="s">
        <v>3618</v>
      </c>
      <c r="V1296" s="485" t="s">
        <v>3237</v>
      </c>
      <c r="W1296" s="29">
        <v>4</v>
      </c>
    </row>
    <row r="1297" spans="1:23" s="478" customFormat="1">
      <c r="A1297" s="418">
        <v>2308</v>
      </c>
      <c r="B1297" s="134">
        <v>18</v>
      </c>
      <c r="C1297" s="301">
        <v>1.52</v>
      </c>
      <c r="D1297" s="301">
        <v>7.13</v>
      </c>
      <c r="E1297" s="301">
        <v>24.32</v>
      </c>
      <c r="F1297" s="69" t="s">
        <v>3644</v>
      </c>
      <c r="G1297" s="168">
        <v>30</v>
      </c>
      <c r="H1297" s="301">
        <v>72.5</v>
      </c>
      <c r="I1297" s="217">
        <v>44306</v>
      </c>
      <c r="J1297" s="478" t="s">
        <v>626</v>
      </c>
      <c r="K1297" s="13">
        <v>33.299999999999997</v>
      </c>
      <c r="L1297" s="13">
        <v>0.47099999999999997</v>
      </c>
      <c r="Q1297" s="4" t="s">
        <v>3076</v>
      </c>
      <c r="T1297" s="478" t="s">
        <v>3612</v>
      </c>
      <c r="U1297" s="478" t="s">
        <v>3672</v>
      </c>
      <c r="V1297" s="496" t="s">
        <v>3159</v>
      </c>
      <c r="W1297" s="29">
        <v>5</v>
      </c>
    </row>
    <row r="1298" spans="1:23" s="478" customFormat="1">
      <c r="A1298" s="418">
        <v>2309</v>
      </c>
      <c r="B1298" s="134">
        <v>16.2</v>
      </c>
      <c r="C1298" s="301">
        <v>1.5</v>
      </c>
      <c r="D1298" s="301">
        <v>7.12</v>
      </c>
      <c r="E1298" s="301">
        <v>24.35</v>
      </c>
      <c r="F1298" s="69" t="s">
        <v>3636</v>
      </c>
      <c r="G1298" s="168">
        <v>10</v>
      </c>
      <c r="H1298" s="301">
        <v>71.400000000000006</v>
      </c>
      <c r="I1298" s="217">
        <v>44274</v>
      </c>
      <c r="J1298" s="478" t="s">
        <v>626</v>
      </c>
      <c r="K1298" s="13">
        <v>33.299999999999997</v>
      </c>
      <c r="L1298" s="13">
        <v>0.84299999999999997</v>
      </c>
      <c r="Q1298" s="4" t="s">
        <v>3076</v>
      </c>
      <c r="T1298" s="478" t="s">
        <v>3612</v>
      </c>
      <c r="U1298" s="478" t="s">
        <v>3666</v>
      </c>
      <c r="V1298" s="493" t="s">
        <v>3166</v>
      </c>
      <c r="W1298" s="29">
        <v>5</v>
      </c>
    </row>
    <row r="1299" spans="1:23" s="478" customFormat="1">
      <c r="A1299" s="418">
        <v>2414</v>
      </c>
      <c r="B1299" s="134">
        <v>18.8</v>
      </c>
      <c r="C1299" s="301">
        <v>1.49</v>
      </c>
      <c r="D1299" s="301">
        <v>7.16</v>
      </c>
      <c r="E1299" s="301">
        <v>24.32</v>
      </c>
      <c r="F1299" s="69" t="s">
        <v>3637</v>
      </c>
      <c r="G1299" s="168">
        <v>10</v>
      </c>
      <c r="H1299" s="301">
        <v>73.599999999999994</v>
      </c>
      <c r="I1299" s="217">
        <v>44274</v>
      </c>
      <c r="J1299" s="478" t="s">
        <v>626</v>
      </c>
      <c r="K1299" s="13">
        <v>33.4</v>
      </c>
      <c r="L1299" s="13">
        <v>0.38500000000000001</v>
      </c>
      <c r="Q1299" s="4" t="s">
        <v>3076</v>
      </c>
      <c r="T1299" s="478" t="s">
        <v>3612</v>
      </c>
      <c r="U1299" s="478" t="s">
        <v>3668</v>
      </c>
      <c r="V1299" s="493" t="s">
        <v>3136</v>
      </c>
      <c r="W1299" s="29">
        <v>5</v>
      </c>
    </row>
    <row r="1300" spans="1:23" s="478" customFormat="1">
      <c r="A1300" s="418">
        <v>2422</v>
      </c>
      <c r="B1300" s="134">
        <v>16.8</v>
      </c>
      <c r="C1300" s="301">
        <v>1.5</v>
      </c>
      <c r="D1300" s="301">
        <v>7.12</v>
      </c>
      <c r="E1300" s="301">
        <v>24.33</v>
      </c>
      <c r="F1300" s="69" t="s">
        <v>3638</v>
      </c>
      <c r="G1300" s="168">
        <v>10</v>
      </c>
      <c r="H1300" s="301">
        <v>73.900000000000006</v>
      </c>
      <c r="I1300" s="217">
        <v>44278</v>
      </c>
      <c r="J1300" s="478" t="s">
        <v>626</v>
      </c>
      <c r="K1300" s="13">
        <v>33.4</v>
      </c>
      <c r="L1300" s="13">
        <v>0.60499999999999998</v>
      </c>
      <c r="Q1300" s="4" t="s">
        <v>3076</v>
      </c>
      <c r="T1300" s="478" t="s">
        <v>3612</v>
      </c>
      <c r="U1300" s="478" t="s">
        <v>3818</v>
      </c>
      <c r="V1300" s="493" t="s">
        <v>3159</v>
      </c>
      <c r="W1300" s="29">
        <v>7</v>
      </c>
    </row>
    <row r="1301" spans="1:23" s="478" customFormat="1">
      <c r="A1301" s="418">
        <v>2415</v>
      </c>
      <c r="B1301" s="134">
        <v>16.399999999999999</v>
      </c>
      <c r="C1301" s="301">
        <v>1.51</v>
      </c>
      <c r="D1301" s="301">
        <v>7.11</v>
      </c>
      <c r="E1301" s="301">
        <v>24.35</v>
      </c>
      <c r="F1301" s="69" t="s">
        <v>3639</v>
      </c>
      <c r="G1301" s="168">
        <v>10</v>
      </c>
      <c r="H1301" s="301">
        <v>75.400000000000006</v>
      </c>
      <c r="I1301" s="217">
        <v>44278</v>
      </c>
      <c r="J1301" s="478" t="s">
        <v>626</v>
      </c>
      <c r="K1301" s="13">
        <v>33.4</v>
      </c>
      <c r="L1301" s="13">
        <v>0.84699999999999998</v>
      </c>
      <c r="Q1301" s="4" t="s">
        <v>3076</v>
      </c>
      <c r="T1301" s="478" t="s">
        <v>3612</v>
      </c>
      <c r="U1301" s="478" t="s">
        <v>3667</v>
      </c>
      <c r="V1301" s="493" t="s">
        <v>3096</v>
      </c>
      <c r="W1301" s="29">
        <v>4</v>
      </c>
    </row>
    <row r="1302" spans="1:23" s="478" customFormat="1">
      <c r="A1302" s="134">
        <v>2421</v>
      </c>
      <c r="B1302" s="134">
        <v>17.2</v>
      </c>
      <c r="C1302" s="301">
        <v>1.5</v>
      </c>
      <c r="D1302" s="301">
        <v>7.12</v>
      </c>
      <c r="E1302" s="301">
        <v>24.41</v>
      </c>
      <c r="F1302" s="327" t="s">
        <v>3640</v>
      </c>
      <c r="G1302" s="168">
        <v>10</v>
      </c>
      <c r="H1302" s="301">
        <v>75.900000000000006</v>
      </c>
      <c r="I1302" s="217">
        <v>44278</v>
      </c>
      <c r="J1302" s="478" t="s">
        <v>626</v>
      </c>
      <c r="K1302" s="13">
        <v>33.5</v>
      </c>
      <c r="L1302" s="13">
        <v>0.55500000000000005</v>
      </c>
      <c r="Q1302" s="4" t="s">
        <v>3076</v>
      </c>
      <c r="T1302" s="478" t="s">
        <v>3612</v>
      </c>
      <c r="U1302" s="478" t="s">
        <v>3641</v>
      </c>
      <c r="V1302" s="493" t="s">
        <v>3026</v>
      </c>
      <c r="W1302" s="29">
        <v>3</v>
      </c>
    </row>
    <row r="1303" spans="1:23" s="478" customFormat="1">
      <c r="A1303" s="134">
        <v>2441</v>
      </c>
      <c r="B1303" s="134">
        <v>17.600000000000001</v>
      </c>
      <c r="C1303" s="478">
        <v>1.49</v>
      </c>
      <c r="D1303" s="478">
        <v>7.1</v>
      </c>
      <c r="E1303" s="478">
        <v>24.41</v>
      </c>
      <c r="F1303" s="327" t="s">
        <v>3645</v>
      </c>
      <c r="G1303" s="168">
        <v>26</v>
      </c>
      <c r="H1303" s="301">
        <v>73.900000000000006</v>
      </c>
      <c r="I1303" s="217">
        <v>44306</v>
      </c>
      <c r="J1303" s="478" t="s">
        <v>626</v>
      </c>
      <c r="K1303" s="13">
        <v>33.299999999999997</v>
      </c>
      <c r="L1303" s="13">
        <v>0.52300000000000002</v>
      </c>
      <c r="Q1303" s="4" t="s">
        <v>3076</v>
      </c>
      <c r="T1303" s="478" t="s">
        <v>3612</v>
      </c>
      <c r="U1303" s="478" t="s">
        <v>3824</v>
      </c>
      <c r="V1303" s="496" t="s">
        <v>2713</v>
      </c>
      <c r="W1303" s="29">
        <v>5</v>
      </c>
    </row>
    <row r="1304" spans="1:23" s="478" customFormat="1" ht="24" customHeight="1">
      <c r="A1304" s="418">
        <v>2444</v>
      </c>
      <c r="B1304" s="134">
        <v>17.600000000000001</v>
      </c>
      <c r="C1304" s="301">
        <v>1.51</v>
      </c>
      <c r="D1304" s="301">
        <v>7.12</v>
      </c>
      <c r="E1304" s="301">
        <v>24.25</v>
      </c>
      <c r="F1304" s="503" t="s">
        <v>3619</v>
      </c>
      <c r="G1304" s="168">
        <v>32</v>
      </c>
      <c r="H1304" s="301">
        <v>73.8</v>
      </c>
      <c r="I1304" s="217">
        <v>44286</v>
      </c>
      <c r="J1304" s="478" t="s">
        <v>3074</v>
      </c>
      <c r="K1304" s="478">
        <v>33.590000000000003</v>
      </c>
      <c r="L1304" s="478">
        <v>0.70599999999999996</v>
      </c>
      <c r="Q1304" s="4" t="s">
        <v>3076</v>
      </c>
      <c r="T1304" s="478" t="s">
        <v>3612</v>
      </c>
      <c r="U1304" s="478" t="s">
        <v>3735</v>
      </c>
      <c r="V1304" s="492" t="s">
        <v>3077</v>
      </c>
      <c r="W1304" s="29">
        <v>3</v>
      </c>
    </row>
    <row r="1305" spans="1:23" s="478" customFormat="1">
      <c r="A1305" s="418">
        <v>2446</v>
      </c>
      <c r="B1305" s="134">
        <v>17.8</v>
      </c>
      <c r="C1305" s="301">
        <v>1.49</v>
      </c>
      <c r="D1305" s="301">
        <v>7.06</v>
      </c>
      <c r="E1305" s="301">
        <v>24.4</v>
      </c>
      <c r="F1305" s="327" t="s">
        <v>3620</v>
      </c>
      <c r="G1305" s="168">
        <v>32</v>
      </c>
      <c r="H1305" s="301">
        <v>73.8</v>
      </c>
      <c r="I1305" s="217">
        <v>44286</v>
      </c>
      <c r="J1305" s="478" t="s">
        <v>3074</v>
      </c>
      <c r="Q1305" s="4"/>
      <c r="T1305" s="478" t="s">
        <v>3612</v>
      </c>
      <c r="V1305" s="492"/>
      <c r="W1305" s="29"/>
    </row>
    <row r="1306" spans="1:23" s="478" customFormat="1">
      <c r="A1306" s="418">
        <v>2420</v>
      </c>
      <c r="B1306" s="134">
        <v>17.2</v>
      </c>
      <c r="C1306" s="301">
        <v>1.48</v>
      </c>
      <c r="D1306" s="301">
        <v>7.17</v>
      </c>
      <c r="E1306" s="301">
        <v>24.28</v>
      </c>
      <c r="F1306" s="69" t="s">
        <v>3621</v>
      </c>
      <c r="G1306" s="168">
        <v>25</v>
      </c>
      <c r="H1306" s="301">
        <v>69.599999999999994</v>
      </c>
      <c r="I1306" s="217">
        <v>44287</v>
      </c>
      <c r="J1306" s="478" t="s">
        <v>3074</v>
      </c>
      <c r="K1306" s="478">
        <v>33.64</v>
      </c>
      <c r="L1306" s="478">
        <v>0.81</v>
      </c>
      <c r="Q1306" s="4" t="s">
        <v>3076</v>
      </c>
      <c r="T1306" s="478" t="s">
        <v>3612</v>
      </c>
      <c r="U1306" s="478" t="s">
        <v>3736</v>
      </c>
      <c r="V1306" s="401" t="s">
        <v>3005</v>
      </c>
      <c r="W1306" s="29">
        <v>2</v>
      </c>
    </row>
    <row r="1307" spans="1:23" s="478" customFormat="1">
      <c r="A1307" s="418">
        <v>1804</v>
      </c>
      <c r="B1307" s="134">
        <v>18.399999999999999</v>
      </c>
      <c r="C1307" s="301">
        <v>1.51</v>
      </c>
      <c r="D1307" s="301">
        <v>7.14</v>
      </c>
      <c r="E1307" s="301">
        <v>24.2</v>
      </c>
      <c r="F1307" s="346" t="s">
        <v>3623</v>
      </c>
      <c r="G1307" s="168">
        <v>25</v>
      </c>
      <c r="H1307" s="301">
        <v>69.599999999999994</v>
      </c>
      <c r="I1307" s="217">
        <v>44287</v>
      </c>
      <c r="J1307" s="478" t="s">
        <v>3074</v>
      </c>
      <c r="K1307" s="478">
        <v>33.36</v>
      </c>
      <c r="L1307" s="478">
        <v>0.95199999999999996</v>
      </c>
      <c r="Q1307" s="4" t="s">
        <v>3076</v>
      </c>
      <c r="T1307" s="478" t="s">
        <v>3612</v>
      </c>
      <c r="U1307" s="478" t="s">
        <v>3622</v>
      </c>
      <c r="V1307" s="492" t="s">
        <v>3053</v>
      </c>
      <c r="W1307" s="29">
        <v>4</v>
      </c>
    </row>
    <row r="1308" spans="1:23" s="478" customFormat="1">
      <c r="A1308" s="418">
        <v>2448</v>
      </c>
      <c r="B1308" s="134">
        <v>18</v>
      </c>
      <c r="C1308" s="301">
        <v>1.48</v>
      </c>
      <c r="D1308" s="301">
        <v>7.16</v>
      </c>
      <c r="E1308" s="301">
        <v>24.35</v>
      </c>
      <c r="F1308" s="346" t="s">
        <v>3624</v>
      </c>
      <c r="G1308" s="168">
        <v>25</v>
      </c>
      <c r="H1308" s="301">
        <v>71.2</v>
      </c>
      <c r="I1308" s="217">
        <v>44287</v>
      </c>
      <c r="J1308" s="478" t="s">
        <v>3074</v>
      </c>
      <c r="K1308" s="478">
        <v>33.57</v>
      </c>
      <c r="L1308" s="478">
        <v>0.95</v>
      </c>
      <c r="Q1308" s="4" t="s">
        <v>3076</v>
      </c>
      <c r="T1308" s="478" t="s">
        <v>3612</v>
      </c>
      <c r="U1308" s="478" t="s">
        <v>3625</v>
      </c>
      <c r="V1308" s="492" t="s">
        <v>3053</v>
      </c>
      <c r="W1308" s="29">
        <v>6</v>
      </c>
    </row>
    <row r="1309" spans="1:23" s="478" customFormat="1">
      <c r="A1309" s="418">
        <v>2425</v>
      </c>
      <c r="B1309" s="134">
        <v>16.8</v>
      </c>
      <c r="C1309" s="301">
        <v>1.47</v>
      </c>
      <c r="D1309" s="301">
        <v>7.18</v>
      </c>
      <c r="E1309" s="301">
        <v>24.25</v>
      </c>
      <c r="F1309" s="69" t="s">
        <v>3626</v>
      </c>
      <c r="G1309" s="168">
        <v>10</v>
      </c>
      <c r="H1309" s="301">
        <v>70.7</v>
      </c>
      <c r="I1309" s="217">
        <v>44288</v>
      </c>
      <c r="J1309" s="478" t="s">
        <v>3074</v>
      </c>
      <c r="K1309" s="478">
        <v>33.479999999999997</v>
      </c>
      <c r="L1309" s="478">
        <v>0.84799999999999998</v>
      </c>
      <c r="Q1309" s="4" t="s">
        <v>3076</v>
      </c>
      <c r="T1309" s="478" t="s">
        <v>3612</v>
      </c>
      <c r="U1309" s="478" t="s">
        <v>3646</v>
      </c>
      <c r="V1309" s="483" t="s">
        <v>3136</v>
      </c>
      <c r="W1309" s="29">
        <v>4</v>
      </c>
    </row>
    <row r="1310" spans="1:23" s="478" customFormat="1">
      <c r="A1310" s="134">
        <v>2450</v>
      </c>
      <c r="B1310" s="478">
        <v>18.8</v>
      </c>
      <c r="C1310" s="478">
        <v>1.48</v>
      </c>
      <c r="D1310" s="301">
        <v>7.17</v>
      </c>
      <c r="E1310" s="478">
        <v>24.36</v>
      </c>
      <c r="F1310" s="45" t="s">
        <v>3627</v>
      </c>
      <c r="G1310" s="168">
        <v>10</v>
      </c>
      <c r="H1310" s="301">
        <v>73.599999999999994</v>
      </c>
      <c r="I1310" s="217">
        <v>44288</v>
      </c>
      <c r="J1310" s="478" t="s">
        <v>3074</v>
      </c>
      <c r="K1310" s="478">
        <v>33.520000000000003</v>
      </c>
      <c r="L1310" s="478">
        <v>0.36799999999999999</v>
      </c>
      <c r="Q1310" s="4" t="s">
        <v>3076</v>
      </c>
      <c r="T1310" s="478" t="s">
        <v>3612</v>
      </c>
      <c r="U1310" s="478" t="s">
        <v>3628</v>
      </c>
      <c r="V1310" s="482" t="s">
        <v>3053</v>
      </c>
      <c r="W1310" s="29">
        <v>8</v>
      </c>
    </row>
    <row r="1311" spans="1:23" s="478" customFormat="1">
      <c r="A1311" s="134">
        <v>2447</v>
      </c>
      <c r="B1311" s="134">
        <v>18.2</v>
      </c>
      <c r="C1311" s="478">
        <v>1.52</v>
      </c>
      <c r="D1311" s="301">
        <v>7.11</v>
      </c>
      <c r="E1311" s="478">
        <v>24.4</v>
      </c>
      <c r="F1311" s="176" t="s">
        <v>3629</v>
      </c>
      <c r="G1311" s="168">
        <v>10</v>
      </c>
      <c r="H1311" s="301">
        <v>73.599999999999994</v>
      </c>
      <c r="I1311" s="217">
        <v>44288</v>
      </c>
      <c r="J1311" s="478" t="s">
        <v>3074</v>
      </c>
      <c r="K1311" s="478">
        <v>33.67</v>
      </c>
      <c r="Q1311" s="4" t="s">
        <v>3076</v>
      </c>
      <c r="T1311" s="478" t="s">
        <v>3612</v>
      </c>
      <c r="U1311" s="478" t="s">
        <v>3630</v>
      </c>
      <c r="V1311" s="482"/>
      <c r="W1311" s="29"/>
    </row>
    <row r="1312" spans="1:23" s="478" customFormat="1">
      <c r="A1312" s="134">
        <v>2426</v>
      </c>
      <c r="B1312" s="134">
        <v>17.600000000000001</v>
      </c>
      <c r="C1312" s="478">
        <v>1.5</v>
      </c>
      <c r="D1312" s="301">
        <v>7.13</v>
      </c>
      <c r="E1312" s="478">
        <v>24.41</v>
      </c>
      <c r="F1312" s="176" t="s">
        <v>3631</v>
      </c>
      <c r="G1312" s="168">
        <v>15</v>
      </c>
      <c r="H1312" s="301">
        <v>73.900000000000006</v>
      </c>
      <c r="I1312" s="217">
        <v>44291</v>
      </c>
      <c r="J1312" s="478" t="s">
        <v>3074</v>
      </c>
      <c r="K1312" s="478">
        <v>33.479999999999997</v>
      </c>
      <c r="Q1312" s="4" t="s">
        <v>3076</v>
      </c>
      <c r="T1312" s="478" t="s">
        <v>3612</v>
      </c>
      <c r="V1312" s="482"/>
      <c r="W1312" s="29"/>
    </row>
    <row r="1313" spans="1:23">
      <c r="A1313" s="134">
        <v>2426</v>
      </c>
      <c r="B1313" s="134">
        <v>17.600000000000001</v>
      </c>
      <c r="C1313" s="478">
        <v>1.5</v>
      </c>
      <c r="D1313" s="301">
        <v>7.13</v>
      </c>
      <c r="E1313" s="478">
        <v>24.41</v>
      </c>
      <c r="F1313" s="176" t="s">
        <v>3632</v>
      </c>
      <c r="G1313" s="168">
        <v>15</v>
      </c>
      <c r="H1313" s="301">
        <v>73.900000000000006</v>
      </c>
      <c r="I1313" s="217">
        <v>44291</v>
      </c>
      <c r="J1313" s="478" t="s">
        <v>3074</v>
      </c>
      <c r="K1313">
        <v>33.4</v>
      </c>
      <c r="Q1313" s="4" t="s">
        <v>3076</v>
      </c>
      <c r="T1313" s="478" t="s">
        <v>3612</v>
      </c>
      <c r="V1313" s="464"/>
    </row>
    <row r="1314" spans="1:23">
      <c r="A1314" s="134">
        <v>2429</v>
      </c>
      <c r="B1314" s="134">
        <v>17.2</v>
      </c>
      <c r="C1314" s="478">
        <v>1.49</v>
      </c>
      <c r="D1314" s="478">
        <v>7.16</v>
      </c>
      <c r="E1314" s="478">
        <v>24.39</v>
      </c>
      <c r="F1314" s="375" t="s">
        <v>3633</v>
      </c>
      <c r="G1314" s="168">
        <v>15</v>
      </c>
      <c r="H1314" s="301">
        <v>73.900000000000006</v>
      </c>
      <c r="I1314" s="217">
        <v>44292</v>
      </c>
      <c r="J1314" s="478" t="s">
        <v>3074</v>
      </c>
      <c r="K1314">
        <v>33.619999999999997</v>
      </c>
      <c r="L1314">
        <v>0.64800000000000002</v>
      </c>
      <c r="Q1314" s="4" t="s">
        <v>3076</v>
      </c>
      <c r="T1314" s="478" t="s">
        <v>3612</v>
      </c>
      <c r="U1314" t="s">
        <v>3854</v>
      </c>
      <c r="V1314" s="407" t="s">
        <v>3025</v>
      </c>
      <c r="W1314" s="29">
        <v>5</v>
      </c>
    </row>
    <row r="1315" spans="1:23">
      <c r="A1315" s="134">
        <v>2445</v>
      </c>
      <c r="B1315" s="134">
        <v>16.8</v>
      </c>
      <c r="C1315" s="478">
        <v>1.45</v>
      </c>
      <c r="D1315" s="478">
        <v>7.16</v>
      </c>
      <c r="E1315" s="478">
        <v>24.27</v>
      </c>
      <c r="F1315" s="69" t="s">
        <v>3634</v>
      </c>
      <c r="G1315" s="168">
        <v>15</v>
      </c>
      <c r="H1315" s="301">
        <v>73.900000000000006</v>
      </c>
      <c r="I1315" s="217">
        <v>44292</v>
      </c>
      <c r="J1315" s="478" t="s">
        <v>3074</v>
      </c>
      <c r="K1315">
        <v>33.46</v>
      </c>
      <c r="L1315">
        <v>0.26700000000000002</v>
      </c>
      <c r="Q1315" s="4" t="s">
        <v>3076</v>
      </c>
      <c r="T1315" s="478" t="s">
        <v>3612</v>
      </c>
      <c r="U1315" t="s">
        <v>3649</v>
      </c>
      <c r="V1315" s="407" t="s">
        <v>3024</v>
      </c>
      <c r="W1315" s="29">
        <v>6</v>
      </c>
    </row>
    <row r="1316" spans="1:23">
      <c r="A1316" s="134">
        <v>2417</v>
      </c>
      <c r="B1316" s="134">
        <v>18</v>
      </c>
      <c r="C1316" s="301">
        <v>1.51</v>
      </c>
      <c r="D1316" s="301">
        <v>7.14</v>
      </c>
      <c r="E1316" s="301">
        <v>24.37</v>
      </c>
      <c r="F1316" s="69" t="s">
        <v>3635</v>
      </c>
      <c r="G1316" s="168">
        <v>15</v>
      </c>
      <c r="H1316" s="301">
        <v>73.900000000000006</v>
      </c>
      <c r="I1316" s="217">
        <v>44292</v>
      </c>
      <c r="J1316" s="478" t="s">
        <v>3074</v>
      </c>
      <c r="K1316">
        <v>33.56</v>
      </c>
      <c r="L1316">
        <v>0.505</v>
      </c>
      <c r="Q1316" s="4" t="s">
        <v>3076</v>
      </c>
      <c r="T1316" s="478" t="s">
        <v>3612</v>
      </c>
      <c r="U1316" s="478" t="s">
        <v>3649</v>
      </c>
      <c r="V1316" s="407" t="s">
        <v>3277</v>
      </c>
      <c r="W1316" s="29">
        <v>8</v>
      </c>
    </row>
    <row r="1317" spans="1:23">
      <c r="A1317" s="134">
        <v>2443</v>
      </c>
      <c r="B1317" s="134">
        <v>16.8</v>
      </c>
      <c r="C1317" s="478">
        <v>1.49</v>
      </c>
      <c r="D1317" s="478">
        <v>7.07</v>
      </c>
      <c r="E1317" s="478">
        <v>24.44</v>
      </c>
      <c r="F1317" s="69" t="s">
        <v>3642</v>
      </c>
      <c r="G1317" s="168">
        <v>10</v>
      </c>
      <c r="H1317" s="301">
        <v>72.900000000000006</v>
      </c>
      <c r="I1317" s="217">
        <v>44293</v>
      </c>
      <c r="J1317" s="478" t="s">
        <v>3074</v>
      </c>
      <c r="K1317">
        <v>33.58</v>
      </c>
      <c r="L1317">
        <v>0.64800000000000002</v>
      </c>
      <c r="Q1317" s="4" t="s">
        <v>3076</v>
      </c>
      <c r="T1317" s="478" t="s">
        <v>3612</v>
      </c>
      <c r="U1317" t="s">
        <v>3651</v>
      </c>
      <c r="V1317" s="407" t="s">
        <v>3157</v>
      </c>
      <c r="W1317" s="29">
        <v>9</v>
      </c>
    </row>
    <row r="1318" spans="1:23">
      <c r="A1318" s="134">
        <v>2442</v>
      </c>
      <c r="B1318" s="134">
        <v>16.399999999999999</v>
      </c>
      <c r="C1318" s="478">
        <v>1.49</v>
      </c>
      <c r="D1318" s="478">
        <v>7.12</v>
      </c>
      <c r="E1318" s="478">
        <v>24.34</v>
      </c>
      <c r="F1318" s="19" t="s">
        <v>3643</v>
      </c>
      <c r="G1318" s="168">
        <v>10</v>
      </c>
      <c r="H1318" s="301">
        <v>72.900000000000006</v>
      </c>
      <c r="I1318" s="217">
        <v>44293</v>
      </c>
      <c r="J1318" s="478" t="s">
        <v>3074</v>
      </c>
      <c r="K1318">
        <v>33.380000000000003</v>
      </c>
      <c r="L1318">
        <v>0.83199999999999996</v>
      </c>
      <c r="Q1318" s="4" t="s">
        <v>3076</v>
      </c>
      <c r="T1318" s="478" t="s">
        <v>3612</v>
      </c>
      <c r="U1318" t="s">
        <v>3648</v>
      </c>
      <c r="V1318" s="494" t="s">
        <v>3024</v>
      </c>
      <c r="W1318" s="29">
        <v>7</v>
      </c>
    </row>
    <row r="1319" spans="1:23" ht="24.75" customHeight="1">
      <c r="A1319" s="134">
        <v>2435</v>
      </c>
      <c r="B1319" s="134">
        <v>18.8</v>
      </c>
      <c r="C1319" s="478">
        <v>1.51</v>
      </c>
      <c r="D1319" s="478">
        <v>7.12</v>
      </c>
      <c r="E1319" s="478">
        <v>24.25</v>
      </c>
      <c r="F1319" s="19" t="s">
        <v>3652</v>
      </c>
      <c r="G1319" s="168">
        <v>31</v>
      </c>
      <c r="H1319" s="301">
        <v>71.2</v>
      </c>
      <c r="I1319" s="217">
        <v>44329</v>
      </c>
      <c r="J1319" t="s">
        <v>3074</v>
      </c>
      <c r="K1319">
        <v>33.58</v>
      </c>
      <c r="L1319">
        <v>0.59599999999999997</v>
      </c>
      <c r="Q1319" s="4" t="s">
        <v>3076</v>
      </c>
      <c r="T1319" s="478" t="s">
        <v>3612</v>
      </c>
      <c r="U1319" s="29" t="s">
        <v>3815</v>
      </c>
      <c r="V1319" s="407" t="s">
        <v>3166</v>
      </c>
      <c r="W1319" s="29">
        <v>7</v>
      </c>
    </row>
    <row r="1320" spans="1:23">
      <c r="A1320" s="134">
        <v>2437</v>
      </c>
      <c r="B1320" s="134">
        <v>18.399999999999999</v>
      </c>
      <c r="C1320" s="478">
        <v>1.49</v>
      </c>
      <c r="D1320" s="478">
        <v>7.12</v>
      </c>
      <c r="E1320" s="478">
        <v>24.33</v>
      </c>
      <c r="F1320" s="19" t="s">
        <v>3653</v>
      </c>
      <c r="G1320" s="168">
        <v>31</v>
      </c>
      <c r="H1320" s="301">
        <v>71.2</v>
      </c>
      <c r="I1320" s="217">
        <v>44329</v>
      </c>
      <c r="J1320" s="478" t="s">
        <v>3074</v>
      </c>
      <c r="K1320">
        <v>33.46</v>
      </c>
      <c r="L1320">
        <v>0.745</v>
      </c>
      <c r="Q1320" s="4" t="s">
        <v>3076</v>
      </c>
      <c r="T1320" s="478" t="s">
        <v>3612</v>
      </c>
      <c r="U1320" t="s">
        <v>3733</v>
      </c>
      <c r="V1320" s="407" t="s">
        <v>3025</v>
      </c>
      <c r="W1320" s="29">
        <v>8</v>
      </c>
    </row>
    <row r="1321" spans="1:23">
      <c r="A1321" s="134">
        <v>2447</v>
      </c>
      <c r="B1321" s="134">
        <v>18</v>
      </c>
      <c r="C1321" s="478">
        <v>1.5</v>
      </c>
      <c r="D1321" s="478">
        <v>7.09</v>
      </c>
      <c r="E1321" s="478">
        <v>24.4</v>
      </c>
      <c r="F1321" s="19" t="s">
        <v>3654</v>
      </c>
      <c r="G1321" s="168">
        <v>31</v>
      </c>
      <c r="H1321" s="301">
        <v>70.900000000000006</v>
      </c>
      <c r="I1321" s="217">
        <v>44330</v>
      </c>
      <c r="J1321" s="478" t="s">
        <v>3074</v>
      </c>
      <c r="K1321">
        <v>33.35</v>
      </c>
      <c r="L1321">
        <v>0.75700000000000001</v>
      </c>
      <c r="Q1321" s="4" t="s">
        <v>3076</v>
      </c>
      <c r="T1321" s="478" t="s">
        <v>3612</v>
      </c>
      <c r="U1321" t="s">
        <v>3734</v>
      </c>
      <c r="V1321" s="407" t="s">
        <v>3166</v>
      </c>
      <c r="W1321" s="29">
        <v>3</v>
      </c>
    </row>
    <row r="1322" spans="1:23">
      <c r="A1322" s="305">
        <v>2436</v>
      </c>
      <c r="B1322" s="134">
        <v>18.8</v>
      </c>
      <c r="C1322" s="478">
        <v>1.48</v>
      </c>
      <c r="D1322" s="478">
        <v>7.16</v>
      </c>
      <c r="E1322" s="478">
        <v>24.34</v>
      </c>
      <c r="F1322" s="19" t="s">
        <v>3655</v>
      </c>
      <c r="G1322" s="168">
        <v>31</v>
      </c>
      <c r="H1322" s="301">
        <v>70.900000000000006</v>
      </c>
      <c r="I1322" s="217">
        <v>44330</v>
      </c>
      <c r="J1322" s="478" t="s">
        <v>3074</v>
      </c>
      <c r="K1322">
        <v>33.479999999999997</v>
      </c>
      <c r="L1322">
        <v>0.93100000000000005</v>
      </c>
      <c r="Q1322" s="4" t="s">
        <v>3076</v>
      </c>
      <c r="T1322" s="478" t="s">
        <v>3612</v>
      </c>
      <c r="U1322" t="s">
        <v>4131</v>
      </c>
      <c r="V1322" s="407" t="s">
        <v>3136</v>
      </c>
      <c r="W1322" s="29">
        <v>9</v>
      </c>
    </row>
    <row r="1323" spans="1:23">
      <c r="A1323" s="134">
        <v>2448</v>
      </c>
      <c r="B1323" s="134">
        <v>17.600000000000001</v>
      </c>
      <c r="C1323" s="478">
        <v>1.5</v>
      </c>
      <c r="D1323" s="478">
        <v>7.11</v>
      </c>
      <c r="E1323" s="478">
        <v>24.29</v>
      </c>
      <c r="F1323" s="176" t="s">
        <v>3656</v>
      </c>
      <c r="G1323" s="168">
        <v>24</v>
      </c>
      <c r="H1323" s="301">
        <v>72.7</v>
      </c>
      <c r="I1323" s="217">
        <v>44330</v>
      </c>
      <c r="J1323" s="478" t="s">
        <v>3074</v>
      </c>
      <c r="K1323">
        <v>33.479999999999997</v>
      </c>
      <c r="L1323">
        <v>0.80600000000000005</v>
      </c>
      <c r="Q1323" s="4" t="s">
        <v>3076</v>
      </c>
      <c r="T1323" s="478" t="s">
        <v>3612</v>
      </c>
      <c r="U1323" t="s">
        <v>3657</v>
      </c>
    </row>
    <row r="1324" spans="1:23">
      <c r="A1324" s="134">
        <v>2448</v>
      </c>
      <c r="B1324" s="134">
        <v>17.600000000000001</v>
      </c>
      <c r="C1324" s="478">
        <v>1.5</v>
      </c>
      <c r="D1324" s="478">
        <v>7.11</v>
      </c>
      <c r="E1324" s="478">
        <v>24.29</v>
      </c>
      <c r="F1324" s="375" t="s">
        <v>3658</v>
      </c>
      <c r="G1324" s="168">
        <v>33</v>
      </c>
      <c r="H1324" s="301">
        <v>72.3</v>
      </c>
      <c r="I1324" s="217">
        <v>44333</v>
      </c>
      <c r="J1324" s="478" t="s">
        <v>3074</v>
      </c>
      <c r="K1324">
        <v>33.5</v>
      </c>
      <c r="L1324">
        <v>0.84599999999999997</v>
      </c>
      <c r="Q1324" s="4" t="s">
        <v>3076</v>
      </c>
      <c r="T1324" s="478" t="s">
        <v>3612</v>
      </c>
      <c r="U1324" t="s">
        <v>3481</v>
      </c>
      <c r="V1324" s="407" t="s">
        <v>2819</v>
      </c>
      <c r="W1324" s="29">
        <v>6</v>
      </c>
    </row>
    <row r="1325" spans="1:23">
      <c r="A1325" s="134">
        <v>2441</v>
      </c>
      <c r="B1325" s="134">
        <v>18</v>
      </c>
      <c r="C1325" s="478">
        <v>1.53</v>
      </c>
      <c r="D1325" s="478">
        <v>7.15</v>
      </c>
      <c r="E1325" s="478">
        <v>24.35</v>
      </c>
      <c r="F1325" s="497" t="s">
        <v>3659</v>
      </c>
      <c r="G1325" s="168">
        <v>33</v>
      </c>
      <c r="H1325" s="301">
        <v>72.3</v>
      </c>
      <c r="I1325" s="217">
        <v>44333</v>
      </c>
      <c r="J1325" s="478" t="s">
        <v>3074</v>
      </c>
      <c r="K1325">
        <v>33.549999999999997</v>
      </c>
      <c r="L1325">
        <v>0.70899999999999996</v>
      </c>
      <c r="Q1325" s="4" t="s">
        <v>3076</v>
      </c>
      <c r="T1325" s="478" t="s">
        <v>3612</v>
      </c>
      <c r="U1325" t="s">
        <v>3834</v>
      </c>
      <c r="V1325" s="407" t="s">
        <v>3175</v>
      </c>
      <c r="W1325" s="29">
        <v>6</v>
      </c>
    </row>
    <row r="1326" spans="1:23">
      <c r="A1326" s="134">
        <v>2440</v>
      </c>
      <c r="B1326" s="134">
        <v>17.2</v>
      </c>
      <c r="C1326" s="478">
        <v>1.51</v>
      </c>
      <c r="D1326" s="478">
        <v>7.11</v>
      </c>
      <c r="E1326" s="478">
        <v>24.42</v>
      </c>
      <c r="F1326" s="19" t="s">
        <v>3660</v>
      </c>
      <c r="G1326" s="168">
        <v>29</v>
      </c>
      <c r="H1326" s="301">
        <v>73</v>
      </c>
      <c r="I1326" s="217">
        <v>44333</v>
      </c>
      <c r="J1326" s="478" t="s">
        <v>3074</v>
      </c>
      <c r="K1326">
        <v>33.49</v>
      </c>
      <c r="L1326">
        <v>0.85299999999999998</v>
      </c>
      <c r="Q1326" s="4" t="s">
        <v>3076</v>
      </c>
      <c r="T1326" s="478" t="s">
        <v>3612</v>
      </c>
      <c r="U1326" t="s">
        <v>3737</v>
      </c>
      <c r="V1326" s="407" t="s">
        <v>3166</v>
      </c>
      <c r="W1326" s="29">
        <v>3</v>
      </c>
    </row>
    <row r="1327" spans="1:23">
      <c r="A1327" s="134">
        <v>2439</v>
      </c>
      <c r="B1327" s="134">
        <v>18.399999999999999</v>
      </c>
      <c r="C1327" s="478">
        <v>1.5</v>
      </c>
      <c r="D1327" s="478">
        <v>7.13</v>
      </c>
      <c r="E1327" s="478">
        <v>24.43</v>
      </c>
      <c r="F1327" s="375" t="s">
        <v>3661</v>
      </c>
      <c r="G1327" s="168">
        <v>29</v>
      </c>
      <c r="H1327" s="301">
        <v>73</v>
      </c>
      <c r="I1327" s="217">
        <v>44333</v>
      </c>
      <c r="J1327" s="478" t="s">
        <v>3074</v>
      </c>
      <c r="K1327" s="478">
        <v>33.5</v>
      </c>
      <c r="L1327" s="478">
        <v>0.69079999999999997</v>
      </c>
      <c r="M1327" s="478"/>
      <c r="N1327" s="478"/>
      <c r="Q1327" s="4" t="s">
        <v>3076</v>
      </c>
      <c r="T1327" s="478" t="s">
        <v>3612</v>
      </c>
      <c r="U1327" t="s">
        <v>3662</v>
      </c>
      <c r="V1327" s="407" t="s">
        <v>3134</v>
      </c>
      <c r="W1327" s="29">
        <v>6</v>
      </c>
    </row>
    <row r="1328" spans="1:23">
      <c r="A1328" s="134">
        <v>2430</v>
      </c>
      <c r="B1328" s="134">
        <v>17.600000000000001</v>
      </c>
      <c r="C1328" s="478">
        <v>1.49</v>
      </c>
      <c r="D1328" s="478">
        <v>7.07</v>
      </c>
      <c r="E1328" s="478">
        <v>24.35</v>
      </c>
      <c r="F1328" s="176" t="s">
        <v>3663</v>
      </c>
      <c r="G1328" s="168">
        <v>36</v>
      </c>
      <c r="H1328" s="301">
        <v>72</v>
      </c>
      <c r="I1328" s="217">
        <v>44334</v>
      </c>
      <c r="J1328" s="478" t="s">
        <v>3074</v>
      </c>
      <c r="T1328" s="478" t="s">
        <v>3612</v>
      </c>
    </row>
    <row r="1329" spans="1:23">
      <c r="A1329" s="134">
        <v>2430</v>
      </c>
      <c r="B1329" s="134">
        <v>17.600000000000001</v>
      </c>
      <c r="C1329" s="478">
        <v>1.49</v>
      </c>
      <c r="D1329" s="478">
        <v>7.07</v>
      </c>
      <c r="E1329" s="478">
        <v>24.35</v>
      </c>
      <c r="F1329" s="19" t="s">
        <v>3664</v>
      </c>
      <c r="G1329" s="168">
        <v>36</v>
      </c>
      <c r="H1329" s="301">
        <v>72</v>
      </c>
      <c r="I1329" s="217">
        <v>44334</v>
      </c>
      <c r="J1329" s="478" t="s">
        <v>3074</v>
      </c>
      <c r="K1329">
        <v>33.47</v>
      </c>
      <c r="L1329">
        <v>0.98</v>
      </c>
      <c r="Q1329" s="4" t="s">
        <v>3076</v>
      </c>
      <c r="T1329" s="478" t="s">
        <v>3612</v>
      </c>
      <c r="U1329" t="s">
        <v>3737</v>
      </c>
      <c r="V1329" s="407" t="s">
        <v>3665</v>
      </c>
      <c r="W1329" s="29">
        <v>4</v>
      </c>
    </row>
    <row r="1330" spans="1:23" ht="24" customHeight="1">
      <c r="A1330" s="134">
        <v>2462</v>
      </c>
      <c r="B1330" s="134">
        <v>18.399999999999999</v>
      </c>
      <c r="C1330" s="478">
        <v>1.51</v>
      </c>
      <c r="D1330" s="478">
        <v>7.12</v>
      </c>
      <c r="E1330" s="478">
        <v>24.44</v>
      </c>
      <c r="F1330" s="176" t="s">
        <v>3680</v>
      </c>
      <c r="G1330" s="168">
        <v>52</v>
      </c>
      <c r="H1330" s="301">
        <v>71.2</v>
      </c>
      <c r="I1330" s="217">
        <v>44357</v>
      </c>
      <c r="J1330" t="s">
        <v>3074</v>
      </c>
      <c r="K1330">
        <v>33.42</v>
      </c>
      <c r="L1330">
        <v>0.82499999999999996</v>
      </c>
      <c r="Q1330" s="4" t="s">
        <v>3076</v>
      </c>
      <c r="T1330" s="478" t="s">
        <v>3612</v>
      </c>
      <c r="U1330" t="s">
        <v>3681</v>
      </c>
      <c r="V1330" s="407" t="s">
        <v>3024</v>
      </c>
    </row>
    <row r="1331" spans="1:23">
      <c r="A1331" s="134">
        <v>2462</v>
      </c>
      <c r="B1331" s="134">
        <v>18.399999999999999</v>
      </c>
      <c r="C1331" s="478">
        <v>1.51</v>
      </c>
      <c r="D1331" s="478">
        <v>7.12</v>
      </c>
      <c r="E1331" s="478">
        <v>24.44</v>
      </c>
      <c r="F1331" s="19" t="s">
        <v>3693</v>
      </c>
      <c r="G1331" s="168">
        <v>35</v>
      </c>
      <c r="H1331" s="301">
        <v>73</v>
      </c>
      <c r="I1331" s="217">
        <v>44363</v>
      </c>
      <c r="J1331" s="478" t="s">
        <v>3074</v>
      </c>
      <c r="K1331" s="478">
        <v>33.42</v>
      </c>
      <c r="L1331" s="478">
        <v>0.83399999999999996</v>
      </c>
      <c r="M1331" s="478"/>
      <c r="N1331" s="478"/>
      <c r="O1331" s="478"/>
      <c r="P1331" s="478"/>
      <c r="Q1331" s="4" t="s">
        <v>3076</v>
      </c>
      <c r="R1331" s="478"/>
      <c r="S1331" s="478"/>
      <c r="T1331" s="478" t="s">
        <v>3612</v>
      </c>
      <c r="U1331" t="s">
        <v>3721</v>
      </c>
      <c r="V1331" s="407" t="s">
        <v>3136</v>
      </c>
      <c r="W1331" s="29">
        <v>5</v>
      </c>
    </row>
    <row r="1332" spans="1:23">
      <c r="A1332" s="134">
        <v>2449</v>
      </c>
      <c r="B1332" s="134">
        <v>18.8</v>
      </c>
      <c r="C1332" s="478">
        <v>1.53</v>
      </c>
      <c r="D1332" s="478">
        <v>7.13</v>
      </c>
      <c r="E1332" s="478">
        <v>24.45</v>
      </c>
      <c r="F1332" s="184" t="s">
        <v>3682</v>
      </c>
      <c r="G1332" s="168">
        <v>48</v>
      </c>
      <c r="H1332" s="301">
        <v>73.599999999999994</v>
      </c>
      <c r="I1332" s="217">
        <v>44357</v>
      </c>
      <c r="J1332" s="478" t="s">
        <v>3074</v>
      </c>
      <c r="K1332" s="478">
        <v>33.549999999999997</v>
      </c>
      <c r="L1332">
        <v>0.254</v>
      </c>
      <c r="Q1332" s="4" t="s">
        <v>3076</v>
      </c>
      <c r="T1332" s="478" t="s">
        <v>3612</v>
      </c>
      <c r="U1332" t="s">
        <v>3721</v>
      </c>
      <c r="V1332" s="407" t="s">
        <v>3026</v>
      </c>
      <c r="W1332" s="29">
        <v>10</v>
      </c>
    </row>
    <row r="1333" spans="1:23">
      <c r="A1333" s="134">
        <v>2461</v>
      </c>
      <c r="B1333" s="134">
        <v>16</v>
      </c>
      <c r="C1333" s="478">
        <v>1.5</v>
      </c>
      <c r="D1333" s="478">
        <v>7.12</v>
      </c>
      <c r="E1333" s="478">
        <v>24.39</v>
      </c>
      <c r="F1333" s="187" t="s">
        <v>3683</v>
      </c>
      <c r="G1333" s="168">
        <v>50</v>
      </c>
      <c r="H1333" s="301">
        <v>70.900000000000006</v>
      </c>
      <c r="I1333" s="217">
        <v>44358</v>
      </c>
      <c r="J1333" s="478" t="s">
        <v>3074</v>
      </c>
      <c r="K1333">
        <v>33.409999999999997</v>
      </c>
      <c r="L1333">
        <v>0.77</v>
      </c>
      <c r="Q1333" s="4" t="s">
        <v>3076</v>
      </c>
      <c r="T1333" s="478" t="s">
        <v>3612</v>
      </c>
      <c r="U1333" t="s">
        <v>3836</v>
      </c>
      <c r="V1333" s="407" t="s">
        <v>2819</v>
      </c>
      <c r="W1333" s="29">
        <v>14</v>
      </c>
    </row>
    <row r="1334" spans="1:23">
      <c r="A1334" s="134">
        <v>2470</v>
      </c>
      <c r="B1334" s="134">
        <v>18</v>
      </c>
      <c r="C1334" s="478">
        <v>1.51</v>
      </c>
      <c r="D1334" s="478">
        <v>7.07</v>
      </c>
      <c r="E1334" s="478">
        <v>24.41</v>
      </c>
      <c r="F1334" s="176" t="s">
        <v>3684</v>
      </c>
      <c r="G1334" s="168">
        <v>49</v>
      </c>
      <c r="H1334" s="301">
        <v>72.5</v>
      </c>
      <c r="I1334" s="217">
        <v>44358</v>
      </c>
      <c r="J1334" s="478" t="s">
        <v>3074</v>
      </c>
      <c r="K1334">
        <v>33.39</v>
      </c>
      <c r="L1334">
        <v>0.372</v>
      </c>
      <c r="Q1334" s="4" t="s">
        <v>3076</v>
      </c>
      <c r="T1334" s="478" t="s">
        <v>3612</v>
      </c>
      <c r="U1334" s="478" t="s">
        <v>3685</v>
      </c>
    </row>
    <row r="1335" spans="1:23">
      <c r="A1335" s="134">
        <v>2470</v>
      </c>
      <c r="B1335" s="134">
        <v>18</v>
      </c>
      <c r="C1335" s="478">
        <v>1.51</v>
      </c>
      <c r="D1335" s="478">
        <v>7.07</v>
      </c>
      <c r="E1335" s="478">
        <v>24.41</v>
      </c>
      <c r="F1335" s="176" t="s">
        <v>3686</v>
      </c>
      <c r="G1335" s="168">
        <v>47</v>
      </c>
      <c r="H1335" s="301">
        <v>73.400000000000006</v>
      </c>
      <c r="I1335" s="217">
        <v>44361</v>
      </c>
      <c r="J1335" t="s">
        <v>3074</v>
      </c>
      <c r="Q1335" s="4" t="s">
        <v>3076</v>
      </c>
      <c r="T1335" s="478" t="s">
        <v>3612</v>
      </c>
    </row>
    <row r="1336" spans="1:23">
      <c r="A1336" s="134">
        <v>2470</v>
      </c>
      <c r="B1336" s="134">
        <v>18</v>
      </c>
      <c r="C1336" s="478">
        <v>1.51</v>
      </c>
      <c r="D1336" s="478">
        <v>7.07</v>
      </c>
      <c r="E1336" s="478">
        <v>24.41</v>
      </c>
      <c r="F1336" s="176" t="s">
        <v>3687</v>
      </c>
      <c r="G1336" s="168">
        <v>47</v>
      </c>
      <c r="H1336" s="301">
        <v>73.400000000000006</v>
      </c>
      <c r="I1336" s="217">
        <v>44361</v>
      </c>
      <c r="J1336" s="478" t="s">
        <v>3074</v>
      </c>
      <c r="K1336">
        <v>33.4</v>
      </c>
      <c r="L1336">
        <v>0.76700000000000002</v>
      </c>
      <c r="Q1336" s="4" t="s">
        <v>3076</v>
      </c>
      <c r="T1336" s="478" t="s">
        <v>3612</v>
      </c>
      <c r="U1336" t="s">
        <v>3688</v>
      </c>
      <c r="V1336" s="407" t="s">
        <v>3025</v>
      </c>
      <c r="W1336" s="29">
        <v>7</v>
      </c>
    </row>
    <row r="1337" spans="1:23" s="478" customFormat="1">
      <c r="A1337" s="134">
        <v>2470</v>
      </c>
      <c r="B1337" s="134">
        <v>18</v>
      </c>
      <c r="C1337" s="478">
        <v>1.51</v>
      </c>
      <c r="D1337" s="478">
        <v>7.07</v>
      </c>
      <c r="E1337" s="478">
        <v>24.41</v>
      </c>
      <c r="F1337" s="45" t="s">
        <v>3696</v>
      </c>
      <c r="G1337" s="168">
        <v>34</v>
      </c>
      <c r="H1337" s="301">
        <v>73</v>
      </c>
      <c r="I1337" s="217">
        <v>44363</v>
      </c>
      <c r="J1337" s="478" t="s">
        <v>3074</v>
      </c>
      <c r="K1337" s="478">
        <v>33.31</v>
      </c>
      <c r="L1337" s="478">
        <v>0.26600000000000001</v>
      </c>
      <c r="Q1337" s="4" t="s">
        <v>3076</v>
      </c>
      <c r="T1337" s="478" t="s">
        <v>3612</v>
      </c>
      <c r="U1337" s="478" t="s">
        <v>3701</v>
      </c>
      <c r="V1337" s="499" t="s">
        <v>3175</v>
      </c>
      <c r="W1337" s="29">
        <v>8</v>
      </c>
    </row>
    <row r="1338" spans="1:23">
      <c r="A1338" s="134">
        <v>2465</v>
      </c>
      <c r="B1338" s="134">
        <v>18.8</v>
      </c>
      <c r="C1338" s="478">
        <v>1.5</v>
      </c>
      <c r="D1338" s="478">
        <v>7.12</v>
      </c>
      <c r="E1338" s="478">
        <v>24.4</v>
      </c>
      <c r="F1338" s="176" t="s">
        <v>3689</v>
      </c>
      <c r="G1338" s="168">
        <v>47</v>
      </c>
      <c r="H1338" s="301">
        <v>73.599999999999994</v>
      </c>
      <c r="I1338" s="217">
        <v>44361</v>
      </c>
      <c r="J1338" s="478" t="s">
        <v>3074</v>
      </c>
      <c r="K1338">
        <v>33.479999999999997</v>
      </c>
      <c r="L1338">
        <v>0.81499999999999995</v>
      </c>
      <c r="Q1338" s="4" t="s">
        <v>3076</v>
      </c>
      <c r="T1338" s="478" t="s">
        <v>3612</v>
      </c>
      <c r="U1338" t="s">
        <v>3690</v>
      </c>
      <c r="V1338" s="407" t="s">
        <v>3277</v>
      </c>
      <c r="W1338" s="29">
        <v>12</v>
      </c>
    </row>
    <row r="1339" spans="1:23" s="478" customFormat="1">
      <c r="A1339" s="134">
        <v>2465</v>
      </c>
      <c r="B1339" s="134">
        <v>18.8</v>
      </c>
      <c r="C1339" s="478">
        <v>1.5</v>
      </c>
      <c r="D1339" s="478">
        <v>7.12</v>
      </c>
      <c r="E1339" s="478">
        <v>24.4</v>
      </c>
      <c r="F1339" s="176" t="s">
        <v>3697</v>
      </c>
      <c r="G1339" s="168">
        <v>34</v>
      </c>
      <c r="H1339" s="301">
        <v>73</v>
      </c>
      <c r="I1339" s="217">
        <v>44363</v>
      </c>
      <c r="J1339" s="478" t="s">
        <v>3074</v>
      </c>
      <c r="Q1339" s="4" t="s">
        <v>3076</v>
      </c>
      <c r="T1339" s="478" t="s">
        <v>3612</v>
      </c>
      <c r="V1339" s="499"/>
      <c r="W1339" s="29"/>
    </row>
    <row r="1340" spans="1:23" s="478" customFormat="1">
      <c r="A1340" s="134">
        <v>2465</v>
      </c>
      <c r="B1340" s="134">
        <v>18.8</v>
      </c>
      <c r="C1340" s="478">
        <v>1.5</v>
      </c>
      <c r="D1340" s="478">
        <v>7.12</v>
      </c>
      <c r="E1340" s="478">
        <v>24.4</v>
      </c>
      <c r="F1340" s="19" t="s">
        <v>3698</v>
      </c>
      <c r="G1340" s="168">
        <v>34</v>
      </c>
      <c r="H1340" s="301">
        <v>73</v>
      </c>
      <c r="I1340" s="217">
        <v>44363</v>
      </c>
      <c r="J1340" s="478" t="s">
        <v>3074</v>
      </c>
      <c r="K1340" s="478">
        <v>33.32</v>
      </c>
      <c r="L1340" s="478">
        <v>0.95499999999999996</v>
      </c>
      <c r="Q1340" s="4" t="s">
        <v>3076</v>
      </c>
      <c r="T1340" s="478" t="s">
        <v>3612</v>
      </c>
      <c r="U1340" s="478" t="s">
        <v>3726</v>
      </c>
      <c r="V1340" s="499" t="s">
        <v>3053</v>
      </c>
      <c r="W1340" s="29">
        <v>12</v>
      </c>
    </row>
    <row r="1341" spans="1:23">
      <c r="A1341" s="134">
        <v>2433</v>
      </c>
      <c r="B1341" s="134">
        <v>18.399999999999999</v>
      </c>
      <c r="C1341" s="478">
        <v>1.52</v>
      </c>
      <c r="D1341" s="478">
        <v>7.13</v>
      </c>
      <c r="E1341" s="478">
        <v>24.49</v>
      </c>
      <c r="F1341" s="19" t="s">
        <v>3691</v>
      </c>
      <c r="G1341" s="168">
        <v>54</v>
      </c>
      <c r="H1341" s="301">
        <v>70.5</v>
      </c>
      <c r="I1341" s="217">
        <v>44362</v>
      </c>
      <c r="J1341" t="s">
        <v>3074</v>
      </c>
      <c r="K1341">
        <v>33.36</v>
      </c>
      <c r="L1341">
        <v>0.97199999999999998</v>
      </c>
      <c r="Q1341" s="4" t="s">
        <v>3076</v>
      </c>
      <c r="T1341" s="478" t="s">
        <v>3612</v>
      </c>
      <c r="U1341" t="s">
        <v>3724</v>
      </c>
      <c r="V1341" s="407" t="s">
        <v>3013</v>
      </c>
      <c r="W1341" s="29">
        <v>13</v>
      </c>
    </row>
    <row r="1342" spans="1:23">
      <c r="A1342" s="134">
        <v>2421</v>
      </c>
      <c r="B1342" s="134">
        <v>16.399999999999999</v>
      </c>
      <c r="C1342" s="478">
        <v>1.52</v>
      </c>
      <c r="D1342" s="478">
        <v>7.18</v>
      </c>
      <c r="E1342" s="478">
        <v>24.34</v>
      </c>
      <c r="F1342" s="187" t="s">
        <v>3692</v>
      </c>
      <c r="G1342" s="168">
        <v>47</v>
      </c>
      <c r="H1342" s="301">
        <v>73.2</v>
      </c>
      <c r="I1342" s="217">
        <v>44362</v>
      </c>
      <c r="J1342" s="478" t="s">
        <v>3074</v>
      </c>
      <c r="K1342">
        <v>33.340000000000003</v>
      </c>
      <c r="L1342">
        <v>0.73</v>
      </c>
      <c r="Q1342" s="4" t="s">
        <v>3076</v>
      </c>
      <c r="T1342" s="478" t="s">
        <v>3612</v>
      </c>
      <c r="U1342" t="s">
        <v>3835</v>
      </c>
      <c r="V1342" s="498" t="s">
        <v>3013</v>
      </c>
      <c r="W1342" s="29">
        <v>12</v>
      </c>
    </row>
    <row r="1343" spans="1:23">
      <c r="A1343" s="134">
        <v>2438</v>
      </c>
      <c r="B1343" s="134">
        <v>16.8</v>
      </c>
      <c r="C1343" s="478">
        <v>1.51</v>
      </c>
      <c r="D1343" s="478">
        <v>7.16</v>
      </c>
      <c r="E1343" s="478">
        <v>24.41</v>
      </c>
      <c r="F1343" s="19" t="s">
        <v>3694</v>
      </c>
      <c r="G1343" s="168">
        <v>34</v>
      </c>
      <c r="H1343" s="301">
        <v>73</v>
      </c>
      <c r="I1343" s="217">
        <v>44363</v>
      </c>
      <c r="J1343" s="478" t="s">
        <v>3074</v>
      </c>
      <c r="K1343" s="478">
        <v>33.42</v>
      </c>
      <c r="L1343" s="478">
        <v>0.86499999999999999</v>
      </c>
      <c r="M1343" s="478"/>
      <c r="N1343" s="478"/>
      <c r="O1343" s="478"/>
      <c r="P1343" s="478"/>
      <c r="Q1343" s="4" t="s">
        <v>3076</v>
      </c>
      <c r="R1343" s="478"/>
      <c r="S1343" s="478"/>
      <c r="T1343" s="478" t="s">
        <v>3612</v>
      </c>
      <c r="U1343" t="s">
        <v>3725</v>
      </c>
      <c r="V1343" s="407" t="s">
        <v>3157</v>
      </c>
      <c r="W1343" s="29">
        <v>8</v>
      </c>
    </row>
    <row r="1344" spans="1:23">
      <c r="A1344" s="134">
        <v>2431</v>
      </c>
      <c r="B1344" s="134">
        <v>18.399999999999999</v>
      </c>
      <c r="C1344" s="478">
        <v>1.49</v>
      </c>
      <c r="D1344" s="478">
        <v>7.09</v>
      </c>
      <c r="E1344" s="478">
        <v>24.36</v>
      </c>
      <c r="F1344" s="19" t="s">
        <v>3695</v>
      </c>
      <c r="G1344" s="168">
        <v>34</v>
      </c>
      <c r="H1344" s="301">
        <v>73</v>
      </c>
      <c r="I1344" s="217">
        <v>44363</v>
      </c>
      <c r="J1344" s="478" t="s">
        <v>3074</v>
      </c>
      <c r="K1344" s="478">
        <v>33.450000000000003</v>
      </c>
      <c r="L1344" s="478">
        <v>0.68300000000000005</v>
      </c>
      <c r="M1344" s="478"/>
      <c r="N1344" s="478"/>
      <c r="O1344" s="478"/>
      <c r="P1344" s="478"/>
      <c r="Q1344" s="4" t="s">
        <v>3076</v>
      </c>
      <c r="R1344" s="478"/>
      <c r="S1344" s="478"/>
      <c r="T1344" s="478" t="s">
        <v>3612</v>
      </c>
      <c r="U1344" t="s">
        <v>3722</v>
      </c>
      <c r="V1344" s="407" t="s">
        <v>3175</v>
      </c>
      <c r="W1344" s="29">
        <v>7</v>
      </c>
    </row>
    <row r="1345" spans="1:23" s="478" customFormat="1">
      <c r="A1345" s="134">
        <v>2426</v>
      </c>
      <c r="B1345" s="134">
        <v>17.600000000000001</v>
      </c>
      <c r="C1345" s="478">
        <v>1.5</v>
      </c>
      <c r="D1345" s="301">
        <v>7.13</v>
      </c>
      <c r="E1345" s="478">
        <v>24.41</v>
      </c>
      <c r="F1345" s="19" t="s">
        <v>3699</v>
      </c>
      <c r="G1345" s="168">
        <v>34</v>
      </c>
      <c r="H1345" s="301">
        <v>73</v>
      </c>
      <c r="I1345" s="217">
        <v>44363</v>
      </c>
      <c r="J1345" s="478" t="s">
        <v>3074</v>
      </c>
      <c r="K1345" s="478">
        <v>33.46</v>
      </c>
      <c r="L1345" s="478">
        <v>0.8</v>
      </c>
      <c r="Q1345" s="4" t="s">
        <v>3076</v>
      </c>
      <c r="T1345" s="478" t="s">
        <v>3612</v>
      </c>
      <c r="U1345" s="478" t="s">
        <v>3723</v>
      </c>
      <c r="V1345" s="499" t="s">
        <v>3700</v>
      </c>
      <c r="W1345" s="29">
        <v>12</v>
      </c>
    </row>
    <row r="1346" spans="1:23" ht="26.25" customHeight="1">
      <c r="A1346" s="134">
        <v>2468</v>
      </c>
      <c r="B1346" s="134">
        <v>17.2</v>
      </c>
      <c r="C1346" s="478">
        <v>1.48</v>
      </c>
      <c r="D1346" s="478">
        <v>7.08</v>
      </c>
      <c r="E1346" s="478">
        <v>24.38</v>
      </c>
      <c r="F1346" s="500" t="s">
        <v>3702</v>
      </c>
      <c r="G1346" s="168">
        <v>47</v>
      </c>
      <c r="H1346" s="301">
        <v>74.5</v>
      </c>
      <c r="I1346" s="217">
        <v>44376</v>
      </c>
      <c r="J1346" s="478" t="s">
        <v>3074</v>
      </c>
      <c r="K1346">
        <v>33.520000000000003</v>
      </c>
      <c r="L1346">
        <v>0.877</v>
      </c>
      <c r="Q1346" s="4" t="s">
        <v>3076</v>
      </c>
      <c r="T1346" s="478" t="s">
        <v>3612</v>
      </c>
      <c r="U1346" t="s">
        <v>3828</v>
      </c>
      <c r="V1346" s="407" t="s">
        <v>3703</v>
      </c>
      <c r="W1346" s="29">
        <v>2</v>
      </c>
    </row>
    <row r="1347" spans="1:23">
      <c r="A1347" s="134">
        <v>2466</v>
      </c>
      <c r="B1347" s="134">
        <v>18.8</v>
      </c>
      <c r="C1347" s="478">
        <v>1.5</v>
      </c>
      <c r="D1347" s="478">
        <v>7.18</v>
      </c>
      <c r="E1347" s="478">
        <v>24.28</v>
      </c>
      <c r="F1347" s="176" t="s">
        <v>3704</v>
      </c>
      <c r="G1347" s="168">
        <v>52</v>
      </c>
      <c r="H1347" s="301">
        <v>72.3</v>
      </c>
      <c r="I1347" s="217">
        <v>44377</v>
      </c>
      <c r="J1347" s="478" t="s">
        <v>3074</v>
      </c>
      <c r="K1347">
        <v>33.51</v>
      </c>
      <c r="L1347">
        <v>0.30099999999999999</v>
      </c>
      <c r="Q1347" s="4" t="s">
        <v>3076</v>
      </c>
      <c r="T1347" s="478" t="s">
        <v>3612</v>
      </c>
      <c r="U1347" t="s">
        <v>3705</v>
      </c>
      <c r="V1347" s="407" t="s">
        <v>3237</v>
      </c>
    </row>
    <row r="1348" spans="1:23">
      <c r="A1348" s="134">
        <v>2466</v>
      </c>
      <c r="B1348" s="134">
        <v>18.8</v>
      </c>
      <c r="C1348" s="478">
        <v>1.5</v>
      </c>
      <c r="D1348" s="478">
        <v>7.18</v>
      </c>
      <c r="E1348" s="478">
        <v>24.28</v>
      </c>
      <c r="F1348" s="249" t="s">
        <v>3706</v>
      </c>
      <c r="G1348" s="168">
        <v>51</v>
      </c>
      <c r="H1348" s="301">
        <v>71.8</v>
      </c>
      <c r="I1348" s="217">
        <v>44378</v>
      </c>
      <c r="J1348" s="478" t="s">
        <v>3074</v>
      </c>
      <c r="K1348">
        <v>33.479999999999997</v>
      </c>
      <c r="L1348">
        <v>0.27300000000000002</v>
      </c>
      <c r="Q1348" s="4" t="s">
        <v>3076</v>
      </c>
      <c r="T1348" s="478" t="s">
        <v>3612</v>
      </c>
      <c r="U1348" t="s">
        <v>3727</v>
      </c>
      <c r="V1348" s="407" t="s">
        <v>3105</v>
      </c>
      <c r="W1348" s="29">
        <v>3</v>
      </c>
    </row>
    <row r="1349" spans="1:23">
      <c r="A1349" s="134">
        <v>2463</v>
      </c>
      <c r="B1349" s="134">
        <v>18.8</v>
      </c>
      <c r="C1349" s="478">
        <v>1.56</v>
      </c>
      <c r="D1349" s="478">
        <v>7.1</v>
      </c>
      <c r="E1349" s="478">
        <v>24.32</v>
      </c>
      <c r="F1349" s="19" t="s">
        <v>3707</v>
      </c>
      <c r="G1349" s="168">
        <v>46</v>
      </c>
      <c r="H1349" s="301">
        <v>74.099999999999994</v>
      </c>
      <c r="I1349" s="217">
        <v>44378</v>
      </c>
      <c r="J1349" s="478" t="s">
        <v>3074</v>
      </c>
      <c r="K1349">
        <v>33.450000000000003</v>
      </c>
      <c r="L1349">
        <v>0.112</v>
      </c>
      <c r="Q1349" s="4" t="s">
        <v>3076</v>
      </c>
      <c r="T1349" s="478" t="s">
        <v>3612</v>
      </c>
      <c r="U1349" t="s">
        <v>3728</v>
      </c>
      <c r="V1349" s="407" t="s">
        <v>3094</v>
      </c>
      <c r="W1349" s="29">
        <v>1</v>
      </c>
    </row>
    <row r="1350" spans="1:23">
      <c r="A1350" s="134">
        <v>2464</v>
      </c>
      <c r="B1350" s="134">
        <v>17.600000000000001</v>
      </c>
      <c r="C1350" s="478">
        <v>1.49</v>
      </c>
      <c r="D1350" s="478">
        <v>7.11</v>
      </c>
      <c r="E1350" s="478">
        <v>24.36</v>
      </c>
      <c r="F1350" s="19" t="s">
        <v>3708</v>
      </c>
      <c r="G1350" s="168">
        <v>52</v>
      </c>
      <c r="H1350" s="301">
        <v>71.2</v>
      </c>
      <c r="I1350" s="217">
        <v>44379</v>
      </c>
      <c r="J1350" s="478" t="s">
        <v>3074</v>
      </c>
      <c r="K1350">
        <v>33.5</v>
      </c>
      <c r="L1350">
        <v>0.56999999999999995</v>
      </c>
      <c r="Q1350" s="4" t="s">
        <v>3076</v>
      </c>
      <c r="T1350" s="478" t="s">
        <v>3612</v>
      </c>
      <c r="U1350" t="s">
        <v>4241</v>
      </c>
      <c r="V1350" s="407" t="s">
        <v>3340</v>
      </c>
      <c r="W1350" s="29">
        <v>3</v>
      </c>
    </row>
    <row r="1351" spans="1:23">
      <c r="A1351" s="134">
        <v>2469</v>
      </c>
      <c r="B1351" s="134">
        <v>17.2</v>
      </c>
      <c r="C1351" s="478">
        <v>1.5</v>
      </c>
      <c r="D1351" s="478">
        <v>7.06</v>
      </c>
      <c r="E1351" s="478">
        <v>24.37</v>
      </c>
      <c r="F1351" s="184" t="s">
        <v>3709</v>
      </c>
      <c r="G1351" s="168">
        <v>47</v>
      </c>
      <c r="H1351" s="301">
        <v>73.599999999999994</v>
      </c>
      <c r="I1351" s="217">
        <v>44379</v>
      </c>
      <c r="J1351" s="478" t="s">
        <v>3074</v>
      </c>
      <c r="K1351">
        <v>33.33</v>
      </c>
      <c r="L1351">
        <v>0.27400000000000002</v>
      </c>
      <c r="Q1351" s="4" t="s">
        <v>3076</v>
      </c>
      <c r="T1351" s="478" t="s">
        <v>3612</v>
      </c>
      <c r="U1351" t="s">
        <v>3830</v>
      </c>
      <c r="V1351" s="407" t="s">
        <v>3711</v>
      </c>
    </row>
    <row r="1352" spans="1:23">
      <c r="A1352" s="134">
        <v>2467</v>
      </c>
      <c r="B1352" s="134">
        <v>17.600000000000001</v>
      </c>
      <c r="C1352" s="478">
        <v>1.51</v>
      </c>
      <c r="D1352" s="478">
        <v>7.13</v>
      </c>
      <c r="E1352" s="478">
        <v>24.33</v>
      </c>
      <c r="F1352" s="176" t="s">
        <v>3712</v>
      </c>
      <c r="G1352" s="168">
        <v>47</v>
      </c>
      <c r="H1352" s="301">
        <v>73.599999999999994</v>
      </c>
      <c r="I1352" s="217">
        <v>44379</v>
      </c>
      <c r="J1352" s="478" t="s">
        <v>3074</v>
      </c>
      <c r="T1352" s="478" t="s">
        <v>3612</v>
      </c>
    </row>
    <row r="1353" spans="1:23" s="478" customFormat="1">
      <c r="A1353" s="134">
        <v>2467</v>
      </c>
      <c r="B1353" s="134">
        <v>17.600000000000001</v>
      </c>
      <c r="C1353" s="478">
        <v>1.51</v>
      </c>
      <c r="D1353" s="478">
        <v>7.13</v>
      </c>
      <c r="E1353" s="478">
        <v>24.33</v>
      </c>
      <c r="F1353" s="249" t="s">
        <v>3713</v>
      </c>
      <c r="G1353" s="168">
        <v>49</v>
      </c>
      <c r="H1353" s="301">
        <v>73.599999999999994</v>
      </c>
      <c r="I1353" s="217">
        <v>44392</v>
      </c>
      <c r="J1353" s="478" t="s">
        <v>3074</v>
      </c>
      <c r="K1353" s="478">
        <v>33.42</v>
      </c>
      <c r="L1353" s="478">
        <v>0.97099999999999997</v>
      </c>
      <c r="Q1353" s="4" t="s">
        <v>3076</v>
      </c>
      <c r="T1353" s="478" t="s">
        <v>3612</v>
      </c>
      <c r="U1353" s="478" t="s">
        <v>3729</v>
      </c>
      <c r="V1353" s="501" t="s">
        <v>3237</v>
      </c>
      <c r="W1353" s="29">
        <v>0</v>
      </c>
    </row>
    <row r="1354" spans="1:23">
      <c r="A1354" s="134">
        <v>2434</v>
      </c>
      <c r="B1354" s="134">
        <v>16.8</v>
      </c>
      <c r="C1354" s="478">
        <v>1.5</v>
      </c>
      <c r="D1354" s="478">
        <v>7.17</v>
      </c>
      <c r="E1354" s="478">
        <v>24.24</v>
      </c>
      <c r="F1354" s="19" t="s">
        <v>3714</v>
      </c>
      <c r="G1354" s="168">
        <v>47</v>
      </c>
      <c r="H1354" s="301">
        <v>74.3</v>
      </c>
      <c r="I1354" s="217">
        <v>44392</v>
      </c>
      <c r="J1354" s="478" t="s">
        <v>3074</v>
      </c>
      <c r="K1354">
        <v>33.619999999999997</v>
      </c>
      <c r="L1354">
        <v>0.64300000000000002</v>
      </c>
      <c r="Q1354" s="4" t="s">
        <v>3076</v>
      </c>
      <c r="T1354" s="478" t="s">
        <v>3612</v>
      </c>
      <c r="U1354" t="s">
        <v>4245</v>
      </c>
      <c r="V1354" s="407" t="s">
        <v>3194</v>
      </c>
      <c r="W1354" s="29">
        <v>1</v>
      </c>
    </row>
    <row r="1355" spans="1:23">
      <c r="A1355" s="134">
        <v>2473</v>
      </c>
      <c r="B1355" s="134">
        <v>18</v>
      </c>
      <c r="C1355" s="478">
        <v>1.51</v>
      </c>
      <c r="D1355" s="478">
        <v>7.09</v>
      </c>
      <c r="E1355" s="478">
        <v>24.4</v>
      </c>
      <c r="F1355" s="19" t="s">
        <v>3715</v>
      </c>
      <c r="G1355" s="168">
        <v>46</v>
      </c>
      <c r="H1355" s="301">
        <v>74.8</v>
      </c>
      <c r="I1355" s="217">
        <v>44392</v>
      </c>
      <c r="J1355" s="478" t="s">
        <v>3074</v>
      </c>
      <c r="K1355">
        <v>33.44</v>
      </c>
      <c r="L1355">
        <v>0.96</v>
      </c>
      <c r="Q1355" s="4" t="s">
        <v>3076</v>
      </c>
      <c r="T1355" s="478" t="s">
        <v>3612</v>
      </c>
      <c r="U1355" t="s">
        <v>3730</v>
      </c>
      <c r="V1355" s="407" t="s">
        <v>3087</v>
      </c>
      <c r="W1355" s="29">
        <v>4</v>
      </c>
    </row>
    <row r="1356" spans="1:23">
      <c r="A1356" s="134">
        <v>2476</v>
      </c>
      <c r="B1356" s="134">
        <v>18.8</v>
      </c>
      <c r="C1356">
        <v>1.52</v>
      </c>
      <c r="D1356">
        <v>7.13</v>
      </c>
      <c r="E1356">
        <v>24.38</v>
      </c>
      <c r="F1356" s="19" t="s">
        <v>3716</v>
      </c>
      <c r="G1356" s="168">
        <v>46</v>
      </c>
      <c r="H1356" s="301">
        <v>75.2</v>
      </c>
      <c r="I1356" s="217">
        <v>44393</v>
      </c>
      <c r="J1356" t="s">
        <v>3074</v>
      </c>
      <c r="K1356">
        <v>33.49</v>
      </c>
      <c r="L1356">
        <v>0.95599999999999996</v>
      </c>
      <c r="Q1356" s="4" t="s">
        <v>3076</v>
      </c>
      <c r="T1356" s="478" t="s">
        <v>3612</v>
      </c>
      <c r="U1356" t="s">
        <v>3731</v>
      </c>
      <c r="V1356" s="407" t="s">
        <v>3175</v>
      </c>
      <c r="W1356" s="29">
        <v>0</v>
      </c>
    </row>
    <row r="1357" spans="1:23">
      <c r="A1357" s="418">
        <v>2446</v>
      </c>
      <c r="B1357" s="134">
        <v>17.8</v>
      </c>
      <c r="C1357" s="301">
        <v>1.49</v>
      </c>
      <c r="D1357" s="301">
        <v>7.06</v>
      </c>
      <c r="E1357" s="301">
        <v>24.4</v>
      </c>
      <c r="F1357" s="502" t="s">
        <v>3717</v>
      </c>
      <c r="G1357" s="168">
        <v>46</v>
      </c>
      <c r="H1357" s="301">
        <v>75.2</v>
      </c>
      <c r="I1357" s="217">
        <v>44393</v>
      </c>
      <c r="J1357" s="478" t="s">
        <v>3074</v>
      </c>
      <c r="K1357">
        <v>33.46</v>
      </c>
      <c r="L1357">
        <v>0.221</v>
      </c>
      <c r="Q1357" s="4" t="s">
        <v>3076</v>
      </c>
      <c r="T1357" s="478" t="s">
        <v>3612</v>
      </c>
      <c r="U1357" t="s">
        <v>3829</v>
      </c>
      <c r="V1357" s="407" t="s">
        <v>3027</v>
      </c>
      <c r="W1357" s="29">
        <v>2</v>
      </c>
    </row>
    <row r="1358" spans="1:23">
      <c r="A1358" s="418">
        <v>2409</v>
      </c>
      <c r="B1358" s="134">
        <v>18</v>
      </c>
      <c r="C1358" s="301">
        <v>1.53</v>
      </c>
      <c r="D1358" s="301">
        <v>7.1</v>
      </c>
      <c r="E1358" s="301">
        <v>24.4</v>
      </c>
      <c r="F1358" s="176" t="s">
        <v>3718</v>
      </c>
      <c r="G1358" s="168">
        <v>45</v>
      </c>
      <c r="H1358" s="301">
        <v>74.8</v>
      </c>
      <c r="I1358" s="217">
        <v>44393</v>
      </c>
      <c r="J1358" s="478" t="s">
        <v>3074</v>
      </c>
      <c r="K1358">
        <v>33.409999999999997</v>
      </c>
      <c r="Q1358" s="4" t="s">
        <v>3076</v>
      </c>
      <c r="T1358" s="478" t="s">
        <v>3612</v>
      </c>
      <c r="U1358" t="s">
        <v>3710</v>
      </c>
    </row>
    <row r="1359" spans="1:23" s="478" customFormat="1">
      <c r="A1359" s="418">
        <v>2409</v>
      </c>
      <c r="B1359" s="134">
        <v>18</v>
      </c>
      <c r="C1359" s="301">
        <v>1.53</v>
      </c>
      <c r="D1359" s="301">
        <v>7.1</v>
      </c>
      <c r="E1359" s="301">
        <v>24.4</v>
      </c>
      <c r="F1359" s="249" t="s">
        <v>3719</v>
      </c>
      <c r="G1359" s="168">
        <v>45</v>
      </c>
      <c r="H1359" s="301">
        <v>74.8</v>
      </c>
      <c r="I1359" s="217">
        <v>44393</v>
      </c>
      <c r="J1359" s="478" t="s">
        <v>3074</v>
      </c>
      <c r="K1359" s="478">
        <v>33.46</v>
      </c>
      <c r="L1359" s="478">
        <v>0.872</v>
      </c>
      <c r="Q1359" s="4" t="s">
        <v>3076</v>
      </c>
      <c r="T1359" s="478" t="s">
        <v>3612</v>
      </c>
      <c r="U1359" s="478" t="s">
        <v>3732</v>
      </c>
      <c r="V1359" s="502" t="s">
        <v>2819</v>
      </c>
      <c r="W1359" s="29">
        <v>1</v>
      </c>
    </row>
    <row r="1360" spans="1:23">
      <c r="A1360" s="478">
        <v>2383</v>
      </c>
      <c r="B1360" s="478">
        <v>17.600000000000001</v>
      </c>
      <c r="C1360" s="478">
        <v>1.47</v>
      </c>
      <c r="D1360" s="478">
        <v>7.16</v>
      </c>
      <c r="E1360" s="478">
        <v>24.38</v>
      </c>
      <c r="F1360" s="19" t="s">
        <v>3720</v>
      </c>
      <c r="G1360" s="168">
        <v>45</v>
      </c>
      <c r="H1360" s="301">
        <v>74.8</v>
      </c>
      <c r="I1360" s="217">
        <v>44393</v>
      </c>
      <c r="J1360" s="478" t="s">
        <v>3074</v>
      </c>
      <c r="K1360">
        <v>33.520000000000003</v>
      </c>
      <c r="L1360">
        <v>0.10199999999999999</v>
      </c>
      <c r="Q1360" s="4" t="s">
        <v>3076</v>
      </c>
      <c r="T1360" s="478" t="s">
        <v>3612</v>
      </c>
      <c r="U1360" t="s">
        <v>3728</v>
      </c>
      <c r="V1360" s="407" t="s">
        <v>3134</v>
      </c>
      <c r="W1360" s="29">
        <v>4</v>
      </c>
    </row>
    <row r="1361" spans="1:23" ht="25.5" customHeight="1">
      <c r="A1361" s="418">
        <v>2405</v>
      </c>
      <c r="B1361" s="134">
        <v>18</v>
      </c>
      <c r="C1361" s="301">
        <v>1.51</v>
      </c>
      <c r="D1361" s="301">
        <v>7.08</v>
      </c>
      <c r="E1361" s="301">
        <v>24.33</v>
      </c>
      <c r="F1361" s="247" t="s">
        <v>3739</v>
      </c>
      <c r="G1361" s="168">
        <v>46</v>
      </c>
      <c r="H1361" s="301">
        <v>73.2</v>
      </c>
      <c r="I1361" s="217">
        <v>44410</v>
      </c>
      <c r="J1361" s="478" t="s">
        <v>3074</v>
      </c>
      <c r="K1361">
        <v>33.42</v>
      </c>
      <c r="L1361">
        <v>0.192</v>
      </c>
      <c r="Q1361" s="4" t="s">
        <v>3076</v>
      </c>
      <c r="T1361" s="478" t="s">
        <v>3612</v>
      </c>
      <c r="U1361" t="s">
        <v>3832</v>
      </c>
      <c r="V1361" s="407" t="s">
        <v>3127</v>
      </c>
      <c r="W1361" s="29">
        <v>11</v>
      </c>
    </row>
    <row r="1362" spans="1:23">
      <c r="A1362" s="305">
        <v>2477</v>
      </c>
      <c r="B1362" s="134">
        <v>17.600000000000001</v>
      </c>
      <c r="C1362" s="478">
        <v>1.51</v>
      </c>
      <c r="D1362" s="478">
        <v>7.09</v>
      </c>
      <c r="E1362" s="478">
        <v>24.41</v>
      </c>
      <c r="F1362" s="247" t="s">
        <v>3740</v>
      </c>
      <c r="G1362" s="168">
        <v>43</v>
      </c>
      <c r="H1362" s="301">
        <v>73.900000000000006</v>
      </c>
      <c r="I1362" s="217">
        <v>44410</v>
      </c>
      <c r="J1362" s="478" t="s">
        <v>3074</v>
      </c>
      <c r="K1362">
        <v>33.57</v>
      </c>
      <c r="L1362">
        <v>0.91800000000000004</v>
      </c>
      <c r="Q1362" s="4" t="s">
        <v>3076</v>
      </c>
      <c r="T1362" s="478" t="s">
        <v>3612</v>
      </c>
      <c r="U1362" s="478" t="s">
        <v>3832</v>
      </c>
      <c r="V1362" s="407" t="s">
        <v>3340</v>
      </c>
      <c r="W1362" s="29">
        <v>11</v>
      </c>
    </row>
    <row r="1363" spans="1:23">
      <c r="A1363" s="305">
        <v>2481</v>
      </c>
      <c r="B1363" s="134">
        <v>18.399999999999999</v>
      </c>
      <c r="C1363" s="478">
        <v>1.49</v>
      </c>
      <c r="D1363" s="478">
        <v>7.09</v>
      </c>
      <c r="E1363" s="478">
        <v>24.38</v>
      </c>
      <c r="F1363" s="184" t="s">
        <v>3741</v>
      </c>
      <c r="G1363" s="168">
        <v>47</v>
      </c>
      <c r="H1363" s="301">
        <v>71.2</v>
      </c>
      <c r="I1363" s="217">
        <v>44411</v>
      </c>
      <c r="J1363" t="s">
        <v>3074</v>
      </c>
      <c r="K1363">
        <v>33.29</v>
      </c>
      <c r="L1363">
        <v>0.97199999999999998</v>
      </c>
      <c r="Q1363" s="4" t="s">
        <v>3076</v>
      </c>
      <c r="T1363" s="478" t="s">
        <v>3612</v>
      </c>
      <c r="U1363" t="s">
        <v>3772</v>
      </c>
      <c r="V1363" s="407" t="s">
        <v>3086</v>
      </c>
      <c r="W1363" s="29">
        <v>7</v>
      </c>
    </row>
    <row r="1364" spans="1:23">
      <c r="A1364" s="305">
        <v>2482</v>
      </c>
      <c r="B1364" s="134">
        <v>18.399999999999999</v>
      </c>
      <c r="C1364" s="478">
        <v>1.49</v>
      </c>
      <c r="D1364" s="478">
        <v>7.14</v>
      </c>
      <c r="E1364" s="478">
        <v>24.37</v>
      </c>
      <c r="F1364" s="176" t="s">
        <v>3742</v>
      </c>
      <c r="G1364" s="168">
        <v>47</v>
      </c>
      <c r="H1364" s="301">
        <v>71.2</v>
      </c>
      <c r="I1364" s="217">
        <v>44411</v>
      </c>
      <c r="J1364" s="478" t="s">
        <v>3074</v>
      </c>
      <c r="K1364">
        <v>33.630000000000003</v>
      </c>
      <c r="L1364">
        <v>0.76</v>
      </c>
      <c r="Q1364" s="4" t="s">
        <v>3076</v>
      </c>
      <c r="T1364" s="478" t="s">
        <v>3612</v>
      </c>
      <c r="U1364" t="s">
        <v>3743</v>
      </c>
      <c r="V1364" s="407" t="s">
        <v>3136</v>
      </c>
    </row>
    <row r="1365" spans="1:23">
      <c r="A1365" s="305">
        <v>2482</v>
      </c>
      <c r="B1365" s="134">
        <v>18.399999999999999</v>
      </c>
      <c r="C1365" s="478">
        <v>1.49</v>
      </c>
      <c r="D1365" s="478">
        <v>7.14</v>
      </c>
      <c r="E1365" s="478">
        <v>24.37</v>
      </c>
      <c r="F1365" s="506" t="s">
        <v>3744</v>
      </c>
      <c r="G1365" s="168">
        <v>45</v>
      </c>
      <c r="H1365" s="301">
        <v>72</v>
      </c>
      <c r="I1365" s="217">
        <v>44411</v>
      </c>
      <c r="J1365" s="478" t="s">
        <v>3074</v>
      </c>
      <c r="K1365">
        <v>33.64</v>
      </c>
      <c r="L1365">
        <v>0.77600000000000002</v>
      </c>
      <c r="Q1365" s="4" t="s">
        <v>3076</v>
      </c>
      <c r="T1365" s="478" t="s">
        <v>3612</v>
      </c>
      <c r="U1365" t="s">
        <v>3769</v>
      </c>
      <c r="V1365" s="407" t="s">
        <v>3175</v>
      </c>
      <c r="W1365" s="29">
        <v>11</v>
      </c>
    </row>
    <row r="1366" spans="1:23">
      <c r="A1366" s="305">
        <v>2489</v>
      </c>
      <c r="B1366" s="134">
        <v>18.8</v>
      </c>
      <c r="C1366" s="478">
        <v>1.49</v>
      </c>
      <c r="D1366" s="478">
        <v>7.11</v>
      </c>
      <c r="E1366" s="478">
        <v>24.32</v>
      </c>
      <c r="F1366" s="184" t="s">
        <v>3745</v>
      </c>
      <c r="G1366" s="168">
        <v>45</v>
      </c>
      <c r="H1366" s="301">
        <v>72</v>
      </c>
      <c r="I1366" s="217">
        <v>44411</v>
      </c>
      <c r="J1366" s="478" t="s">
        <v>3074</v>
      </c>
      <c r="K1366">
        <v>33.44</v>
      </c>
      <c r="L1366">
        <v>0.60199999999999998</v>
      </c>
      <c r="Q1366" s="4" t="s">
        <v>3076</v>
      </c>
      <c r="T1366" s="478" t="s">
        <v>3612</v>
      </c>
      <c r="U1366" t="s">
        <v>3771</v>
      </c>
      <c r="V1366" s="407" t="s">
        <v>3159</v>
      </c>
      <c r="W1366" s="29">
        <v>13</v>
      </c>
    </row>
    <row r="1367" spans="1:23">
      <c r="A1367" s="305">
        <v>2472</v>
      </c>
      <c r="B1367" s="134">
        <v>17.2</v>
      </c>
      <c r="C1367" s="478">
        <v>1.51</v>
      </c>
      <c r="D1367" s="478">
        <v>7.09</v>
      </c>
      <c r="E1367" s="478">
        <v>24.45</v>
      </c>
      <c r="F1367" s="356" t="s">
        <v>3746</v>
      </c>
      <c r="G1367" s="168">
        <v>45</v>
      </c>
      <c r="H1367" s="301">
        <v>72</v>
      </c>
      <c r="I1367" s="217">
        <v>44411</v>
      </c>
      <c r="J1367" s="478" t="s">
        <v>3074</v>
      </c>
      <c r="K1367">
        <v>33.520000000000003</v>
      </c>
      <c r="L1367">
        <v>0.97599999999999998</v>
      </c>
      <c r="Q1367" s="4" t="s">
        <v>3076</v>
      </c>
      <c r="T1367" s="478" t="s">
        <v>3612</v>
      </c>
      <c r="U1367" t="s">
        <v>3747</v>
      </c>
      <c r="V1367" s="504" t="s">
        <v>3175</v>
      </c>
      <c r="W1367" s="29">
        <v>15</v>
      </c>
    </row>
    <row r="1368" spans="1:23">
      <c r="A1368" s="305">
        <v>2475</v>
      </c>
      <c r="B1368" s="134">
        <v>16.8</v>
      </c>
      <c r="C1368" s="478">
        <v>1.5</v>
      </c>
      <c r="D1368" s="478">
        <v>7.13</v>
      </c>
      <c r="E1368" s="478">
        <v>24.27</v>
      </c>
      <c r="F1368" s="184" t="s">
        <v>3748</v>
      </c>
      <c r="G1368" s="168">
        <v>46</v>
      </c>
      <c r="H1368" s="301">
        <v>73.599999999999994</v>
      </c>
      <c r="I1368" s="217">
        <v>44412</v>
      </c>
      <c r="J1368" t="s">
        <v>3074</v>
      </c>
      <c r="K1368">
        <v>33.5</v>
      </c>
      <c r="L1368">
        <v>0.66400000000000003</v>
      </c>
      <c r="Q1368" s="4" t="s">
        <v>3076</v>
      </c>
      <c r="T1368" s="478" t="s">
        <v>3612</v>
      </c>
      <c r="U1368" t="s">
        <v>3770</v>
      </c>
      <c r="V1368" s="407" t="s">
        <v>3086</v>
      </c>
      <c r="W1368" s="29">
        <v>4</v>
      </c>
    </row>
    <row r="1369" spans="1:23">
      <c r="A1369" s="305">
        <v>2484</v>
      </c>
      <c r="B1369" s="134">
        <v>16.399999999999999</v>
      </c>
      <c r="C1369" s="478">
        <v>1.5</v>
      </c>
      <c r="D1369" s="478">
        <v>7.1</v>
      </c>
      <c r="E1369" s="478">
        <v>24.41</v>
      </c>
      <c r="F1369" s="184" t="s">
        <v>3749</v>
      </c>
      <c r="G1369" s="168">
        <v>46</v>
      </c>
      <c r="H1369" s="301">
        <v>73.599999999999994</v>
      </c>
      <c r="I1369" s="217">
        <v>44412</v>
      </c>
      <c r="J1369" s="478" t="s">
        <v>3074</v>
      </c>
      <c r="K1369">
        <v>33.44</v>
      </c>
      <c r="L1369">
        <v>0.55400000000000005</v>
      </c>
      <c r="Q1369" s="4" t="s">
        <v>3076</v>
      </c>
      <c r="T1369" s="478" t="s">
        <v>3612</v>
      </c>
      <c r="U1369" t="s">
        <v>3794</v>
      </c>
      <c r="V1369" s="407" t="s">
        <v>3122</v>
      </c>
      <c r="W1369" s="29">
        <v>9</v>
      </c>
    </row>
    <row r="1370" spans="1:23">
      <c r="A1370" s="305">
        <v>2490</v>
      </c>
      <c r="B1370" s="134">
        <v>18.8</v>
      </c>
      <c r="C1370" s="478">
        <v>1.5</v>
      </c>
      <c r="D1370" s="478">
        <v>7.12</v>
      </c>
      <c r="E1370" s="478">
        <v>24.28</v>
      </c>
      <c r="F1370" s="184" t="s">
        <v>3750</v>
      </c>
      <c r="G1370" s="168">
        <v>46</v>
      </c>
      <c r="H1370" s="301">
        <v>73.599999999999994</v>
      </c>
      <c r="I1370" s="217">
        <v>44412</v>
      </c>
      <c r="J1370" s="478" t="s">
        <v>3074</v>
      </c>
      <c r="K1370">
        <v>33.56</v>
      </c>
      <c r="L1370">
        <v>0.55900000000000005</v>
      </c>
      <c r="Q1370" s="4" t="s">
        <v>3076</v>
      </c>
      <c r="T1370" s="478" t="s">
        <v>3612</v>
      </c>
      <c r="U1370" t="s">
        <v>3768</v>
      </c>
      <c r="V1370" s="407" t="s">
        <v>3175</v>
      </c>
      <c r="W1370" s="29">
        <v>3</v>
      </c>
    </row>
    <row r="1371" spans="1:23">
      <c r="A1371" s="305">
        <v>2485</v>
      </c>
      <c r="B1371" s="134">
        <v>16.8</v>
      </c>
      <c r="C1371" s="478">
        <v>1.5</v>
      </c>
      <c r="D1371" s="478">
        <v>7.09</v>
      </c>
      <c r="E1371" s="478">
        <v>24.43</v>
      </c>
      <c r="F1371" s="184" t="s">
        <v>3751</v>
      </c>
      <c r="G1371" s="168">
        <v>46</v>
      </c>
      <c r="H1371" s="301">
        <v>73.2</v>
      </c>
      <c r="I1371" s="217">
        <v>44413</v>
      </c>
      <c r="J1371" s="478" t="s">
        <v>3074</v>
      </c>
      <c r="K1371">
        <v>33.64</v>
      </c>
      <c r="L1371">
        <v>0.40200000000000002</v>
      </c>
      <c r="Q1371" s="4" t="s">
        <v>3076</v>
      </c>
      <c r="T1371" s="478" t="s">
        <v>3612</v>
      </c>
      <c r="U1371" t="s">
        <v>3773</v>
      </c>
      <c r="V1371" s="407" t="s">
        <v>3136</v>
      </c>
      <c r="W1371" s="29">
        <v>7</v>
      </c>
    </row>
    <row r="1372" spans="1:23">
      <c r="A1372" s="305">
        <v>2479</v>
      </c>
      <c r="B1372" s="134">
        <v>18</v>
      </c>
      <c r="C1372" s="478">
        <v>1.51</v>
      </c>
      <c r="D1372" s="478">
        <v>7.14</v>
      </c>
      <c r="E1372" s="478">
        <v>24.31</v>
      </c>
      <c r="F1372" s="247" t="s">
        <v>3752</v>
      </c>
      <c r="G1372" s="168">
        <v>46</v>
      </c>
      <c r="H1372" s="301">
        <v>73.2</v>
      </c>
      <c r="I1372" s="217">
        <v>44413</v>
      </c>
      <c r="J1372" s="478" t="s">
        <v>3074</v>
      </c>
      <c r="K1372">
        <v>33.659999999999997</v>
      </c>
      <c r="L1372">
        <v>0.61199999999999999</v>
      </c>
      <c r="Q1372" s="4" t="s">
        <v>3076</v>
      </c>
      <c r="T1372" s="478" t="s">
        <v>3612</v>
      </c>
      <c r="U1372" t="s">
        <v>3753</v>
      </c>
      <c r="V1372" s="407" t="s">
        <v>3127</v>
      </c>
      <c r="W1372" s="29">
        <v>12</v>
      </c>
    </row>
    <row r="1373" spans="1:23">
      <c r="A1373" s="305">
        <v>2487</v>
      </c>
      <c r="B1373" s="134">
        <v>16.8</v>
      </c>
      <c r="C1373" s="478">
        <v>1.53</v>
      </c>
      <c r="D1373" s="478">
        <v>7.1</v>
      </c>
      <c r="E1373" s="478">
        <v>24.39</v>
      </c>
      <c r="F1373" s="184" t="s">
        <v>3754</v>
      </c>
      <c r="G1373" s="168">
        <v>46</v>
      </c>
      <c r="H1373" s="301">
        <v>73.2</v>
      </c>
      <c r="I1373" s="217">
        <v>44413</v>
      </c>
      <c r="J1373" s="478" t="s">
        <v>3074</v>
      </c>
      <c r="K1373">
        <v>33.520000000000003</v>
      </c>
      <c r="L1373">
        <v>0.75900000000000001</v>
      </c>
      <c r="Q1373" s="4" t="s">
        <v>3076</v>
      </c>
      <c r="T1373" s="478" t="s">
        <v>3612</v>
      </c>
      <c r="U1373" s="478" t="s">
        <v>3774</v>
      </c>
      <c r="V1373" s="407" t="s">
        <v>3277</v>
      </c>
      <c r="W1373" s="29">
        <v>5</v>
      </c>
    </row>
    <row r="1374" spans="1:23" ht="25.5" customHeight="1">
      <c r="A1374" s="134">
        <v>2494</v>
      </c>
      <c r="B1374" s="134">
        <v>16.8</v>
      </c>
      <c r="C1374" s="478">
        <v>1.49</v>
      </c>
      <c r="D1374" s="478">
        <v>7.15</v>
      </c>
      <c r="E1374" s="478">
        <v>24.4</v>
      </c>
      <c r="F1374" s="248" t="s">
        <v>3755</v>
      </c>
      <c r="G1374" s="168">
        <v>44</v>
      </c>
      <c r="H1374" s="301">
        <v>76.099999999999994</v>
      </c>
      <c r="I1374" s="217">
        <v>44453</v>
      </c>
      <c r="J1374" s="478" t="s">
        <v>3074</v>
      </c>
      <c r="K1374">
        <v>33.49</v>
      </c>
      <c r="L1374">
        <v>0.27400000000000002</v>
      </c>
      <c r="Q1374" s="4" t="s">
        <v>3076</v>
      </c>
      <c r="T1374" s="478" t="s">
        <v>3612</v>
      </c>
      <c r="U1374" t="s">
        <v>3756</v>
      </c>
      <c r="V1374" s="407" t="s">
        <v>3166</v>
      </c>
      <c r="W1374" s="29">
        <v>13</v>
      </c>
    </row>
    <row r="1375" spans="1:23">
      <c r="A1375" s="134">
        <v>2488</v>
      </c>
      <c r="B1375" s="134">
        <v>16.8</v>
      </c>
      <c r="C1375" s="478">
        <v>1.49</v>
      </c>
      <c r="D1375" s="478">
        <v>7.18</v>
      </c>
      <c r="E1375" s="478">
        <v>24.38</v>
      </c>
      <c r="F1375" s="19" t="s">
        <v>3757</v>
      </c>
      <c r="G1375" s="168">
        <v>44</v>
      </c>
      <c r="H1375" s="301">
        <v>75.900000000000006</v>
      </c>
      <c r="I1375" s="217">
        <v>44454</v>
      </c>
      <c r="J1375" t="s">
        <v>3074</v>
      </c>
      <c r="K1375">
        <v>33.57</v>
      </c>
      <c r="L1375">
        <v>0.22900000000000001</v>
      </c>
      <c r="Q1375" s="4" t="s">
        <v>3076</v>
      </c>
      <c r="T1375" s="478" t="s">
        <v>3612</v>
      </c>
      <c r="U1375" t="s">
        <v>3793</v>
      </c>
      <c r="V1375" s="407" t="s">
        <v>3159</v>
      </c>
      <c r="W1375" s="29">
        <v>1</v>
      </c>
    </row>
    <row r="1376" spans="1:23">
      <c r="A1376" s="134">
        <v>2486</v>
      </c>
      <c r="B1376" s="134">
        <v>16.8</v>
      </c>
      <c r="C1376" s="478">
        <v>1.51</v>
      </c>
      <c r="D1376" s="478">
        <v>7.05</v>
      </c>
      <c r="E1376" s="478">
        <v>24.43</v>
      </c>
      <c r="F1376" s="19" t="s">
        <v>3758</v>
      </c>
      <c r="G1376" s="168">
        <v>44</v>
      </c>
      <c r="H1376" s="301">
        <v>75.900000000000006</v>
      </c>
      <c r="I1376" s="217">
        <v>44454</v>
      </c>
      <c r="J1376" s="478" t="s">
        <v>3074</v>
      </c>
      <c r="K1376">
        <v>33.450000000000003</v>
      </c>
      <c r="L1376">
        <v>0.41</v>
      </c>
      <c r="Q1376" s="4" t="s">
        <v>3076</v>
      </c>
      <c r="T1376" s="478" t="s">
        <v>3612</v>
      </c>
      <c r="U1376" t="s">
        <v>3759</v>
      </c>
      <c r="V1376" s="407" t="s">
        <v>3105</v>
      </c>
      <c r="W1376" s="29">
        <v>2</v>
      </c>
    </row>
    <row r="1377" spans="1:23">
      <c r="A1377" s="134">
        <v>2500</v>
      </c>
      <c r="B1377" s="134">
        <v>16.399999999999999</v>
      </c>
      <c r="C1377" s="478">
        <v>1.51</v>
      </c>
      <c r="D1377" s="478">
        <v>7.08</v>
      </c>
      <c r="E1377" s="478">
        <v>24.43</v>
      </c>
      <c r="F1377" s="270" t="s">
        <v>3760</v>
      </c>
      <c r="G1377" s="168">
        <v>44</v>
      </c>
      <c r="H1377" s="301">
        <v>75.900000000000006</v>
      </c>
      <c r="I1377" s="217">
        <v>44454</v>
      </c>
      <c r="J1377" s="478" t="s">
        <v>3074</v>
      </c>
      <c r="K1377">
        <v>33.479999999999997</v>
      </c>
      <c r="L1377">
        <v>0.85499999999999998</v>
      </c>
      <c r="Q1377" s="4" t="s">
        <v>3076</v>
      </c>
      <c r="T1377" s="478" t="s">
        <v>3612</v>
      </c>
      <c r="U1377" t="s">
        <v>3761</v>
      </c>
      <c r="V1377" s="505" t="s">
        <v>3159</v>
      </c>
      <c r="W1377" s="29">
        <v>3</v>
      </c>
    </row>
    <row r="1378" spans="1:23">
      <c r="A1378" s="134">
        <v>2491</v>
      </c>
      <c r="B1378" s="134">
        <v>18.600000000000001</v>
      </c>
      <c r="C1378" s="478">
        <v>1.51</v>
      </c>
      <c r="D1378" s="478">
        <v>7.1</v>
      </c>
      <c r="E1378" s="478">
        <v>24.26</v>
      </c>
      <c r="F1378" s="19" t="s">
        <v>3762</v>
      </c>
      <c r="G1378" s="168">
        <v>44</v>
      </c>
      <c r="H1378" s="301">
        <v>75.900000000000006</v>
      </c>
      <c r="I1378" s="217">
        <v>44454</v>
      </c>
      <c r="J1378" s="478" t="s">
        <v>3074</v>
      </c>
      <c r="K1378">
        <v>33.369999999999997</v>
      </c>
      <c r="L1378">
        <v>0.92600000000000005</v>
      </c>
      <c r="Q1378" s="4" t="s">
        <v>3076</v>
      </c>
      <c r="T1378" s="478" t="s">
        <v>3612</v>
      </c>
      <c r="U1378" t="s">
        <v>3795</v>
      </c>
      <c r="V1378" s="407" t="s">
        <v>3053</v>
      </c>
      <c r="W1378" s="29">
        <v>2</v>
      </c>
    </row>
    <row r="1379" spans="1:23">
      <c r="A1379" s="134">
        <v>2492</v>
      </c>
      <c r="B1379" s="134">
        <v>17.2</v>
      </c>
      <c r="C1379" s="478">
        <v>1.5</v>
      </c>
      <c r="D1379" s="478">
        <v>7.12</v>
      </c>
      <c r="E1379" s="478">
        <v>24.27</v>
      </c>
      <c r="F1379" s="19" t="s">
        <v>3763</v>
      </c>
      <c r="G1379" s="168">
        <v>42</v>
      </c>
      <c r="H1379" s="301">
        <v>76.599999999999994</v>
      </c>
      <c r="I1379" s="217">
        <v>44454</v>
      </c>
      <c r="J1379" s="478" t="s">
        <v>3074</v>
      </c>
      <c r="K1379">
        <v>33.46</v>
      </c>
      <c r="L1379">
        <v>0.61399999999999999</v>
      </c>
      <c r="Q1379" s="4" t="s">
        <v>3076</v>
      </c>
      <c r="T1379" s="478" t="s">
        <v>3612</v>
      </c>
      <c r="U1379" t="s">
        <v>3796</v>
      </c>
      <c r="V1379" s="407" t="s">
        <v>2819</v>
      </c>
      <c r="W1379" s="29">
        <v>4</v>
      </c>
    </row>
    <row r="1380" spans="1:23">
      <c r="A1380" s="134">
        <v>2496</v>
      </c>
      <c r="B1380" s="134">
        <v>18</v>
      </c>
      <c r="C1380" s="478">
        <v>1.46</v>
      </c>
      <c r="D1380" s="478">
        <v>7.12</v>
      </c>
      <c r="E1380" s="478">
        <v>24.34</v>
      </c>
      <c r="F1380" s="19" t="s">
        <v>3764</v>
      </c>
      <c r="G1380" s="168">
        <v>44</v>
      </c>
      <c r="H1380" s="301">
        <v>75.400000000000006</v>
      </c>
      <c r="I1380" s="217">
        <v>44455</v>
      </c>
      <c r="J1380" t="s">
        <v>3074</v>
      </c>
      <c r="K1380">
        <v>33.619999999999997</v>
      </c>
      <c r="L1380">
        <v>0.39300000000000002</v>
      </c>
      <c r="Q1380" s="4" t="s">
        <v>3076</v>
      </c>
      <c r="T1380" s="478" t="s">
        <v>3612</v>
      </c>
      <c r="U1380" t="s">
        <v>3797</v>
      </c>
      <c r="V1380" s="407" t="s">
        <v>3224</v>
      </c>
      <c r="W1380" s="29">
        <v>5</v>
      </c>
    </row>
    <row r="1381" spans="1:23">
      <c r="A1381" s="134">
        <v>2497</v>
      </c>
      <c r="B1381" s="134">
        <v>16.399999999999999</v>
      </c>
      <c r="C1381" s="478">
        <v>1.5</v>
      </c>
      <c r="D1381" s="478">
        <v>7.12</v>
      </c>
      <c r="E1381" s="478">
        <v>24.29</v>
      </c>
      <c r="F1381" s="19" t="s">
        <v>3765</v>
      </c>
      <c r="G1381" s="168">
        <v>44</v>
      </c>
      <c r="H1381" s="301">
        <v>75.400000000000006</v>
      </c>
      <c r="I1381" s="217">
        <v>44455</v>
      </c>
      <c r="J1381" s="478" t="s">
        <v>3074</v>
      </c>
      <c r="K1381">
        <v>33.53</v>
      </c>
      <c r="L1381">
        <v>0.71699999999999997</v>
      </c>
      <c r="Q1381" s="4" t="s">
        <v>3076</v>
      </c>
      <c r="T1381" s="478" t="s">
        <v>3612</v>
      </c>
      <c r="U1381" t="s">
        <v>3895</v>
      </c>
      <c r="V1381" s="407" t="s">
        <v>3127</v>
      </c>
      <c r="W1381" s="29">
        <v>5</v>
      </c>
    </row>
    <row r="1382" spans="1:23">
      <c r="A1382" s="134">
        <v>2499</v>
      </c>
      <c r="B1382" s="134">
        <v>18.8</v>
      </c>
      <c r="C1382" s="478">
        <v>1.5</v>
      </c>
      <c r="D1382" s="478">
        <v>7.12</v>
      </c>
      <c r="E1382" s="478">
        <v>24.31</v>
      </c>
      <c r="F1382" s="19" t="s">
        <v>3766</v>
      </c>
      <c r="G1382" s="168">
        <v>44</v>
      </c>
      <c r="H1382" s="301">
        <v>75.400000000000006</v>
      </c>
      <c r="I1382" s="217">
        <v>44455</v>
      </c>
      <c r="J1382" s="478" t="s">
        <v>3074</v>
      </c>
      <c r="K1382">
        <v>33.47</v>
      </c>
      <c r="L1382">
        <v>0.34100000000000003</v>
      </c>
      <c r="Q1382" s="4" t="s">
        <v>3076</v>
      </c>
      <c r="T1382" s="478" t="s">
        <v>3612</v>
      </c>
      <c r="U1382" t="s">
        <v>3798</v>
      </c>
      <c r="V1382" s="407" t="s">
        <v>3208</v>
      </c>
      <c r="W1382" s="29">
        <v>9</v>
      </c>
    </row>
    <row r="1383" spans="1:23">
      <c r="A1383" s="305">
        <v>2493</v>
      </c>
      <c r="B1383" s="134">
        <v>16.2</v>
      </c>
      <c r="C1383" s="478">
        <v>1.5</v>
      </c>
      <c r="D1383" s="478">
        <v>7.1</v>
      </c>
      <c r="E1383" s="478">
        <v>24.5</v>
      </c>
      <c r="F1383" s="19" t="s">
        <v>3767</v>
      </c>
      <c r="G1383" s="168">
        <v>44</v>
      </c>
      <c r="H1383" s="301">
        <v>75.400000000000006</v>
      </c>
      <c r="I1383" s="217">
        <v>44455</v>
      </c>
      <c r="J1383" s="478" t="s">
        <v>3074</v>
      </c>
      <c r="K1383">
        <v>33.46</v>
      </c>
      <c r="L1383">
        <v>0.27900000000000003</v>
      </c>
      <c r="Q1383" s="4" t="s">
        <v>3076</v>
      </c>
      <c r="T1383" s="478" t="s">
        <v>3612</v>
      </c>
      <c r="U1383" t="s">
        <v>4176</v>
      </c>
      <c r="V1383" s="407" t="s">
        <v>3277</v>
      </c>
      <c r="W1383" s="29">
        <v>3</v>
      </c>
    </row>
    <row r="1384" spans="1:23">
      <c r="A1384" s="134">
        <v>2474</v>
      </c>
      <c r="B1384" s="134">
        <v>18</v>
      </c>
      <c r="C1384" s="478">
        <v>1.52</v>
      </c>
      <c r="D1384" s="478">
        <v>7.15</v>
      </c>
      <c r="E1384" s="478">
        <v>24.36</v>
      </c>
      <c r="F1384" s="176" t="s">
        <v>3775</v>
      </c>
      <c r="G1384" s="168">
        <v>42</v>
      </c>
      <c r="H1384" s="301">
        <v>76.099999999999994</v>
      </c>
      <c r="I1384" s="217">
        <v>44455</v>
      </c>
      <c r="J1384" s="478" t="s">
        <v>3074</v>
      </c>
      <c r="T1384" s="478" t="s">
        <v>3612</v>
      </c>
    </row>
    <row r="1385" spans="1:23">
      <c r="A1385" s="134">
        <v>2474</v>
      </c>
      <c r="B1385" s="134">
        <v>18</v>
      </c>
      <c r="C1385" s="478">
        <v>1.52</v>
      </c>
      <c r="D1385" s="478">
        <v>7.15</v>
      </c>
      <c r="E1385" s="478">
        <v>24.36</v>
      </c>
      <c r="F1385" s="19" t="s">
        <v>3776</v>
      </c>
      <c r="G1385" s="168">
        <v>42</v>
      </c>
      <c r="H1385" s="301">
        <v>76.099999999999994</v>
      </c>
      <c r="I1385" s="217">
        <v>44455</v>
      </c>
      <c r="J1385" s="478" t="s">
        <v>3074</v>
      </c>
      <c r="K1385">
        <v>33.61</v>
      </c>
      <c r="L1385">
        <v>0.44500000000000001</v>
      </c>
      <c r="Q1385" s="4" t="s">
        <v>3076</v>
      </c>
      <c r="T1385" s="478" t="s">
        <v>3612</v>
      </c>
      <c r="U1385" t="s">
        <v>3798</v>
      </c>
      <c r="V1385" s="407" t="s">
        <v>3026</v>
      </c>
      <c r="W1385" s="29">
        <v>6</v>
      </c>
    </row>
    <row r="1386" spans="1:23" ht="25.5" customHeight="1">
      <c r="A1386" s="134">
        <v>2480</v>
      </c>
      <c r="B1386" s="134">
        <v>17.600000000000001</v>
      </c>
      <c r="C1386" s="478">
        <v>1.49</v>
      </c>
      <c r="D1386" s="478">
        <v>7.11</v>
      </c>
      <c r="E1386" s="478">
        <v>24.38</v>
      </c>
      <c r="F1386" s="19" t="s">
        <v>3777</v>
      </c>
      <c r="G1386" s="168">
        <v>40</v>
      </c>
      <c r="H1386" s="301">
        <v>73.599999999999994</v>
      </c>
      <c r="I1386" s="217">
        <v>44459</v>
      </c>
      <c r="J1386" t="s">
        <v>3074</v>
      </c>
      <c r="K1386">
        <v>33.54</v>
      </c>
      <c r="L1386">
        <v>0.69399999999999995</v>
      </c>
      <c r="Q1386" s="4" t="s">
        <v>3076</v>
      </c>
      <c r="T1386" s="478" t="s">
        <v>3612</v>
      </c>
      <c r="U1386" t="s">
        <v>3809</v>
      </c>
      <c r="V1386" s="407" t="s">
        <v>3237</v>
      </c>
      <c r="W1386" s="29">
        <v>3</v>
      </c>
    </row>
    <row r="1387" spans="1:23">
      <c r="A1387" s="134">
        <v>2498</v>
      </c>
      <c r="B1387" s="134">
        <v>18.399999999999999</v>
      </c>
      <c r="C1387" s="478">
        <v>1.48</v>
      </c>
      <c r="D1387" s="478">
        <v>7.08</v>
      </c>
      <c r="E1387" s="478">
        <v>24.3</v>
      </c>
      <c r="F1387" s="19" t="s">
        <v>3779</v>
      </c>
      <c r="G1387" s="168">
        <v>40</v>
      </c>
      <c r="H1387" s="301">
        <v>73.599999999999994</v>
      </c>
      <c r="I1387" s="217">
        <v>44459</v>
      </c>
      <c r="J1387" s="478" t="s">
        <v>3074</v>
      </c>
      <c r="K1387">
        <v>33.47</v>
      </c>
      <c r="L1387">
        <v>0.41799999999999998</v>
      </c>
      <c r="Q1387" s="4" t="s">
        <v>3076</v>
      </c>
      <c r="T1387" s="478" t="s">
        <v>3612</v>
      </c>
      <c r="U1387" t="s">
        <v>3810</v>
      </c>
      <c r="V1387" s="407" t="s">
        <v>3136</v>
      </c>
      <c r="W1387" s="29">
        <v>3</v>
      </c>
    </row>
    <row r="1388" spans="1:23">
      <c r="A1388" s="134">
        <v>2478</v>
      </c>
      <c r="B1388" s="134">
        <v>17.600000000000001</v>
      </c>
      <c r="C1388" s="478">
        <v>1.51</v>
      </c>
      <c r="D1388" s="478">
        <v>7.09</v>
      </c>
      <c r="E1388" s="478">
        <v>24.3</v>
      </c>
      <c r="F1388" s="19" t="s">
        <v>3780</v>
      </c>
      <c r="G1388" s="168">
        <v>42</v>
      </c>
      <c r="H1388" s="301">
        <v>75.900000000000006</v>
      </c>
      <c r="I1388" s="217">
        <v>44459</v>
      </c>
      <c r="J1388" s="478" t="s">
        <v>3074</v>
      </c>
      <c r="K1388">
        <v>33.6</v>
      </c>
      <c r="L1388">
        <v>0.66600000000000004</v>
      </c>
      <c r="Q1388" s="4" t="s">
        <v>3076</v>
      </c>
      <c r="T1388" s="478" t="s">
        <v>3612</v>
      </c>
      <c r="U1388" t="s">
        <v>3811</v>
      </c>
      <c r="V1388" s="407" t="s">
        <v>3081</v>
      </c>
      <c r="W1388" s="29">
        <v>3</v>
      </c>
    </row>
    <row r="1389" spans="1:23">
      <c r="A1389" s="134">
        <v>2495</v>
      </c>
      <c r="B1389" s="134">
        <v>17.2</v>
      </c>
      <c r="C1389" s="478">
        <v>1.49</v>
      </c>
      <c r="D1389" s="478">
        <v>7.09</v>
      </c>
      <c r="E1389" s="478">
        <v>24.31</v>
      </c>
      <c r="F1389" s="19" t="s">
        <v>3781</v>
      </c>
      <c r="G1389" s="168">
        <v>42</v>
      </c>
      <c r="H1389" s="301">
        <v>75.900000000000006</v>
      </c>
      <c r="I1389" s="217">
        <v>44459</v>
      </c>
      <c r="J1389" s="478" t="s">
        <v>3074</v>
      </c>
      <c r="K1389">
        <v>33.619999999999997</v>
      </c>
      <c r="L1389">
        <v>0.67100000000000004</v>
      </c>
      <c r="Q1389" s="4" t="s">
        <v>3076</v>
      </c>
      <c r="T1389" s="478" t="s">
        <v>3612</v>
      </c>
      <c r="U1389" t="s">
        <v>3812</v>
      </c>
      <c r="V1389" s="407" t="s">
        <v>3237</v>
      </c>
      <c r="W1389" s="29">
        <v>4</v>
      </c>
    </row>
    <row r="1390" spans="1:23">
      <c r="A1390" s="305">
        <v>2144</v>
      </c>
      <c r="B1390" s="134">
        <v>16.399999999999999</v>
      </c>
      <c r="C1390" s="478">
        <v>1.48</v>
      </c>
      <c r="D1390" s="478">
        <v>7.1</v>
      </c>
      <c r="E1390" s="478">
        <v>24.4</v>
      </c>
      <c r="F1390" s="45" t="s">
        <v>3782</v>
      </c>
      <c r="G1390" s="168">
        <v>43</v>
      </c>
      <c r="H1390" s="301">
        <v>76.099999999999994</v>
      </c>
      <c r="I1390" s="217">
        <v>44460</v>
      </c>
      <c r="J1390" s="478" t="s">
        <v>3074</v>
      </c>
      <c r="K1390">
        <v>33.409999999999997</v>
      </c>
      <c r="L1390">
        <v>0.36299999999999999</v>
      </c>
      <c r="Q1390" s="4" t="s">
        <v>3076</v>
      </c>
      <c r="T1390" s="478" t="s">
        <v>3612</v>
      </c>
      <c r="U1390" t="s">
        <v>3783</v>
      </c>
      <c r="V1390" s="407" t="s">
        <v>3025</v>
      </c>
      <c r="W1390" s="29">
        <v>7</v>
      </c>
    </row>
    <row r="1391" spans="1:23">
      <c r="A1391" s="305">
        <v>2138</v>
      </c>
      <c r="B1391" s="136">
        <v>18.8</v>
      </c>
      <c r="C1391" s="478">
        <v>1.5</v>
      </c>
      <c r="D1391" s="478">
        <v>7.12</v>
      </c>
      <c r="E1391" s="478">
        <v>24.37</v>
      </c>
      <c r="F1391" s="45" t="s">
        <v>3784</v>
      </c>
      <c r="G1391" s="168">
        <v>43</v>
      </c>
      <c r="H1391" s="301">
        <v>76.099999999999994</v>
      </c>
      <c r="I1391" s="217">
        <v>44460</v>
      </c>
      <c r="J1391" s="478" t="s">
        <v>3074</v>
      </c>
      <c r="K1391">
        <v>33.450000000000003</v>
      </c>
      <c r="L1391">
        <v>0.53800000000000003</v>
      </c>
      <c r="Q1391" s="4" t="s">
        <v>3076</v>
      </c>
      <c r="T1391" s="478" t="s">
        <v>3612</v>
      </c>
      <c r="U1391" t="s">
        <v>3785</v>
      </c>
      <c r="V1391" s="407" t="s">
        <v>3175</v>
      </c>
      <c r="W1391" s="29">
        <v>8</v>
      </c>
    </row>
    <row r="1392" spans="1:23">
      <c r="A1392" s="134">
        <v>2471</v>
      </c>
      <c r="B1392" s="134">
        <v>17.600000000000001</v>
      </c>
      <c r="C1392" s="478">
        <v>1.51</v>
      </c>
      <c r="D1392" s="478">
        <v>7.07</v>
      </c>
      <c r="E1392" s="478">
        <v>24.53</v>
      </c>
      <c r="F1392" s="19" t="s">
        <v>3786</v>
      </c>
      <c r="G1392" s="168">
        <v>43</v>
      </c>
      <c r="H1392" s="301">
        <v>76.099999999999994</v>
      </c>
      <c r="I1392" s="217">
        <v>44460</v>
      </c>
      <c r="J1392" s="478" t="s">
        <v>3074</v>
      </c>
      <c r="K1392">
        <v>33.5</v>
      </c>
      <c r="L1392">
        <v>0.46600000000000003</v>
      </c>
      <c r="Q1392" s="4" t="s">
        <v>3076</v>
      </c>
      <c r="T1392" s="478" t="s">
        <v>3612</v>
      </c>
      <c r="U1392" t="s">
        <v>3813</v>
      </c>
      <c r="V1392" s="407" t="s">
        <v>3105</v>
      </c>
      <c r="W1392" s="29">
        <v>4</v>
      </c>
    </row>
    <row r="1393" spans="1:23">
      <c r="A1393" s="134">
        <v>2483</v>
      </c>
      <c r="B1393" s="134">
        <v>16</v>
      </c>
      <c r="C1393" s="478">
        <v>1.49</v>
      </c>
      <c r="D1393" s="478">
        <v>7.11</v>
      </c>
      <c r="E1393" s="478">
        <v>24.32</v>
      </c>
      <c r="F1393" s="19" t="s">
        <v>3787</v>
      </c>
      <c r="G1393" s="168">
        <v>43</v>
      </c>
      <c r="H1393" s="301">
        <v>76.099999999999994</v>
      </c>
      <c r="I1393" s="217">
        <v>44460</v>
      </c>
      <c r="J1393" s="478" t="s">
        <v>3074</v>
      </c>
      <c r="K1393">
        <v>33.74</v>
      </c>
      <c r="L1393">
        <v>0.95599999999999996</v>
      </c>
      <c r="Q1393" s="4" t="s">
        <v>3076</v>
      </c>
      <c r="T1393" s="478" t="s">
        <v>3612</v>
      </c>
      <c r="U1393" t="s">
        <v>3788</v>
      </c>
      <c r="V1393" s="407" t="s">
        <v>3026</v>
      </c>
      <c r="W1393" s="29">
        <v>9</v>
      </c>
    </row>
    <row r="1394" spans="1:23">
      <c r="A1394" s="134">
        <v>1856</v>
      </c>
      <c r="B1394" s="134">
        <v>17.600000000000001</v>
      </c>
      <c r="C1394">
        <v>1.53</v>
      </c>
      <c r="D1394">
        <v>7.15</v>
      </c>
      <c r="E1394">
        <v>24.31</v>
      </c>
      <c r="F1394" s="176" t="s">
        <v>3789</v>
      </c>
      <c r="G1394" s="168">
        <v>44</v>
      </c>
      <c r="H1394" s="301">
        <v>76.599999999999994</v>
      </c>
      <c r="I1394" s="217">
        <v>44461</v>
      </c>
      <c r="J1394" t="s">
        <v>3074</v>
      </c>
      <c r="K1394">
        <v>33.54</v>
      </c>
      <c r="L1394">
        <v>0.44900000000000001</v>
      </c>
      <c r="Q1394" s="4" t="s">
        <v>3076</v>
      </c>
      <c r="T1394" s="478" t="s">
        <v>3612</v>
      </c>
      <c r="U1394" t="s">
        <v>3790</v>
      </c>
    </row>
    <row r="1395" spans="1:23">
      <c r="A1395" s="134">
        <v>1856</v>
      </c>
      <c r="B1395" s="134">
        <v>17.600000000000001</v>
      </c>
      <c r="C1395" s="478">
        <v>1.53</v>
      </c>
      <c r="D1395" s="478">
        <v>7.15</v>
      </c>
      <c r="E1395" s="478">
        <v>24.31</v>
      </c>
      <c r="F1395" s="176" t="s">
        <v>3791</v>
      </c>
      <c r="G1395" s="168">
        <v>44</v>
      </c>
      <c r="H1395" s="301">
        <v>76.599999999999994</v>
      </c>
      <c r="I1395" s="217">
        <v>44461</v>
      </c>
      <c r="J1395" s="478" t="s">
        <v>3074</v>
      </c>
      <c r="T1395" s="478" t="s">
        <v>3612</v>
      </c>
    </row>
    <row r="1396" spans="1:23">
      <c r="A1396" s="134">
        <v>2508</v>
      </c>
      <c r="B1396" s="134">
        <v>18</v>
      </c>
      <c r="C1396">
        <v>1.5</v>
      </c>
      <c r="D1396">
        <v>7.1</v>
      </c>
      <c r="E1396">
        <v>24.47</v>
      </c>
      <c r="F1396" s="19" t="s">
        <v>3792</v>
      </c>
      <c r="G1396" s="168">
        <v>44</v>
      </c>
      <c r="H1396" s="301">
        <v>76.599999999999994</v>
      </c>
      <c r="I1396" s="217">
        <v>44461</v>
      </c>
      <c r="J1396" s="478" t="s">
        <v>3074</v>
      </c>
      <c r="K1396">
        <v>33.46</v>
      </c>
      <c r="L1396">
        <v>0.56399999999999995</v>
      </c>
      <c r="Q1396" s="4" t="s">
        <v>3076</v>
      </c>
      <c r="T1396" s="478" t="s">
        <v>3612</v>
      </c>
      <c r="U1396" t="s">
        <v>3814</v>
      </c>
      <c r="V1396" s="407" t="s">
        <v>3053</v>
      </c>
      <c r="W1396" s="29">
        <v>6</v>
      </c>
    </row>
    <row r="1397" spans="1:23" ht="25.5" customHeight="1">
      <c r="A1397" s="134">
        <v>2506</v>
      </c>
      <c r="B1397" s="134">
        <v>17.600000000000001</v>
      </c>
      <c r="C1397" s="478">
        <v>1.49</v>
      </c>
      <c r="D1397" s="478">
        <v>7.08</v>
      </c>
      <c r="E1397" s="478">
        <v>24.41</v>
      </c>
      <c r="F1397" s="19" t="s">
        <v>3799</v>
      </c>
      <c r="G1397" s="168">
        <v>41</v>
      </c>
      <c r="H1397" s="301">
        <v>73.2</v>
      </c>
      <c r="I1397" s="217">
        <v>44489</v>
      </c>
      <c r="J1397" t="s">
        <v>3074</v>
      </c>
      <c r="K1397">
        <v>33.54</v>
      </c>
      <c r="L1397">
        <v>0.35499999999999998</v>
      </c>
      <c r="Q1397" s="4" t="s">
        <v>3076</v>
      </c>
      <c r="T1397" s="478" t="s">
        <v>3612</v>
      </c>
      <c r="U1397" t="s">
        <v>3884</v>
      </c>
      <c r="V1397" s="407" t="s">
        <v>2819</v>
      </c>
      <c r="W1397" s="29">
        <v>6</v>
      </c>
    </row>
    <row r="1398" spans="1:23">
      <c r="A1398" s="134">
        <v>2512</v>
      </c>
      <c r="B1398" s="134">
        <v>17.2</v>
      </c>
      <c r="C1398" s="478">
        <v>1.48</v>
      </c>
      <c r="D1398" s="478">
        <v>7.13</v>
      </c>
      <c r="E1398" s="478">
        <v>24.35</v>
      </c>
      <c r="F1398" s="176" t="s">
        <v>3800</v>
      </c>
      <c r="G1398" s="168">
        <v>41</v>
      </c>
      <c r="H1398" s="301">
        <v>73.2</v>
      </c>
      <c r="I1398" s="217">
        <v>44489</v>
      </c>
      <c r="J1398" s="478" t="s">
        <v>3074</v>
      </c>
      <c r="K1398">
        <v>33.549999999999997</v>
      </c>
      <c r="L1398">
        <v>0.41899999999999998</v>
      </c>
      <c r="Q1398" s="4" t="s">
        <v>3076</v>
      </c>
      <c r="T1398" s="478" t="s">
        <v>3612</v>
      </c>
      <c r="U1398" t="s">
        <v>3801</v>
      </c>
      <c r="V1398" s="407" t="s">
        <v>3208</v>
      </c>
      <c r="W1398" s="29">
        <v>2</v>
      </c>
    </row>
    <row r="1399" spans="1:23">
      <c r="A1399" s="134">
        <v>2502</v>
      </c>
      <c r="B1399" s="134">
        <v>18</v>
      </c>
      <c r="C1399" s="478">
        <v>1.5</v>
      </c>
      <c r="D1399" s="478">
        <v>7.15</v>
      </c>
      <c r="E1399" s="478">
        <v>24.35</v>
      </c>
      <c r="F1399" s="19" t="s">
        <v>3802</v>
      </c>
      <c r="G1399" s="168">
        <v>37</v>
      </c>
      <c r="H1399" s="301">
        <v>75</v>
      </c>
      <c r="I1399" s="217">
        <v>44489</v>
      </c>
      <c r="J1399" s="478" t="s">
        <v>3074</v>
      </c>
      <c r="K1399">
        <v>33.6</v>
      </c>
      <c r="L1399">
        <v>0.65500000000000003</v>
      </c>
      <c r="Q1399" s="4" t="s">
        <v>3076</v>
      </c>
      <c r="T1399" s="478" t="s">
        <v>3612</v>
      </c>
      <c r="U1399" t="s">
        <v>3885</v>
      </c>
      <c r="V1399" s="407" t="s">
        <v>3023</v>
      </c>
      <c r="W1399" s="29">
        <v>5</v>
      </c>
    </row>
    <row r="1400" spans="1:23">
      <c r="A1400" s="305">
        <v>2500</v>
      </c>
      <c r="B1400" s="134">
        <v>16.399999999999999</v>
      </c>
      <c r="C1400" s="478">
        <v>1.51</v>
      </c>
      <c r="D1400" s="478">
        <v>7.08</v>
      </c>
      <c r="E1400" s="478">
        <v>24.43</v>
      </c>
      <c r="F1400" s="45" t="s">
        <v>3803</v>
      </c>
      <c r="G1400" s="168">
        <v>37</v>
      </c>
      <c r="H1400" s="301">
        <v>75</v>
      </c>
      <c r="I1400" s="217">
        <v>44489</v>
      </c>
      <c r="J1400" s="478" t="s">
        <v>3074</v>
      </c>
      <c r="K1400">
        <v>33.461199999999998</v>
      </c>
      <c r="L1400">
        <v>0.67800000000000005</v>
      </c>
      <c r="Q1400" s="4" t="s">
        <v>3076</v>
      </c>
      <c r="T1400" s="478" t="s">
        <v>3612</v>
      </c>
      <c r="U1400" t="s">
        <v>3778</v>
      </c>
      <c r="V1400" s="407" t="s">
        <v>3105</v>
      </c>
      <c r="W1400" s="29">
        <v>1</v>
      </c>
    </row>
    <row r="1401" spans="1:23">
      <c r="A1401" s="134">
        <v>2510</v>
      </c>
      <c r="B1401" s="134">
        <v>18</v>
      </c>
      <c r="C1401" s="478">
        <v>1.5</v>
      </c>
      <c r="D1401" s="478">
        <v>7.16</v>
      </c>
      <c r="E1401" s="478">
        <v>24.29</v>
      </c>
      <c r="F1401" s="19" t="s">
        <v>3804</v>
      </c>
      <c r="G1401" s="168">
        <v>37</v>
      </c>
      <c r="H1401" s="301">
        <v>75</v>
      </c>
      <c r="I1401" s="217">
        <v>44489</v>
      </c>
      <c r="J1401" s="478" t="s">
        <v>3074</v>
      </c>
      <c r="K1401">
        <v>33.56</v>
      </c>
      <c r="L1401">
        <v>0.46200000000000002</v>
      </c>
      <c r="Q1401" s="4" t="s">
        <v>3076</v>
      </c>
      <c r="T1401" s="478" t="s">
        <v>3612</v>
      </c>
      <c r="U1401" t="s">
        <v>3886</v>
      </c>
      <c r="V1401" s="407" t="s">
        <v>3221</v>
      </c>
      <c r="W1401" s="29">
        <v>11</v>
      </c>
    </row>
    <row r="1402" spans="1:23">
      <c r="A1402" s="134">
        <v>2509</v>
      </c>
      <c r="B1402" s="134">
        <v>17.600000000000001</v>
      </c>
      <c r="C1402" s="478">
        <v>1.48</v>
      </c>
      <c r="D1402" s="478">
        <v>7.12</v>
      </c>
      <c r="E1402" s="478">
        <v>24.24</v>
      </c>
      <c r="F1402" s="19" t="s">
        <v>3805</v>
      </c>
      <c r="G1402" s="168">
        <v>42</v>
      </c>
      <c r="H1402" s="301">
        <v>72.5</v>
      </c>
      <c r="I1402" s="217">
        <v>44490</v>
      </c>
      <c r="J1402" s="478" t="s">
        <v>3074</v>
      </c>
      <c r="K1402">
        <v>33.46</v>
      </c>
      <c r="L1402">
        <v>0.309</v>
      </c>
      <c r="Q1402" s="4" t="s">
        <v>3076</v>
      </c>
      <c r="T1402" s="478" t="s">
        <v>3612</v>
      </c>
      <c r="U1402" t="s">
        <v>3889</v>
      </c>
      <c r="V1402" s="407" t="s">
        <v>3166</v>
      </c>
      <c r="W1402" s="29">
        <v>2</v>
      </c>
    </row>
    <row r="1403" spans="1:23">
      <c r="A1403" s="134">
        <v>2503</v>
      </c>
      <c r="B1403" s="134">
        <v>17.2</v>
      </c>
      <c r="C1403" s="478">
        <v>1.48</v>
      </c>
      <c r="D1403" s="478">
        <v>7.13</v>
      </c>
      <c r="E1403" s="478">
        <v>24.4</v>
      </c>
      <c r="F1403" s="19" t="s">
        <v>3806</v>
      </c>
      <c r="G1403" s="168">
        <v>42</v>
      </c>
      <c r="H1403" s="301">
        <v>72.5</v>
      </c>
      <c r="I1403" s="217">
        <v>44490</v>
      </c>
      <c r="J1403" s="478" t="s">
        <v>3074</v>
      </c>
      <c r="K1403">
        <v>33.43</v>
      </c>
      <c r="L1403">
        <v>0.34300000000000003</v>
      </c>
      <c r="Q1403" s="4" t="s">
        <v>3076</v>
      </c>
      <c r="T1403" s="478" t="s">
        <v>3612</v>
      </c>
      <c r="U1403" t="s">
        <v>3890</v>
      </c>
      <c r="V1403" s="407" t="s">
        <v>3277</v>
      </c>
      <c r="W1403" s="29">
        <v>4</v>
      </c>
    </row>
    <row r="1404" spans="1:23">
      <c r="A1404" s="305">
        <v>2511</v>
      </c>
      <c r="B1404" s="134">
        <v>18.399999999999999</v>
      </c>
      <c r="C1404" s="478">
        <v>1.48</v>
      </c>
      <c r="D1404" s="478">
        <v>7.15</v>
      </c>
      <c r="E1404" s="478">
        <v>24.29</v>
      </c>
      <c r="F1404" s="19" t="s">
        <v>3807</v>
      </c>
      <c r="G1404" s="168">
        <v>42</v>
      </c>
      <c r="H1404" s="301">
        <v>72.5</v>
      </c>
      <c r="I1404" s="217">
        <v>44490</v>
      </c>
      <c r="J1404" s="478" t="s">
        <v>3074</v>
      </c>
      <c r="K1404">
        <v>33.42</v>
      </c>
      <c r="L1404">
        <v>0.79800000000000004</v>
      </c>
      <c r="Q1404" s="4" t="s">
        <v>3076</v>
      </c>
      <c r="T1404" s="478" t="s">
        <v>3612</v>
      </c>
      <c r="U1404" t="s">
        <v>4129</v>
      </c>
      <c r="V1404" s="407" t="s">
        <v>3061</v>
      </c>
      <c r="W1404" s="29">
        <v>2</v>
      </c>
    </row>
    <row r="1405" spans="1:23">
      <c r="A1405" s="134">
        <v>2501</v>
      </c>
      <c r="B1405" s="134">
        <v>16.399999999999999</v>
      </c>
      <c r="C1405" s="478">
        <v>1.52</v>
      </c>
      <c r="D1405" s="478">
        <v>7.11</v>
      </c>
      <c r="E1405" s="478">
        <v>24.38</v>
      </c>
      <c r="F1405" s="19" t="s">
        <v>3808</v>
      </c>
      <c r="G1405" s="168">
        <v>40</v>
      </c>
      <c r="H1405" s="301">
        <v>75.900000000000006</v>
      </c>
      <c r="I1405" s="217">
        <v>44490</v>
      </c>
      <c r="J1405" s="478" t="s">
        <v>3074</v>
      </c>
      <c r="K1405">
        <v>33.67</v>
      </c>
      <c r="L1405">
        <v>0.56699999999999995</v>
      </c>
      <c r="Q1405" s="4" t="s">
        <v>3076</v>
      </c>
      <c r="T1405" s="478" t="s">
        <v>3612</v>
      </c>
      <c r="U1405" t="s">
        <v>3887</v>
      </c>
      <c r="V1405" s="407" t="s">
        <v>3159</v>
      </c>
      <c r="W1405" s="29">
        <v>2</v>
      </c>
    </row>
    <row r="1406" spans="1:23">
      <c r="A1406" s="134">
        <v>2507</v>
      </c>
      <c r="B1406" s="134">
        <v>18.399999999999999</v>
      </c>
      <c r="C1406" s="478">
        <v>1.49</v>
      </c>
      <c r="D1406" s="478">
        <v>7.06</v>
      </c>
      <c r="E1406" s="478">
        <v>24.36</v>
      </c>
      <c r="F1406" s="19" t="s">
        <v>3816</v>
      </c>
      <c r="G1406" s="168">
        <v>33</v>
      </c>
      <c r="H1406" s="301">
        <v>72.5</v>
      </c>
      <c r="I1406" s="217">
        <v>44491</v>
      </c>
      <c r="J1406" t="s">
        <v>3074</v>
      </c>
      <c r="K1406">
        <v>33.68</v>
      </c>
      <c r="L1406">
        <v>0.54200000000000004</v>
      </c>
      <c r="Q1406" s="4" t="s">
        <v>3076</v>
      </c>
      <c r="T1406" s="478" t="s">
        <v>3612</v>
      </c>
      <c r="U1406" t="s">
        <v>3888</v>
      </c>
      <c r="V1406" s="407" t="s">
        <v>3127</v>
      </c>
      <c r="W1406" s="29">
        <v>4</v>
      </c>
    </row>
    <row r="1407" spans="1:23" ht="24.95" customHeight="1">
      <c r="A1407" s="305">
        <v>2520</v>
      </c>
      <c r="B1407" s="134">
        <v>16.8</v>
      </c>
      <c r="C1407" s="478">
        <v>1.49</v>
      </c>
      <c r="D1407" s="478">
        <v>7.08</v>
      </c>
      <c r="E1407" s="478">
        <v>24.24</v>
      </c>
      <c r="F1407" s="19" t="s">
        <v>3878</v>
      </c>
      <c r="G1407" s="168">
        <v>10</v>
      </c>
      <c r="H1407" s="301">
        <v>73.900000000000006</v>
      </c>
      <c r="I1407" s="217">
        <v>44566</v>
      </c>
      <c r="J1407" t="s">
        <v>3074</v>
      </c>
      <c r="K1407">
        <v>33.46</v>
      </c>
      <c r="L1407">
        <v>0.17399999999999999</v>
      </c>
      <c r="Q1407" s="4" t="s">
        <v>3076</v>
      </c>
      <c r="T1407" s="478" t="s">
        <v>3612</v>
      </c>
      <c r="U1407" t="s">
        <v>4132</v>
      </c>
      <c r="V1407" s="407" t="s">
        <v>3086</v>
      </c>
      <c r="W1407" s="29">
        <v>9</v>
      </c>
    </row>
    <row r="1408" spans="1:23">
      <c r="A1408" s="305">
        <v>2514</v>
      </c>
      <c r="B1408" s="134">
        <v>17.2</v>
      </c>
      <c r="C1408" s="478">
        <v>1.5</v>
      </c>
      <c r="D1408" s="478">
        <v>7.14</v>
      </c>
      <c r="E1408" s="478">
        <v>24.36</v>
      </c>
      <c r="F1408" s="45" t="s">
        <v>3880</v>
      </c>
      <c r="G1408" s="168">
        <v>10</v>
      </c>
      <c r="H1408" s="301">
        <v>74.099999999999994</v>
      </c>
      <c r="I1408" s="217">
        <v>44566</v>
      </c>
      <c r="J1408" s="478" t="s">
        <v>3074</v>
      </c>
      <c r="K1408">
        <v>33.54</v>
      </c>
      <c r="L1408">
        <v>0.27500000000000002</v>
      </c>
      <c r="Q1408" s="4" t="s">
        <v>3076</v>
      </c>
      <c r="T1408" s="478" t="s">
        <v>3612</v>
      </c>
      <c r="U1408" t="s">
        <v>3881</v>
      </c>
      <c r="V1408" s="407" t="s">
        <v>3013</v>
      </c>
      <c r="W1408" s="29">
        <v>5</v>
      </c>
    </row>
    <row r="1409" spans="1:23">
      <c r="A1409" s="305">
        <v>2513</v>
      </c>
      <c r="B1409" s="134">
        <v>17.2</v>
      </c>
      <c r="C1409" s="478">
        <v>1.48</v>
      </c>
      <c r="D1409" s="478">
        <v>7.1</v>
      </c>
      <c r="E1409" s="478">
        <v>24.43</v>
      </c>
      <c r="F1409" s="19" t="s">
        <v>3882</v>
      </c>
      <c r="G1409" s="168">
        <v>10</v>
      </c>
      <c r="H1409" s="301">
        <v>74.099999999999994</v>
      </c>
      <c r="I1409" s="217">
        <v>44566</v>
      </c>
      <c r="J1409" s="478" t="s">
        <v>3074</v>
      </c>
      <c r="K1409">
        <v>33.47</v>
      </c>
      <c r="L1409">
        <v>0.34399999999999997</v>
      </c>
      <c r="Q1409" s="4" t="s">
        <v>3076</v>
      </c>
      <c r="T1409" s="478" t="s">
        <v>3612</v>
      </c>
      <c r="U1409" t="s">
        <v>4130</v>
      </c>
      <c r="V1409" s="407" t="s">
        <v>3127</v>
      </c>
      <c r="W1409" s="29">
        <v>3</v>
      </c>
    </row>
    <row r="1410" spans="1:23">
      <c r="A1410" s="305">
        <v>2486</v>
      </c>
      <c r="B1410" s="134">
        <v>16.8</v>
      </c>
      <c r="C1410" s="478">
        <v>1.49</v>
      </c>
      <c r="D1410" s="478">
        <v>7.05</v>
      </c>
      <c r="E1410" s="478">
        <v>24.43</v>
      </c>
      <c r="F1410" s="19" t="s">
        <v>3883</v>
      </c>
      <c r="G1410" s="168">
        <v>10</v>
      </c>
      <c r="H1410" s="301">
        <v>74.099999999999994</v>
      </c>
      <c r="I1410" s="217">
        <v>44566</v>
      </c>
      <c r="J1410" s="478" t="s">
        <v>3074</v>
      </c>
      <c r="K1410">
        <v>33.46</v>
      </c>
      <c r="L1410">
        <v>0.23100000000000001</v>
      </c>
      <c r="Q1410" s="4" t="s">
        <v>3076</v>
      </c>
      <c r="T1410" s="478" t="s">
        <v>3612</v>
      </c>
      <c r="U1410" t="s">
        <v>4128</v>
      </c>
      <c r="V1410" s="407" t="s">
        <v>3105</v>
      </c>
      <c r="W1410" s="29">
        <v>4</v>
      </c>
    </row>
    <row r="1411" spans="1:23" ht="25.5" customHeight="1">
      <c r="A1411" s="134">
        <v>2523</v>
      </c>
      <c r="B1411" s="134">
        <v>18.399999999999999</v>
      </c>
      <c r="C1411" s="478">
        <v>1.5</v>
      </c>
      <c r="D1411" s="478">
        <v>7.16</v>
      </c>
      <c r="E1411" s="478">
        <v>24.33</v>
      </c>
      <c r="F1411" s="511" t="s">
        <v>3891</v>
      </c>
      <c r="G1411" s="168">
        <v>10</v>
      </c>
      <c r="H1411" s="301">
        <v>73.8</v>
      </c>
      <c r="I1411" s="217">
        <v>44572</v>
      </c>
      <c r="J1411" t="s">
        <v>3074</v>
      </c>
      <c r="Q1411" s="4" t="s">
        <v>3076</v>
      </c>
      <c r="T1411" s="478" t="s">
        <v>3612</v>
      </c>
    </row>
    <row r="1412" spans="1:23">
      <c r="A1412" s="134">
        <v>2504</v>
      </c>
      <c r="B1412" s="134">
        <v>18.8</v>
      </c>
      <c r="C1412" s="478">
        <v>1.52</v>
      </c>
      <c r="D1412" s="478">
        <v>7.13</v>
      </c>
      <c r="E1412" s="478">
        <v>24.27</v>
      </c>
      <c r="F1412" s="511" t="s">
        <v>3892</v>
      </c>
      <c r="G1412" s="168">
        <v>10</v>
      </c>
      <c r="H1412" s="301">
        <v>73.8</v>
      </c>
      <c r="I1412" s="217">
        <v>44572</v>
      </c>
      <c r="J1412" s="478" t="s">
        <v>3074</v>
      </c>
      <c r="Q1412" s="4" t="s">
        <v>3076</v>
      </c>
      <c r="T1412" s="478" t="s">
        <v>3612</v>
      </c>
    </row>
    <row r="1413" spans="1:23">
      <c r="A1413" s="134">
        <v>2515</v>
      </c>
      <c r="B1413" s="134">
        <v>18.399999999999999</v>
      </c>
      <c r="C1413" s="478">
        <v>1.51</v>
      </c>
      <c r="D1413" s="478">
        <v>7.06</v>
      </c>
      <c r="E1413" s="478">
        <v>24.2</v>
      </c>
      <c r="F1413" s="511" t="s">
        <v>3893</v>
      </c>
      <c r="G1413" s="168">
        <v>10</v>
      </c>
      <c r="H1413" s="301">
        <v>73.8</v>
      </c>
      <c r="I1413" s="217">
        <v>44572</v>
      </c>
      <c r="J1413" s="478" t="s">
        <v>3074</v>
      </c>
      <c r="Q1413" s="4" t="s">
        <v>3076</v>
      </c>
      <c r="T1413" s="478" t="s">
        <v>3612</v>
      </c>
    </row>
    <row r="1414" spans="1:23">
      <c r="A1414" s="134">
        <v>2505</v>
      </c>
      <c r="B1414" s="134">
        <v>17.2</v>
      </c>
      <c r="C1414" s="478">
        <v>1.49</v>
      </c>
      <c r="D1414" s="478">
        <v>7.11</v>
      </c>
      <c r="E1414" s="478">
        <v>24.46</v>
      </c>
      <c r="F1414" s="511" t="s">
        <v>3894</v>
      </c>
      <c r="G1414" s="168">
        <v>10</v>
      </c>
      <c r="H1414" s="301">
        <v>73.8</v>
      </c>
      <c r="I1414" s="217">
        <v>44572</v>
      </c>
      <c r="J1414" s="478" t="s">
        <v>3074</v>
      </c>
      <c r="Q1414" s="4" t="s">
        <v>3076</v>
      </c>
      <c r="T1414" s="478" t="s">
        <v>3612</v>
      </c>
    </row>
    <row r="1415" spans="1:23" ht="25.5" customHeight="1">
      <c r="A1415" s="134">
        <v>2405</v>
      </c>
      <c r="B1415" s="134">
        <v>18</v>
      </c>
      <c r="C1415" s="478">
        <v>1.48</v>
      </c>
      <c r="D1415" s="478">
        <v>7.05</v>
      </c>
      <c r="E1415" s="478">
        <v>24.41</v>
      </c>
      <c r="F1415" s="176" t="s">
        <v>3896</v>
      </c>
      <c r="G1415" s="168">
        <v>10</v>
      </c>
      <c r="H1415" s="301">
        <v>73.900000000000006</v>
      </c>
      <c r="I1415" s="217">
        <v>44585</v>
      </c>
      <c r="J1415" s="478" t="s">
        <v>3074</v>
      </c>
      <c r="K1415">
        <v>33.409999999999997</v>
      </c>
      <c r="L1415">
        <v>0.23200000000000001</v>
      </c>
      <c r="Q1415" s="4" t="s">
        <v>3076</v>
      </c>
      <c r="T1415" s="478" t="s">
        <v>3612</v>
      </c>
      <c r="U1415" t="s">
        <v>3897</v>
      </c>
    </row>
    <row r="1416" spans="1:23">
      <c r="A1416" s="134">
        <v>2421</v>
      </c>
      <c r="B1416" s="134">
        <v>17.8</v>
      </c>
      <c r="C1416" s="478">
        <v>1.51</v>
      </c>
      <c r="D1416" s="478">
        <v>7.14</v>
      </c>
      <c r="E1416" s="478">
        <v>24.42</v>
      </c>
      <c r="F1416" s="19" t="s">
        <v>3898</v>
      </c>
      <c r="G1416" s="168">
        <v>10</v>
      </c>
      <c r="H1416" s="301">
        <v>73.900000000000006</v>
      </c>
      <c r="I1416" s="217">
        <v>44585</v>
      </c>
      <c r="J1416" s="478" t="s">
        <v>3074</v>
      </c>
      <c r="K1416">
        <v>33.51</v>
      </c>
      <c r="L1416">
        <v>0.27</v>
      </c>
      <c r="Q1416" s="4" t="s">
        <v>3076</v>
      </c>
      <c r="T1416" s="478" t="s">
        <v>3612</v>
      </c>
      <c r="U1416" t="s">
        <v>3928</v>
      </c>
      <c r="V1416" s="407" t="s">
        <v>3024</v>
      </c>
      <c r="W1416" s="29">
        <v>7</v>
      </c>
    </row>
    <row r="1417" spans="1:23">
      <c r="A1417" s="134">
        <v>2407</v>
      </c>
      <c r="B1417" s="134">
        <v>18</v>
      </c>
      <c r="C1417" s="478">
        <v>1.47</v>
      </c>
      <c r="D1417" s="478">
        <v>7.08</v>
      </c>
      <c r="E1417" s="478">
        <v>24.46</v>
      </c>
      <c r="F1417" s="19" t="s">
        <v>3899</v>
      </c>
      <c r="G1417" s="168">
        <v>10</v>
      </c>
      <c r="H1417" s="301">
        <v>73.900000000000006</v>
      </c>
      <c r="I1417" s="217">
        <v>44585</v>
      </c>
      <c r="J1417" s="478" t="s">
        <v>3074</v>
      </c>
      <c r="K1417">
        <v>33.44</v>
      </c>
      <c r="L1417">
        <v>0.34599999999999997</v>
      </c>
      <c r="Q1417" s="4" t="s">
        <v>3076</v>
      </c>
      <c r="T1417" s="478" t="s">
        <v>3612</v>
      </c>
      <c r="U1417" t="s">
        <v>3930</v>
      </c>
      <c r="V1417" s="407" t="s">
        <v>3136</v>
      </c>
      <c r="W1417" s="29">
        <v>3</v>
      </c>
    </row>
    <row r="1418" spans="1:23">
      <c r="A1418" s="134">
        <v>1709</v>
      </c>
      <c r="B1418" s="134">
        <v>18.8</v>
      </c>
      <c r="C1418" s="478">
        <v>1.5</v>
      </c>
      <c r="D1418" s="478">
        <v>7.12</v>
      </c>
      <c r="E1418" s="478">
        <v>24.32</v>
      </c>
      <c r="F1418" s="19" t="s">
        <v>3900</v>
      </c>
      <c r="G1418" s="168">
        <v>10</v>
      </c>
      <c r="H1418" s="301">
        <v>72.3</v>
      </c>
      <c r="I1418" s="217">
        <v>44586</v>
      </c>
      <c r="J1418" s="478" t="s">
        <v>3074</v>
      </c>
      <c r="K1418">
        <v>33.42</v>
      </c>
      <c r="L1418">
        <v>0.29099999999999998</v>
      </c>
      <c r="Q1418" s="4" t="s">
        <v>3076</v>
      </c>
      <c r="T1418" s="478" t="s">
        <v>3612</v>
      </c>
      <c r="U1418" t="s">
        <v>3929</v>
      </c>
      <c r="V1418" s="407" t="s">
        <v>3087</v>
      </c>
      <c r="W1418" s="29">
        <v>6</v>
      </c>
    </row>
    <row r="1419" spans="1:23">
      <c r="A1419" s="134">
        <v>1437</v>
      </c>
      <c r="B1419" s="134">
        <v>18</v>
      </c>
      <c r="C1419" s="478">
        <v>1.51</v>
      </c>
      <c r="D1419" s="478">
        <v>7.14</v>
      </c>
      <c r="E1419" s="478">
        <v>24.33</v>
      </c>
      <c r="F1419" s="176" t="s">
        <v>3902</v>
      </c>
      <c r="G1419" s="168">
        <v>10</v>
      </c>
      <c r="H1419" s="301">
        <v>72.3</v>
      </c>
      <c r="I1419" s="217">
        <v>44586</v>
      </c>
      <c r="J1419" s="478" t="s">
        <v>3074</v>
      </c>
      <c r="K1419">
        <v>33.450000000000003</v>
      </c>
      <c r="L1419">
        <v>0.32200000000000001</v>
      </c>
      <c r="Q1419" s="4" t="s">
        <v>3076</v>
      </c>
      <c r="T1419" s="478" t="s">
        <v>3612</v>
      </c>
      <c r="U1419" s="478" t="s">
        <v>3901</v>
      </c>
      <c r="V1419" s="407" t="s">
        <v>3903</v>
      </c>
      <c r="W1419" s="29">
        <v>3</v>
      </c>
    </row>
    <row r="1420" spans="1:23">
      <c r="A1420" s="134">
        <v>2348</v>
      </c>
      <c r="B1420" s="134">
        <v>18</v>
      </c>
      <c r="C1420" s="478">
        <v>1.5</v>
      </c>
      <c r="D1420" s="478">
        <v>7.07</v>
      </c>
      <c r="E1420" s="478">
        <v>24.44</v>
      </c>
      <c r="F1420" s="176" t="s">
        <v>3904</v>
      </c>
      <c r="G1420" s="168">
        <v>10</v>
      </c>
      <c r="H1420" s="301">
        <v>72.3</v>
      </c>
      <c r="I1420" s="217">
        <v>44586</v>
      </c>
      <c r="J1420" s="478" t="s">
        <v>3074</v>
      </c>
      <c r="K1420">
        <v>33.46</v>
      </c>
      <c r="L1420">
        <v>0.68</v>
      </c>
      <c r="Q1420" s="4" t="s">
        <v>3076</v>
      </c>
      <c r="T1420" s="478" t="s">
        <v>3612</v>
      </c>
      <c r="U1420" t="s">
        <v>3905</v>
      </c>
      <c r="V1420" s="407" t="s">
        <v>3221</v>
      </c>
      <c r="W1420" s="29">
        <v>2</v>
      </c>
    </row>
    <row r="1421" spans="1:23">
      <c r="A1421" s="134">
        <v>2348</v>
      </c>
      <c r="B1421" s="134">
        <v>18</v>
      </c>
      <c r="C1421" s="478">
        <v>1.5</v>
      </c>
      <c r="D1421" s="478">
        <v>7.07</v>
      </c>
      <c r="E1421" s="478">
        <v>24.44</v>
      </c>
      <c r="F1421" s="176" t="s">
        <v>3906</v>
      </c>
      <c r="G1421" s="168">
        <v>10</v>
      </c>
      <c r="H1421" s="301">
        <v>72.3</v>
      </c>
      <c r="I1421" s="217">
        <v>44586</v>
      </c>
      <c r="J1421" s="478" t="s">
        <v>3074</v>
      </c>
      <c r="K1421">
        <v>33.44</v>
      </c>
      <c r="L1421">
        <v>0.78600000000000003</v>
      </c>
      <c r="Q1421" s="4" t="s">
        <v>3076</v>
      </c>
      <c r="T1421" s="478" t="s">
        <v>3612</v>
      </c>
      <c r="U1421" t="s">
        <v>3907</v>
      </c>
      <c r="V1421" s="407" t="s">
        <v>3025</v>
      </c>
      <c r="W1421" s="29">
        <v>2</v>
      </c>
    </row>
    <row r="1422" spans="1:23">
      <c r="A1422" s="134">
        <v>2170</v>
      </c>
      <c r="B1422" s="134">
        <v>18.8</v>
      </c>
      <c r="C1422" s="478">
        <v>1.48</v>
      </c>
      <c r="D1422" s="478">
        <v>7.1</v>
      </c>
      <c r="E1422" s="478">
        <v>24.42</v>
      </c>
      <c r="F1422" s="19" t="s">
        <v>3908</v>
      </c>
      <c r="G1422" s="168">
        <v>10</v>
      </c>
      <c r="H1422" s="301">
        <v>74.3</v>
      </c>
      <c r="I1422" s="217">
        <v>44586</v>
      </c>
      <c r="J1422" s="478" t="s">
        <v>3074</v>
      </c>
      <c r="K1422">
        <v>33.479999999999997</v>
      </c>
      <c r="L1422" s="6">
        <v>7.8E-2</v>
      </c>
      <c r="Q1422" s="4" t="s">
        <v>3076</v>
      </c>
      <c r="T1422" s="478" t="s">
        <v>3612</v>
      </c>
      <c r="U1422" t="s">
        <v>3925</v>
      </c>
      <c r="V1422" s="407" t="s">
        <v>3136</v>
      </c>
      <c r="W1422" s="29">
        <v>1</v>
      </c>
    </row>
    <row r="1423" spans="1:23">
      <c r="A1423" s="134">
        <v>2477</v>
      </c>
      <c r="B1423" s="134">
        <v>18.399999999999999</v>
      </c>
      <c r="C1423" s="478">
        <v>1.51</v>
      </c>
      <c r="D1423" s="478">
        <v>7.12</v>
      </c>
      <c r="E1423" s="478">
        <v>24.42</v>
      </c>
      <c r="F1423" s="19" t="s">
        <v>3909</v>
      </c>
      <c r="G1423" s="168">
        <v>10</v>
      </c>
      <c r="H1423" s="301">
        <v>74.3</v>
      </c>
      <c r="I1423" s="217">
        <v>44586</v>
      </c>
      <c r="J1423" s="478" t="s">
        <v>3074</v>
      </c>
      <c r="K1423">
        <v>33.479999999999997</v>
      </c>
      <c r="L1423">
        <v>0.90700000000000003</v>
      </c>
      <c r="Q1423" s="4" t="s">
        <v>3076</v>
      </c>
      <c r="S1423" s="375"/>
      <c r="T1423" s="478" t="s">
        <v>3612</v>
      </c>
      <c r="U1423" s="478" t="s">
        <v>3925</v>
      </c>
      <c r="V1423" s="407" t="s">
        <v>3208</v>
      </c>
      <c r="W1423" s="29">
        <v>2</v>
      </c>
    </row>
    <row r="1424" spans="1:23">
      <c r="A1424" s="134">
        <v>2149</v>
      </c>
      <c r="B1424" s="134">
        <v>18.399999999999999</v>
      </c>
      <c r="C1424" s="478">
        <v>1.48</v>
      </c>
      <c r="D1424" s="478">
        <v>7.09</v>
      </c>
      <c r="E1424" s="478">
        <v>24.43</v>
      </c>
      <c r="F1424" s="19" t="s">
        <v>3910</v>
      </c>
      <c r="G1424" s="168">
        <v>10</v>
      </c>
      <c r="H1424" s="301">
        <v>71.8</v>
      </c>
      <c r="I1424" s="217">
        <v>44587</v>
      </c>
      <c r="J1424" t="s">
        <v>3074</v>
      </c>
      <c r="K1424">
        <v>33.46</v>
      </c>
      <c r="L1424">
        <v>0.41899999999999998</v>
      </c>
      <c r="Q1424" s="4" t="s">
        <v>3076</v>
      </c>
      <c r="T1424" s="478" t="s">
        <v>3612</v>
      </c>
      <c r="U1424" t="s">
        <v>3927</v>
      </c>
      <c r="V1424" s="407" t="s">
        <v>3025</v>
      </c>
      <c r="W1424" s="29">
        <v>3</v>
      </c>
    </row>
    <row r="1425" spans="1:23">
      <c r="A1425" s="134">
        <v>2441</v>
      </c>
      <c r="B1425" s="134">
        <v>18.8</v>
      </c>
      <c r="C1425" s="478">
        <v>1.51</v>
      </c>
      <c r="D1425" s="478">
        <v>7.06</v>
      </c>
      <c r="E1425" s="478">
        <v>24.34</v>
      </c>
      <c r="F1425" s="45" t="s">
        <v>3912</v>
      </c>
      <c r="G1425" s="168">
        <v>10</v>
      </c>
      <c r="H1425" s="301">
        <v>71.8</v>
      </c>
      <c r="I1425" s="217">
        <v>44587</v>
      </c>
      <c r="J1425" s="478" t="s">
        <v>3074</v>
      </c>
      <c r="K1425">
        <v>33.450000000000003</v>
      </c>
      <c r="L1425">
        <v>0.60199999999999998</v>
      </c>
      <c r="Q1425" s="4" t="s">
        <v>3076</v>
      </c>
      <c r="T1425" s="478" t="s">
        <v>3612</v>
      </c>
      <c r="U1425" s="478" t="s">
        <v>3911</v>
      </c>
      <c r="V1425" s="407" t="s">
        <v>3024</v>
      </c>
      <c r="W1425" s="29">
        <v>6</v>
      </c>
    </row>
    <row r="1426" spans="1:23">
      <c r="A1426" s="134">
        <v>1769</v>
      </c>
      <c r="B1426" s="134">
        <v>17.600000000000001</v>
      </c>
      <c r="C1426" s="478">
        <v>1.48</v>
      </c>
      <c r="D1426" s="478">
        <v>7.1</v>
      </c>
      <c r="E1426" s="478">
        <v>24.35</v>
      </c>
      <c r="F1426" s="19" t="s">
        <v>3913</v>
      </c>
      <c r="G1426" s="168">
        <v>10</v>
      </c>
      <c r="H1426" s="301">
        <v>73.900000000000006</v>
      </c>
      <c r="I1426" s="217">
        <v>44587</v>
      </c>
      <c r="J1426" s="478" t="s">
        <v>3074</v>
      </c>
      <c r="K1426">
        <v>33.43</v>
      </c>
      <c r="L1426">
        <v>0.90200000000000002</v>
      </c>
      <c r="Q1426" s="4" t="s">
        <v>3076</v>
      </c>
      <c r="T1426" s="478" t="s">
        <v>3612</v>
      </c>
      <c r="U1426" t="s">
        <v>3926</v>
      </c>
      <c r="V1426" s="407" t="s">
        <v>2819</v>
      </c>
      <c r="W1426" s="29">
        <v>2</v>
      </c>
    </row>
    <row r="1427" spans="1:23">
      <c r="A1427" s="134">
        <v>1539</v>
      </c>
      <c r="B1427" s="134">
        <v>18</v>
      </c>
      <c r="C1427" s="478">
        <v>1.5</v>
      </c>
      <c r="D1427" s="478">
        <v>7.14</v>
      </c>
      <c r="E1427" s="478">
        <v>24.33</v>
      </c>
      <c r="F1427" s="249" t="s">
        <v>3914</v>
      </c>
      <c r="G1427" s="168">
        <v>10</v>
      </c>
      <c r="H1427" s="301">
        <v>73.900000000000006</v>
      </c>
      <c r="I1427" s="217">
        <v>44587</v>
      </c>
      <c r="J1427" s="478" t="s">
        <v>3074</v>
      </c>
      <c r="K1427">
        <v>33.42</v>
      </c>
      <c r="L1427">
        <v>0.42299999999999999</v>
      </c>
      <c r="Q1427" s="4" t="s">
        <v>3076</v>
      </c>
      <c r="T1427" s="478" t="s">
        <v>3612</v>
      </c>
      <c r="U1427" s="478" t="s">
        <v>3931</v>
      </c>
      <c r="V1427" s="407" t="s">
        <v>3053</v>
      </c>
      <c r="W1427" s="29">
        <v>4</v>
      </c>
    </row>
    <row r="1428" spans="1:23" ht="20.25" customHeight="1">
      <c r="A1428" s="136">
        <v>1423</v>
      </c>
      <c r="B1428" s="134">
        <v>17.600000000000001</v>
      </c>
      <c r="C1428" s="478">
        <v>1.5</v>
      </c>
      <c r="D1428" s="478">
        <v>7.1</v>
      </c>
      <c r="E1428" s="478">
        <v>24.3</v>
      </c>
      <c r="F1428" s="19" t="s">
        <v>3916</v>
      </c>
      <c r="G1428" s="168">
        <v>19</v>
      </c>
      <c r="H1428" s="301">
        <v>73</v>
      </c>
      <c r="I1428" s="217">
        <v>44622</v>
      </c>
      <c r="J1428" s="478" t="s">
        <v>3074</v>
      </c>
      <c r="K1428">
        <v>33.44</v>
      </c>
      <c r="L1428">
        <v>0.38100000000000001</v>
      </c>
      <c r="Q1428" s="4" t="s">
        <v>3076</v>
      </c>
      <c r="T1428" s="478" t="s">
        <v>3612</v>
      </c>
      <c r="U1428" t="s">
        <v>4177</v>
      </c>
      <c r="V1428" s="407" t="s">
        <v>3208</v>
      </c>
      <c r="W1428" s="29">
        <v>7</v>
      </c>
    </row>
    <row r="1429" spans="1:23">
      <c r="A1429" s="136">
        <v>1350</v>
      </c>
      <c r="B1429" s="134">
        <v>17</v>
      </c>
      <c r="C1429" s="478">
        <v>1.52</v>
      </c>
      <c r="D1429" s="478">
        <v>7.11</v>
      </c>
      <c r="E1429" s="478">
        <v>24.4</v>
      </c>
      <c r="F1429" s="176" t="s">
        <v>3917</v>
      </c>
      <c r="G1429" s="168">
        <v>19</v>
      </c>
      <c r="H1429" s="301">
        <v>73</v>
      </c>
      <c r="I1429" s="217">
        <v>44622</v>
      </c>
      <c r="J1429" s="478" t="s">
        <v>3074</v>
      </c>
      <c r="Q1429" s="4" t="s">
        <v>3076</v>
      </c>
      <c r="T1429" s="478" t="s">
        <v>3612</v>
      </c>
    </row>
    <row r="1430" spans="1:23">
      <c r="A1430" s="136">
        <v>1350</v>
      </c>
      <c r="B1430" s="134">
        <v>17</v>
      </c>
      <c r="C1430" s="478">
        <v>1.52</v>
      </c>
      <c r="D1430" s="478">
        <v>7.11</v>
      </c>
      <c r="E1430" s="478">
        <v>24.4</v>
      </c>
      <c r="F1430" s="19" t="s">
        <v>3918</v>
      </c>
      <c r="G1430" s="168">
        <v>19</v>
      </c>
      <c r="H1430" s="301">
        <v>73</v>
      </c>
      <c r="I1430" s="217">
        <v>44622</v>
      </c>
      <c r="J1430" s="478" t="s">
        <v>3074</v>
      </c>
      <c r="K1430">
        <v>33.47</v>
      </c>
      <c r="L1430">
        <v>0.69199999999999995</v>
      </c>
      <c r="Q1430" s="4" t="s">
        <v>3076</v>
      </c>
      <c r="T1430" s="478" t="s">
        <v>3612</v>
      </c>
      <c r="U1430" s="478" t="s">
        <v>3957</v>
      </c>
      <c r="V1430" s="407" t="s">
        <v>3024</v>
      </c>
      <c r="W1430" s="29">
        <v>5</v>
      </c>
    </row>
    <row r="1431" spans="1:23">
      <c r="A1431" s="136">
        <v>2085</v>
      </c>
      <c r="B1431" s="134">
        <v>18.399999999999999</v>
      </c>
      <c r="C1431" s="478">
        <v>1.49</v>
      </c>
      <c r="D1431" s="478">
        <v>7.1</v>
      </c>
      <c r="E1431" s="478">
        <v>24.38</v>
      </c>
      <c r="F1431" s="19" t="s">
        <v>3919</v>
      </c>
      <c r="G1431" s="168">
        <v>19</v>
      </c>
      <c r="H1431" s="301">
        <v>75</v>
      </c>
      <c r="I1431" s="217">
        <v>44622</v>
      </c>
      <c r="J1431" s="478" t="s">
        <v>3074</v>
      </c>
      <c r="K1431">
        <v>33.5</v>
      </c>
      <c r="L1431">
        <v>0.23599999999999999</v>
      </c>
      <c r="Q1431" s="4" t="s">
        <v>3076</v>
      </c>
      <c r="T1431" s="478" t="s">
        <v>3612</v>
      </c>
      <c r="U1431" s="478" t="s">
        <v>4177</v>
      </c>
      <c r="V1431" s="407" t="s">
        <v>3025</v>
      </c>
      <c r="W1431" s="29">
        <v>6</v>
      </c>
    </row>
    <row r="1432" spans="1:23">
      <c r="A1432" s="136">
        <v>2161</v>
      </c>
      <c r="B1432" s="134">
        <v>18</v>
      </c>
      <c r="C1432" s="478">
        <v>1.48</v>
      </c>
      <c r="D1432" s="478">
        <v>7.1</v>
      </c>
      <c r="E1432" s="478">
        <v>24.41</v>
      </c>
      <c r="F1432" s="19" t="s">
        <v>3920</v>
      </c>
      <c r="G1432" s="168">
        <v>19</v>
      </c>
      <c r="H1432" s="301">
        <v>75</v>
      </c>
      <c r="I1432" s="217">
        <v>44622</v>
      </c>
      <c r="J1432" s="478" t="s">
        <v>3074</v>
      </c>
      <c r="K1432">
        <v>33.479999999999997</v>
      </c>
      <c r="L1432">
        <v>0.38300000000000001</v>
      </c>
      <c r="Q1432" s="4" t="s">
        <v>3076</v>
      </c>
      <c r="T1432" s="478" t="s">
        <v>3612</v>
      </c>
      <c r="U1432" s="478" t="s">
        <v>3960</v>
      </c>
      <c r="V1432" s="407" t="s">
        <v>3157</v>
      </c>
      <c r="W1432" s="29">
        <v>1</v>
      </c>
    </row>
    <row r="1433" spans="1:23">
      <c r="A1433" s="136">
        <v>2429</v>
      </c>
      <c r="B1433" s="134">
        <v>16.399999999999999</v>
      </c>
      <c r="C1433" s="478">
        <v>1.47</v>
      </c>
      <c r="D1433" s="478">
        <v>7.16</v>
      </c>
      <c r="E1433" s="478">
        <v>24.39</v>
      </c>
      <c r="F1433" s="19" t="s">
        <v>3921</v>
      </c>
      <c r="G1433" s="168">
        <v>19</v>
      </c>
      <c r="H1433" s="301">
        <v>72.8</v>
      </c>
      <c r="I1433" s="217">
        <v>44623</v>
      </c>
      <c r="J1433" s="478" t="s">
        <v>3074</v>
      </c>
      <c r="K1433">
        <v>33.619999999999997</v>
      </c>
      <c r="L1433">
        <v>0.50900000000000001</v>
      </c>
      <c r="Q1433" s="4" t="s">
        <v>3076</v>
      </c>
      <c r="T1433" s="478" t="s">
        <v>3612</v>
      </c>
      <c r="U1433" t="s">
        <v>3961</v>
      </c>
      <c r="V1433" s="407" t="s">
        <v>3157</v>
      </c>
      <c r="W1433" s="29">
        <v>1</v>
      </c>
    </row>
    <row r="1434" spans="1:23">
      <c r="A1434" s="136">
        <v>2256</v>
      </c>
      <c r="B1434" s="134">
        <v>18.399999999999999</v>
      </c>
      <c r="C1434" s="478">
        <v>1.51</v>
      </c>
      <c r="D1434" s="478">
        <v>7.14</v>
      </c>
      <c r="E1434" s="478">
        <v>24.32</v>
      </c>
      <c r="F1434" s="176" t="s">
        <v>3922</v>
      </c>
      <c r="G1434" s="168">
        <v>19</v>
      </c>
      <c r="H1434" s="301">
        <v>72.8</v>
      </c>
      <c r="I1434" s="217">
        <v>44623</v>
      </c>
      <c r="J1434" s="478" t="s">
        <v>3074</v>
      </c>
      <c r="K1434">
        <v>33.47</v>
      </c>
      <c r="L1434">
        <v>0.51500000000000001</v>
      </c>
      <c r="Q1434" s="4" t="s">
        <v>3076</v>
      </c>
      <c r="T1434" s="478" t="s">
        <v>3612</v>
      </c>
      <c r="U1434" s="478" t="s">
        <v>3923</v>
      </c>
      <c r="V1434" s="407" t="s">
        <v>3924</v>
      </c>
      <c r="W1434" s="29">
        <v>7</v>
      </c>
    </row>
    <row r="1435" spans="1:23">
      <c r="A1435" s="136">
        <v>2407</v>
      </c>
      <c r="B1435" s="134">
        <v>18</v>
      </c>
      <c r="C1435" s="478">
        <v>1.47</v>
      </c>
      <c r="D1435" s="478">
        <v>7.08</v>
      </c>
      <c r="E1435" s="478">
        <v>24.46</v>
      </c>
      <c r="F1435" s="45" t="s">
        <v>3932</v>
      </c>
      <c r="G1435" s="168">
        <v>19</v>
      </c>
      <c r="H1435" s="301">
        <v>74.599999999999994</v>
      </c>
      <c r="I1435" s="217">
        <v>44623</v>
      </c>
      <c r="J1435" s="478" t="s">
        <v>3074</v>
      </c>
      <c r="K1435">
        <v>33.47</v>
      </c>
      <c r="L1435">
        <v>0.30499999999999999</v>
      </c>
      <c r="Q1435" s="4" t="s">
        <v>3076</v>
      </c>
      <c r="T1435" s="478" t="s">
        <v>3612</v>
      </c>
      <c r="U1435" t="s">
        <v>3790</v>
      </c>
      <c r="V1435" s="407" t="s">
        <v>3025</v>
      </c>
      <c r="W1435" s="29">
        <v>4</v>
      </c>
    </row>
    <row r="1436" spans="1:23">
      <c r="A1436" s="136">
        <v>2133</v>
      </c>
      <c r="B1436" s="134">
        <v>18.8</v>
      </c>
      <c r="C1436" s="478">
        <v>1.51</v>
      </c>
      <c r="D1436" s="478">
        <v>7.12</v>
      </c>
      <c r="E1436" s="478">
        <v>24.4</v>
      </c>
      <c r="F1436" s="19" t="s">
        <v>3933</v>
      </c>
      <c r="G1436" s="168">
        <v>19</v>
      </c>
      <c r="H1436" s="301">
        <v>74.599999999999994</v>
      </c>
      <c r="I1436" s="217">
        <v>44623</v>
      </c>
      <c r="J1436" s="478" t="s">
        <v>3074</v>
      </c>
      <c r="K1436">
        <v>33.54</v>
      </c>
      <c r="L1436">
        <v>0.29899999999999999</v>
      </c>
      <c r="Q1436" s="4" t="s">
        <v>3076</v>
      </c>
      <c r="T1436" s="478" t="s">
        <v>3612</v>
      </c>
      <c r="U1436" t="s">
        <v>3962</v>
      </c>
      <c r="V1436" s="407" t="s">
        <v>3024</v>
      </c>
      <c r="W1436" s="29">
        <v>2</v>
      </c>
    </row>
    <row r="1437" spans="1:23">
      <c r="A1437" s="136">
        <v>1946</v>
      </c>
      <c r="B1437" s="134">
        <v>16.399999999999999</v>
      </c>
      <c r="C1437" s="478">
        <v>1.5</v>
      </c>
      <c r="D1437" s="478">
        <v>7.13</v>
      </c>
      <c r="E1437" s="478">
        <v>24.32</v>
      </c>
      <c r="F1437" s="19" t="s">
        <v>3934</v>
      </c>
      <c r="G1437" s="168">
        <v>19</v>
      </c>
      <c r="H1437" s="301">
        <v>73.2</v>
      </c>
      <c r="I1437" s="217">
        <v>44624</v>
      </c>
      <c r="J1437" s="478" t="s">
        <v>3074</v>
      </c>
      <c r="K1437">
        <v>33.49</v>
      </c>
      <c r="L1437">
        <v>0.252</v>
      </c>
      <c r="Q1437" s="4" t="s">
        <v>3076</v>
      </c>
      <c r="T1437" s="478" t="s">
        <v>3612</v>
      </c>
      <c r="U1437" t="s">
        <v>3958</v>
      </c>
      <c r="V1437" s="407" t="s">
        <v>3159</v>
      </c>
      <c r="W1437" s="29">
        <v>9</v>
      </c>
    </row>
    <row r="1438" spans="1:23">
      <c r="A1438" s="136">
        <v>2066</v>
      </c>
      <c r="B1438" s="134">
        <v>18.399999999999999</v>
      </c>
      <c r="C1438" s="478">
        <v>1.5</v>
      </c>
      <c r="D1438" s="478">
        <v>7.1</v>
      </c>
      <c r="E1438" s="478">
        <v>24.35</v>
      </c>
      <c r="F1438" s="19" t="s">
        <v>3935</v>
      </c>
      <c r="G1438" s="168">
        <v>19</v>
      </c>
      <c r="H1438" s="301">
        <v>73.2</v>
      </c>
      <c r="I1438" s="217">
        <v>44624</v>
      </c>
      <c r="J1438" s="478" t="s">
        <v>3074</v>
      </c>
      <c r="K1438">
        <v>33.43</v>
      </c>
      <c r="L1438">
        <v>8.1000000000000003E-2</v>
      </c>
      <c r="Q1438" s="4" t="s">
        <v>3076</v>
      </c>
      <c r="T1438" s="478" t="s">
        <v>3612</v>
      </c>
      <c r="U1438" s="478" t="s">
        <v>3959</v>
      </c>
      <c r="V1438" s="407" t="s">
        <v>3001</v>
      </c>
      <c r="W1438" s="29">
        <v>9</v>
      </c>
    </row>
    <row r="1439" spans="1:23">
      <c r="A1439" s="136">
        <v>2410</v>
      </c>
      <c r="B1439" s="134">
        <v>17</v>
      </c>
      <c r="C1439" s="478">
        <v>1.52</v>
      </c>
      <c r="D1439" s="478">
        <v>7.09</v>
      </c>
      <c r="E1439" s="478">
        <v>24.41</v>
      </c>
      <c r="F1439" s="19" t="s">
        <v>3936</v>
      </c>
      <c r="G1439" s="168">
        <v>19</v>
      </c>
      <c r="H1439" s="301">
        <v>73.2</v>
      </c>
      <c r="I1439" s="217">
        <v>44624</v>
      </c>
      <c r="J1439" s="478" t="s">
        <v>3074</v>
      </c>
      <c r="K1439">
        <v>33.700000000000003</v>
      </c>
      <c r="L1439">
        <v>0.94</v>
      </c>
      <c r="Q1439" s="4" t="s">
        <v>3076</v>
      </c>
      <c r="T1439" s="478" t="s">
        <v>3612</v>
      </c>
      <c r="U1439" s="478" t="s">
        <v>3959</v>
      </c>
      <c r="V1439" s="407" t="s">
        <v>2819</v>
      </c>
      <c r="W1439" s="29">
        <v>6</v>
      </c>
    </row>
    <row r="1440" spans="1:23" ht="25.5" customHeight="1">
      <c r="A1440" s="134">
        <v>2521</v>
      </c>
      <c r="B1440" s="134">
        <v>16</v>
      </c>
      <c r="C1440">
        <v>1.47</v>
      </c>
      <c r="D1440">
        <v>7.1</v>
      </c>
      <c r="E1440">
        <v>24.37</v>
      </c>
      <c r="F1440" s="375" t="s">
        <v>3937</v>
      </c>
      <c r="I1440" s="217">
        <v>44617</v>
      </c>
      <c r="J1440" s="478" t="s">
        <v>3074</v>
      </c>
      <c r="Q1440" s="4" t="s">
        <v>3076</v>
      </c>
      <c r="T1440" s="478" t="s">
        <v>3612</v>
      </c>
      <c r="U1440" t="s">
        <v>3939</v>
      </c>
      <c r="V1440" s="407" t="s">
        <v>3173</v>
      </c>
    </row>
    <row r="1441" spans="1:23">
      <c r="A1441" s="478">
        <v>2151</v>
      </c>
      <c r="B1441" s="478">
        <v>16.8</v>
      </c>
      <c r="C1441" s="478">
        <v>1.51</v>
      </c>
      <c r="D1441" s="478">
        <v>7.14</v>
      </c>
      <c r="E1441" s="478">
        <v>24.4</v>
      </c>
      <c r="F1441" s="375" t="s">
        <v>3938</v>
      </c>
      <c r="I1441" s="217">
        <v>44617</v>
      </c>
      <c r="J1441" s="478" t="s">
        <v>3074</v>
      </c>
      <c r="Q1441" s="4" t="s">
        <v>3076</v>
      </c>
      <c r="T1441" s="478" t="s">
        <v>3612</v>
      </c>
      <c r="U1441" s="478" t="s">
        <v>3939</v>
      </c>
      <c r="V1441" s="407" t="s">
        <v>3940</v>
      </c>
    </row>
    <row r="1442" spans="1:23" ht="25.5" customHeight="1">
      <c r="A1442" s="136">
        <v>2043</v>
      </c>
      <c r="B1442" s="134">
        <v>18.8</v>
      </c>
      <c r="C1442" s="478">
        <v>1.5</v>
      </c>
      <c r="D1442" s="478">
        <v>7.13</v>
      </c>
      <c r="E1442" s="478">
        <v>24.28</v>
      </c>
      <c r="F1442" s="184" t="s">
        <v>3941</v>
      </c>
      <c r="G1442" s="168">
        <v>19</v>
      </c>
      <c r="H1442" s="301">
        <v>73</v>
      </c>
      <c r="I1442" s="217">
        <v>44650</v>
      </c>
      <c r="J1442" s="478" t="s">
        <v>3074</v>
      </c>
      <c r="K1442">
        <v>33.299999999999997</v>
      </c>
      <c r="L1442">
        <v>0.37</v>
      </c>
      <c r="Q1442" s="4" t="s">
        <v>3076</v>
      </c>
      <c r="T1442" s="478" t="s">
        <v>3612</v>
      </c>
      <c r="U1442" t="s">
        <v>3942</v>
      </c>
      <c r="V1442" s="407" t="s">
        <v>3026</v>
      </c>
      <c r="W1442" s="29">
        <v>4</v>
      </c>
    </row>
    <row r="1443" spans="1:23">
      <c r="A1443" s="136">
        <v>2233</v>
      </c>
      <c r="B1443" s="134">
        <v>17.600000000000001</v>
      </c>
      <c r="C1443" s="478">
        <v>1.49</v>
      </c>
      <c r="D1443" s="478">
        <v>7.09</v>
      </c>
      <c r="E1443" s="62">
        <v>24.39</v>
      </c>
      <c r="F1443" s="178" t="s">
        <v>3943</v>
      </c>
      <c r="G1443" s="168">
        <v>19</v>
      </c>
      <c r="H1443" s="301">
        <v>73</v>
      </c>
      <c r="I1443" s="217">
        <v>44650</v>
      </c>
      <c r="J1443" s="478" t="s">
        <v>3074</v>
      </c>
      <c r="K1443">
        <v>33.36</v>
      </c>
      <c r="L1443">
        <v>0.54600000000000004</v>
      </c>
      <c r="Q1443" s="4" t="s">
        <v>3076</v>
      </c>
      <c r="T1443" s="478" t="s">
        <v>3612</v>
      </c>
      <c r="U1443" s="478" t="s">
        <v>3984</v>
      </c>
      <c r="V1443" s="407" t="s">
        <v>3025</v>
      </c>
      <c r="W1443" s="29">
        <v>2</v>
      </c>
    </row>
    <row r="1444" spans="1:23">
      <c r="A1444" s="136">
        <v>2036</v>
      </c>
      <c r="B1444" s="134">
        <v>18.399999999999999</v>
      </c>
      <c r="C1444" s="478">
        <v>1.49</v>
      </c>
      <c r="D1444" s="478">
        <v>7.13</v>
      </c>
      <c r="E1444" s="478">
        <v>24.33</v>
      </c>
      <c r="F1444" s="19" t="s">
        <v>3944</v>
      </c>
      <c r="G1444" s="168">
        <v>19</v>
      </c>
      <c r="H1444" s="301">
        <v>73</v>
      </c>
      <c r="I1444" s="217">
        <v>44650</v>
      </c>
      <c r="J1444" s="478" t="s">
        <v>3074</v>
      </c>
      <c r="K1444">
        <v>33.39</v>
      </c>
      <c r="L1444">
        <v>0.73</v>
      </c>
      <c r="Q1444" s="4" t="s">
        <v>3076</v>
      </c>
      <c r="T1444" s="478" t="s">
        <v>3612</v>
      </c>
      <c r="U1444" s="478" t="s">
        <v>3945</v>
      </c>
      <c r="V1444" s="407" t="s">
        <v>3065</v>
      </c>
      <c r="W1444" s="29">
        <v>5</v>
      </c>
    </row>
    <row r="1445" spans="1:23">
      <c r="A1445" s="136">
        <v>2339</v>
      </c>
      <c r="B1445" s="134">
        <v>18.399999999999999</v>
      </c>
      <c r="C1445" s="478">
        <v>1.48</v>
      </c>
      <c r="D1445" s="478">
        <v>7.12</v>
      </c>
      <c r="E1445" s="478">
        <v>24.43</v>
      </c>
      <c r="F1445" s="176" t="s">
        <v>3947</v>
      </c>
      <c r="G1445" s="168">
        <v>36</v>
      </c>
      <c r="H1445" s="301">
        <v>75</v>
      </c>
      <c r="I1445" s="217">
        <v>44651</v>
      </c>
      <c r="J1445" s="478" t="s">
        <v>3074</v>
      </c>
      <c r="K1445">
        <v>33.369999999999997</v>
      </c>
      <c r="L1445">
        <v>0.752</v>
      </c>
      <c r="Q1445" s="4" t="s">
        <v>3076</v>
      </c>
      <c r="T1445" s="478" t="s">
        <v>3612</v>
      </c>
      <c r="U1445" t="s">
        <v>3401</v>
      </c>
      <c r="V1445" s="407" t="s">
        <v>3948</v>
      </c>
      <c r="W1445" s="29">
        <v>2</v>
      </c>
    </row>
    <row r="1446" spans="1:23">
      <c r="A1446" s="136">
        <v>2469</v>
      </c>
      <c r="B1446" s="134">
        <v>17.2</v>
      </c>
      <c r="C1446" s="478">
        <v>1.49</v>
      </c>
      <c r="D1446" s="478">
        <v>7.06</v>
      </c>
      <c r="E1446" s="478">
        <v>24.37</v>
      </c>
      <c r="F1446" s="512" t="s">
        <v>3949</v>
      </c>
      <c r="G1446" s="168">
        <v>36</v>
      </c>
      <c r="H1446" s="301">
        <v>76</v>
      </c>
      <c r="I1446" s="217">
        <v>44651</v>
      </c>
      <c r="J1446" s="478" t="s">
        <v>3074</v>
      </c>
      <c r="K1446">
        <v>33.33</v>
      </c>
      <c r="L1446">
        <v>0.20799999999999999</v>
      </c>
      <c r="Q1446" s="4" t="s">
        <v>3076</v>
      </c>
      <c r="T1446" s="478" t="s">
        <v>3612</v>
      </c>
      <c r="U1446" s="478" t="s">
        <v>3950</v>
      </c>
      <c r="V1446" s="512" t="s">
        <v>3026</v>
      </c>
      <c r="W1446" s="29">
        <v>4</v>
      </c>
    </row>
    <row r="1447" spans="1:23">
      <c r="A1447" s="136">
        <v>2468</v>
      </c>
      <c r="B1447" s="134">
        <v>18.399999999999999</v>
      </c>
      <c r="C1447" s="478">
        <v>1.48</v>
      </c>
      <c r="D1447" s="478">
        <v>7.08</v>
      </c>
      <c r="E1447" s="478">
        <v>24.38</v>
      </c>
      <c r="F1447" s="19" t="s">
        <v>3951</v>
      </c>
      <c r="G1447" s="168">
        <v>36</v>
      </c>
      <c r="H1447" s="301">
        <v>76</v>
      </c>
      <c r="I1447" s="217">
        <v>44651</v>
      </c>
      <c r="J1447" s="478" t="s">
        <v>3074</v>
      </c>
      <c r="K1447">
        <v>33.44</v>
      </c>
      <c r="L1447">
        <v>0.40699999999999997</v>
      </c>
      <c r="Q1447" s="4" t="s">
        <v>3076</v>
      </c>
      <c r="T1447" s="478" t="s">
        <v>3612</v>
      </c>
      <c r="U1447" s="478" t="s">
        <v>3980</v>
      </c>
      <c r="V1447" s="407" t="s">
        <v>3053</v>
      </c>
      <c r="W1447" s="29">
        <v>4</v>
      </c>
    </row>
    <row r="1448" spans="1:23">
      <c r="A1448" s="136">
        <v>2188</v>
      </c>
      <c r="B1448" s="134">
        <v>17.2</v>
      </c>
      <c r="C1448" s="478">
        <v>1.5</v>
      </c>
      <c r="D1448" s="478">
        <v>7.12</v>
      </c>
      <c r="E1448" s="478">
        <v>24.4</v>
      </c>
      <c r="F1448" s="19" t="s">
        <v>3952</v>
      </c>
      <c r="G1448" s="168">
        <v>36</v>
      </c>
      <c r="H1448" s="301">
        <v>76</v>
      </c>
      <c r="I1448" s="217">
        <v>44651</v>
      </c>
      <c r="J1448" s="478" t="s">
        <v>3074</v>
      </c>
      <c r="K1448">
        <v>33.4</v>
      </c>
      <c r="L1448">
        <v>0.219</v>
      </c>
      <c r="Q1448" s="4" t="s">
        <v>3076</v>
      </c>
      <c r="T1448" s="478" t="s">
        <v>3612</v>
      </c>
      <c r="U1448" s="478" t="s">
        <v>3983</v>
      </c>
      <c r="V1448" s="407" t="s">
        <v>3053</v>
      </c>
      <c r="W1448" s="29">
        <v>3</v>
      </c>
    </row>
    <row r="1449" spans="1:23">
      <c r="A1449" s="136">
        <v>2199</v>
      </c>
      <c r="B1449" s="134">
        <v>18</v>
      </c>
      <c r="C1449" s="478">
        <v>1.49</v>
      </c>
      <c r="D1449" s="478">
        <v>7.09</v>
      </c>
      <c r="E1449" s="478">
        <v>24.35</v>
      </c>
      <c r="F1449" s="19" t="s">
        <v>3953</v>
      </c>
      <c r="G1449" s="168">
        <v>19</v>
      </c>
      <c r="H1449" s="301">
        <v>75.5</v>
      </c>
      <c r="I1449" s="217">
        <v>44652</v>
      </c>
      <c r="J1449" t="s">
        <v>3074</v>
      </c>
      <c r="K1449">
        <v>33.31</v>
      </c>
      <c r="L1449">
        <v>0.245</v>
      </c>
      <c r="Q1449" s="4" t="s">
        <v>3076</v>
      </c>
      <c r="T1449" s="478" t="s">
        <v>3612</v>
      </c>
      <c r="U1449" s="478" t="s">
        <v>3983</v>
      </c>
      <c r="V1449" s="407" t="s">
        <v>3024</v>
      </c>
      <c r="W1449" s="29">
        <v>2</v>
      </c>
    </row>
    <row r="1450" spans="1:23">
      <c r="A1450" s="136">
        <v>1669</v>
      </c>
      <c r="B1450" s="134">
        <v>17.2</v>
      </c>
      <c r="C1450" s="478">
        <v>1.5</v>
      </c>
      <c r="D1450" s="478">
        <v>7.11</v>
      </c>
      <c r="E1450" s="478">
        <v>24.38</v>
      </c>
      <c r="F1450" s="19" t="s">
        <v>3954</v>
      </c>
      <c r="G1450" s="168">
        <v>19</v>
      </c>
      <c r="H1450" s="301">
        <v>75.5</v>
      </c>
      <c r="I1450" s="217">
        <v>44652</v>
      </c>
      <c r="J1450" s="478" t="s">
        <v>3074</v>
      </c>
      <c r="K1450">
        <v>33.340000000000003</v>
      </c>
      <c r="L1450">
        <v>0.51400000000000001</v>
      </c>
      <c r="Q1450" s="4" t="s">
        <v>3076</v>
      </c>
      <c r="T1450" s="478" t="s">
        <v>3612</v>
      </c>
      <c r="U1450" s="478" t="s">
        <v>3981</v>
      </c>
      <c r="V1450" s="407" t="s">
        <v>3105</v>
      </c>
      <c r="W1450" s="29">
        <v>3</v>
      </c>
    </row>
    <row r="1451" spans="1:23">
      <c r="A1451" s="277">
        <v>2022</v>
      </c>
      <c r="B1451" s="134">
        <v>16</v>
      </c>
      <c r="C1451" s="478">
        <v>1.52</v>
      </c>
      <c r="D1451" s="478">
        <v>7.12</v>
      </c>
      <c r="E1451" s="478">
        <v>24.2</v>
      </c>
      <c r="F1451" s="19" t="s">
        <v>3955</v>
      </c>
      <c r="G1451" s="168">
        <v>19</v>
      </c>
      <c r="H1451" s="301">
        <v>75.5</v>
      </c>
      <c r="I1451" s="217">
        <v>44652</v>
      </c>
      <c r="J1451" s="478" t="s">
        <v>3074</v>
      </c>
      <c r="K1451">
        <v>33.29</v>
      </c>
      <c r="L1451">
        <v>0.217</v>
      </c>
      <c r="Q1451" s="4" t="s">
        <v>3076</v>
      </c>
      <c r="T1451" s="478" t="s">
        <v>3612</v>
      </c>
      <c r="U1451" s="478" t="s">
        <v>3981</v>
      </c>
      <c r="V1451" s="407" t="s">
        <v>3053</v>
      </c>
      <c r="W1451" s="29">
        <v>4</v>
      </c>
    </row>
    <row r="1452" spans="1:23">
      <c r="A1452" s="136">
        <v>1794</v>
      </c>
      <c r="B1452" s="136">
        <v>18</v>
      </c>
      <c r="C1452" s="13">
        <v>1.51</v>
      </c>
      <c r="D1452" s="13">
        <v>7.12</v>
      </c>
      <c r="E1452" s="13">
        <v>24.3</v>
      </c>
      <c r="F1452" s="19" t="s">
        <v>3956</v>
      </c>
      <c r="G1452" s="168">
        <v>20</v>
      </c>
      <c r="H1452" s="301">
        <v>74.8</v>
      </c>
      <c r="I1452" s="217">
        <v>44655</v>
      </c>
      <c r="J1452" s="478" t="s">
        <v>3074</v>
      </c>
      <c r="K1452">
        <v>33.299999999999997</v>
      </c>
      <c r="L1452">
        <v>0.4</v>
      </c>
      <c r="Q1452" s="4" t="s">
        <v>3076</v>
      </c>
      <c r="T1452" s="478" t="s">
        <v>3612</v>
      </c>
      <c r="U1452" s="478" t="s">
        <v>3982</v>
      </c>
      <c r="V1452" s="407" t="s">
        <v>3159</v>
      </c>
      <c r="W1452" s="29">
        <v>1</v>
      </c>
    </row>
    <row r="1453" spans="1:23" ht="25.5" customHeight="1">
      <c r="A1453" s="136">
        <v>1668</v>
      </c>
      <c r="B1453" s="134">
        <v>18.399999999999999</v>
      </c>
      <c r="C1453" s="478">
        <v>1.48</v>
      </c>
      <c r="D1453" s="478">
        <v>7.07</v>
      </c>
      <c r="E1453" s="478">
        <v>24.34</v>
      </c>
      <c r="F1453" s="176" t="s">
        <v>3963</v>
      </c>
      <c r="G1453" s="168">
        <v>47</v>
      </c>
      <c r="H1453" s="301">
        <v>75.2</v>
      </c>
      <c r="I1453" s="217">
        <v>44665</v>
      </c>
      <c r="J1453" t="s">
        <v>3074</v>
      </c>
      <c r="Q1453" s="4" t="s">
        <v>3076</v>
      </c>
      <c r="T1453" s="478" t="s">
        <v>3612</v>
      </c>
    </row>
    <row r="1454" spans="1:23">
      <c r="A1454" s="136">
        <v>1511</v>
      </c>
      <c r="B1454" s="134">
        <v>16.399999999999999</v>
      </c>
      <c r="C1454" s="478">
        <v>1.51</v>
      </c>
      <c r="D1454" s="478">
        <v>7.32</v>
      </c>
      <c r="E1454" s="478">
        <v>24.32</v>
      </c>
      <c r="F1454" s="513" t="s">
        <v>3964</v>
      </c>
      <c r="G1454" s="168">
        <v>47</v>
      </c>
      <c r="H1454" s="301">
        <v>75.2</v>
      </c>
      <c r="I1454" s="217">
        <v>44665</v>
      </c>
      <c r="J1454" s="478" t="s">
        <v>3074</v>
      </c>
      <c r="K1454">
        <v>33.61</v>
      </c>
      <c r="L1454">
        <v>0.51400000000000001</v>
      </c>
      <c r="Q1454" s="4" t="s">
        <v>3076</v>
      </c>
      <c r="T1454" s="478" t="s">
        <v>3612</v>
      </c>
      <c r="U1454" t="s">
        <v>3965</v>
      </c>
      <c r="V1454" s="407" t="s">
        <v>3277</v>
      </c>
      <c r="W1454" s="29">
        <v>1</v>
      </c>
    </row>
    <row r="1455" spans="1:23">
      <c r="A1455" s="136">
        <v>1787</v>
      </c>
      <c r="B1455" s="134">
        <v>18</v>
      </c>
      <c r="C1455" s="478">
        <v>1.47</v>
      </c>
      <c r="D1455" s="478">
        <v>7.22</v>
      </c>
      <c r="E1455" s="478">
        <v>24.32</v>
      </c>
      <c r="F1455" s="249" t="s">
        <v>3966</v>
      </c>
      <c r="G1455" s="168">
        <v>47</v>
      </c>
      <c r="H1455" s="301">
        <v>75.2</v>
      </c>
      <c r="I1455" s="217">
        <v>44665</v>
      </c>
      <c r="J1455" s="478" t="s">
        <v>3074</v>
      </c>
      <c r="K1455">
        <v>33.46</v>
      </c>
      <c r="L1455">
        <v>0.437</v>
      </c>
      <c r="Q1455" s="4" t="s">
        <v>3076</v>
      </c>
      <c r="T1455" s="478" t="s">
        <v>3612</v>
      </c>
      <c r="U1455" s="478" t="s">
        <v>4016</v>
      </c>
      <c r="V1455" s="407" t="s">
        <v>3025</v>
      </c>
      <c r="W1455" s="29">
        <v>1</v>
      </c>
    </row>
    <row r="1456" spans="1:23">
      <c r="A1456" s="136">
        <v>1784</v>
      </c>
      <c r="B1456" s="134">
        <v>18.399999999999999</v>
      </c>
      <c r="C1456" s="478">
        <v>1.5</v>
      </c>
      <c r="D1456" s="478">
        <v>7.22</v>
      </c>
      <c r="E1456" s="478">
        <v>24.32</v>
      </c>
      <c r="F1456" s="19" t="s">
        <v>3967</v>
      </c>
      <c r="G1456" s="168">
        <v>20</v>
      </c>
      <c r="H1456" s="301">
        <v>73</v>
      </c>
      <c r="I1456" s="217">
        <v>44666</v>
      </c>
      <c r="J1456" s="478" t="s">
        <v>3074</v>
      </c>
      <c r="K1456">
        <v>33.51</v>
      </c>
      <c r="L1456">
        <v>0.74199999999999999</v>
      </c>
      <c r="Q1456" s="4" t="s">
        <v>3076</v>
      </c>
      <c r="T1456" s="478" t="s">
        <v>3612</v>
      </c>
      <c r="U1456" s="478" t="s">
        <v>4134</v>
      </c>
      <c r="V1456" s="407" t="s">
        <v>3012</v>
      </c>
      <c r="W1456" s="29">
        <v>6</v>
      </c>
    </row>
    <row r="1457" spans="1:23">
      <c r="A1457" s="136">
        <v>1513</v>
      </c>
      <c r="B1457" s="134">
        <v>17.2</v>
      </c>
      <c r="C1457" s="478">
        <v>1.52</v>
      </c>
      <c r="D1457" s="478">
        <v>7.25</v>
      </c>
      <c r="E1457" s="478">
        <v>24.45</v>
      </c>
      <c r="F1457" s="19" t="s">
        <v>3968</v>
      </c>
      <c r="G1457" s="168">
        <v>20</v>
      </c>
      <c r="H1457" s="301">
        <v>73</v>
      </c>
      <c r="I1457" s="217">
        <v>44666</v>
      </c>
      <c r="J1457" s="478" t="s">
        <v>3074</v>
      </c>
      <c r="K1457">
        <v>33.619999999999997</v>
      </c>
      <c r="L1457">
        <v>0.23</v>
      </c>
      <c r="Q1457" s="4" t="s">
        <v>3076</v>
      </c>
      <c r="T1457" s="478" t="s">
        <v>3612</v>
      </c>
      <c r="U1457" s="478" t="s">
        <v>4011</v>
      </c>
      <c r="V1457" s="407" t="s">
        <v>3166</v>
      </c>
      <c r="W1457" s="29">
        <v>1</v>
      </c>
    </row>
    <row r="1458" spans="1:23">
      <c r="A1458" s="136">
        <v>2052</v>
      </c>
      <c r="B1458" s="134">
        <v>16.8</v>
      </c>
      <c r="C1458" s="478">
        <v>1.49</v>
      </c>
      <c r="D1458" s="478">
        <v>7.11</v>
      </c>
      <c r="E1458" s="478">
        <v>24.39</v>
      </c>
      <c r="F1458" s="19" t="s">
        <v>3969</v>
      </c>
      <c r="G1458" s="168">
        <v>19</v>
      </c>
      <c r="H1458" s="301">
        <v>76.099999999999994</v>
      </c>
      <c r="I1458" s="217">
        <v>44666</v>
      </c>
      <c r="J1458" s="478" t="s">
        <v>3074</v>
      </c>
      <c r="K1458">
        <v>33.4</v>
      </c>
      <c r="L1458">
        <v>0.40500000000000003</v>
      </c>
      <c r="Q1458" s="4" t="s">
        <v>3076</v>
      </c>
      <c r="T1458" s="478" t="s">
        <v>3612</v>
      </c>
      <c r="U1458" s="478" t="s">
        <v>4012</v>
      </c>
      <c r="V1458" s="407" t="s">
        <v>3136</v>
      </c>
      <c r="W1458" s="29">
        <v>2</v>
      </c>
    </row>
    <row r="1459" spans="1:23">
      <c r="A1459" s="136">
        <v>1989</v>
      </c>
      <c r="B1459" s="134">
        <v>18</v>
      </c>
      <c r="C1459" s="478">
        <v>1.53</v>
      </c>
      <c r="D1459" s="478">
        <v>7.17</v>
      </c>
      <c r="E1459" s="478">
        <v>24.29</v>
      </c>
      <c r="F1459" s="19" t="s">
        <v>3970</v>
      </c>
      <c r="G1459" s="168">
        <v>20</v>
      </c>
      <c r="H1459" s="301">
        <v>73.5</v>
      </c>
      <c r="I1459" s="217">
        <v>44669</v>
      </c>
      <c r="J1459" t="s">
        <v>3074</v>
      </c>
      <c r="K1459">
        <v>33.44</v>
      </c>
      <c r="L1459">
        <v>0.23699999999999999</v>
      </c>
      <c r="Q1459" s="4" t="s">
        <v>3076</v>
      </c>
      <c r="T1459" s="478" t="s">
        <v>3612</v>
      </c>
      <c r="U1459" s="478" t="s">
        <v>4013</v>
      </c>
      <c r="V1459" s="514" t="s">
        <v>3166</v>
      </c>
      <c r="W1459" s="29">
        <v>5</v>
      </c>
    </row>
    <row r="1460" spans="1:23">
      <c r="A1460" s="136">
        <v>2011</v>
      </c>
      <c r="B1460" s="134">
        <v>16.399999999999999</v>
      </c>
      <c r="C1460" s="478">
        <v>1.51</v>
      </c>
      <c r="D1460" s="478">
        <v>7.17</v>
      </c>
      <c r="E1460" s="478">
        <v>24.33</v>
      </c>
      <c r="F1460" s="176" t="s">
        <v>3971</v>
      </c>
      <c r="G1460" s="168">
        <v>20</v>
      </c>
      <c r="H1460" s="301">
        <v>73.5</v>
      </c>
      <c r="I1460" s="217">
        <v>44669</v>
      </c>
      <c r="J1460" s="478" t="s">
        <v>3074</v>
      </c>
      <c r="K1460">
        <v>33.49</v>
      </c>
      <c r="L1460">
        <v>0.63200000000000001</v>
      </c>
      <c r="Q1460" s="4" t="s">
        <v>3076</v>
      </c>
      <c r="T1460" s="478" t="s">
        <v>3612</v>
      </c>
      <c r="U1460" s="478" t="s">
        <v>3972</v>
      </c>
      <c r="V1460" s="407" t="s">
        <v>3973</v>
      </c>
    </row>
    <row r="1461" spans="1:23">
      <c r="A1461" s="136">
        <v>2011</v>
      </c>
      <c r="B1461" s="134">
        <v>16.399999999999999</v>
      </c>
      <c r="C1461" s="478">
        <v>1.51</v>
      </c>
      <c r="D1461" s="478">
        <v>7.17</v>
      </c>
      <c r="E1461" s="478">
        <v>24.33</v>
      </c>
      <c r="F1461" s="176" t="s">
        <v>3974</v>
      </c>
      <c r="G1461" s="168">
        <v>20</v>
      </c>
      <c r="H1461" s="301">
        <v>73.5</v>
      </c>
      <c r="I1461" s="217">
        <v>44669</v>
      </c>
      <c r="J1461" s="478" t="s">
        <v>3074</v>
      </c>
      <c r="T1461" s="478" t="s">
        <v>3612</v>
      </c>
    </row>
    <row r="1462" spans="1:23">
      <c r="A1462" s="136">
        <v>2015</v>
      </c>
      <c r="B1462" s="134">
        <v>18.8</v>
      </c>
      <c r="C1462" s="478">
        <v>1.47</v>
      </c>
      <c r="D1462" s="478">
        <v>7.13</v>
      </c>
      <c r="E1462" s="478">
        <v>24.3</v>
      </c>
      <c r="F1462" s="176" t="s">
        <v>3975</v>
      </c>
      <c r="G1462" s="168">
        <v>20</v>
      </c>
      <c r="H1462" s="301">
        <v>73.7</v>
      </c>
      <c r="I1462" s="217">
        <v>44670</v>
      </c>
      <c r="J1462" s="478" t="s">
        <v>3074</v>
      </c>
      <c r="Q1462" s="4" t="s">
        <v>3076</v>
      </c>
      <c r="T1462" s="478" t="s">
        <v>3612</v>
      </c>
    </row>
    <row r="1463" spans="1:23">
      <c r="A1463" s="136">
        <v>2015</v>
      </c>
      <c r="B1463" s="134">
        <v>18.8</v>
      </c>
      <c r="C1463" s="478">
        <v>1.47</v>
      </c>
      <c r="D1463" s="478">
        <v>7.13</v>
      </c>
      <c r="E1463" s="478">
        <v>24.3</v>
      </c>
      <c r="F1463" s="19" t="s">
        <v>3976</v>
      </c>
      <c r="G1463" s="168">
        <v>20</v>
      </c>
      <c r="H1463" s="301">
        <v>73.7</v>
      </c>
      <c r="I1463" s="217">
        <v>44670</v>
      </c>
      <c r="J1463" s="478" t="s">
        <v>3074</v>
      </c>
      <c r="K1463">
        <v>33.369999999999997</v>
      </c>
      <c r="L1463">
        <v>0.17199999999999999</v>
      </c>
      <c r="Q1463" s="4" t="s">
        <v>3076</v>
      </c>
      <c r="T1463" s="478" t="s">
        <v>3612</v>
      </c>
      <c r="U1463" s="478" t="s">
        <v>4014</v>
      </c>
      <c r="V1463" s="407" t="s">
        <v>3086</v>
      </c>
      <c r="W1463" s="29">
        <v>5</v>
      </c>
    </row>
    <row r="1464" spans="1:23">
      <c r="A1464" s="136">
        <v>1801</v>
      </c>
      <c r="B1464" s="134">
        <v>18.399999999999999</v>
      </c>
      <c r="C1464" s="478">
        <v>1.47</v>
      </c>
      <c r="D1464" s="478">
        <v>7.13</v>
      </c>
      <c r="E1464" s="478">
        <v>24.34</v>
      </c>
      <c r="F1464" s="19" t="s">
        <v>3977</v>
      </c>
      <c r="G1464" s="168">
        <v>20</v>
      </c>
      <c r="H1464" s="301">
        <v>73.7</v>
      </c>
      <c r="I1464" s="217">
        <v>44670</v>
      </c>
      <c r="J1464" s="478" t="s">
        <v>3074</v>
      </c>
      <c r="K1464">
        <v>33.43</v>
      </c>
      <c r="L1464">
        <v>0.313</v>
      </c>
      <c r="Q1464" s="4" t="s">
        <v>3076</v>
      </c>
      <c r="T1464" s="478" t="s">
        <v>3612</v>
      </c>
      <c r="U1464" s="478" t="s">
        <v>4133</v>
      </c>
      <c r="V1464" s="407" t="s">
        <v>3025</v>
      </c>
      <c r="W1464" s="29">
        <v>3</v>
      </c>
    </row>
    <row r="1465" spans="1:23">
      <c r="A1465" s="136">
        <v>2011</v>
      </c>
      <c r="B1465" s="134">
        <v>16.399999999999999</v>
      </c>
      <c r="C1465" s="478">
        <v>1.51</v>
      </c>
      <c r="D1465" s="478">
        <v>7.17</v>
      </c>
      <c r="E1465" s="478">
        <v>24.33</v>
      </c>
      <c r="F1465" s="249" t="s">
        <v>3978</v>
      </c>
      <c r="G1465" s="168">
        <v>20</v>
      </c>
      <c r="H1465" s="301">
        <v>73.7</v>
      </c>
      <c r="I1465" s="217">
        <v>44670</v>
      </c>
      <c r="J1465" s="478" t="s">
        <v>3074</v>
      </c>
      <c r="K1465">
        <v>33.450000000000003</v>
      </c>
      <c r="L1465">
        <v>0.14699999999999999</v>
      </c>
      <c r="Q1465" s="4" t="s">
        <v>3076</v>
      </c>
      <c r="T1465" s="478" t="s">
        <v>3612</v>
      </c>
      <c r="U1465" s="478" t="s">
        <v>4015</v>
      </c>
      <c r="V1465" s="407" t="s">
        <v>3105</v>
      </c>
      <c r="W1465" s="29">
        <v>5</v>
      </c>
    </row>
    <row r="1466" spans="1:23">
      <c r="A1466" s="371">
        <v>1596</v>
      </c>
      <c r="B1466" s="136">
        <v>17.8</v>
      </c>
      <c r="C1466" s="478">
        <v>1.5</v>
      </c>
      <c r="D1466" s="478">
        <v>7.1</v>
      </c>
      <c r="E1466" s="478">
        <v>24.36</v>
      </c>
      <c r="F1466" s="19" t="s">
        <v>3979</v>
      </c>
      <c r="G1466" s="168">
        <v>20</v>
      </c>
      <c r="H1466" s="301">
        <v>73.7</v>
      </c>
      <c r="I1466" s="217">
        <v>44670</v>
      </c>
      <c r="J1466" s="478" t="s">
        <v>3074</v>
      </c>
      <c r="K1466">
        <v>33.380000000000003</v>
      </c>
      <c r="L1466">
        <v>0.19500000000000001</v>
      </c>
      <c r="Q1466" s="4" t="s">
        <v>3076</v>
      </c>
      <c r="T1466" s="478" t="s">
        <v>3612</v>
      </c>
      <c r="U1466" s="478" t="s">
        <v>4012</v>
      </c>
      <c r="V1466" s="407" t="s">
        <v>3159</v>
      </c>
      <c r="W1466" s="29">
        <v>2</v>
      </c>
    </row>
    <row r="1467" spans="1:23" ht="25.5" customHeight="1">
      <c r="A1467" s="371">
        <v>2380</v>
      </c>
      <c r="B1467" s="136">
        <v>18.8</v>
      </c>
      <c r="C1467" s="478">
        <v>1.47</v>
      </c>
      <c r="D1467" s="478">
        <v>7.18</v>
      </c>
      <c r="E1467" s="478">
        <v>24.37</v>
      </c>
      <c r="F1467" s="19" t="s">
        <v>3985</v>
      </c>
      <c r="G1467" s="168">
        <v>31</v>
      </c>
      <c r="H1467" s="301">
        <v>77</v>
      </c>
      <c r="I1467" s="217">
        <v>44684</v>
      </c>
      <c r="J1467" t="s">
        <v>3074</v>
      </c>
      <c r="K1467">
        <v>33.54</v>
      </c>
      <c r="L1467">
        <v>0.66</v>
      </c>
      <c r="Q1467" s="4" t="s">
        <v>3076</v>
      </c>
      <c r="T1467" s="478" t="s">
        <v>3612</v>
      </c>
      <c r="U1467" t="s">
        <v>4028</v>
      </c>
      <c r="V1467" s="407" t="s">
        <v>3105</v>
      </c>
      <c r="W1467" s="29">
        <v>9</v>
      </c>
    </row>
    <row r="1468" spans="1:23">
      <c r="A1468" s="134">
        <v>2214</v>
      </c>
      <c r="B1468" s="134">
        <v>17.2</v>
      </c>
      <c r="C1468" s="478">
        <v>1.46</v>
      </c>
      <c r="D1468" s="478">
        <v>7.11</v>
      </c>
      <c r="E1468" s="478">
        <v>24.32</v>
      </c>
      <c r="F1468" s="19" t="s">
        <v>3986</v>
      </c>
      <c r="G1468" s="168">
        <v>31</v>
      </c>
      <c r="H1468" s="301">
        <v>77</v>
      </c>
      <c r="I1468" s="217">
        <v>44684</v>
      </c>
      <c r="J1468" s="478" t="s">
        <v>3074</v>
      </c>
      <c r="K1468">
        <v>33.35</v>
      </c>
      <c r="L1468">
        <v>0.52200000000000002</v>
      </c>
      <c r="Q1468" s="4" t="s">
        <v>3076</v>
      </c>
      <c r="T1468" s="478" t="s">
        <v>3612</v>
      </c>
      <c r="U1468" s="478" t="s">
        <v>4029</v>
      </c>
      <c r="V1468" s="407" t="s">
        <v>3065</v>
      </c>
      <c r="W1468" s="29">
        <v>4</v>
      </c>
    </row>
    <row r="1469" spans="1:23">
      <c r="A1469" s="134">
        <v>2373</v>
      </c>
      <c r="B1469" s="134">
        <v>18.399999999999999</v>
      </c>
      <c r="C1469" s="478">
        <v>1.49</v>
      </c>
      <c r="D1469" s="478">
        <v>7.12</v>
      </c>
      <c r="E1469" s="478">
        <v>24.33</v>
      </c>
      <c r="F1469" s="45" t="s">
        <v>3987</v>
      </c>
      <c r="G1469" s="168">
        <v>31</v>
      </c>
      <c r="H1469" s="301">
        <v>77</v>
      </c>
      <c r="I1469" s="217">
        <v>44684</v>
      </c>
      <c r="J1469" s="478" t="s">
        <v>3074</v>
      </c>
      <c r="K1469">
        <v>33.42</v>
      </c>
      <c r="L1469">
        <v>0.873</v>
      </c>
      <c r="Q1469" s="4" t="s">
        <v>3076</v>
      </c>
      <c r="T1469" s="478" t="s">
        <v>3612</v>
      </c>
      <c r="U1469" s="478" t="s">
        <v>3988</v>
      </c>
      <c r="V1469" s="407" t="s">
        <v>3159</v>
      </c>
      <c r="W1469" s="29">
        <v>5</v>
      </c>
    </row>
    <row r="1470" spans="1:23">
      <c r="A1470" s="134">
        <v>2057</v>
      </c>
      <c r="B1470" s="134">
        <v>18.8</v>
      </c>
      <c r="C1470" s="478">
        <v>1.48</v>
      </c>
      <c r="D1470" s="478">
        <v>7.05</v>
      </c>
      <c r="E1470" s="478">
        <v>24.3</v>
      </c>
      <c r="F1470" s="176" t="s">
        <v>3989</v>
      </c>
      <c r="G1470" s="168">
        <v>40</v>
      </c>
      <c r="H1470" s="301">
        <v>74.099999999999994</v>
      </c>
      <c r="I1470" s="217">
        <v>44685</v>
      </c>
      <c r="J1470" t="s">
        <v>3074</v>
      </c>
      <c r="K1470">
        <v>33.24</v>
      </c>
      <c r="L1470">
        <v>0.65900000000000003</v>
      </c>
      <c r="Q1470" s="4" t="s">
        <v>3076</v>
      </c>
      <c r="T1470" s="478" t="s">
        <v>3612</v>
      </c>
      <c r="U1470" s="478" t="s">
        <v>3990</v>
      </c>
    </row>
    <row r="1471" spans="1:23" s="478" customFormat="1">
      <c r="A1471" s="134">
        <v>2057</v>
      </c>
      <c r="B1471" s="134">
        <v>18.8</v>
      </c>
      <c r="C1471" s="478">
        <v>1.51</v>
      </c>
      <c r="D1471" s="478">
        <v>7.05</v>
      </c>
      <c r="E1471" s="478">
        <v>24.3</v>
      </c>
      <c r="F1471" s="249" t="s">
        <v>3996</v>
      </c>
      <c r="G1471" s="168">
        <v>37</v>
      </c>
      <c r="H1471" s="301">
        <v>77</v>
      </c>
      <c r="I1471" s="217">
        <v>44685</v>
      </c>
      <c r="J1471" s="478" t="s">
        <v>3074</v>
      </c>
      <c r="K1471" s="478">
        <v>33.31</v>
      </c>
      <c r="L1471" s="478">
        <v>0.75900000000000001</v>
      </c>
      <c r="Q1471" s="4" t="s">
        <v>3076</v>
      </c>
      <c r="T1471" s="478" t="s">
        <v>3612</v>
      </c>
      <c r="U1471" s="478" t="s">
        <v>4030</v>
      </c>
      <c r="V1471" s="515" t="s">
        <v>3053</v>
      </c>
      <c r="W1471" s="29">
        <v>5</v>
      </c>
    </row>
    <row r="1472" spans="1:23">
      <c r="A1472" s="134">
        <v>1627</v>
      </c>
      <c r="B1472" s="134">
        <v>17.2</v>
      </c>
      <c r="C1472" s="478">
        <v>1.48</v>
      </c>
      <c r="D1472" s="478">
        <v>7.16</v>
      </c>
      <c r="E1472" s="478">
        <v>24.39</v>
      </c>
      <c r="F1472" s="45" t="s">
        <v>3991</v>
      </c>
      <c r="G1472" s="168">
        <v>40</v>
      </c>
      <c r="H1472" s="301">
        <v>74.099999999999994</v>
      </c>
      <c r="I1472" s="217">
        <v>44685</v>
      </c>
      <c r="J1472" s="478" t="s">
        <v>3074</v>
      </c>
      <c r="K1472">
        <v>33.43</v>
      </c>
      <c r="L1472">
        <v>0.39600000000000002</v>
      </c>
      <c r="Q1472" s="4" t="s">
        <v>3076</v>
      </c>
      <c r="T1472" s="478" t="s">
        <v>3612</v>
      </c>
      <c r="U1472" t="s">
        <v>3992</v>
      </c>
      <c r="V1472" s="407" t="s">
        <v>3208</v>
      </c>
      <c r="W1472" s="29">
        <v>9</v>
      </c>
    </row>
    <row r="1473" spans="1:23">
      <c r="A1473" s="134">
        <v>1649</v>
      </c>
      <c r="B1473" s="134">
        <v>16.399999999999999</v>
      </c>
      <c r="C1473" s="478">
        <v>1.48</v>
      </c>
      <c r="D1473" s="478">
        <v>7.17</v>
      </c>
      <c r="E1473" s="478">
        <v>24.39</v>
      </c>
      <c r="F1473" s="176" t="s">
        <v>3993</v>
      </c>
      <c r="G1473" s="168">
        <v>37</v>
      </c>
      <c r="H1473" s="301">
        <v>77</v>
      </c>
      <c r="I1473" s="217">
        <v>44685</v>
      </c>
      <c r="J1473" s="478" t="s">
        <v>3074</v>
      </c>
      <c r="T1473" s="478" t="s">
        <v>3612</v>
      </c>
    </row>
    <row r="1474" spans="1:23">
      <c r="A1474" s="134">
        <v>1649</v>
      </c>
      <c r="B1474" s="134">
        <v>16.399999999999999</v>
      </c>
      <c r="C1474" s="478">
        <v>1.48</v>
      </c>
      <c r="D1474" s="478">
        <v>7.17</v>
      </c>
      <c r="E1474" s="478">
        <v>24.39</v>
      </c>
      <c r="F1474" s="19" t="s">
        <v>3994</v>
      </c>
      <c r="G1474" s="168">
        <v>37</v>
      </c>
      <c r="H1474" s="301">
        <v>77</v>
      </c>
      <c r="I1474" s="217">
        <v>44685</v>
      </c>
      <c r="J1474" s="478" t="s">
        <v>3074</v>
      </c>
      <c r="K1474">
        <v>33.450000000000003</v>
      </c>
      <c r="L1474">
        <v>0.25</v>
      </c>
      <c r="Q1474" s="4" t="s">
        <v>3076</v>
      </c>
      <c r="T1474" s="478" t="s">
        <v>3612</v>
      </c>
      <c r="U1474" t="s">
        <v>4031</v>
      </c>
      <c r="V1474" s="407" t="s">
        <v>3026</v>
      </c>
      <c r="W1474" s="29">
        <v>5</v>
      </c>
    </row>
    <row r="1475" spans="1:23">
      <c r="A1475" s="134">
        <v>1646</v>
      </c>
      <c r="B1475" s="134">
        <v>18.600000000000001</v>
      </c>
      <c r="C1475" s="478">
        <v>1.51</v>
      </c>
      <c r="D1475" s="478">
        <v>7.08</v>
      </c>
      <c r="E1475" s="478">
        <v>24.35</v>
      </c>
      <c r="F1475" s="176" t="s">
        <v>3997</v>
      </c>
      <c r="G1475" s="168">
        <v>31</v>
      </c>
      <c r="H1475" s="301">
        <v>73.900000000000006</v>
      </c>
      <c r="I1475" s="217">
        <v>44686</v>
      </c>
      <c r="J1475" s="478" t="s">
        <v>3074</v>
      </c>
      <c r="K1475">
        <v>33.409999999999997</v>
      </c>
      <c r="L1475">
        <v>0.22700000000000001</v>
      </c>
      <c r="Q1475" s="4" t="s">
        <v>3076</v>
      </c>
      <c r="T1475" s="478" t="s">
        <v>3612</v>
      </c>
      <c r="U1475" s="478" t="s">
        <v>3995</v>
      </c>
      <c r="V1475" s="407" t="s">
        <v>3277</v>
      </c>
      <c r="W1475" s="29">
        <v>6</v>
      </c>
    </row>
    <row r="1476" spans="1:23">
      <c r="A1476" s="134">
        <v>1646</v>
      </c>
      <c r="B1476" s="134">
        <v>18.600000000000001</v>
      </c>
      <c r="C1476" s="478">
        <v>1.51</v>
      </c>
      <c r="D1476" s="478">
        <v>7.08</v>
      </c>
      <c r="E1476" s="478">
        <v>24.35</v>
      </c>
      <c r="F1476" s="19" t="s">
        <v>3998</v>
      </c>
      <c r="G1476" s="168">
        <v>31</v>
      </c>
      <c r="H1476" s="301">
        <v>73.900000000000006</v>
      </c>
      <c r="I1476" s="217">
        <v>44686</v>
      </c>
      <c r="J1476" s="478" t="s">
        <v>3074</v>
      </c>
      <c r="K1476">
        <v>33.4</v>
      </c>
      <c r="L1476">
        <v>0.23799999999999999</v>
      </c>
      <c r="Q1476" s="4" t="s">
        <v>3076</v>
      </c>
      <c r="T1476" s="478" t="s">
        <v>3612</v>
      </c>
      <c r="U1476" t="s">
        <v>4472</v>
      </c>
      <c r="V1476" s="407" t="s">
        <v>3166</v>
      </c>
      <c r="W1476" s="29">
        <v>7</v>
      </c>
    </row>
    <row r="1477" spans="1:23">
      <c r="A1477" s="134">
        <v>1599</v>
      </c>
      <c r="B1477" s="134">
        <v>18.399999999999999</v>
      </c>
      <c r="C1477" s="478">
        <v>1.5</v>
      </c>
      <c r="D1477" s="478">
        <v>7.16</v>
      </c>
      <c r="E1477" s="478">
        <v>24.35</v>
      </c>
      <c r="F1477" s="19" t="s">
        <v>3999</v>
      </c>
      <c r="G1477" s="168">
        <v>31</v>
      </c>
      <c r="H1477" s="301">
        <v>73.900000000000006</v>
      </c>
      <c r="I1477" s="217">
        <v>44686</v>
      </c>
      <c r="J1477" s="478" t="s">
        <v>3074</v>
      </c>
      <c r="K1477">
        <v>33.53</v>
      </c>
      <c r="L1477">
        <v>0.78</v>
      </c>
      <c r="Q1477" s="4" t="s">
        <v>3076</v>
      </c>
      <c r="T1477" s="478" t="s">
        <v>3612</v>
      </c>
      <c r="U1477" t="s">
        <v>4032</v>
      </c>
      <c r="V1477" s="407" t="s">
        <v>3025</v>
      </c>
      <c r="W1477" s="29">
        <v>6</v>
      </c>
    </row>
    <row r="1478" spans="1:23">
      <c r="A1478" s="134">
        <v>2043</v>
      </c>
      <c r="B1478" s="134">
        <v>18.8</v>
      </c>
      <c r="C1478" s="478">
        <v>1.5</v>
      </c>
      <c r="D1478" s="478">
        <v>7.13</v>
      </c>
      <c r="E1478" s="478">
        <v>24.28</v>
      </c>
      <c r="F1478" s="19" t="s">
        <v>4000</v>
      </c>
      <c r="G1478" s="168">
        <v>23</v>
      </c>
      <c r="H1478" s="301">
        <v>77</v>
      </c>
      <c r="I1478" s="217">
        <v>44686</v>
      </c>
      <c r="J1478" s="478" t="s">
        <v>3074</v>
      </c>
      <c r="K1478">
        <v>33.4</v>
      </c>
      <c r="L1478">
        <v>0.49399999999999999</v>
      </c>
      <c r="Q1478" s="4" t="s">
        <v>3076</v>
      </c>
      <c r="T1478" s="478" t="s">
        <v>3612</v>
      </c>
      <c r="U1478" t="s">
        <v>4033</v>
      </c>
      <c r="V1478" s="407" t="s">
        <v>2819</v>
      </c>
      <c r="W1478" s="29">
        <v>3</v>
      </c>
    </row>
    <row r="1479" spans="1:23">
      <c r="A1479" s="134">
        <v>2036</v>
      </c>
      <c r="B1479" s="134">
        <v>18.399999999999999</v>
      </c>
      <c r="C1479" s="478">
        <v>1.51</v>
      </c>
      <c r="D1479" s="478">
        <v>7.13</v>
      </c>
      <c r="E1479" s="478">
        <v>24.33</v>
      </c>
      <c r="F1479" s="176" t="s">
        <v>4001</v>
      </c>
      <c r="G1479" s="168">
        <v>23</v>
      </c>
      <c r="H1479" s="301">
        <v>77</v>
      </c>
      <c r="I1479" s="217">
        <v>44686</v>
      </c>
      <c r="J1479" s="478" t="s">
        <v>3074</v>
      </c>
      <c r="K1479">
        <v>33.5</v>
      </c>
      <c r="L1479">
        <v>0.82599999999999996</v>
      </c>
      <c r="T1479" s="478" t="s">
        <v>3612</v>
      </c>
    </row>
    <row r="1480" spans="1:23">
      <c r="A1480" s="134">
        <v>2036</v>
      </c>
      <c r="B1480" s="134">
        <v>18.399999999999999</v>
      </c>
      <c r="C1480" s="478">
        <v>1.51</v>
      </c>
      <c r="D1480" s="478">
        <v>7.13</v>
      </c>
      <c r="E1480" s="478">
        <v>24.33</v>
      </c>
      <c r="F1480" s="176" t="s">
        <v>4002</v>
      </c>
      <c r="G1480" s="168">
        <v>23</v>
      </c>
      <c r="H1480" s="301">
        <v>77</v>
      </c>
      <c r="I1480" s="217">
        <v>44686</v>
      </c>
      <c r="J1480" s="478" t="s">
        <v>3074</v>
      </c>
      <c r="K1480">
        <v>33.51</v>
      </c>
      <c r="L1480">
        <v>0.77200000000000002</v>
      </c>
      <c r="Q1480" s="4" t="s">
        <v>3076</v>
      </c>
      <c r="T1480" s="478" t="s">
        <v>3612</v>
      </c>
      <c r="U1480" t="s">
        <v>4003</v>
      </c>
      <c r="V1480" s="407" t="s">
        <v>3086</v>
      </c>
      <c r="W1480" s="29">
        <v>2</v>
      </c>
    </row>
    <row r="1481" spans="1:23">
      <c r="A1481" s="134">
        <v>2036</v>
      </c>
      <c r="B1481" s="134">
        <v>18.399999999999999</v>
      </c>
      <c r="C1481" s="478">
        <v>1.51</v>
      </c>
      <c r="D1481" s="478">
        <v>7.13</v>
      </c>
      <c r="E1481" s="478">
        <v>24.33</v>
      </c>
      <c r="F1481" s="45" t="s">
        <v>4004</v>
      </c>
      <c r="G1481" s="168">
        <v>27</v>
      </c>
      <c r="H1481" s="301">
        <v>73.2</v>
      </c>
      <c r="I1481" s="217">
        <v>44687</v>
      </c>
      <c r="J1481" s="478" t="s">
        <v>3074</v>
      </c>
      <c r="K1481">
        <v>33.47</v>
      </c>
      <c r="L1481">
        <v>0.78100000000000003</v>
      </c>
      <c r="Q1481" s="4" t="s">
        <v>3076</v>
      </c>
      <c r="T1481" s="478" t="s">
        <v>3612</v>
      </c>
      <c r="U1481" t="s">
        <v>4005</v>
      </c>
      <c r="V1481" s="407" t="s">
        <v>3700</v>
      </c>
      <c r="W1481" s="29">
        <v>6</v>
      </c>
    </row>
    <row r="1482" spans="1:23">
      <c r="A1482" s="136">
        <v>2379</v>
      </c>
      <c r="B1482" s="134">
        <v>16.8</v>
      </c>
      <c r="C1482" s="478">
        <v>1.5</v>
      </c>
      <c r="D1482" s="478">
        <v>7.12</v>
      </c>
      <c r="E1482" s="478">
        <v>24.43</v>
      </c>
      <c r="F1482" s="517" t="s">
        <v>4006</v>
      </c>
      <c r="G1482" s="168">
        <v>27</v>
      </c>
      <c r="H1482" s="301">
        <v>73.2</v>
      </c>
      <c r="I1482" s="217">
        <v>44687</v>
      </c>
      <c r="J1482" s="478" t="s">
        <v>3074</v>
      </c>
      <c r="T1482" s="478" t="s">
        <v>3612</v>
      </c>
    </row>
    <row r="1483" spans="1:23">
      <c r="A1483" s="136">
        <v>2379</v>
      </c>
      <c r="B1483" s="134">
        <v>16.8</v>
      </c>
      <c r="C1483" s="478">
        <v>1.5</v>
      </c>
      <c r="D1483" s="478">
        <v>7.12</v>
      </c>
      <c r="E1483" s="478">
        <v>24.43</v>
      </c>
      <c r="F1483" s="516" t="s">
        <v>4007</v>
      </c>
      <c r="G1483" s="168">
        <v>27</v>
      </c>
      <c r="H1483" s="301">
        <v>73.2</v>
      </c>
      <c r="I1483" s="217">
        <v>44687</v>
      </c>
      <c r="J1483" s="478" t="s">
        <v>3074</v>
      </c>
      <c r="K1483">
        <v>33.450000000000003</v>
      </c>
      <c r="L1483">
        <v>0.23499999999999999</v>
      </c>
      <c r="Q1483" s="4" t="s">
        <v>3076</v>
      </c>
      <c r="T1483" s="478" t="s">
        <v>3612</v>
      </c>
      <c r="U1483" t="s">
        <v>4008</v>
      </c>
      <c r="V1483" s="407" t="s">
        <v>3026</v>
      </c>
      <c r="W1483" s="29">
        <v>10</v>
      </c>
    </row>
    <row r="1484" spans="1:23">
      <c r="A1484" s="134">
        <v>1882</v>
      </c>
      <c r="B1484" s="134">
        <v>17.2</v>
      </c>
      <c r="C1484" s="478">
        <v>1.48</v>
      </c>
      <c r="D1484" s="478">
        <v>7.11</v>
      </c>
      <c r="E1484" s="478">
        <v>24.28</v>
      </c>
      <c r="F1484" s="45" t="s">
        <v>4009</v>
      </c>
      <c r="G1484" s="168">
        <v>27</v>
      </c>
      <c r="H1484" s="301">
        <v>73.2</v>
      </c>
      <c r="I1484" s="217">
        <v>44687</v>
      </c>
      <c r="J1484" s="478" t="s">
        <v>3074</v>
      </c>
      <c r="K1484">
        <v>33.369999999999997</v>
      </c>
      <c r="L1484">
        <v>0.25600000000000001</v>
      </c>
      <c r="Q1484" s="4" t="s">
        <v>3076</v>
      </c>
      <c r="T1484" s="478" t="s">
        <v>3612</v>
      </c>
      <c r="U1484" t="s">
        <v>4010</v>
      </c>
      <c r="V1484" s="407" t="s">
        <v>3105</v>
      </c>
      <c r="W1484" s="29">
        <v>7</v>
      </c>
    </row>
    <row r="1485" spans="1:23" ht="25.5" customHeight="1">
      <c r="A1485" s="136">
        <v>2517</v>
      </c>
      <c r="B1485" s="134">
        <v>16.399999999999999</v>
      </c>
      <c r="C1485" s="478">
        <v>1.48</v>
      </c>
      <c r="D1485" s="478">
        <v>7.08</v>
      </c>
      <c r="E1485" s="478">
        <v>24.36</v>
      </c>
      <c r="F1485" s="45" t="s">
        <v>4034</v>
      </c>
      <c r="G1485" s="168">
        <v>45</v>
      </c>
      <c r="H1485" s="301">
        <v>75.3</v>
      </c>
      <c r="I1485" s="217">
        <v>44720</v>
      </c>
      <c r="J1485" t="s">
        <v>3074</v>
      </c>
      <c r="K1485">
        <v>33.44</v>
      </c>
      <c r="L1485">
        <v>0.85499999999999998</v>
      </c>
      <c r="Q1485" s="4" t="s">
        <v>3076</v>
      </c>
      <c r="T1485" s="478" t="s">
        <v>3612</v>
      </c>
      <c r="U1485" t="s">
        <v>4037</v>
      </c>
      <c r="V1485" s="407" t="s">
        <v>3166</v>
      </c>
      <c r="W1485" s="29">
        <v>5</v>
      </c>
    </row>
    <row r="1486" spans="1:23">
      <c r="A1486" s="136">
        <v>2522</v>
      </c>
      <c r="B1486" s="134">
        <v>16</v>
      </c>
      <c r="C1486" s="478">
        <v>1.52</v>
      </c>
      <c r="D1486" s="478">
        <v>7.12</v>
      </c>
      <c r="E1486" s="478">
        <v>24.35</v>
      </c>
      <c r="F1486" s="518" t="s">
        <v>4035</v>
      </c>
      <c r="G1486" s="168">
        <v>45</v>
      </c>
      <c r="H1486" s="301">
        <v>75.3</v>
      </c>
      <c r="I1486" s="217">
        <v>44720</v>
      </c>
      <c r="J1486" s="478" t="s">
        <v>3074</v>
      </c>
      <c r="K1486">
        <v>33.47</v>
      </c>
      <c r="L1486">
        <v>0.72899999999999998</v>
      </c>
      <c r="Q1486" s="4" t="s">
        <v>3076</v>
      </c>
      <c r="T1486" s="478" t="s">
        <v>3612</v>
      </c>
      <c r="U1486" s="478" t="s">
        <v>4036</v>
      </c>
      <c r="V1486" s="407" t="s">
        <v>3159</v>
      </c>
      <c r="W1486" s="29">
        <v>1</v>
      </c>
    </row>
    <row r="1487" spans="1:23">
      <c r="A1487" s="136">
        <v>2524</v>
      </c>
      <c r="B1487" s="134">
        <v>16.600000000000001</v>
      </c>
      <c r="C1487" s="478">
        <v>1.48</v>
      </c>
      <c r="D1487" s="478">
        <v>7.11</v>
      </c>
      <c r="E1487" s="478">
        <v>24.37</v>
      </c>
      <c r="F1487" s="19" t="s">
        <v>4039</v>
      </c>
      <c r="G1487" s="168">
        <v>52</v>
      </c>
      <c r="H1487" s="301">
        <v>73.5</v>
      </c>
      <c r="I1487" s="419" t="s">
        <v>4038</v>
      </c>
      <c r="J1487" s="478" t="s">
        <v>3074</v>
      </c>
      <c r="K1487">
        <v>33.450000000000003</v>
      </c>
      <c r="L1487">
        <v>0.71</v>
      </c>
      <c r="Q1487" s="4" t="s">
        <v>3076</v>
      </c>
      <c r="T1487" s="478" t="s">
        <v>3612</v>
      </c>
      <c r="U1487" s="478" t="s">
        <v>4060</v>
      </c>
      <c r="V1487" s="407" t="s">
        <v>3277</v>
      </c>
      <c r="W1487" s="29">
        <v>3</v>
      </c>
    </row>
    <row r="1488" spans="1:23">
      <c r="A1488" s="136">
        <v>2519</v>
      </c>
      <c r="B1488" s="134">
        <v>18.399999999999999</v>
      </c>
      <c r="C1488" s="478">
        <v>1.5</v>
      </c>
      <c r="D1488" s="478">
        <v>7.1</v>
      </c>
      <c r="E1488" s="478">
        <v>24.35</v>
      </c>
      <c r="F1488" s="19" t="s">
        <v>4041</v>
      </c>
      <c r="G1488" s="168">
        <v>52</v>
      </c>
      <c r="H1488" s="301">
        <v>73.5</v>
      </c>
      <c r="I1488" s="519" t="s">
        <v>4038</v>
      </c>
      <c r="J1488" s="478" t="s">
        <v>3074</v>
      </c>
      <c r="K1488">
        <v>33.46</v>
      </c>
      <c r="L1488">
        <v>0.19700000000000001</v>
      </c>
      <c r="Q1488" s="4" t="s">
        <v>3076</v>
      </c>
      <c r="T1488" s="478" t="s">
        <v>3612</v>
      </c>
      <c r="U1488" s="478" t="s">
        <v>4061</v>
      </c>
      <c r="V1488" s="407" t="s">
        <v>3127</v>
      </c>
      <c r="W1488" s="29">
        <v>6</v>
      </c>
    </row>
    <row r="1489" spans="1:23">
      <c r="A1489" s="136">
        <v>2518</v>
      </c>
      <c r="B1489" s="134">
        <v>17.600000000000001</v>
      </c>
      <c r="C1489" s="478">
        <v>1.5</v>
      </c>
      <c r="D1489" s="478">
        <v>7.14</v>
      </c>
      <c r="E1489" s="478">
        <v>24.37</v>
      </c>
      <c r="F1489" s="19" t="s">
        <v>4042</v>
      </c>
      <c r="G1489" s="168">
        <v>45</v>
      </c>
      <c r="H1489" s="301">
        <v>73.5</v>
      </c>
      <c r="I1489" s="217">
        <v>44722</v>
      </c>
      <c r="J1489" t="s">
        <v>3074</v>
      </c>
      <c r="K1489">
        <v>33.46</v>
      </c>
      <c r="L1489">
        <v>0.89600000000000002</v>
      </c>
      <c r="Q1489" s="4" t="s">
        <v>3076</v>
      </c>
      <c r="T1489" s="478" t="s">
        <v>3612</v>
      </c>
      <c r="U1489" s="478" t="s">
        <v>4065</v>
      </c>
      <c r="V1489" s="407" t="s">
        <v>3053</v>
      </c>
      <c r="W1489" s="29">
        <v>3</v>
      </c>
    </row>
    <row r="1490" spans="1:23">
      <c r="A1490" s="136">
        <v>2576</v>
      </c>
      <c r="B1490" s="478">
        <v>18.8</v>
      </c>
      <c r="C1490" s="478">
        <v>1.5</v>
      </c>
      <c r="D1490" s="478">
        <v>7.1</v>
      </c>
      <c r="E1490" s="134">
        <v>24.4</v>
      </c>
      <c r="F1490" s="19" t="s">
        <v>4043</v>
      </c>
      <c r="G1490" s="168">
        <v>41</v>
      </c>
      <c r="H1490" s="301">
        <v>75</v>
      </c>
      <c r="I1490" s="217">
        <v>44722</v>
      </c>
      <c r="J1490" s="478" t="s">
        <v>3074</v>
      </c>
      <c r="K1490">
        <v>33.44</v>
      </c>
      <c r="L1490">
        <v>0.49199999999999999</v>
      </c>
      <c r="Q1490" s="4" t="s">
        <v>3076</v>
      </c>
      <c r="T1490" s="478" t="s">
        <v>3612</v>
      </c>
      <c r="U1490" s="478" t="s">
        <v>4065</v>
      </c>
      <c r="V1490" s="407" t="s">
        <v>3700</v>
      </c>
      <c r="W1490" s="29">
        <v>5</v>
      </c>
    </row>
    <row r="1491" spans="1:23">
      <c r="A1491" s="136">
        <v>1511</v>
      </c>
      <c r="B1491" s="134">
        <v>16.2</v>
      </c>
      <c r="C1491" s="478">
        <v>1.52</v>
      </c>
      <c r="D1491" s="478">
        <v>7.32</v>
      </c>
      <c r="E1491" s="478">
        <v>24.32</v>
      </c>
      <c r="F1491" s="176" t="s">
        <v>4044</v>
      </c>
      <c r="G1491" s="168">
        <v>50</v>
      </c>
      <c r="H1491" s="301">
        <v>72.099999999999994</v>
      </c>
      <c r="I1491" s="217">
        <v>44725</v>
      </c>
      <c r="J1491" s="478" t="s">
        <v>3074</v>
      </c>
      <c r="T1491" s="478" t="s">
        <v>3612</v>
      </c>
    </row>
    <row r="1492" spans="1:23">
      <c r="A1492" s="136">
        <v>1511</v>
      </c>
      <c r="B1492" s="134">
        <v>16.2</v>
      </c>
      <c r="C1492" s="478">
        <v>1.52</v>
      </c>
      <c r="D1492" s="478">
        <v>7.32</v>
      </c>
      <c r="E1492" s="478">
        <v>24.32</v>
      </c>
      <c r="F1492" s="176" t="s">
        <v>4045</v>
      </c>
      <c r="G1492" s="168">
        <v>50</v>
      </c>
      <c r="H1492" s="301">
        <v>72.099999999999994</v>
      </c>
      <c r="I1492" s="217">
        <v>44725</v>
      </c>
      <c r="J1492" s="478" t="s">
        <v>3074</v>
      </c>
      <c r="Q1492" s="4" t="s">
        <v>3076</v>
      </c>
      <c r="T1492" s="478" t="s">
        <v>3612</v>
      </c>
    </row>
    <row r="1493" spans="1:23">
      <c r="A1493" s="136">
        <v>1511</v>
      </c>
      <c r="B1493" s="134">
        <v>18</v>
      </c>
      <c r="C1493" s="478">
        <v>1.47</v>
      </c>
      <c r="D1493" s="478">
        <v>7.32</v>
      </c>
      <c r="E1493" s="478">
        <v>24.32</v>
      </c>
      <c r="F1493" s="19" t="s">
        <v>4053</v>
      </c>
      <c r="G1493" s="168">
        <v>44</v>
      </c>
      <c r="H1493" s="301">
        <v>75.2</v>
      </c>
      <c r="I1493" s="217">
        <v>44726</v>
      </c>
      <c r="J1493" s="478" t="s">
        <v>3074</v>
      </c>
      <c r="K1493">
        <v>33.549999999999997</v>
      </c>
      <c r="L1493">
        <v>0.56699999999999995</v>
      </c>
      <c r="Q1493" s="4" t="s">
        <v>3076</v>
      </c>
      <c r="T1493" s="478" t="s">
        <v>3612</v>
      </c>
      <c r="U1493" s="478" t="s">
        <v>4064</v>
      </c>
      <c r="V1493" s="407" t="s">
        <v>3025</v>
      </c>
      <c r="W1493" s="29">
        <v>6</v>
      </c>
    </row>
    <row r="1494" spans="1:23">
      <c r="A1494" s="136">
        <v>2461</v>
      </c>
      <c r="B1494" s="134">
        <v>16.399999999999999</v>
      </c>
      <c r="C1494" s="478">
        <v>1.48</v>
      </c>
      <c r="D1494" s="478">
        <v>7.12</v>
      </c>
      <c r="E1494" s="478">
        <v>24.39</v>
      </c>
      <c r="F1494" s="45" t="s">
        <v>4046</v>
      </c>
      <c r="G1494" s="168">
        <v>50</v>
      </c>
      <c r="H1494" s="301">
        <v>72.099999999999994</v>
      </c>
      <c r="I1494" s="217">
        <v>44725</v>
      </c>
      <c r="J1494" s="478" t="s">
        <v>3074</v>
      </c>
      <c r="K1494">
        <v>33.450000000000003</v>
      </c>
      <c r="L1494">
        <v>0.53800000000000003</v>
      </c>
      <c r="Q1494" s="4" t="s">
        <v>3076</v>
      </c>
      <c r="T1494" s="478" t="s">
        <v>3612</v>
      </c>
      <c r="U1494" s="478" t="s">
        <v>4047</v>
      </c>
      <c r="V1494" s="407" t="s">
        <v>3086</v>
      </c>
      <c r="W1494" s="29">
        <v>6</v>
      </c>
    </row>
    <row r="1495" spans="1:23">
      <c r="A1495" s="136">
        <v>2253</v>
      </c>
      <c r="B1495" s="134">
        <v>18.399999999999999</v>
      </c>
      <c r="C1495" s="478">
        <v>1.48</v>
      </c>
      <c r="D1495" s="478">
        <v>7.11</v>
      </c>
      <c r="E1495" s="478">
        <v>24.44</v>
      </c>
      <c r="F1495" s="19" t="s">
        <v>4048</v>
      </c>
      <c r="G1495" s="168">
        <v>50</v>
      </c>
      <c r="H1495" s="301">
        <v>72.099999999999994</v>
      </c>
      <c r="I1495" s="217">
        <v>44725</v>
      </c>
      <c r="J1495" s="478" t="s">
        <v>3074</v>
      </c>
      <c r="K1495">
        <v>33.46</v>
      </c>
      <c r="L1495">
        <v>0.26600000000000001</v>
      </c>
      <c r="Q1495" s="4" t="s">
        <v>3076</v>
      </c>
      <c r="T1495" s="478" t="s">
        <v>3612</v>
      </c>
      <c r="U1495" s="478" t="s">
        <v>4062</v>
      </c>
      <c r="V1495" s="407" t="s">
        <v>3166</v>
      </c>
      <c r="W1495" s="29">
        <v>5</v>
      </c>
    </row>
    <row r="1496" spans="1:23">
      <c r="A1496" s="136">
        <v>2358</v>
      </c>
      <c r="B1496" s="134">
        <v>18.8</v>
      </c>
      <c r="C1496" s="478">
        <v>1.46</v>
      </c>
      <c r="D1496" s="478">
        <v>7.1</v>
      </c>
      <c r="E1496" s="478">
        <v>24.31</v>
      </c>
      <c r="F1496" s="176" t="s">
        <v>4050</v>
      </c>
      <c r="G1496" s="168">
        <v>48</v>
      </c>
      <c r="H1496" s="301">
        <v>72.5</v>
      </c>
      <c r="I1496" s="217">
        <v>44726</v>
      </c>
      <c r="J1496" t="s">
        <v>3074</v>
      </c>
      <c r="K1496">
        <v>33.44</v>
      </c>
      <c r="Q1496" s="4" t="s">
        <v>3076</v>
      </c>
      <c r="T1496" s="478" t="s">
        <v>3612</v>
      </c>
      <c r="U1496" s="478" t="s">
        <v>4040</v>
      </c>
    </row>
    <row r="1497" spans="1:23">
      <c r="A1497" s="136">
        <v>2358</v>
      </c>
      <c r="B1497" s="134">
        <v>18.8</v>
      </c>
      <c r="C1497" s="478">
        <v>1.46</v>
      </c>
      <c r="D1497" s="478">
        <v>7.1</v>
      </c>
      <c r="E1497" s="478">
        <v>24.31</v>
      </c>
      <c r="F1497" s="45" t="s">
        <v>4049</v>
      </c>
      <c r="G1497" s="168">
        <v>48</v>
      </c>
      <c r="H1497" s="301">
        <v>72.5</v>
      </c>
      <c r="I1497" s="217">
        <v>44726</v>
      </c>
      <c r="J1497" s="478" t="s">
        <v>3074</v>
      </c>
      <c r="K1497">
        <v>33.450000000000003</v>
      </c>
      <c r="L1497">
        <v>0.38800000000000001</v>
      </c>
      <c r="Q1497" s="4" t="s">
        <v>3076</v>
      </c>
      <c r="T1497" s="478" t="s">
        <v>3612</v>
      </c>
      <c r="U1497" s="478" t="s">
        <v>4051</v>
      </c>
      <c r="V1497" s="407" t="s">
        <v>3700</v>
      </c>
      <c r="W1497" s="29">
        <v>5</v>
      </c>
    </row>
    <row r="1498" spans="1:23">
      <c r="A1498" s="136">
        <v>2268</v>
      </c>
      <c r="B1498" s="134">
        <v>18.8</v>
      </c>
      <c r="C1498" s="478">
        <v>1.48</v>
      </c>
      <c r="D1498" s="478">
        <v>7.11</v>
      </c>
      <c r="E1498" s="478">
        <v>24.42</v>
      </c>
      <c r="F1498" s="19" t="s">
        <v>4052</v>
      </c>
      <c r="G1498" s="168">
        <v>48</v>
      </c>
      <c r="H1498" s="301">
        <v>72.5</v>
      </c>
      <c r="I1498" s="217">
        <v>44726</v>
      </c>
      <c r="J1498" s="478" t="s">
        <v>3074</v>
      </c>
      <c r="K1498">
        <v>33.49</v>
      </c>
      <c r="L1498">
        <v>0.437</v>
      </c>
      <c r="Q1498" s="4" t="s">
        <v>3076</v>
      </c>
      <c r="T1498" s="478" t="s">
        <v>3612</v>
      </c>
      <c r="U1498" s="478" t="s">
        <v>4063</v>
      </c>
      <c r="V1498" s="407" t="s">
        <v>3277</v>
      </c>
      <c r="W1498" s="29">
        <v>7</v>
      </c>
    </row>
    <row r="1499" spans="1:23" ht="25.5" customHeight="1">
      <c r="A1499" s="136">
        <v>2587</v>
      </c>
      <c r="B1499" s="134">
        <v>18</v>
      </c>
      <c r="C1499" s="478">
        <v>1.5</v>
      </c>
      <c r="D1499" s="478">
        <v>7.11</v>
      </c>
      <c r="E1499" s="478">
        <v>24.37</v>
      </c>
      <c r="F1499" s="19" t="s">
        <v>4068</v>
      </c>
      <c r="G1499" s="168">
        <v>56</v>
      </c>
      <c r="H1499" s="301">
        <v>72.8</v>
      </c>
      <c r="I1499" s="217">
        <v>44755</v>
      </c>
      <c r="J1499" t="s">
        <v>3074</v>
      </c>
      <c r="K1499">
        <v>33.4</v>
      </c>
      <c r="L1499">
        <v>0.80400000000000005</v>
      </c>
      <c r="Q1499" s="4" t="s">
        <v>3076</v>
      </c>
      <c r="T1499" s="478" t="s">
        <v>4067</v>
      </c>
      <c r="U1499" t="s">
        <v>4085</v>
      </c>
      <c r="V1499" s="407" t="s">
        <v>3157</v>
      </c>
      <c r="W1499" s="29">
        <v>6</v>
      </c>
    </row>
    <row r="1500" spans="1:23">
      <c r="A1500" s="134">
        <v>2590</v>
      </c>
      <c r="B1500" s="134">
        <v>18.399999999999999</v>
      </c>
      <c r="C1500" s="478">
        <v>1.48</v>
      </c>
      <c r="D1500" s="478">
        <v>7.13</v>
      </c>
      <c r="E1500" s="478">
        <v>24.38</v>
      </c>
      <c r="F1500" s="19" t="s">
        <v>4069</v>
      </c>
      <c r="G1500" s="168">
        <v>56</v>
      </c>
      <c r="H1500" s="301">
        <v>72.8</v>
      </c>
      <c r="I1500" s="217">
        <v>44755</v>
      </c>
      <c r="J1500" s="478" t="s">
        <v>3074</v>
      </c>
      <c r="K1500">
        <v>33.5</v>
      </c>
      <c r="L1500">
        <v>0.58399999999999996</v>
      </c>
      <c r="Q1500" s="4" t="s">
        <v>3076</v>
      </c>
      <c r="T1500" s="478" t="s">
        <v>4067</v>
      </c>
      <c r="U1500" t="s">
        <v>4082</v>
      </c>
      <c r="V1500" s="407" t="s">
        <v>3166</v>
      </c>
      <c r="W1500" s="29">
        <v>8</v>
      </c>
    </row>
    <row r="1501" spans="1:23">
      <c r="A1501" s="134">
        <v>2589</v>
      </c>
      <c r="B1501" s="134">
        <v>18.8</v>
      </c>
      <c r="C1501" s="478">
        <v>1.49</v>
      </c>
      <c r="D1501" s="478">
        <v>7.11</v>
      </c>
      <c r="E1501" s="478">
        <v>24.36</v>
      </c>
      <c r="F1501" s="19" t="s">
        <v>4070</v>
      </c>
      <c r="G1501" s="168">
        <v>54</v>
      </c>
      <c r="H1501" s="301">
        <v>74.099999999999994</v>
      </c>
      <c r="I1501" s="217">
        <v>44755</v>
      </c>
      <c r="J1501" s="478" t="s">
        <v>3074</v>
      </c>
      <c r="K1501">
        <v>33.479999999999997</v>
      </c>
      <c r="L1501">
        <v>0.72499999999999998</v>
      </c>
      <c r="Q1501" s="4" t="s">
        <v>3076</v>
      </c>
      <c r="T1501" s="478" t="s">
        <v>4067</v>
      </c>
      <c r="U1501" t="s">
        <v>4086</v>
      </c>
      <c r="V1501" s="407" t="s">
        <v>3136</v>
      </c>
      <c r="W1501" s="29">
        <v>5</v>
      </c>
    </row>
    <row r="1502" spans="1:23">
      <c r="A1502" s="134">
        <v>2585</v>
      </c>
      <c r="B1502" s="134">
        <v>17.600000000000001</v>
      </c>
      <c r="C1502" s="478">
        <v>1.49</v>
      </c>
      <c r="D1502" s="478">
        <v>7.08</v>
      </c>
      <c r="E1502" s="478">
        <v>24.34</v>
      </c>
      <c r="F1502" s="19" t="s">
        <v>4071</v>
      </c>
      <c r="G1502" s="168">
        <v>54</v>
      </c>
      <c r="H1502" s="301">
        <v>74.099999999999994</v>
      </c>
      <c r="I1502" s="217">
        <v>44755</v>
      </c>
      <c r="J1502" s="478" t="s">
        <v>3074</v>
      </c>
      <c r="K1502">
        <v>33.42</v>
      </c>
      <c r="L1502">
        <v>0.24099999999999999</v>
      </c>
      <c r="Q1502" s="4" t="s">
        <v>3076</v>
      </c>
      <c r="T1502" s="478" t="s">
        <v>4067</v>
      </c>
      <c r="U1502" t="s">
        <v>4084</v>
      </c>
      <c r="V1502" s="407" t="s">
        <v>3025</v>
      </c>
      <c r="W1502" s="29">
        <v>4</v>
      </c>
    </row>
    <row r="1503" spans="1:23">
      <c r="A1503" s="134">
        <v>2588</v>
      </c>
      <c r="B1503" s="134">
        <v>16.8</v>
      </c>
      <c r="C1503" s="478">
        <v>1.49</v>
      </c>
      <c r="D1503" s="478">
        <v>712</v>
      </c>
      <c r="E1503" s="478">
        <v>24.38</v>
      </c>
      <c r="F1503" s="176" t="s">
        <v>4072</v>
      </c>
      <c r="G1503" s="168">
        <v>56</v>
      </c>
      <c r="H1503" s="301">
        <v>72.8</v>
      </c>
      <c r="I1503" s="217">
        <v>44756</v>
      </c>
      <c r="J1503" s="478" t="s">
        <v>3074</v>
      </c>
      <c r="T1503" s="478" t="s">
        <v>4067</v>
      </c>
    </row>
    <row r="1504" spans="1:23">
      <c r="A1504" s="134">
        <v>2588</v>
      </c>
      <c r="B1504" s="134">
        <v>16.8</v>
      </c>
      <c r="C1504" s="478">
        <v>1.49</v>
      </c>
      <c r="D1504" s="478">
        <v>712</v>
      </c>
      <c r="E1504" s="478">
        <v>24.38</v>
      </c>
      <c r="F1504" s="176" t="s">
        <v>4073</v>
      </c>
      <c r="G1504" s="168">
        <v>56</v>
      </c>
      <c r="H1504" s="301">
        <v>72.8</v>
      </c>
      <c r="I1504" s="217">
        <v>44756</v>
      </c>
      <c r="J1504" s="478" t="s">
        <v>3074</v>
      </c>
      <c r="K1504">
        <v>33.380000000000003</v>
      </c>
      <c r="L1504">
        <v>0.51200000000000001</v>
      </c>
      <c r="Q1504" s="4" t="s">
        <v>3076</v>
      </c>
      <c r="T1504" s="478" t="s">
        <v>4067</v>
      </c>
      <c r="U1504" t="s">
        <v>4074</v>
      </c>
    </row>
    <row r="1505" spans="1:23">
      <c r="A1505" s="134">
        <v>2588</v>
      </c>
      <c r="B1505" s="134">
        <v>16.8</v>
      </c>
      <c r="C1505" s="478">
        <v>1.49</v>
      </c>
      <c r="D1505" s="478">
        <v>712</v>
      </c>
      <c r="E1505" s="478">
        <v>24.38</v>
      </c>
      <c r="F1505" s="560" t="s">
        <v>4075</v>
      </c>
      <c r="G1505" s="168">
        <v>56</v>
      </c>
      <c r="H1505" s="301">
        <v>72.8</v>
      </c>
      <c r="I1505" s="217">
        <v>44756</v>
      </c>
      <c r="J1505" s="478" t="s">
        <v>3074</v>
      </c>
      <c r="K1505">
        <v>33.369999999999997</v>
      </c>
      <c r="L1505">
        <v>0.53600000000000003</v>
      </c>
      <c r="Q1505" s="4" t="s">
        <v>3076</v>
      </c>
      <c r="T1505" s="478" t="s">
        <v>4067</v>
      </c>
      <c r="U1505" t="s">
        <v>4076</v>
      </c>
      <c r="V1505" s="407" t="s">
        <v>3026</v>
      </c>
      <c r="W1505" s="29">
        <v>3</v>
      </c>
    </row>
    <row r="1506" spans="1:23">
      <c r="A1506" s="134">
        <v>2591</v>
      </c>
      <c r="B1506" s="134">
        <v>17.600000000000001</v>
      </c>
      <c r="C1506" s="478">
        <v>1.51</v>
      </c>
      <c r="D1506" s="478">
        <v>7.12</v>
      </c>
      <c r="E1506" s="478">
        <v>24.37</v>
      </c>
      <c r="F1506" s="45" t="s">
        <v>4077</v>
      </c>
      <c r="G1506" s="168">
        <v>54</v>
      </c>
      <c r="H1506" s="301">
        <v>74.099999999999994</v>
      </c>
      <c r="I1506" s="217">
        <v>44756</v>
      </c>
      <c r="J1506" s="478" t="s">
        <v>3074</v>
      </c>
      <c r="K1506">
        <v>33.380000000000003</v>
      </c>
      <c r="L1506">
        <v>0.73399999999999999</v>
      </c>
      <c r="Q1506" s="4" t="s">
        <v>3076</v>
      </c>
      <c r="T1506" s="478" t="s">
        <v>4067</v>
      </c>
      <c r="U1506" t="s">
        <v>4078</v>
      </c>
      <c r="V1506" s="407" t="s">
        <v>3024</v>
      </c>
      <c r="W1506" s="29">
        <v>7</v>
      </c>
    </row>
    <row r="1507" spans="1:23">
      <c r="A1507" s="134">
        <v>2592</v>
      </c>
      <c r="B1507" s="134">
        <v>17.2</v>
      </c>
      <c r="C1507" s="478">
        <v>1.49</v>
      </c>
      <c r="D1507" s="478">
        <v>7.05</v>
      </c>
      <c r="E1507" s="478">
        <v>24.42</v>
      </c>
      <c r="F1507" s="19" t="s">
        <v>4079</v>
      </c>
      <c r="G1507" s="168">
        <v>54</v>
      </c>
      <c r="H1507" s="301">
        <v>74.099999999999994</v>
      </c>
      <c r="I1507" s="217">
        <v>44756</v>
      </c>
      <c r="J1507" s="478" t="s">
        <v>3074</v>
      </c>
      <c r="K1507">
        <v>33.36</v>
      </c>
      <c r="L1507">
        <v>0.15</v>
      </c>
      <c r="Q1507" s="4" t="s">
        <v>3076</v>
      </c>
      <c r="T1507" s="478" t="s">
        <v>4067</v>
      </c>
      <c r="U1507" t="s">
        <v>4083</v>
      </c>
      <c r="V1507" s="407" t="s">
        <v>3136</v>
      </c>
      <c r="W1507" s="29">
        <v>3</v>
      </c>
    </row>
    <row r="1508" spans="1:23">
      <c r="A1508" s="134">
        <v>2526</v>
      </c>
      <c r="B1508" s="134">
        <v>18.600000000000001</v>
      </c>
      <c r="C1508" s="478">
        <v>1.49</v>
      </c>
      <c r="D1508" s="478">
        <v>7.07</v>
      </c>
      <c r="E1508" s="478">
        <v>24.28</v>
      </c>
      <c r="F1508" s="19" t="s">
        <v>4080</v>
      </c>
      <c r="G1508" s="168">
        <v>54</v>
      </c>
      <c r="H1508" s="301">
        <v>74.099999999999994</v>
      </c>
      <c r="I1508" s="217">
        <v>44756</v>
      </c>
      <c r="J1508" s="478" t="s">
        <v>3074</v>
      </c>
      <c r="K1508">
        <v>33.33</v>
      </c>
      <c r="L1508">
        <v>0.24399999999999999</v>
      </c>
      <c r="Q1508" s="4" t="s">
        <v>3076</v>
      </c>
      <c r="T1508" s="478" t="s">
        <v>4067</v>
      </c>
      <c r="U1508" t="s">
        <v>4081</v>
      </c>
      <c r="V1508" s="407" t="s">
        <v>3157</v>
      </c>
      <c r="W1508" s="29">
        <v>8</v>
      </c>
    </row>
    <row r="1509" spans="1:23" ht="25.5" customHeight="1">
      <c r="A1509" s="134">
        <v>2586</v>
      </c>
      <c r="B1509" s="134">
        <v>18.8</v>
      </c>
      <c r="C1509" s="478">
        <v>1.5</v>
      </c>
      <c r="D1509" s="478">
        <v>7.08</v>
      </c>
      <c r="E1509" s="478">
        <v>24.36</v>
      </c>
      <c r="F1509" s="533" t="s">
        <v>4087</v>
      </c>
      <c r="G1509" s="168">
        <v>52</v>
      </c>
      <c r="H1509" s="301">
        <v>75.3</v>
      </c>
      <c r="I1509" s="217">
        <v>44769</v>
      </c>
      <c r="J1509" t="s">
        <v>4026</v>
      </c>
      <c r="K1509">
        <v>33.42</v>
      </c>
      <c r="L1509">
        <v>0.36199999999999999</v>
      </c>
      <c r="Q1509" s="4" t="s">
        <v>3076</v>
      </c>
      <c r="T1509" s="478" t="s">
        <v>4067</v>
      </c>
      <c r="U1509" t="s">
        <v>4088</v>
      </c>
      <c r="V1509" s="407" t="s">
        <v>3087</v>
      </c>
      <c r="W1509" s="29">
        <v>12</v>
      </c>
    </row>
    <row r="1510" spans="1:23">
      <c r="A1510" s="134">
        <v>2528</v>
      </c>
      <c r="B1510" s="134">
        <v>17.2</v>
      </c>
      <c r="C1510" s="478">
        <v>1.48</v>
      </c>
      <c r="D1510" s="478">
        <v>7.11</v>
      </c>
      <c r="E1510" s="478">
        <v>24.29</v>
      </c>
      <c r="F1510" s="176" t="s">
        <v>4089</v>
      </c>
      <c r="I1510" s="217">
        <v>44769</v>
      </c>
      <c r="J1510" s="478" t="s">
        <v>4026</v>
      </c>
      <c r="T1510" s="478" t="s">
        <v>4067</v>
      </c>
    </row>
    <row r="1511" spans="1:23">
      <c r="A1511" s="134">
        <v>2528</v>
      </c>
      <c r="B1511" s="134">
        <v>17.2</v>
      </c>
      <c r="C1511" s="478">
        <v>1.48</v>
      </c>
      <c r="D1511" s="478">
        <v>7.11</v>
      </c>
      <c r="E1511" s="478">
        <v>24.29</v>
      </c>
      <c r="F1511" s="176" t="s">
        <v>4090</v>
      </c>
      <c r="G1511" s="168">
        <v>54</v>
      </c>
      <c r="H1511" s="301">
        <v>75.7</v>
      </c>
      <c r="I1511" s="217">
        <v>44770</v>
      </c>
      <c r="J1511" s="478" t="s">
        <v>4026</v>
      </c>
      <c r="K1511">
        <v>30</v>
      </c>
      <c r="Q1511" s="4" t="s">
        <v>3076</v>
      </c>
      <c r="T1511" s="478" t="s">
        <v>4067</v>
      </c>
      <c r="V1511" s="407" t="s">
        <v>3105</v>
      </c>
    </row>
    <row r="1512" spans="1:23">
      <c r="A1512" s="134">
        <v>2528</v>
      </c>
      <c r="B1512" s="134">
        <v>17.2</v>
      </c>
      <c r="C1512" s="478">
        <v>1.48</v>
      </c>
      <c r="D1512" s="478">
        <v>7.11</v>
      </c>
      <c r="E1512" s="478">
        <v>24.29</v>
      </c>
      <c r="F1512" s="529" t="s">
        <v>4091</v>
      </c>
      <c r="G1512">
        <v>53</v>
      </c>
      <c r="H1512">
        <v>76.099999999999994</v>
      </c>
      <c r="I1512" s="217">
        <v>44770</v>
      </c>
      <c r="J1512" s="478" t="s">
        <v>4026</v>
      </c>
      <c r="K1512">
        <v>33.4</v>
      </c>
      <c r="L1512">
        <v>0.83799999999999997</v>
      </c>
      <c r="Q1512" s="4" t="s">
        <v>3076</v>
      </c>
      <c r="T1512" s="478" t="s">
        <v>4067</v>
      </c>
      <c r="U1512" t="s">
        <v>4092</v>
      </c>
      <c r="V1512" s="407" t="s">
        <v>3026</v>
      </c>
      <c r="W1512" s="29">
        <v>8</v>
      </c>
    </row>
    <row r="1513" spans="1:23">
      <c r="A1513" s="134">
        <v>2527</v>
      </c>
      <c r="B1513" s="134">
        <v>18</v>
      </c>
      <c r="C1513" s="478">
        <v>1.5</v>
      </c>
      <c r="D1513" s="478">
        <v>7.16</v>
      </c>
      <c r="E1513" s="478">
        <v>24.33</v>
      </c>
      <c r="F1513" s="530" t="s">
        <v>4093</v>
      </c>
      <c r="I1513" s="217">
        <v>44771</v>
      </c>
      <c r="J1513" s="478" t="s">
        <v>4026</v>
      </c>
      <c r="T1513" s="478" t="s">
        <v>4067</v>
      </c>
    </row>
    <row r="1514" spans="1:23">
      <c r="A1514" s="134">
        <v>2527</v>
      </c>
      <c r="B1514" s="134">
        <v>18</v>
      </c>
      <c r="C1514" s="478">
        <v>1.5</v>
      </c>
      <c r="D1514" s="478">
        <v>7.16</v>
      </c>
      <c r="E1514" s="478">
        <v>24.33</v>
      </c>
      <c r="F1514" s="536" t="s">
        <v>4094</v>
      </c>
      <c r="G1514">
        <v>54</v>
      </c>
      <c r="H1514">
        <v>75.900000000000006</v>
      </c>
      <c r="I1514" s="217">
        <v>44771</v>
      </c>
      <c r="J1514" s="478" t="s">
        <v>4026</v>
      </c>
      <c r="K1514">
        <v>33.5</v>
      </c>
      <c r="L1514">
        <v>0.105</v>
      </c>
      <c r="Q1514" s="4" t="s">
        <v>3076</v>
      </c>
      <c r="T1514" s="478" t="s">
        <v>4067</v>
      </c>
      <c r="U1514" t="s">
        <v>4096</v>
      </c>
      <c r="V1514" s="407" t="s">
        <v>4095</v>
      </c>
      <c r="W1514" s="29">
        <v>7</v>
      </c>
    </row>
    <row r="1515" spans="1:23">
      <c r="A1515" s="134">
        <v>2525</v>
      </c>
      <c r="B1515" s="134">
        <v>18.399999999999999</v>
      </c>
      <c r="C1515" s="478">
        <v>1.51</v>
      </c>
      <c r="D1515" s="478">
        <v>7.17</v>
      </c>
      <c r="E1515" s="478">
        <v>24.37</v>
      </c>
      <c r="F1515" s="531" t="s">
        <v>4097</v>
      </c>
      <c r="G1515" t="s">
        <v>4113</v>
      </c>
      <c r="J1515" s="478" t="s">
        <v>4026</v>
      </c>
      <c r="T1515" s="478" t="s">
        <v>4067</v>
      </c>
    </row>
    <row r="1516" spans="1:23" s="478" customFormat="1">
      <c r="A1516" s="134">
        <v>2525</v>
      </c>
      <c r="B1516" s="134">
        <v>18.399999999999999</v>
      </c>
      <c r="C1516" s="478">
        <v>1.51</v>
      </c>
      <c r="D1516" s="478">
        <v>7.17</v>
      </c>
      <c r="E1516" s="478">
        <v>24.37</v>
      </c>
      <c r="F1516" s="532" t="s">
        <v>4098</v>
      </c>
      <c r="G1516" s="478">
        <v>56</v>
      </c>
      <c r="H1516" s="478">
        <v>73.400000000000006</v>
      </c>
      <c r="I1516" s="217">
        <v>44776</v>
      </c>
      <c r="J1516" s="478" t="s">
        <v>3074</v>
      </c>
      <c r="T1516" s="478" t="s">
        <v>4067</v>
      </c>
      <c r="V1516" s="528"/>
      <c r="W1516" s="29"/>
    </row>
    <row r="1517" spans="1:23" s="478" customFormat="1">
      <c r="A1517" s="134">
        <v>2525</v>
      </c>
      <c r="B1517" s="134">
        <v>18.399999999999999</v>
      </c>
      <c r="C1517" s="478">
        <v>1.51</v>
      </c>
      <c r="D1517" s="478">
        <v>7.17</v>
      </c>
      <c r="E1517" s="478">
        <v>24.37</v>
      </c>
      <c r="F1517" s="532" t="s">
        <v>4099</v>
      </c>
      <c r="G1517" s="478">
        <v>56</v>
      </c>
      <c r="H1517" s="478">
        <v>73.400000000000006</v>
      </c>
      <c r="I1517" s="217">
        <v>44776</v>
      </c>
      <c r="J1517" s="478" t="s">
        <v>3074</v>
      </c>
      <c r="K1517" s="478">
        <v>33.520000000000003</v>
      </c>
      <c r="L1517" s="478">
        <v>0.76900000000000002</v>
      </c>
      <c r="Q1517" s="4" t="s">
        <v>3076</v>
      </c>
      <c r="T1517" s="478" t="s">
        <v>4067</v>
      </c>
      <c r="U1517" s="478" t="s">
        <v>4100</v>
      </c>
      <c r="V1517" s="528" t="s">
        <v>3025</v>
      </c>
      <c r="W1517" s="29"/>
    </row>
    <row r="1518" spans="1:23" s="478" customFormat="1">
      <c r="A1518" s="134">
        <v>2525</v>
      </c>
      <c r="B1518" s="134">
        <v>18.399999999999999</v>
      </c>
      <c r="C1518" s="478">
        <v>1.51</v>
      </c>
      <c r="D1518" s="478">
        <v>7.17</v>
      </c>
      <c r="E1518" s="478">
        <v>24.37</v>
      </c>
      <c r="F1518" s="541" t="s">
        <v>4101</v>
      </c>
      <c r="G1518" s="478">
        <v>56</v>
      </c>
      <c r="H1518" s="478">
        <v>73.400000000000006</v>
      </c>
      <c r="I1518" s="217">
        <v>44776</v>
      </c>
      <c r="J1518" s="478" t="s">
        <v>3074</v>
      </c>
      <c r="K1518" s="478">
        <v>33.520000000000003</v>
      </c>
      <c r="L1518" s="478">
        <v>0.68200000000000005</v>
      </c>
      <c r="Q1518" s="4" t="s">
        <v>3076</v>
      </c>
      <c r="T1518" s="478" t="s">
        <v>4067</v>
      </c>
      <c r="U1518" s="478" t="s">
        <v>4118</v>
      </c>
      <c r="V1518" s="528" t="s">
        <v>3136</v>
      </c>
      <c r="W1518" s="29">
        <v>5</v>
      </c>
    </row>
    <row r="1519" spans="1:23">
      <c r="A1519" s="134">
        <v>2594</v>
      </c>
      <c r="B1519" s="134">
        <v>17.5</v>
      </c>
      <c r="C1519" s="478">
        <v>1.51</v>
      </c>
      <c r="D1519" s="478">
        <v>7.1</v>
      </c>
      <c r="E1519" s="478">
        <v>24.53</v>
      </c>
      <c r="F1519" s="184" t="s">
        <v>4102</v>
      </c>
      <c r="G1519" s="478">
        <v>56</v>
      </c>
      <c r="H1519" s="478">
        <v>73.400000000000006</v>
      </c>
      <c r="I1519" s="217">
        <v>44776</v>
      </c>
      <c r="J1519" s="478" t="s">
        <v>3074</v>
      </c>
      <c r="K1519">
        <v>33.64</v>
      </c>
      <c r="L1519">
        <v>0.505</v>
      </c>
      <c r="Q1519" s="4" t="s">
        <v>3076</v>
      </c>
      <c r="T1519" s="478" t="s">
        <v>4067</v>
      </c>
      <c r="U1519" t="s">
        <v>4123</v>
      </c>
      <c r="V1519" s="407" t="s">
        <v>3237</v>
      </c>
      <c r="W1519" s="29">
        <v>6</v>
      </c>
    </row>
    <row r="1520" spans="1:23">
      <c r="A1520" s="134">
        <v>2593</v>
      </c>
      <c r="B1520" s="134">
        <v>16</v>
      </c>
      <c r="C1520" s="478">
        <v>1.5</v>
      </c>
      <c r="D1520" s="478">
        <v>7.12</v>
      </c>
      <c r="E1520" s="478">
        <v>24.38</v>
      </c>
      <c r="F1520" s="19" t="s">
        <v>4103</v>
      </c>
      <c r="G1520">
        <v>54</v>
      </c>
      <c r="H1520">
        <v>74.400000000000006</v>
      </c>
      <c r="I1520" s="217">
        <v>44776</v>
      </c>
      <c r="J1520" s="478" t="s">
        <v>3074</v>
      </c>
      <c r="K1520">
        <v>33.479999999999997</v>
      </c>
      <c r="L1520">
        <v>0.59</v>
      </c>
      <c r="Q1520" s="4" t="s">
        <v>3076</v>
      </c>
      <c r="T1520" s="478" t="s">
        <v>4067</v>
      </c>
      <c r="U1520" t="s">
        <v>4104</v>
      </c>
      <c r="V1520" s="407" t="s">
        <v>3025</v>
      </c>
      <c r="W1520" s="29">
        <v>5</v>
      </c>
    </row>
    <row r="1521" spans="1:24">
      <c r="A1521" s="134">
        <v>2291</v>
      </c>
      <c r="B1521" s="134">
        <v>16.399999999999999</v>
      </c>
      <c r="C1521" s="478">
        <v>1.51</v>
      </c>
      <c r="D1521" s="301">
        <v>7.15</v>
      </c>
      <c r="E1521" s="478">
        <v>24.38</v>
      </c>
      <c r="F1521" s="19" t="s">
        <v>4105</v>
      </c>
      <c r="G1521" s="478">
        <v>54</v>
      </c>
      <c r="H1521" s="478">
        <v>74.400000000000006</v>
      </c>
      <c r="I1521" s="217">
        <v>44776</v>
      </c>
      <c r="J1521" s="478" t="s">
        <v>3074</v>
      </c>
      <c r="K1521">
        <v>33.47</v>
      </c>
      <c r="L1521">
        <v>0.503</v>
      </c>
      <c r="Q1521" s="4" t="s">
        <v>3076</v>
      </c>
      <c r="T1521" s="478" t="s">
        <v>4067</v>
      </c>
      <c r="U1521" t="s">
        <v>4120</v>
      </c>
      <c r="V1521" s="407" t="s">
        <v>3065</v>
      </c>
      <c r="W1521" s="29">
        <v>7</v>
      </c>
    </row>
    <row r="1522" spans="1:24">
      <c r="A1522" s="134">
        <v>2176</v>
      </c>
      <c r="B1522" s="134">
        <v>16</v>
      </c>
      <c r="C1522" s="478">
        <v>1.53</v>
      </c>
      <c r="D1522" s="301">
        <v>7.11</v>
      </c>
      <c r="E1522" s="478">
        <v>24.42</v>
      </c>
      <c r="F1522" s="19" t="s">
        <v>4106</v>
      </c>
      <c r="G1522" s="478">
        <v>54</v>
      </c>
      <c r="H1522" s="478">
        <v>74.400000000000006</v>
      </c>
      <c r="I1522" s="217">
        <v>44776</v>
      </c>
      <c r="J1522" s="478" t="s">
        <v>3074</v>
      </c>
      <c r="K1522">
        <v>33.450000000000003</v>
      </c>
      <c r="L1522">
        <v>0.307</v>
      </c>
      <c r="Q1522" s="4" t="s">
        <v>3076</v>
      </c>
      <c r="T1522" s="62" t="s">
        <v>4067</v>
      </c>
      <c r="U1522" s="62" t="s">
        <v>4119</v>
      </c>
      <c r="V1522" s="10" t="s">
        <v>3277</v>
      </c>
      <c r="W1522" s="71">
        <v>6</v>
      </c>
      <c r="X1522" s="62"/>
    </row>
    <row r="1523" spans="1:24" ht="15.75">
      <c r="A1523" s="418">
        <v>2147</v>
      </c>
      <c r="B1523" s="134">
        <v>18</v>
      </c>
      <c r="C1523" s="301">
        <v>1.47</v>
      </c>
      <c r="D1523" s="301">
        <v>7.13</v>
      </c>
      <c r="E1523" s="301">
        <v>24.39</v>
      </c>
      <c r="F1523" s="534" t="s">
        <v>4107</v>
      </c>
      <c r="G1523" s="478">
        <v>51</v>
      </c>
      <c r="H1523" s="478">
        <v>75.5</v>
      </c>
      <c r="I1523" s="217">
        <v>44776</v>
      </c>
      <c r="J1523" s="478" t="s">
        <v>4026</v>
      </c>
      <c r="Q1523" s="4" t="s">
        <v>3076</v>
      </c>
      <c r="T1523" s="62" t="s">
        <v>4067</v>
      </c>
      <c r="U1523" s="537" t="s">
        <v>4108</v>
      </c>
      <c r="V1523" s="10" t="s">
        <v>3136</v>
      </c>
      <c r="W1523" s="71">
        <v>5</v>
      </c>
      <c r="X1523" s="62"/>
    </row>
    <row r="1524" spans="1:24" ht="15.75">
      <c r="A1524" s="134">
        <v>2528</v>
      </c>
      <c r="B1524" s="134">
        <v>17</v>
      </c>
      <c r="C1524">
        <v>1.48</v>
      </c>
      <c r="D1524" s="301">
        <v>7.12</v>
      </c>
      <c r="E1524" s="478">
        <v>24.29</v>
      </c>
      <c r="F1524" s="535" t="s">
        <v>4109</v>
      </c>
      <c r="G1524">
        <v>54</v>
      </c>
      <c r="H1524">
        <v>75.7</v>
      </c>
      <c r="I1524" s="217">
        <v>44777</v>
      </c>
      <c r="J1524" s="478" t="s">
        <v>4026</v>
      </c>
      <c r="K1524">
        <v>33.5</v>
      </c>
      <c r="L1524">
        <v>0.68200000000000005</v>
      </c>
      <c r="Q1524" s="4" t="s">
        <v>3076</v>
      </c>
      <c r="T1524" s="62" t="s">
        <v>4067</v>
      </c>
      <c r="U1524" s="62"/>
      <c r="V1524" s="10" t="s">
        <v>3237</v>
      </c>
      <c r="W1524" s="71">
        <v>5</v>
      </c>
      <c r="X1524" s="62"/>
    </row>
    <row r="1525" spans="1:24" ht="15.75">
      <c r="A1525" s="134">
        <v>2528</v>
      </c>
      <c r="B1525" s="134">
        <v>18.3</v>
      </c>
      <c r="C1525" s="478">
        <v>1.52</v>
      </c>
      <c r="D1525" s="301">
        <v>7.11</v>
      </c>
      <c r="E1525" s="478">
        <v>24.29</v>
      </c>
      <c r="F1525" s="543" t="s">
        <v>4112</v>
      </c>
      <c r="G1525">
        <v>56</v>
      </c>
      <c r="H1525">
        <v>75.7</v>
      </c>
      <c r="I1525" s="217">
        <v>44778</v>
      </c>
      <c r="J1525" s="478" t="s">
        <v>4026</v>
      </c>
      <c r="K1525">
        <v>33.42</v>
      </c>
      <c r="L1525">
        <v>0.35599999999999998</v>
      </c>
      <c r="Q1525" s="4" t="s">
        <v>3076</v>
      </c>
      <c r="T1525" s="478" t="s">
        <v>4067</v>
      </c>
      <c r="U1525" t="s">
        <v>4122</v>
      </c>
      <c r="V1525" s="407" t="s">
        <v>3053</v>
      </c>
      <c r="W1525" s="29">
        <v>5</v>
      </c>
    </row>
    <row r="1526" spans="1:24" ht="15.75">
      <c r="A1526" s="134">
        <v>2527</v>
      </c>
      <c r="B1526" s="134">
        <v>18</v>
      </c>
      <c r="C1526" s="478">
        <v>1.5</v>
      </c>
      <c r="D1526" s="478">
        <v>7.16</v>
      </c>
      <c r="E1526" s="478">
        <v>24.33</v>
      </c>
      <c r="F1526" s="535" t="s">
        <v>4110</v>
      </c>
      <c r="G1526">
        <v>54</v>
      </c>
      <c r="H1526">
        <v>75.7</v>
      </c>
      <c r="I1526" s="217">
        <v>44777</v>
      </c>
      <c r="J1526" s="478" t="s">
        <v>4026</v>
      </c>
      <c r="K1526">
        <v>33.5</v>
      </c>
      <c r="L1526">
        <v>0.255</v>
      </c>
      <c r="Q1526" s="4" t="s">
        <v>3076</v>
      </c>
      <c r="T1526" s="478" t="s">
        <v>4067</v>
      </c>
      <c r="V1526" s="407" t="s">
        <v>3224</v>
      </c>
    </row>
    <row r="1527" spans="1:24" ht="15.75">
      <c r="A1527" s="134">
        <v>2527</v>
      </c>
      <c r="B1527" s="134">
        <v>18</v>
      </c>
      <c r="C1527" s="478">
        <v>1.5</v>
      </c>
      <c r="D1527" s="478">
        <v>7.16</v>
      </c>
      <c r="E1527" s="478">
        <v>24.33</v>
      </c>
      <c r="F1527" s="542" t="s">
        <v>4111</v>
      </c>
      <c r="G1527">
        <v>57</v>
      </c>
      <c r="H1527">
        <v>75</v>
      </c>
      <c r="I1527" s="217">
        <v>44778</v>
      </c>
      <c r="J1527" s="478" t="s">
        <v>4026</v>
      </c>
      <c r="K1527">
        <v>33.46</v>
      </c>
      <c r="L1527">
        <v>0.19400000000000001</v>
      </c>
      <c r="Q1527" s="4" t="s">
        <v>3076</v>
      </c>
      <c r="T1527" s="478" t="s">
        <v>4067</v>
      </c>
      <c r="U1527" t="s">
        <v>4121</v>
      </c>
      <c r="V1527" s="407" t="s">
        <v>3024</v>
      </c>
      <c r="W1527" s="29">
        <v>7</v>
      </c>
    </row>
    <row r="1528" spans="1:24" ht="25.5" customHeight="1">
      <c r="A1528" s="136">
        <v>2595</v>
      </c>
      <c r="B1528" s="134">
        <v>17.8</v>
      </c>
      <c r="C1528" s="478">
        <v>1.51</v>
      </c>
      <c r="D1528" s="478">
        <v>7.13</v>
      </c>
      <c r="E1528" s="478">
        <v>24.4</v>
      </c>
      <c r="F1528" s="176" t="s">
        <v>4124</v>
      </c>
      <c r="G1528">
        <v>54</v>
      </c>
      <c r="H1528">
        <v>75</v>
      </c>
      <c r="I1528" s="217">
        <v>44803</v>
      </c>
      <c r="J1528" t="s">
        <v>3074</v>
      </c>
      <c r="Q1528" s="4" t="s">
        <v>3076</v>
      </c>
      <c r="T1528" s="478" t="s">
        <v>4067</v>
      </c>
    </row>
    <row r="1529" spans="1:24">
      <c r="A1529" s="136">
        <v>2595</v>
      </c>
      <c r="B1529" s="134">
        <v>17.8</v>
      </c>
      <c r="C1529" s="478">
        <v>1.51</v>
      </c>
      <c r="D1529" s="478">
        <v>7.13</v>
      </c>
      <c r="E1529" s="478">
        <v>24.4</v>
      </c>
      <c r="F1529" s="19" t="s">
        <v>4125</v>
      </c>
      <c r="G1529">
        <v>56</v>
      </c>
      <c r="H1529">
        <v>72.599999999999994</v>
      </c>
      <c r="I1529" s="217">
        <v>44804</v>
      </c>
      <c r="J1529" s="478" t="s">
        <v>3074</v>
      </c>
      <c r="K1529">
        <v>33.4</v>
      </c>
      <c r="L1529">
        <v>0.90100000000000002</v>
      </c>
      <c r="Q1529" s="4" t="s">
        <v>3076</v>
      </c>
      <c r="T1529" s="478" t="s">
        <v>4067</v>
      </c>
      <c r="U1529" t="s">
        <v>4156</v>
      </c>
      <c r="V1529" s="407" t="s">
        <v>3136</v>
      </c>
      <c r="W1529" s="29">
        <v>9</v>
      </c>
    </row>
    <row r="1530" spans="1:24">
      <c r="A1530" s="277">
        <v>2597</v>
      </c>
      <c r="B1530" s="134">
        <v>17.2</v>
      </c>
      <c r="C1530" s="478">
        <v>1.5</v>
      </c>
      <c r="D1530" s="478">
        <v>7.11</v>
      </c>
      <c r="E1530" s="478">
        <v>24.34</v>
      </c>
      <c r="F1530" s="19" t="s">
        <v>4126</v>
      </c>
      <c r="G1530" s="478">
        <v>56</v>
      </c>
      <c r="H1530" s="478">
        <v>72.599999999999994</v>
      </c>
      <c r="I1530" s="217">
        <v>44804</v>
      </c>
      <c r="J1530" s="478" t="s">
        <v>3074</v>
      </c>
      <c r="K1530">
        <v>33.479999999999997</v>
      </c>
      <c r="L1530">
        <v>0.55100000000000005</v>
      </c>
      <c r="Q1530" s="4" t="s">
        <v>3076</v>
      </c>
      <c r="T1530" s="478" t="s">
        <v>4067</v>
      </c>
      <c r="U1530" s="478" t="s">
        <v>4154</v>
      </c>
      <c r="V1530" s="407" t="s">
        <v>3208</v>
      </c>
      <c r="W1530" s="29">
        <v>4</v>
      </c>
    </row>
    <row r="1531" spans="1:24">
      <c r="A1531" s="136">
        <v>2602</v>
      </c>
      <c r="B1531" s="134">
        <v>16.8</v>
      </c>
      <c r="C1531" s="478">
        <v>1.49</v>
      </c>
      <c r="D1531" s="478">
        <v>7.07</v>
      </c>
      <c r="E1531" s="478">
        <v>24.4</v>
      </c>
      <c r="F1531" s="19" t="s">
        <v>4135</v>
      </c>
      <c r="G1531">
        <v>52</v>
      </c>
      <c r="H1531">
        <v>74.8</v>
      </c>
      <c r="I1531" s="217">
        <v>44804</v>
      </c>
      <c r="J1531" s="478" t="s">
        <v>3074</v>
      </c>
      <c r="K1531">
        <v>33.409999999999997</v>
      </c>
      <c r="L1531">
        <v>0.56299999999999994</v>
      </c>
      <c r="Q1531" s="4" t="s">
        <v>3076</v>
      </c>
      <c r="T1531" s="478" t="s">
        <v>4067</v>
      </c>
      <c r="U1531" s="478" t="s">
        <v>4127</v>
      </c>
      <c r="V1531" s="407" t="s">
        <v>3086</v>
      </c>
      <c r="W1531" s="29">
        <v>7</v>
      </c>
    </row>
    <row r="1532" spans="1:24">
      <c r="A1532" s="136">
        <v>2530</v>
      </c>
      <c r="B1532" s="134">
        <v>16.399999999999999</v>
      </c>
      <c r="C1532" s="478">
        <v>1.49</v>
      </c>
      <c r="D1532" s="478">
        <v>7.12</v>
      </c>
      <c r="E1532" s="478">
        <v>24.31</v>
      </c>
      <c r="F1532" s="176" t="s">
        <v>4136</v>
      </c>
      <c r="G1532" s="478">
        <v>52</v>
      </c>
      <c r="H1532" s="478">
        <v>74.8</v>
      </c>
      <c r="I1532" s="217">
        <v>44804</v>
      </c>
      <c r="J1532" s="478" t="s">
        <v>3074</v>
      </c>
      <c r="K1532">
        <v>33.46</v>
      </c>
      <c r="L1532">
        <v>0.48399999999999999</v>
      </c>
      <c r="Q1532" s="4" t="s">
        <v>3076</v>
      </c>
      <c r="T1532" s="478" t="s">
        <v>4067</v>
      </c>
      <c r="U1532" s="478" t="s">
        <v>4137</v>
      </c>
    </row>
    <row r="1533" spans="1:24">
      <c r="A1533" s="136">
        <v>2529</v>
      </c>
      <c r="B1533" s="134">
        <v>18.399999999999999</v>
      </c>
      <c r="C1533" s="478">
        <v>1.5</v>
      </c>
      <c r="D1533" s="478">
        <v>7.11</v>
      </c>
      <c r="E1533" s="478">
        <v>24.34</v>
      </c>
      <c r="F1533" s="19" t="s">
        <v>4138</v>
      </c>
      <c r="G1533">
        <v>49</v>
      </c>
      <c r="H1533">
        <v>71.7</v>
      </c>
      <c r="I1533" s="217">
        <v>44805</v>
      </c>
      <c r="J1533" s="478" t="s">
        <v>3074</v>
      </c>
      <c r="K1533">
        <v>33.520000000000003</v>
      </c>
      <c r="L1533">
        <v>0.33600000000000002</v>
      </c>
      <c r="Q1533" s="4" t="s">
        <v>3076</v>
      </c>
      <c r="T1533" s="478" t="s">
        <v>4067</v>
      </c>
      <c r="U1533" s="478" t="s">
        <v>4155</v>
      </c>
      <c r="V1533" s="407" t="s">
        <v>3053</v>
      </c>
      <c r="W1533" s="29">
        <v>9</v>
      </c>
    </row>
    <row r="1534" spans="1:24">
      <c r="A1534" s="136">
        <v>2600</v>
      </c>
      <c r="B1534" s="134">
        <v>18.399999999999999</v>
      </c>
      <c r="C1534" s="478">
        <v>1.49</v>
      </c>
      <c r="D1534" s="478">
        <v>7.12</v>
      </c>
      <c r="E1534" s="478">
        <v>24.36</v>
      </c>
      <c r="F1534" s="19" t="s">
        <v>4139</v>
      </c>
      <c r="G1534" s="478">
        <v>49</v>
      </c>
      <c r="H1534" s="478">
        <v>71.7</v>
      </c>
      <c r="I1534" s="217">
        <v>44805</v>
      </c>
      <c r="J1534" s="478" t="s">
        <v>3074</v>
      </c>
      <c r="K1534">
        <v>33.49</v>
      </c>
      <c r="L1534">
        <v>0.85799999999999998</v>
      </c>
      <c r="Q1534" s="4" t="s">
        <v>3076</v>
      </c>
      <c r="T1534" s="478" t="s">
        <v>4067</v>
      </c>
      <c r="U1534" s="478" t="s">
        <v>4157</v>
      </c>
      <c r="V1534" s="407" t="s">
        <v>3026</v>
      </c>
      <c r="W1534" s="29">
        <v>4</v>
      </c>
    </row>
    <row r="1535" spans="1:24" ht="17.25" customHeight="1">
      <c r="A1535" s="136">
        <v>1746</v>
      </c>
      <c r="B1535" s="134">
        <v>18.8</v>
      </c>
      <c r="C1535" s="478">
        <v>1.49</v>
      </c>
      <c r="D1535" s="478">
        <v>7.12</v>
      </c>
      <c r="E1535" s="478">
        <v>24.42</v>
      </c>
      <c r="F1535" s="552" t="s">
        <v>4140</v>
      </c>
      <c r="G1535">
        <v>42</v>
      </c>
      <c r="H1535">
        <v>74.3</v>
      </c>
      <c r="I1535" s="217">
        <v>44805</v>
      </c>
      <c r="J1535" s="478" t="s">
        <v>4026</v>
      </c>
      <c r="K1535" s="63">
        <v>33.479999999999997</v>
      </c>
      <c r="L1535" s="63">
        <v>0.23</v>
      </c>
      <c r="Q1535" s="4" t="s">
        <v>3076</v>
      </c>
      <c r="T1535" s="478" t="s">
        <v>4067</v>
      </c>
      <c r="U1535" t="s">
        <v>4161</v>
      </c>
      <c r="V1535" s="407" t="s">
        <v>3013</v>
      </c>
      <c r="W1535" s="29">
        <v>4</v>
      </c>
    </row>
    <row r="1536" spans="1:24">
      <c r="A1536" s="136">
        <v>2598</v>
      </c>
      <c r="B1536" s="134">
        <v>18</v>
      </c>
      <c r="C1536" s="478">
        <v>1.51</v>
      </c>
      <c r="D1536" s="478">
        <v>7.1</v>
      </c>
      <c r="E1536" s="478">
        <v>24.4</v>
      </c>
      <c r="F1536" s="547" t="s">
        <v>4141</v>
      </c>
      <c r="G1536">
        <v>48</v>
      </c>
      <c r="H1536">
        <v>72.099999999999994</v>
      </c>
      <c r="I1536" s="217">
        <v>44806</v>
      </c>
      <c r="J1536" s="478" t="s">
        <v>4026</v>
      </c>
      <c r="K1536" s="63">
        <v>33.49</v>
      </c>
      <c r="L1536" s="63">
        <v>0.79700000000000004</v>
      </c>
      <c r="Q1536" s="4" t="s">
        <v>3076</v>
      </c>
      <c r="T1536" s="478" t="s">
        <v>4067</v>
      </c>
      <c r="U1536" t="s">
        <v>4142</v>
      </c>
      <c r="V1536" s="407" t="s">
        <v>3559</v>
      </c>
      <c r="W1536" s="29">
        <v>4</v>
      </c>
    </row>
    <row r="1537" spans="1:23">
      <c r="A1537" s="136">
        <v>2596</v>
      </c>
      <c r="B1537" s="134">
        <v>16.399999999999999</v>
      </c>
      <c r="C1537" s="478">
        <v>1.49</v>
      </c>
      <c r="D1537" s="478">
        <v>7.12</v>
      </c>
      <c r="E1537" s="478">
        <v>24.29</v>
      </c>
      <c r="F1537" s="545" t="s">
        <v>4143</v>
      </c>
      <c r="G1537" s="63">
        <v>55</v>
      </c>
      <c r="H1537" s="63">
        <v>74.099999999999994</v>
      </c>
      <c r="I1537" s="217">
        <v>44810</v>
      </c>
      <c r="J1537" s="478" t="s">
        <v>4026</v>
      </c>
      <c r="K1537" s="478"/>
      <c r="L1537" s="478"/>
      <c r="M1537" s="478"/>
      <c r="N1537" s="478"/>
      <c r="Q1537" s="4" t="s">
        <v>3076</v>
      </c>
      <c r="T1537" s="478" t="s">
        <v>4067</v>
      </c>
      <c r="V1537" s="407" t="s">
        <v>3159</v>
      </c>
    </row>
    <row r="1538" spans="1:23" s="478" customFormat="1">
      <c r="A1538" s="136">
        <v>2596</v>
      </c>
      <c r="B1538" s="134">
        <v>16.399999999999999</v>
      </c>
      <c r="C1538" s="478">
        <v>1.49</v>
      </c>
      <c r="D1538" s="478">
        <v>7.12</v>
      </c>
      <c r="E1538" s="478">
        <v>24.29</v>
      </c>
      <c r="F1538" s="546" t="s">
        <v>4145</v>
      </c>
      <c r="G1538" s="63">
        <v>54</v>
      </c>
      <c r="H1538" s="63">
        <v>74.3</v>
      </c>
      <c r="I1538" s="217">
        <v>44811</v>
      </c>
      <c r="J1538" s="478" t="s">
        <v>4026</v>
      </c>
      <c r="Q1538" s="4"/>
      <c r="T1538" s="478" t="s">
        <v>4067</v>
      </c>
      <c r="V1538" s="544"/>
      <c r="W1538" s="29"/>
    </row>
    <row r="1539" spans="1:23" s="478" customFormat="1">
      <c r="A1539" s="136">
        <v>2596</v>
      </c>
      <c r="B1539" s="134">
        <v>16.399999999999999</v>
      </c>
      <c r="C1539" s="478">
        <v>1.49</v>
      </c>
      <c r="D1539" s="478">
        <v>7.12</v>
      </c>
      <c r="E1539" s="478">
        <v>24.29</v>
      </c>
      <c r="F1539" s="551" t="s">
        <v>4146</v>
      </c>
      <c r="G1539" s="63">
        <v>52</v>
      </c>
      <c r="H1539" s="63">
        <v>75.2</v>
      </c>
      <c r="I1539" s="217">
        <v>44811</v>
      </c>
      <c r="J1539" s="478" t="s">
        <v>4026</v>
      </c>
      <c r="K1539" s="63">
        <v>33.450000000000003</v>
      </c>
      <c r="L1539" s="63">
        <v>0.32700000000000001</v>
      </c>
      <c r="Q1539" s="4" t="s">
        <v>3076</v>
      </c>
      <c r="T1539" s="478" t="s">
        <v>4067</v>
      </c>
      <c r="U1539" s="478" t="s">
        <v>4162</v>
      </c>
      <c r="V1539" s="544" t="s">
        <v>3208</v>
      </c>
      <c r="W1539" s="29">
        <v>10</v>
      </c>
    </row>
    <row r="1540" spans="1:23">
      <c r="A1540" s="136">
        <v>2603</v>
      </c>
      <c r="B1540" s="134">
        <v>18</v>
      </c>
      <c r="C1540" s="478">
        <v>1.48</v>
      </c>
      <c r="D1540" s="478">
        <v>7.09</v>
      </c>
      <c r="E1540" s="478">
        <v>24.41</v>
      </c>
      <c r="F1540" s="550" t="s">
        <v>4144</v>
      </c>
      <c r="G1540" s="63">
        <v>54</v>
      </c>
      <c r="H1540" s="63">
        <v>74.3</v>
      </c>
      <c r="I1540" s="217">
        <v>44811</v>
      </c>
      <c r="J1540" s="478" t="s">
        <v>4026</v>
      </c>
      <c r="K1540">
        <v>33.49</v>
      </c>
      <c r="L1540">
        <v>0.104</v>
      </c>
      <c r="Q1540" s="4" t="s">
        <v>3076</v>
      </c>
      <c r="T1540" s="478" t="s">
        <v>4067</v>
      </c>
      <c r="U1540" t="s">
        <v>4154</v>
      </c>
      <c r="V1540" s="407" t="s">
        <v>3027</v>
      </c>
      <c r="W1540" s="29">
        <v>10</v>
      </c>
    </row>
    <row r="1541" spans="1:23">
      <c r="A1541" s="134">
        <v>2601</v>
      </c>
      <c r="B1541" s="134">
        <v>18.8</v>
      </c>
      <c r="C1541" s="478">
        <v>1.52</v>
      </c>
      <c r="D1541" s="478">
        <v>7.11</v>
      </c>
      <c r="E1541" s="478">
        <v>24.36</v>
      </c>
      <c r="F1541" s="176" t="s">
        <v>4158</v>
      </c>
      <c r="G1541" s="478">
        <v>38</v>
      </c>
      <c r="H1541" s="478" t="s">
        <v>1678</v>
      </c>
      <c r="I1541" s="217">
        <v>44833</v>
      </c>
      <c r="J1541" s="478" t="s">
        <v>3074</v>
      </c>
      <c r="T1541" s="478" t="s">
        <v>4067</v>
      </c>
    </row>
    <row r="1542" spans="1:23">
      <c r="A1542" s="134">
        <v>2601</v>
      </c>
      <c r="B1542" s="134">
        <v>18.8</v>
      </c>
      <c r="C1542" s="478">
        <v>1.52</v>
      </c>
      <c r="D1542" s="478">
        <v>7.11</v>
      </c>
      <c r="E1542" s="478">
        <v>24.36</v>
      </c>
      <c r="F1542" s="176" t="s">
        <v>4159</v>
      </c>
      <c r="G1542" s="478">
        <v>38</v>
      </c>
      <c r="H1542" s="478">
        <v>71.900000000000006</v>
      </c>
      <c r="I1542" s="217">
        <v>44833</v>
      </c>
      <c r="J1542" s="478" t="s">
        <v>3074</v>
      </c>
      <c r="T1542" s="478" t="s">
        <v>4067</v>
      </c>
    </row>
    <row r="1543" spans="1:23">
      <c r="A1543" s="134">
        <v>2601</v>
      </c>
      <c r="B1543" s="134">
        <v>18.8</v>
      </c>
      <c r="C1543" s="478">
        <v>1.52</v>
      </c>
      <c r="D1543" s="478">
        <v>7.11</v>
      </c>
      <c r="E1543" s="478">
        <v>24.36</v>
      </c>
      <c r="F1543" s="560" t="s">
        <v>4160</v>
      </c>
      <c r="G1543" s="478">
        <v>38</v>
      </c>
      <c r="H1543" s="478">
        <v>71.900000000000006</v>
      </c>
      <c r="I1543" s="217">
        <v>44833</v>
      </c>
      <c r="J1543" s="478" t="s">
        <v>3074</v>
      </c>
      <c r="K1543">
        <v>33.42</v>
      </c>
      <c r="L1543">
        <v>8.5000000000000006E-2</v>
      </c>
      <c r="Q1543" s="4" t="s">
        <v>3076</v>
      </c>
      <c r="T1543" s="478" t="s">
        <v>4067</v>
      </c>
      <c r="U1543" t="s">
        <v>4163</v>
      </c>
      <c r="V1543" s="407" t="s">
        <v>3025</v>
      </c>
      <c r="W1543" s="29">
        <v>10</v>
      </c>
    </row>
    <row r="1544" spans="1:23" ht="30.75" customHeight="1">
      <c r="A1544" s="134">
        <v>2599</v>
      </c>
      <c r="B1544" s="134">
        <v>17.2</v>
      </c>
      <c r="C1544" s="134">
        <v>1.49</v>
      </c>
      <c r="D1544" s="478">
        <v>7.09</v>
      </c>
      <c r="E1544" s="478">
        <v>24.35</v>
      </c>
      <c r="F1544" s="19" t="s">
        <v>4167</v>
      </c>
      <c r="G1544">
        <v>33</v>
      </c>
      <c r="H1544">
        <v>73.900000000000006</v>
      </c>
      <c r="I1544" s="217">
        <v>44838</v>
      </c>
      <c r="J1544" t="s">
        <v>4026</v>
      </c>
      <c r="K1544">
        <v>33.299999999999997</v>
      </c>
      <c r="L1544">
        <v>0.66900000000000004</v>
      </c>
      <c r="Q1544" s="4" t="s">
        <v>3076</v>
      </c>
      <c r="T1544" s="478" t="s">
        <v>4067</v>
      </c>
      <c r="U1544" t="s">
        <v>4175</v>
      </c>
      <c r="V1544" s="407" t="s">
        <v>3157</v>
      </c>
      <c r="W1544" s="29">
        <v>7</v>
      </c>
    </row>
    <row r="1545" spans="1:23">
      <c r="A1545" s="134">
        <v>2606</v>
      </c>
      <c r="B1545" s="134">
        <v>18.399999999999999</v>
      </c>
      <c r="C1545" s="478">
        <v>1.49</v>
      </c>
      <c r="D1545" s="478">
        <v>7.1</v>
      </c>
      <c r="E1545" s="478">
        <v>24.38</v>
      </c>
      <c r="F1545" s="176" t="s">
        <v>4164</v>
      </c>
      <c r="G1545">
        <v>25</v>
      </c>
      <c r="H1545">
        <v>74.400000000000006</v>
      </c>
      <c r="I1545" s="217">
        <v>44838</v>
      </c>
      <c r="J1545" s="478" t="s">
        <v>4026</v>
      </c>
      <c r="Q1545" s="4" t="s">
        <v>3076</v>
      </c>
      <c r="T1545" s="478" t="s">
        <v>4067</v>
      </c>
    </row>
    <row r="1546" spans="1:23">
      <c r="A1546" s="134">
        <v>2606</v>
      </c>
      <c r="B1546" s="134">
        <v>18.399999999999999</v>
      </c>
      <c r="C1546" s="478">
        <v>1.49</v>
      </c>
      <c r="D1546" s="478">
        <v>7.1</v>
      </c>
      <c r="E1546" s="478">
        <v>24.38</v>
      </c>
      <c r="F1546" s="249" t="s">
        <v>4165</v>
      </c>
      <c r="G1546">
        <v>34</v>
      </c>
      <c r="H1546">
        <v>72</v>
      </c>
      <c r="I1546" s="217">
        <v>44839</v>
      </c>
      <c r="J1546" s="478" t="s">
        <v>4026</v>
      </c>
      <c r="K1546">
        <v>33.4</v>
      </c>
      <c r="L1546">
        <v>0.32400000000000001</v>
      </c>
      <c r="Q1546" s="4" t="s">
        <v>3076</v>
      </c>
      <c r="T1546" s="478" t="s">
        <v>4067</v>
      </c>
      <c r="U1546" t="s">
        <v>4179</v>
      </c>
      <c r="V1546" s="407" t="s">
        <v>3700</v>
      </c>
      <c r="W1546" s="29">
        <v>5</v>
      </c>
    </row>
    <row r="1547" spans="1:23">
      <c r="A1547" s="134">
        <v>2531</v>
      </c>
      <c r="B1547" s="134">
        <v>18.8</v>
      </c>
      <c r="C1547" s="478">
        <v>1.5</v>
      </c>
      <c r="D1547" s="478">
        <v>7.17</v>
      </c>
      <c r="E1547" s="478">
        <v>24.36</v>
      </c>
      <c r="F1547" s="218" t="s">
        <v>4166</v>
      </c>
      <c r="G1547">
        <v>36</v>
      </c>
      <c r="H1547">
        <v>74.099999999999994</v>
      </c>
      <c r="I1547" s="217">
        <v>44839</v>
      </c>
      <c r="J1547" s="478" t="s">
        <v>4026</v>
      </c>
      <c r="K1547">
        <v>33.549999999999997</v>
      </c>
      <c r="L1547">
        <v>0.29899999999999999</v>
      </c>
      <c r="Q1547" s="4" t="s">
        <v>3076</v>
      </c>
      <c r="T1547" s="478" t="s">
        <v>4067</v>
      </c>
      <c r="U1547" s="478" t="s">
        <v>4180</v>
      </c>
      <c r="V1547" s="407" t="s">
        <v>3134</v>
      </c>
      <c r="W1547" s="29">
        <v>5</v>
      </c>
    </row>
    <row r="1548" spans="1:23">
      <c r="A1548" s="134">
        <v>2605</v>
      </c>
      <c r="B1548" s="134">
        <v>17.600000000000001</v>
      </c>
      <c r="C1548" s="478">
        <v>1.5</v>
      </c>
      <c r="D1548" s="478">
        <v>7.13</v>
      </c>
      <c r="E1548" s="478">
        <v>24.34</v>
      </c>
      <c r="F1548" s="176" t="s">
        <v>4168</v>
      </c>
      <c r="G1548">
        <v>41</v>
      </c>
      <c r="H1548">
        <v>74.599999999999994</v>
      </c>
      <c r="I1548" s="217">
        <v>44839</v>
      </c>
      <c r="J1548" s="478" t="s">
        <v>4026</v>
      </c>
      <c r="T1548" s="478" t="s">
        <v>4067</v>
      </c>
    </row>
    <row r="1549" spans="1:23">
      <c r="A1549" s="134">
        <v>2605</v>
      </c>
      <c r="B1549" s="134">
        <v>17.600000000000001</v>
      </c>
      <c r="C1549" s="478">
        <v>1.5</v>
      </c>
      <c r="D1549" s="478">
        <v>7.13</v>
      </c>
      <c r="E1549" s="478">
        <v>24.34</v>
      </c>
      <c r="F1549" s="19" t="s">
        <v>4169</v>
      </c>
      <c r="G1549" s="478">
        <v>41</v>
      </c>
      <c r="H1549" s="478">
        <v>74.599999999999994</v>
      </c>
      <c r="I1549" s="217">
        <v>44839</v>
      </c>
      <c r="J1549" s="478" t="s">
        <v>4026</v>
      </c>
      <c r="K1549">
        <v>33.46</v>
      </c>
      <c r="L1549">
        <v>0.52200000000000002</v>
      </c>
      <c r="Q1549" s="4" t="s">
        <v>3076</v>
      </c>
      <c r="T1549" s="478" t="s">
        <v>4067</v>
      </c>
      <c r="U1549" t="s">
        <v>4178</v>
      </c>
      <c r="V1549" s="407" t="s">
        <v>3175</v>
      </c>
      <c r="W1549" s="29">
        <v>2</v>
      </c>
    </row>
    <row r="1550" spans="1:23">
      <c r="A1550" s="134">
        <v>2534</v>
      </c>
      <c r="B1550" s="134">
        <v>17.600000000000001</v>
      </c>
      <c r="C1550" s="478">
        <v>1.5</v>
      </c>
      <c r="D1550" s="478">
        <v>7.12</v>
      </c>
      <c r="E1550" s="478">
        <v>24.36</v>
      </c>
      <c r="F1550" s="560" t="s">
        <v>4171</v>
      </c>
      <c r="G1550">
        <v>41</v>
      </c>
      <c r="H1550">
        <v>73.7</v>
      </c>
      <c r="I1550" s="217">
        <v>44840</v>
      </c>
      <c r="J1550" s="478" t="s">
        <v>4026</v>
      </c>
      <c r="K1550">
        <v>33.47</v>
      </c>
      <c r="L1550">
        <v>0.72299999999999998</v>
      </c>
      <c r="Q1550" s="4" t="s">
        <v>3076</v>
      </c>
      <c r="T1550" s="478" t="s">
        <v>4067</v>
      </c>
      <c r="U1550" t="s">
        <v>4170</v>
      </c>
      <c r="V1550" s="407" t="s">
        <v>3559</v>
      </c>
      <c r="W1550" s="29">
        <v>6</v>
      </c>
    </row>
    <row r="1551" spans="1:23">
      <c r="A1551" s="134">
        <v>2604</v>
      </c>
      <c r="B1551" s="134">
        <v>18.399999999999999</v>
      </c>
      <c r="C1551" s="478">
        <v>1.5</v>
      </c>
      <c r="D1551" s="478">
        <v>7.13</v>
      </c>
      <c r="E1551" s="478">
        <v>24.32</v>
      </c>
      <c r="F1551" s="249" t="s">
        <v>4172</v>
      </c>
      <c r="G1551">
        <v>45</v>
      </c>
      <c r="H1551" s="478">
        <v>73.7</v>
      </c>
      <c r="I1551" s="217">
        <v>44840</v>
      </c>
      <c r="J1551" s="478" t="s">
        <v>4026</v>
      </c>
      <c r="K1551">
        <v>33.479999999999997</v>
      </c>
      <c r="L1551">
        <v>0.44600000000000001</v>
      </c>
      <c r="Q1551" s="4" t="s">
        <v>3076</v>
      </c>
      <c r="T1551" s="478" t="s">
        <v>4067</v>
      </c>
      <c r="U1551" t="s">
        <v>4429</v>
      </c>
      <c r="V1551" s="407" t="s">
        <v>3053</v>
      </c>
      <c r="W1551" s="29">
        <v>1</v>
      </c>
    </row>
    <row r="1552" spans="1:23">
      <c r="A1552" s="134">
        <v>2532</v>
      </c>
      <c r="B1552" s="134">
        <v>18</v>
      </c>
      <c r="C1552" s="478">
        <v>1.51</v>
      </c>
      <c r="D1552" s="478">
        <v>7.13</v>
      </c>
      <c r="E1552" s="478">
        <v>24.34</v>
      </c>
      <c r="F1552" s="19" t="s">
        <v>4173</v>
      </c>
      <c r="G1552">
        <v>37</v>
      </c>
      <c r="H1552">
        <v>73</v>
      </c>
      <c r="I1552" s="217">
        <v>44841</v>
      </c>
      <c r="J1552" s="478" t="s">
        <v>4026</v>
      </c>
      <c r="K1552">
        <v>33.47</v>
      </c>
      <c r="L1552">
        <v>0.80200000000000005</v>
      </c>
      <c r="Q1552" s="4" t="s">
        <v>3076</v>
      </c>
      <c r="T1552" s="478" t="s">
        <v>4067</v>
      </c>
      <c r="U1552" t="s">
        <v>4428</v>
      </c>
      <c r="V1552" s="407" t="s">
        <v>3053</v>
      </c>
      <c r="W1552" s="29">
        <v>2</v>
      </c>
    </row>
    <row r="1553" spans="1:23" ht="36" customHeight="1">
      <c r="A1553" s="134">
        <v>2617</v>
      </c>
      <c r="B1553" s="134">
        <v>18.399999999999999</v>
      </c>
      <c r="C1553" s="478">
        <v>1.5</v>
      </c>
      <c r="D1553" s="478">
        <v>7.09</v>
      </c>
      <c r="E1553" s="478">
        <v>24.41</v>
      </c>
      <c r="F1553" s="469" t="s">
        <v>4181</v>
      </c>
      <c r="G1553" s="63">
        <v>42</v>
      </c>
      <c r="H1553" s="63">
        <v>76.400000000000006</v>
      </c>
      <c r="I1553" s="217">
        <v>44861</v>
      </c>
      <c r="J1553" s="478" t="s">
        <v>4026</v>
      </c>
      <c r="K1553" s="63">
        <v>33.450000000000003</v>
      </c>
      <c r="L1553">
        <v>0.64300000000000002</v>
      </c>
      <c r="Q1553" s="4" t="s">
        <v>3076</v>
      </c>
      <c r="T1553" s="478" t="s">
        <v>4067</v>
      </c>
      <c r="U1553" t="s">
        <v>4182</v>
      </c>
      <c r="V1553" s="553" t="s">
        <v>3025</v>
      </c>
      <c r="W1553" s="29" t="s">
        <v>4183</v>
      </c>
    </row>
    <row r="1554" spans="1:23">
      <c r="A1554" s="134">
        <v>2616</v>
      </c>
      <c r="B1554" s="134">
        <v>18.8</v>
      </c>
      <c r="C1554" s="478">
        <v>1.5</v>
      </c>
      <c r="D1554" s="478">
        <v>7.11</v>
      </c>
      <c r="E1554" s="478">
        <v>24.36</v>
      </c>
      <c r="F1554" s="270" t="s">
        <v>4184</v>
      </c>
      <c r="G1554" s="63">
        <v>32</v>
      </c>
      <c r="H1554" s="63">
        <v>73.5</v>
      </c>
      <c r="I1554" s="217">
        <v>44862</v>
      </c>
      <c r="J1554" s="478" t="s">
        <v>4026</v>
      </c>
      <c r="K1554" s="63">
        <v>33.369999999999997</v>
      </c>
      <c r="L1554" s="63">
        <v>0.65800000000000003</v>
      </c>
      <c r="Q1554" s="4" t="s">
        <v>3076</v>
      </c>
      <c r="T1554" s="478" t="s">
        <v>4067</v>
      </c>
      <c r="U1554" t="s">
        <v>4185</v>
      </c>
      <c r="V1554" s="553" t="s">
        <v>3948</v>
      </c>
      <c r="W1554" s="29">
        <v>2</v>
      </c>
    </row>
    <row r="1555" spans="1:23">
      <c r="A1555" s="134">
        <v>2619</v>
      </c>
      <c r="B1555" s="134">
        <v>18</v>
      </c>
      <c r="C1555" s="478">
        <v>1.48</v>
      </c>
      <c r="D1555" s="478">
        <v>7.12</v>
      </c>
      <c r="E1555" s="478">
        <v>24.36</v>
      </c>
      <c r="F1555" s="176" t="s">
        <v>4186</v>
      </c>
      <c r="G1555" s="63">
        <v>27</v>
      </c>
      <c r="H1555" s="63">
        <v>74.099999999999994</v>
      </c>
      <c r="I1555" s="217">
        <v>44862</v>
      </c>
      <c r="J1555" s="478" t="s">
        <v>4026</v>
      </c>
      <c r="K1555" s="63"/>
      <c r="L1555" s="63"/>
      <c r="Q1555" s="4" t="s">
        <v>3076</v>
      </c>
      <c r="T1555" s="478" t="s">
        <v>4067</v>
      </c>
      <c r="U1555" t="s">
        <v>4187</v>
      </c>
      <c r="V1555" s="553"/>
    </row>
    <row r="1556" spans="1:23">
      <c r="A1556" s="134">
        <v>2619</v>
      </c>
      <c r="B1556" s="134">
        <v>18</v>
      </c>
      <c r="C1556" s="478">
        <v>1.48</v>
      </c>
      <c r="D1556" s="478">
        <v>7.12</v>
      </c>
      <c r="E1556" s="478">
        <v>24.36</v>
      </c>
      <c r="F1556" s="249" t="s">
        <v>4188</v>
      </c>
      <c r="G1556" s="63">
        <v>24</v>
      </c>
      <c r="H1556" s="63">
        <v>72.8</v>
      </c>
      <c r="I1556" s="217">
        <v>44863</v>
      </c>
      <c r="J1556" s="478" t="s">
        <v>4026</v>
      </c>
      <c r="K1556" s="63">
        <v>33.450000000000003</v>
      </c>
      <c r="L1556" s="63">
        <v>0.60899999999999999</v>
      </c>
      <c r="Q1556" s="4" t="s">
        <v>3076</v>
      </c>
      <c r="T1556" s="478" t="s">
        <v>4067</v>
      </c>
      <c r="U1556" t="s">
        <v>4208</v>
      </c>
      <c r="V1556" s="553" t="s">
        <v>3166</v>
      </c>
      <c r="W1556" s="29">
        <v>2</v>
      </c>
    </row>
    <row r="1557" spans="1:23" ht="12.75" customHeight="1">
      <c r="A1557" s="134">
        <v>2620</v>
      </c>
      <c r="B1557" s="134">
        <v>18</v>
      </c>
      <c r="C1557" s="478">
        <v>1.5</v>
      </c>
      <c r="D1557" s="478">
        <v>7.09</v>
      </c>
      <c r="E1557" s="478">
        <v>24.33</v>
      </c>
      <c r="F1557" s="176" t="s">
        <v>4189</v>
      </c>
      <c r="G1557" s="63">
        <v>24</v>
      </c>
      <c r="H1557" s="63">
        <v>72.8</v>
      </c>
      <c r="I1557" s="217">
        <v>44863</v>
      </c>
      <c r="J1557" s="478" t="s">
        <v>4026</v>
      </c>
      <c r="K1557" s="63">
        <v>33.4</v>
      </c>
      <c r="L1557" s="63">
        <v>0.2</v>
      </c>
      <c r="Q1557" s="4" t="s">
        <v>3076</v>
      </c>
      <c r="T1557" s="478" t="s">
        <v>4067</v>
      </c>
      <c r="U1557" t="s">
        <v>4190</v>
      </c>
      <c r="V1557" s="553" t="s">
        <v>3053</v>
      </c>
      <c r="W1557" s="29">
        <v>2</v>
      </c>
    </row>
    <row r="1558" spans="1:23">
      <c r="A1558" s="134">
        <v>2618</v>
      </c>
      <c r="B1558" s="134">
        <v>17.2</v>
      </c>
      <c r="C1558" s="478">
        <v>1.51</v>
      </c>
      <c r="D1558" s="478">
        <v>7.1</v>
      </c>
      <c r="E1558" s="478">
        <v>24.38</v>
      </c>
      <c r="F1558" s="176" t="s">
        <v>4191</v>
      </c>
      <c r="G1558" s="63">
        <v>48</v>
      </c>
      <c r="H1558" s="63">
        <v>72.3</v>
      </c>
      <c r="I1558" s="217">
        <v>44866</v>
      </c>
      <c r="J1558" s="478" t="s">
        <v>4026</v>
      </c>
      <c r="Q1558" s="4" t="s">
        <v>3076</v>
      </c>
      <c r="T1558" s="478" t="s">
        <v>4067</v>
      </c>
      <c r="V1558" s="553" t="s">
        <v>4192</v>
      </c>
    </row>
    <row r="1559" spans="1:23">
      <c r="A1559" s="134">
        <v>2621</v>
      </c>
      <c r="B1559" s="134">
        <v>18.399999999999999</v>
      </c>
      <c r="C1559" s="478">
        <v>1.5</v>
      </c>
      <c r="D1559" s="478">
        <v>7.11</v>
      </c>
      <c r="E1559" s="478">
        <v>24.36</v>
      </c>
      <c r="F1559" s="249" t="s">
        <v>4193</v>
      </c>
      <c r="G1559" s="63">
        <v>47</v>
      </c>
      <c r="H1559" s="63">
        <v>74.3</v>
      </c>
      <c r="I1559" s="217">
        <v>44866</v>
      </c>
      <c r="J1559" s="478" t="s">
        <v>4026</v>
      </c>
      <c r="K1559">
        <v>33.4</v>
      </c>
      <c r="L1559">
        <v>0.86</v>
      </c>
      <c r="Q1559" s="4" t="s">
        <v>3076</v>
      </c>
      <c r="T1559" s="478" t="s">
        <v>4067</v>
      </c>
      <c r="U1559" t="s">
        <v>4206</v>
      </c>
      <c r="V1559" s="553" t="s">
        <v>2819</v>
      </c>
      <c r="W1559" s="29">
        <v>5</v>
      </c>
    </row>
    <row r="1560" spans="1:23">
      <c r="A1560" s="134">
        <v>2593</v>
      </c>
      <c r="B1560" s="134">
        <v>18</v>
      </c>
      <c r="C1560" s="478">
        <v>1.5</v>
      </c>
      <c r="D1560" s="478">
        <v>7.12</v>
      </c>
      <c r="E1560" s="478">
        <v>24.38</v>
      </c>
      <c r="F1560" s="176" t="s">
        <v>4194</v>
      </c>
      <c r="G1560" s="63">
        <v>47</v>
      </c>
      <c r="H1560" s="63">
        <v>74.3</v>
      </c>
      <c r="I1560" s="217">
        <v>44866</v>
      </c>
      <c r="J1560" s="478" t="s">
        <v>4026</v>
      </c>
      <c r="K1560">
        <v>33.51</v>
      </c>
      <c r="L1560">
        <v>0.82</v>
      </c>
      <c r="Q1560" s="4" t="s">
        <v>3076</v>
      </c>
      <c r="T1560" s="478" t="s">
        <v>4067</v>
      </c>
      <c r="U1560" s="478" t="s">
        <v>4195</v>
      </c>
      <c r="V1560" s="553" t="s">
        <v>3208</v>
      </c>
      <c r="W1560" s="29">
        <v>3</v>
      </c>
    </row>
    <row r="1561" spans="1:23">
      <c r="A1561" s="134">
        <v>2533</v>
      </c>
      <c r="B1561" s="134">
        <v>18.399999999999999</v>
      </c>
      <c r="C1561" s="478">
        <v>1.5</v>
      </c>
      <c r="D1561" s="478">
        <v>7.12</v>
      </c>
      <c r="E1561" s="478">
        <v>24.37</v>
      </c>
      <c r="F1561" s="249" t="s">
        <v>4198</v>
      </c>
      <c r="G1561" s="63">
        <v>41</v>
      </c>
      <c r="H1561" s="63">
        <v>75.2</v>
      </c>
      <c r="I1561" s="217">
        <v>44867</v>
      </c>
      <c r="J1561" s="478" t="s">
        <v>4026</v>
      </c>
      <c r="K1561">
        <v>33.49</v>
      </c>
      <c r="L1561">
        <v>0.84499999999999997</v>
      </c>
      <c r="Q1561" s="4" t="s">
        <v>3076</v>
      </c>
      <c r="T1561" s="478" t="s">
        <v>4067</v>
      </c>
      <c r="U1561" t="s">
        <v>4207</v>
      </c>
      <c r="V1561" s="553" t="s">
        <v>2819</v>
      </c>
      <c r="W1561" s="29">
        <v>1</v>
      </c>
    </row>
    <row r="1562" spans="1:23">
      <c r="A1562" s="134">
        <v>2618</v>
      </c>
      <c r="B1562" s="134">
        <v>17.2</v>
      </c>
      <c r="C1562" s="478">
        <v>1.51</v>
      </c>
      <c r="D1562" s="478">
        <v>7.1</v>
      </c>
      <c r="E1562" s="478">
        <v>24.38</v>
      </c>
      <c r="F1562" s="176" t="s">
        <v>4197</v>
      </c>
      <c r="G1562" s="63">
        <v>37</v>
      </c>
      <c r="H1562" s="63">
        <v>73</v>
      </c>
      <c r="I1562" s="217">
        <v>44868</v>
      </c>
      <c r="J1562" s="478" t="s">
        <v>4026</v>
      </c>
      <c r="K1562">
        <v>33.44</v>
      </c>
      <c r="L1562">
        <v>0.47499999999999998</v>
      </c>
      <c r="Q1562" s="4" t="s">
        <v>3076</v>
      </c>
      <c r="T1562" s="478" t="s">
        <v>4067</v>
      </c>
      <c r="U1562" t="s">
        <v>4187</v>
      </c>
      <c r="V1562" s="553" t="s">
        <v>3136</v>
      </c>
      <c r="W1562" s="29">
        <v>3</v>
      </c>
    </row>
    <row r="1563" spans="1:23">
      <c r="A1563" s="134">
        <v>2617</v>
      </c>
      <c r="B1563" s="134">
        <v>18.399999999999999</v>
      </c>
      <c r="C1563" s="478">
        <v>1.5</v>
      </c>
      <c r="D1563" s="478">
        <v>7.09</v>
      </c>
      <c r="E1563" s="478">
        <v>24.41</v>
      </c>
      <c r="F1563" s="560" t="s">
        <v>4196</v>
      </c>
      <c r="G1563" s="63">
        <v>36</v>
      </c>
      <c r="H1563" s="63">
        <v>75.5</v>
      </c>
      <c r="I1563" s="217">
        <v>44868</v>
      </c>
      <c r="J1563" s="478" t="s">
        <v>4026</v>
      </c>
      <c r="K1563">
        <v>33.450000000000003</v>
      </c>
      <c r="L1563">
        <v>0.65100000000000002</v>
      </c>
      <c r="Q1563" s="4" t="s">
        <v>3076</v>
      </c>
      <c r="T1563" s="478" t="s">
        <v>4067</v>
      </c>
      <c r="U1563" t="s">
        <v>4203</v>
      </c>
      <c r="V1563" s="553" t="s">
        <v>3136</v>
      </c>
      <c r="W1563" s="29">
        <v>5</v>
      </c>
    </row>
    <row r="1564" spans="1:23">
      <c r="A1564" s="134">
        <v>2620</v>
      </c>
      <c r="B1564" s="134">
        <v>18</v>
      </c>
      <c r="C1564" s="478">
        <v>1.5</v>
      </c>
      <c r="D1564" s="478">
        <v>7.09</v>
      </c>
      <c r="E1564" s="478">
        <v>24.33</v>
      </c>
      <c r="F1564" s="560" t="s">
        <v>4199</v>
      </c>
      <c r="G1564" s="63">
        <v>37</v>
      </c>
      <c r="H1564" s="63">
        <v>72.3</v>
      </c>
      <c r="I1564" s="217">
        <v>44869</v>
      </c>
      <c r="J1564" s="478" t="s">
        <v>4026</v>
      </c>
      <c r="K1564">
        <v>33.4</v>
      </c>
      <c r="L1564">
        <v>5.6000000000000001E-2</v>
      </c>
      <c r="Q1564" s="4" t="s">
        <v>3076</v>
      </c>
      <c r="T1564" s="478" t="s">
        <v>4067</v>
      </c>
      <c r="U1564" t="s">
        <v>4205</v>
      </c>
      <c r="V1564" s="553" t="s">
        <v>3136</v>
      </c>
      <c r="W1564" s="29">
        <v>4</v>
      </c>
    </row>
    <row r="1565" spans="1:23">
      <c r="A1565" s="134">
        <v>2593</v>
      </c>
      <c r="B1565" s="134">
        <v>18</v>
      </c>
      <c r="C1565" s="478">
        <v>1.5</v>
      </c>
      <c r="D1565" s="478">
        <v>7.12</v>
      </c>
      <c r="E1565" s="478">
        <v>24.38</v>
      </c>
      <c r="F1565" s="560" t="s">
        <v>4200</v>
      </c>
      <c r="G1565" s="63">
        <v>38</v>
      </c>
      <c r="H1565" s="63">
        <v>74.7</v>
      </c>
      <c r="I1565" s="217">
        <v>44869</v>
      </c>
      <c r="J1565" s="478" t="s">
        <v>4026</v>
      </c>
      <c r="K1565">
        <v>33.49</v>
      </c>
      <c r="L1565">
        <v>0.60599999999999998</v>
      </c>
      <c r="Q1565" s="4" t="s">
        <v>3076</v>
      </c>
      <c r="T1565" s="478" t="s">
        <v>4067</v>
      </c>
      <c r="U1565" t="s">
        <v>4204</v>
      </c>
      <c r="V1565" s="553" t="s">
        <v>3027</v>
      </c>
      <c r="W1565" s="29">
        <v>3</v>
      </c>
    </row>
    <row r="1566" spans="1:23">
      <c r="A1566" s="134">
        <v>2618</v>
      </c>
      <c r="B1566" s="134">
        <v>17.2</v>
      </c>
      <c r="C1566" s="478">
        <v>1.51</v>
      </c>
      <c r="D1566" s="478">
        <v>7.1</v>
      </c>
      <c r="E1566" s="478">
        <v>24.38</v>
      </c>
      <c r="F1566" s="560" t="s">
        <v>4201</v>
      </c>
      <c r="G1566" s="63">
        <v>38</v>
      </c>
      <c r="H1566" s="63">
        <v>74.7</v>
      </c>
      <c r="I1566" s="217">
        <v>44869</v>
      </c>
      <c r="J1566" s="478" t="s">
        <v>4026</v>
      </c>
      <c r="K1566" s="478">
        <v>33.44</v>
      </c>
      <c r="L1566" s="478">
        <v>0.42199999999999999</v>
      </c>
      <c r="M1566" s="478"/>
      <c r="N1566" s="478"/>
      <c r="Q1566" s="4" t="s">
        <v>3076</v>
      </c>
      <c r="T1566" s="478" t="s">
        <v>4067</v>
      </c>
      <c r="U1566" t="s">
        <v>4190</v>
      </c>
      <c r="V1566" s="553" t="s">
        <v>3159</v>
      </c>
      <c r="W1566" s="29">
        <v>6</v>
      </c>
    </row>
    <row r="1567" spans="1:23">
      <c r="A1567" s="134">
        <v>2622</v>
      </c>
      <c r="B1567" s="134">
        <v>16.8</v>
      </c>
      <c r="C1567" s="478">
        <v>1.5</v>
      </c>
      <c r="D1567" s="478">
        <v>7.11</v>
      </c>
      <c r="E1567" s="478">
        <v>24.35</v>
      </c>
      <c r="F1567" s="560" t="s">
        <v>4202</v>
      </c>
      <c r="G1567" s="63">
        <v>35</v>
      </c>
      <c r="H1567" s="63">
        <v>74</v>
      </c>
      <c r="I1567" s="217">
        <v>44872</v>
      </c>
      <c r="J1567" s="478" t="s">
        <v>4026</v>
      </c>
      <c r="K1567">
        <v>33.4</v>
      </c>
      <c r="L1567">
        <v>0.58899999999999997</v>
      </c>
      <c r="Q1567" s="4" t="s">
        <v>3076</v>
      </c>
      <c r="T1567" s="478" t="s">
        <v>4067</v>
      </c>
      <c r="U1567" s="478" t="s">
        <v>4209</v>
      </c>
      <c r="V1567" s="553" t="s">
        <v>3024</v>
      </c>
      <c r="W1567" s="29">
        <v>1</v>
      </c>
    </row>
    <row r="1568" spans="1:23" ht="27.75" customHeight="1">
      <c r="A1568" s="134">
        <v>2607</v>
      </c>
      <c r="B1568" s="134">
        <v>17.600000000000001</v>
      </c>
      <c r="C1568" s="478">
        <v>1.49</v>
      </c>
      <c r="D1568" s="478">
        <v>7.11</v>
      </c>
      <c r="E1568" s="478">
        <v>24.34</v>
      </c>
      <c r="F1568" s="560" t="s">
        <v>4217</v>
      </c>
      <c r="G1568" s="478">
        <v>20</v>
      </c>
      <c r="H1568" s="478">
        <v>74.599999999999994</v>
      </c>
      <c r="I1568" s="217">
        <v>44896</v>
      </c>
      <c r="J1568" s="478" t="s">
        <v>4026</v>
      </c>
      <c r="K1568" s="478">
        <v>33.35</v>
      </c>
      <c r="L1568" s="478">
        <v>0.60099999999999998</v>
      </c>
      <c r="M1568" s="478"/>
      <c r="N1568" s="478"/>
      <c r="O1568" s="478"/>
      <c r="P1568" s="478"/>
      <c r="Q1568" s="4" t="s">
        <v>3076</v>
      </c>
      <c r="R1568" s="478"/>
      <c r="S1568" s="478"/>
      <c r="T1568" s="478" t="s">
        <v>4067</v>
      </c>
      <c r="U1568" s="478"/>
      <c r="V1568" s="556" t="s">
        <v>3293</v>
      </c>
    </row>
    <row r="1569" spans="1:23">
      <c r="A1569" s="305">
        <v>2616</v>
      </c>
      <c r="B1569" s="134">
        <v>18.8</v>
      </c>
      <c r="C1569" s="478">
        <v>1.5</v>
      </c>
      <c r="D1569" s="478">
        <v>7.11</v>
      </c>
      <c r="E1569" s="478">
        <v>24.36</v>
      </c>
      <c r="F1569" s="560" t="s">
        <v>4219</v>
      </c>
      <c r="G1569" s="478">
        <v>20</v>
      </c>
      <c r="H1569" s="478">
        <v>74.599999999999994</v>
      </c>
      <c r="I1569" s="217">
        <v>44896</v>
      </c>
      <c r="J1569" s="478" t="s">
        <v>4026</v>
      </c>
      <c r="K1569" s="478">
        <v>33.31</v>
      </c>
      <c r="L1569" s="478">
        <v>0.63600000000000001</v>
      </c>
      <c r="M1569" s="478"/>
      <c r="N1569" s="478"/>
      <c r="O1569" s="478"/>
      <c r="P1569" s="478"/>
      <c r="Q1569" s="4" t="s">
        <v>3076</v>
      </c>
      <c r="R1569" s="478"/>
      <c r="S1569" s="478"/>
      <c r="T1569" s="478" t="s">
        <v>4067</v>
      </c>
      <c r="U1569" s="478"/>
      <c r="V1569" s="556" t="s">
        <v>3168</v>
      </c>
    </row>
    <row r="1570" spans="1:23">
      <c r="A1570" s="134">
        <v>2618</v>
      </c>
      <c r="B1570" s="134">
        <v>17.2</v>
      </c>
      <c r="C1570" s="478">
        <v>1.51</v>
      </c>
      <c r="D1570" s="478">
        <v>7.1</v>
      </c>
      <c r="E1570" s="478">
        <v>24.38</v>
      </c>
      <c r="F1570" s="560" t="s">
        <v>4220</v>
      </c>
      <c r="G1570" s="478">
        <v>20</v>
      </c>
      <c r="H1570" s="478">
        <v>71.2</v>
      </c>
      <c r="I1570" s="217">
        <v>44897</v>
      </c>
      <c r="J1570" s="478" t="s">
        <v>4026</v>
      </c>
      <c r="K1570" s="478">
        <v>33.369999999999997</v>
      </c>
      <c r="L1570" s="478">
        <v>0.4</v>
      </c>
      <c r="M1570" s="478"/>
      <c r="N1570" s="478"/>
      <c r="O1570" s="478"/>
      <c r="P1570" s="478"/>
      <c r="Q1570" s="4" t="s">
        <v>3076</v>
      </c>
      <c r="R1570" s="478"/>
      <c r="S1570" s="478"/>
      <c r="T1570" s="478" t="s">
        <v>4067</v>
      </c>
      <c r="U1570" s="478"/>
      <c r="V1570" s="556" t="s">
        <v>3134</v>
      </c>
    </row>
    <row r="1571" spans="1:23" ht="41.25" customHeight="1">
      <c r="A1571" s="134">
        <v>2608</v>
      </c>
      <c r="B1571" s="134">
        <v>18.399999999999999</v>
      </c>
      <c r="C1571" s="478">
        <v>1.52</v>
      </c>
      <c r="D1571" s="478">
        <v>7.1</v>
      </c>
      <c r="E1571" s="478">
        <v>24.37</v>
      </c>
      <c r="F1571" s="176" t="s">
        <v>4223</v>
      </c>
      <c r="G1571">
        <v>20</v>
      </c>
      <c r="H1571">
        <v>73.5</v>
      </c>
      <c r="I1571" s="217">
        <v>44951</v>
      </c>
      <c r="J1571" s="478" t="s">
        <v>4026</v>
      </c>
      <c r="K1571">
        <v>33.47</v>
      </c>
      <c r="L1571">
        <v>0.75900000000000001</v>
      </c>
      <c r="Q1571" s="4" t="s">
        <v>3076</v>
      </c>
      <c r="T1571" s="478" t="s">
        <v>4067</v>
      </c>
      <c r="U1571" t="s">
        <v>4224</v>
      </c>
      <c r="V1571" s="407" t="s">
        <v>4192</v>
      </c>
      <c r="W1571" s="29">
        <v>2</v>
      </c>
    </row>
    <row r="1572" spans="1:23">
      <c r="A1572" s="559">
        <v>2609</v>
      </c>
      <c r="B1572" s="134">
        <v>16.8</v>
      </c>
      <c r="C1572" s="478">
        <v>1.48</v>
      </c>
      <c r="D1572" s="478">
        <v>7.1</v>
      </c>
      <c r="E1572" s="478">
        <v>24.34</v>
      </c>
      <c r="F1572" s="176" t="s">
        <v>4225</v>
      </c>
      <c r="G1572">
        <v>20</v>
      </c>
      <c r="H1572">
        <v>73</v>
      </c>
      <c r="I1572" s="217">
        <v>44952</v>
      </c>
      <c r="J1572" s="478" t="s">
        <v>4026</v>
      </c>
      <c r="K1572">
        <v>33.42</v>
      </c>
      <c r="L1572">
        <v>0.75600000000000001</v>
      </c>
      <c r="Q1572" s="4" t="s">
        <v>3076</v>
      </c>
      <c r="T1572" s="478" t="s">
        <v>4067</v>
      </c>
      <c r="U1572" s="557" t="s">
        <v>4226</v>
      </c>
      <c r="V1572" s="407" t="s">
        <v>3053</v>
      </c>
      <c r="W1572" s="29">
        <v>4</v>
      </c>
    </row>
    <row r="1573" spans="1:23">
      <c r="A1573" s="134">
        <v>2610</v>
      </c>
      <c r="B1573" s="134">
        <v>18</v>
      </c>
      <c r="C1573" s="478">
        <v>1.5</v>
      </c>
      <c r="D1573" s="478">
        <v>7.11</v>
      </c>
      <c r="E1573" s="478">
        <v>24.35</v>
      </c>
      <c r="F1573" s="560" t="s">
        <v>4227</v>
      </c>
      <c r="G1573" s="478">
        <v>20</v>
      </c>
      <c r="H1573" s="478">
        <v>73</v>
      </c>
      <c r="I1573" s="217">
        <v>44952</v>
      </c>
      <c r="J1573" s="478" t="s">
        <v>4026</v>
      </c>
      <c r="K1573">
        <v>33.46</v>
      </c>
      <c r="L1573">
        <v>0.79800000000000004</v>
      </c>
      <c r="Q1573" s="4" t="s">
        <v>3076</v>
      </c>
      <c r="T1573" s="478" t="s">
        <v>4067</v>
      </c>
      <c r="U1573" t="s">
        <v>4246</v>
      </c>
      <c r="V1573" s="407" t="s">
        <v>4228</v>
      </c>
      <c r="W1573" s="29">
        <v>1</v>
      </c>
    </row>
    <row r="1574" spans="1:23">
      <c r="A1574" s="134">
        <v>2612</v>
      </c>
      <c r="B1574" s="134">
        <v>17.600000000000001</v>
      </c>
      <c r="C1574" s="478">
        <v>1.5</v>
      </c>
      <c r="D1574" s="478">
        <v>7.11</v>
      </c>
      <c r="E1574" s="478">
        <v>24.31</v>
      </c>
      <c r="F1574" s="176" t="s">
        <v>4229</v>
      </c>
      <c r="G1574" s="478">
        <v>20</v>
      </c>
      <c r="H1574" s="478">
        <v>73</v>
      </c>
      <c r="I1574" s="217">
        <v>44953</v>
      </c>
      <c r="J1574" s="478" t="s">
        <v>4026</v>
      </c>
      <c r="K1574">
        <v>33.43</v>
      </c>
      <c r="L1574">
        <v>0.66700000000000004</v>
      </c>
      <c r="Q1574" s="4" t="s">
        <v>3076</v>
      </c>
      <c r="T1574" s="478" t="s">
        <v>4067</v>
      </c>
      <c r="U1574" t="s">
        <v>4230</v>
      </c>
      <c r="V1574" s="407" t="s">
        <v>3005</v>
      </c>
      <c r="W1574" s="29">
        <v>3</v>
      </c>
    </row>
    <row r="1575" spans="1:23">
      <c r="A1575" s="134">
        <v>2613</v>
      </c>
      <c r="B1575" s="134">
        <v>17.2</v>
      </c>
      <c r="C1575" s="478">
        <v>1.5</v>
      </c>
      <c r="D1575" s="478">
        <v>7.1</v>
      </c>
      <c r="E1575" s="478">
        <v>24.36</v>
      </c>
      <c r="F1575" s="176" t="s">
        <v>4231</v>
      </c>
      <c r="G1575" s="478">
        <v>20</v>
      </c>
      <c r="H1575" s="478">
        <v>73.7</v>
      </c>
      <c r="I1575" s="217">
        <v>44953</v>
      </c>
      <c r="J1575" s="478" t="s">
        <v>4026</v>
      </c>
      <c r="K1575">
        <v>33.4</v>
      </c>
      <c r="L1575">
        <v>0.86399999999999999</v>
      </c>
      <c r="Q1575" s="4" t="s">
        <v>3076</v>
      </c>
      <c r="T1575" s="478" t="s">
        <v>4067</v>
      </c>
      <c r="U1575" t="s">
        <v>3436</v>
      </c>
      <c r="V1575" s="407" t="s">
        <v>3406</v>
      </c>
      <c r="W1575" s="29">
        <v>2</v>
      </c>
    </row>
    <row r="1576" spans="1:23">
      <c r="A1576" s="134">
        <v>2614</v>
      </c>
      <c r="B1576" s="134">
        <v>18</v>
      </c>
      <c r="C1576" s="478">
        <v>1.51</v>
      </c>
      <c r="D1576" s="478">
        <v>7.11</v>
      </c>
      <c r="E1576" s="478">
        <v>24.36</v>
      </c>
      <c r="F1576" s="176" t="s">
        <v>4232</v>
      </c>
      <c r="G1576">
        <v>20</v>
      </c>
      <c r="H1576">
        <v>71.7</v>
      </c>
      <c r="I1576" s="217">
        <v>44957</v>
      </c>
      <c r="J1576" s="478" t="s">
        <v>4026</v>
      </c>
      <c r="K1576">
        <v>33.4</v>
      </c>
      <c r="L1576">
        <v>0.56399999999999995</v>
      </c>
      <c r="Q1576" s="4" t="s">
        <v>3076</v>
      </c>
      <c r="T1576" s="478" t="s">
        <v>4067</v>
      </c>
      <c r="U1576" t="s">
        <v>4233</v>
      </c>
      <c r="V1576" s="558" t="s">
        <v>3157</v>
      </c>
    </row>
    <row r="1577" spans="1:23">
      <c r="A1577" s="134">
        <v>2614</v>
      </c>
      <c r="B1577" s="134">
        <v>18</v>
      </c>
      <c r="C1577" s="478">
        <v>1.51</v>
      </c>
      <c r="D1577" s="478">
        <v>7.11</v>
      </c>
      <c r="E1577" s="478">
        <v>24.36</v>
      </c>
      <c r="F1577" s="560" t="s">
        <v>4234</v>
      </c>
      <c r="G1577" s="478">
        <v>20</v>
      </c>
      <c r="H1577" s="478">
        <v>74.099999999999994</v>
      </c>
      <c r="I1577" s="217">
        <v>44957</v>
      </c>
      <c r="J1577" s="478" t="s">
        <v>4026</v>
      </c>
      <c r="K1577">
        <v>33.4</v>
      </c>
      <c r="L1577">
        <v>0.48</v>
      </c>
      <c r="Q1577" s="4" t="s">
        <v>3076</v>
      </c>
      <c r="T1577" s="478" t="s">
        <v>4067</v>
      </c>
      <c r="U1577" t="s">
        <v>4243</v>
      </c>
      <c r="V1577" s="407" t="s">
        <v>3175</v>
      </c>
      <c r="W1577" s="29">
        <v>4</v>
      </c>
    </row>
    <row r="1578" spans="1:23">
      <c r="A1578" s="134">
        <v>2625</v>
      </c>
      <c r="B1578" s="134">
        <v>17.2</v>
      </c>
      <c r="C1578" s="478">
        <v>1.51</v>
      </c>
      <c r="D1578" s="478">
        <v>7.1</v>
      </c>
      <c r="E1578" s="478">
        <v>24.35</v>
      </c>
      <c r="F1578" s="560" t="s">
        <v>4235</v>
      </c>
      <c r="G1578" s="478">
        <v>20</v>
      </c>
      <c r="H1578">
        <v>73</v>
      </c>
      <c r="I1578" s="217">
        <v>44958</v>
      </c>
      <c r="J1578" s="478" t="s">
        <v>4026</v>
      </c>
      <c r="K1578">
        <v>33.47</v>
      </c>
      <c r="L1578">
        <v>0.61599999999999999</v>
      </c>
      <c r="Q1578" s="4" t="s">
        <v>3076</v>
      </c>
      <c r="T1578" s="478" t="s">
        <v>4067</v>
      </c>
      <c r="U1578" t="s">
        <v>4244</v>
      </c>
      <c r="V1578" s="407" t="s">
        <v>2819</v>
      </c>
      <c r="W1578" s="29">
        <v>2</v>
      </c>
    </row>
    <row r="1579" spans="1:23">
      <c r="A1579" s="134">
        <v>2626</v>
      </c>
      <c r="B1579" s="134">
        <v>17</v>
      </c>
      <c r="C1579" s="478">
        <v>1.51</v>
      </c>
      <c r="D1579" s="478">
        <v>7.12</v>
      </c>
      <c r="E1579" s="478">
        <v>24.38</v>
      </c>
      <c r="F1579" s="176" t="s">
        <v>4236</v>
      </c>
      <c r="G1579">
        <v>19</v>
      </c>
      <c r="H1579">
        <v>72</v>
      </c>
      <c r="I1579" s="217">
        <v>44958</v>
      </c>
      <c r="J1579" s="478" t="s">
        <v>4026</v>
      </c>
      <c r="Q1579" s="4" t="s">
        <v>3076</v>
      </c>
      <c r="T1579" s="478" t="s">
        <v>4067</v>
      </c>
    </row>
    <row r="1580" spans="1:23">
      <c r="A1580" s="134">
        <v>2626</v>
      </c>
      <c r="B1580" s="134">
        <v>17</v>
      </c>
      <c r="C1580" s="478">
        <v>1.51</v>
      </c>
      <c r="D1580" s="478">
        <v>7.12</v>
      </c>
      <c r="E1580" s="478">
        <v>24.38</v>
      </c>
      <c r="F1580" s="176" t="s">
        <v>4237</v>
      </c>
      <c r="G1580">
        <v>20</v>
      </c>
      <c r="H1580">
        <v>73.2</v>
      </c>
      <c r="I1580" s="217">
        <v>44959</v>
      </c>
      <c r="J1580" s="478" t="s">
        <v>4026</v>
      </c>
      <c r="Q1580" s="4" t="s">
        <v>3076</v>
      </c>
      <c r="T1580" s="478" t="s">
        <v>4067</v>
      </c>
      <c r="V1580" s="407" t="s">
        <v>3136</v>
      </c>
    </row>
    <row r="1581" spans="1:23">
      <c r="A1581" s="134">
        <v>2626</v>
      </c>
      <c r="B1581" s="134">
        <v>17</v>
      </c>
      <c r="C1581" s="478">
        <v>1.51</v>
      </c>
      <c r="D1581" s="478">
        <v>7.12</v>
      </c>
      <c r="E1581" s="478">
        <v>24.38</v>
      </c>
      <c r="F1581" s="560" t="s">
        <v>4238</v>
      </c>
      <c r="G1581">
        <v>20</v>
      </c>
      <c r="H1581">
        <v>71.7</v>
      </c>
      <c r="I1581" s="217">
        <v>44960</v>
      </c>
      <c r="J1581" s="478" t="s">
        <v>4026</v>
      </c>
      <c r="K1581">
        <v>33.409999999999997</v>
      </c>
      <c r="L1581">
        <v>0.46</v>
      </c>
      <c r="Q1581" s="4" t="s">
        <v>3076</v>
      </c>
      <c r="T1581" s="478" t="s">
        <v>4067</v>
      </c>
      <c r="U1581" t="s">
        <v>4224</v>
      </c>
      <c r="V1581" s="407">
        <v>28.28</v>
      </c>
      <c r="W1581" s="29">
        <v>2</v>
      </c>
    </row>
    <row r="1582" spans="1:23">
      <c r="A1582" s="134">
        <v>2627</v>
      </c>
      <c r="B1582" s="134">
        <v>17.600000000000001</v>
      </c>
      <c r="C1582" s="478">
        <v>1.5</v>
      </c>
      <c r="D1582" s="478">
        <v>7.09</v>
      </c>
      <c r="E1582" s="478">
        <v>24.39</v>
      </c>
      <c r="F1582" s="560" t="s">
        <v>4239</v>
      </c>
      <c r="G1582">
        <v>20</v>
      </c>
      <c r="H1582" s="478">
        <v>71.7</v>
      </c>
      <c r="I1582" s="217">
        <v>44960</v>
      </c>
      <c r="J1582" s="478" t="s">
        <v>4026</v>
      </c>
      <c r="K1582">
        <v>33.409999999999997</v>
      </c>
      <c r="L1582">
        <v>0.83099999999999996</v>
      </c>
      <c r="Q1582" s="4" t="s">
        <v>3076</v>
      </c>
      <c r="T1582" s="478" t="s">
        <v>4067</v>
      </c>
      <c r="U1582" t="s">
        <v>4242</v>
      </c>
      <c r="V1582" s="407" t="s">
        <v>3005</v>
      </c>
      <c r="W1582" s="29">
        <v>1</v>
      </c>
    </row>
    <row r="1583" spans="1:23">
      <c r="A1583" s="305">
        <v>2609</v>
      </c>
      <c r="B1583" s="134">
        <v>16.8</v>
      </c>
      <c r="C1583" s="478">
        <v>1.48</v>
      </c>
      <c r="D1583" s="478">
        <v>7.1</v>
      </c>
      <c r="E1583" s="478">
        <v>24.34</v>
      </c>
      <c r="F1583" s="176" t="s">
        <v>4232</v>
      </c>
      <c r="G1583">
        <v>20</v>
      </c>
      <c r="H1583">
        <v>73.7</v>
      </c>
      <c r="I1583" s="217">
        <v>44960</v>
      </c>
      <c r="J1583" s="478" t="s">
        <v>4026</v>
      </c>
      <c r="K1583">
        <v>33.42</v>
      </c>
      <c r="L1583">
        <v>0.89100000000000001</v>
      </c>
      <c r="Q1583" s="4" t="s">
        <v>3076</v>
      </c>
      <c r="T1583" s="478" t="s">
        <v>4067</v>
      </c>
      <c r="U1583" s="478" t="s">
        <v>4233</v>
      </c>
      <c r="V1583" s="407" t="s">
        <v>3700</v>
      </c>
      <c r="W1583" s="29">
        <v>6</v>
      </c>
    </row>
    <row r="1584" spans="1:23" ht="26.25" customHeight="1">
      <c r="A1584" s="136">
        <v>2623</v>
      </c>
      <c r="B1584" s="134">
        <v>18.399999999999999</v>
      </c>
      <c r="C1584" s="478">
        <v>1.5</v>
      </c>
      <c r="D1584" s="478">
        <v>7.1</v>
      </c>
      <c r="E1584" s="478">
        <v>24.38</v>
      </c>
      <c r="F1584" s="19" t="s">
        <v>4247</v>
      </c>
      <c r="G1584">
        <v>25</v>
      </c>
      <c r="H1584" s="478">
        <v>73.7</v>
      </c>
      <c r="I1584" s="217">
        <v>44967</v>
      </c>
      <c r="J1584" s="478" t="s">
        <v>4026</v>
      </c>
      <c r="K1584">
        <v>33.409999999999997</v>
      </c>
      <c r="L1584">
        <v>0.121</v>
      </c>
      <c r="Q1584" s="4" t="s">
        <v>3076</v>
      </c>
      <c r="T1584" s="478" t="s">
        <v>4067</v>
      </c>
      <c r="U1584" t="s">
        <v>4308</v>
      </c>
      <c r="V1584" s="407" t="s">
        <v>3053</v>
      </c>
      <c r="W1584" s="29">
        <v>3</v>
      </c>
    </row>
    <row r="1585" spans="1:28">
      <c r="A1585" s="136">
        <v>2628</v>
      </c>
      <c r="B1585" s="134">
        <v>18</v>
      </c>
      <c r="C1585" s="478">
        <v>1.51</v>
      </c>
      <c r="D1585" s="478">
        <v>7.11</v>
      </c>
      <c r="E1585" s="478">
        <v>24.39</v>
      </c>
      <c r="F1585" s="176" t="s">
        <v>4248</v>
      </c>
      <c r="G1585" s="478">
        <v>25</v>
      </c>
      <c r="H1585" s="478">
        <v>75</v>
      </c>
      <c r="I1585" s="217">
        <v>44967</v>
      </c>
      <c r="J1585" s="478" t="s">
        <v>4026</v>
      </c>
      <c r="T1585" s="478" t="s">
        <v>4067</v>
      </c>
    </row>
    <row r="1586" spans="1:28">
      <c r="A1586" s="136">
        <v>2628</v>
      </c>
      <c r="B1586" s="134">
        <v>18</v>
      </c>
      <c r="C1586" s="478">
        <v>1.51</v>
      </c>
      <c r="D1586" s="478">
        <v>7.11</v>
      </c>
      <c r="E1586" s="478">
        <v>24.39</v>
      </c>
      <c r="F1586" s="19" t="s">
        <v>4249</v>
      </c>
      <c r="G1586" s="478">
        <v>25</v>
      </c>
      <c r="H1586" s="478">
        <v>75</v>
      </c>
      <c r="I1586" s="217">
        <v>44967</v>
      </c>
      <c r="J1586" s="478" t="s">
        <v>4026</v>
      </c>
      <c r="K1586">
        <v>33.39</v>
      </c>
      <c r="L1586">
        <v>0.36499999999999999</v>
      </c>
      <c r="Q1586" s="4" t="s">
        <v>3076</v>
      </c>
      <c r="T1586" s="478" t="s">
        <v>4067</v>
      </c>
      <c r="U1586" t="s">
        <v>4313</v>
      </c>
      <c r="V1586" s="407" t="s">
        <v>3700</v>
      </c>
      <c r="W1586" s="29">
        <v>2</v>
      </c>
      <c r="AB1586" s="568"/>
    </row>
    <row r="1587" spans="1:28">
      <c r="A1587" s="136">
        <v>2629</v>
      </c>
      <c r="B1587" s="134">
        <v>18.399999999999999</v>
      </c>
      <c r="C1587" s="478">
        <v>1.5</v>
      </c>
      <c r="D1587" s="478">
        <v>7.09</v>
      </c>
      <c r="E1587" s="478">
        <v>24.39</v>
      </c>
      <c r="F1587" s="176" t="s">
        <v>4250</v>
      </c>
      <c r="G1587" s="478">
        <v>25</v>
      </c>
      <c r="H1587" s="478">
        <v>75</v>
      </c>
      <c r="I1587" s="217">
        <v>44967</v>
      </c>
      <c r="J1587" s="478" t="s">
        <v>4026</v>
      </c>
      <c r="T1587" s="478" t="s">
        <v>4067</v>
      </c>
      <c r="AB1587" s="568"/>
    </row>
    <row r="1588" spans="1:28">
      <c r="A1588" s="136">
        <v>2629</v>
      </c>
      <c r="B1588" s="134">
        <v>18.399999999999999</v>
      </c>
      <c r="C1588" s="478">
        <v>1.5</v>
      </c>
      <c r="D1588" s="478">
        <v>7.09</v>
      </c>
      <c r="E1588" s="478">
        <v>24.39</v>
      </c>
      <c r="F1588" s="560" t="s">
        <v>4251</v>
      </c>
      <c r="G1588" s="478">
        <v>25</v>
      </c>
      <c r="H1588" s="478">
        <v>75</v>
      </c>
      <c r="I1588" s="217">
        <v>44967</v>
      </c>
      <c r="J1588" s="478" t="s">
        <v>4026</v>
      </c>
      <c r="K1588">
        <v>33.520000000000003</v>
      </c>
      <c r="L1588">
        <v>0.70899999999999996</v>
      </c>
      <c r="Q1588" s="4" t="s">
        <v>3076</v>
      </c>
      <c r="T1588" s="478" t="s">
        <v>4067</v>
      </c>
      <c r="U1588" t="s">
        <v>4309</v>
      </c>
      <c r="V1588" s="407" t="s">
        <v>3208</v>
      </c>
      <c r="W1588" s="29">
        <v>6</v>
      </c>
      <c r="AB1588" s="568"/>
    </row>
    <row r="1589" spans="1:28">
      <c r="A1589" s="136">
        <v>2630</v>
      </c>
      <c r="B1589" s="134">
        <v>17.600000000000001</v>
      </c>
      <c r="C1589" s="478">
        <v>1.5</v>
      </c>
      <c r="D1589" s="478">
        <v>7.09</v>
      </c>
      <c r="E1589" s="478">
        <v>24.35</v>
      </c>
      <c r="F1589" s="19" t="s">
        <v>4252</v>
      </c>
      <c r="G1589">
        <v>25</v>
      </c>
      <c r="H1589">
        <v>75</v>
      </c>
      <c r="I1589" s="217">
        <v>44967</v>
      </c>
      <c r="J1589" s="478" t="s">
        <v>4026</v>
      </c>
      <c r="K1589">
        <v>33.380000000000003</v>
      </c>
      <c r="L1589">
        <v>0.47499999999999998</v>
      </c>
      <c r="Q1589" s="4" t="s">
        <v>3076</v>
      </c>
      <c r="T1589" s="478" t="s">
        <v>4067</v>
      </c>
      <c r="U1589" s="478" t="s">
        <v>4310</v>
      </c>
      <c r="V1589" s="407" t="s">
        <v>3053</v>
      </c>
      <c r="W1589" s="29">
        <v>9</v>
      </c>
      <c r="AB1589" s="568"/>
    </row>
    <row r="1590" spans="1:28">
      <c r="A1590" s="136">
        <v>2631</v>
      </c>
      <c r="B1590" s="134">
        <v>17.600000000000001</v>
      </c>
      <c r="C1590" s="478">
        <v>1.48</v>
      </c>
      <c r="D1590" s="478">
        <v>7.11</v>
      </c>
      <c r="E1590" s="478">
        <v>24.35</v>
      </c>
      <c r="F1590" s="19" t="s">
        <v>4253</v>
      </c>
      <c r="G1590">
        <v>20</v>
      </c>
      <c r="H1590">
        <v>72.3</v>
      </c>
      <c r="I1590" s="217">
        <v>44970</v>
      </c>
      <c r="J1590" t="s">
        <v>4026</v>
      </c>
      <c r="K1590">
        <v>33.42</v>
      </c>
      <c r="L1590">
        <v>0.503</v>
      </c>
      <c r="Q1590" s="4" t="s">
        <v>3076</v>
      </c>
      <c r="T1590" s="478" t="s">
        <v>4067</v>
      </c>
      <c r="U1590" t="s">
        <v>4311</v>
      </c>
      <c r="V1590" s="407" t="s">
        <v>3012</v>
      </c>
      <c r="W1590" s="29">
        <v>4</v>
      </c>
      <c r="AB1590" s="568"/>
    </row>
    <row r="1591" spans="1:28">
      <c r="A1591" s="136">
        <v>2632</v>
      </c>
      <c r="B1591" s="134">
        <v>18.399999999999999</v>
      </c>
      <c r="C1591" s="478">
        <v>1.5</v>
      </c>
      <c r="D1591" s="478">
        <v>7.09</v>
      </c>
      <c r="E1591" s="478">
        <v>24.35</v>
      </c>
      <c r="F1591" s="19" t="s">
        <v>4254</v>
      </c>
      <c r="G1591" s="478">
        <v>20</v>
      </c>
      <c r="H1591" s="478">
        <v>72.3</v>
      </c>
      <c r="I1591" s="217">
        <v>44970</v>
      </c>
      <c r="J1591" s="478" t="s">
        <v>4026</v>
      </c>
      <c r="K1591">
        <v>33.5</v>
      </c>
      <c r="L1591">
        <v>0.13400000000000001</v>
      </c>
      <c r="Q1591" s="4" t="s">
        <v>3076</v>
      </c>
      <c r="T1591" s="478" t="s">
        <v>4067</v>
      </c>
      <c r="U1591" t="s">
        <v>4430</v>
      </c>
      <c r="V1591" s="407" t="s">
        <v>3023</v>
      </c>
      <c r="W1591" s="29">
        <v>2</v>
      </c>
      <c r="AB1591" s="568"/>
    </row>
    <row r="1592" spans="1:28">
      <c r="A1592" s="136">
        <v>2633</v>
      </c>
      <c r="B1592" s="134">
        <v>17.2</v>
      </c>
      <c r="C1592" s="478">
        <v>1.5</v>
      </c>
      <c r="D1592" s="478">
        <v>7.11</v>
      </c>
      <c r="E1592" s="478">
        <v>24.37</v>
      </c>
      <c r="F1592" s="19" t="s">
        <v>4255</v>
      </c>
      <c r="G1592" s="478">
        <v>20</v>
      </c>
      <c r="H1592" s="478">
        <v>72.3</v>
      </c>
      <c r="I1592" s="217">
        <v>44970</v>
      </c>
      <c r="J1592" s="478" t="s">
        <v>4026</v>
      </c>
      <c r="K1592">
        <v>33.340000000000003</v>
      </c>
      <c r="L1592">
        <v>0.60399999999999998</v>
      </c>
      <c r="Q1592" s="4" t="s">
        <v>3076</v>
      </c>
      <c r="T1592" s="478" t="s">
        <v>4067</v>
      </c>
      <c r="U1592" t="s">
        <v>4312</v>
      </c>
      <c r="V1592" s="407" t="s">
        <v>3013</v>
      </c>
      <c r="W1592" s="29">
        <v>5</v>
      </c>
      <c r="AB1592" s="568"/>
    </row>
    <row r="1593" spans="1:28">
      <c r="A1593" s="136">
        <v>2634</v>
      </c>
      <c r="B1593" s="134">
        <v>18.399999999999999</v>
      </c>
      <c r="C1593" s="478">
        <v>1.5</v>
      </c>
      <c r="D1593" s="478">
        <v>7.1</v>
      </c>
      <c r="E1593" s="478">
        <v>24.34</v>
      </c>
      <c r="F1593" s="176" t="s">
        <v>4256</v>
      </c>
      <c r="G1593" s="478">
        <v>20</v>
      </c>
      <c r="H1593" s="478">
        <v>72.3</v>
      </c>
      <c r="I1593" s="217">
        <v>44970</v>
      </c>
      <c r="J1593" s="478" t="s">
        <v>4026</v>
      </c>
      <c r="K1593" s="478"/>
      <c r="Q1593" s="4" t="s">
        <v>3076</v>
      </c>
      <c r="T1593" s="478" t="s">
        <v>4067</v>
      </c>
      <c r="V1593" s="407" t="s">
        <v>4257</v>
      </c>
      <c r="AB1593" s="568"/>
    </row>
    <row r="1594" spans="1:28">
      <c r="A1594" s="136">
        <v>2634</v>
      </c>
      <c r="B1594" s="134">
        <v>18.399999999999999</v>
      </c>
      <c r="C1594" s="478">
        <v>1.5</v>
      </c>
      <c r="D1594" s="478">
        <v>7.1</v>
      </c>
      <c r="E1594" s="478">
        <v>24.34</v>
      </c>
      <c r="F1594" s="176" t="s">
        <v>4258</v>
      </c>
      <c r="G1594">
        <v>20</v>
      </c>
      <c r="H1594">
        <v>73</v>
      </c>
      <c r="I1594" s="217">
        <v>44971</v>
      </c>
      <c r="J1594" s="478" t="s">
        <v>4026</v>
      </c>
      <c r="T1594" s="478" t="s">
        <v>4067</v>
      </c>
      <c r="AB1594" s="568"/>
    </row>
    <row r="1595" spans="1:28">
      <c r="A1595" s="136">
        <v>2634</v>
      </c>
      <c r="B1595" s="134">
        <v>18.399999999999999</v>
      </c>
      <c r="C1595" s="478">
        <v>1.5</v>
      </c>
      <c r="D1595" s="478">
        <v>7.1</v>
      </c>
      <c r="E1595" s="478">
        <v>24.34</v>
      </c>
      <c r="F1595" s="176" t="s">
        <v>4259</v>
      </c>
      <c r="G1595" s="478">
        <v>20</v>
      </c>
      <c r="H1595" s="478">
        <v>73</v>
      </c>
      <c r="I1595" s="217">
        <v>44971</v>
      </c>
      <c r="J1595" s="478" t="s">
        <v>4026</v>
      </c>
      <c r="T1595" s="478" t="s">
        <v>4067</v>
      </c>
      <c r="AB1595" s="568"/>
    </row>
    <row r="1596" spans="1:28">
      <c r="A1596" s="136">
        <v>2634</v>
      </c>
      <c r="B1596" s="134">
        <v>18.399999999999999</v>
      </c>
      <c r="C1596" s="478">
        <v>1.5</v>
      </c>
      <c r="D1596" s="478">
        <v>7.1</v>
      </c>
      <c r="E1596" s="478">
        <v>24.34</v>
      </c>
      <c r="F1596" s="176" t="s">
        <v>4260</v>
      </c>
      <c r="G1596">
        <v>20</v>
      </c>
      <c r="H1596">
        <v>72.8</v>
      </c>
      <c r="I1596" s="217">
        <v>44972</v>
      </c>
      <c r="J1596" s="478" t="s">
        <v>4026</v>
      </c>
      <c r="T1596" s="478" t="s">
        <v>4067</v>
      </c>
      <c r="AB1596" s="568"/>
    </row>
    <row r="1597" spans="1:28">
      <c r="A1597" s="136">
        <v>2634</v>
      </c>
      <c r="B1597" s="134">
        <v>18</v>
      </c>
      <c r="C1597" s="134">
        <v>1.5</v>
      </c>
      <c r="D1597" s="478">
        <v>7.12</v>
      </c>
      <c r="E1597" s="478">
        <v>24.34</v>
      </c>
      <c r="F1597" s="176" t="s">
        <v>4261</v>
      </c>
      <c r="G1597">
        <v>25</v>
      </c>
      <c r="H1597">
        <v>75</v>
      </c>
      <c r="I1597" s="217">
        <v>44972</v>
      </c>
      <c r="J1597" s="478" t="s">
        <v>4026</v>
      </c>
      <c r="T1597" s="478" t="s">
        <v>4067</v>
      </c>
      <c r="AB1597" s="568"/>
    </row>
    <row r="1598" spans="1:28">
      <c r="A1598" s="136">
        <v>2634</v>
      </c>
      <c r="B1598" s="134">
        <v>18</v>
      </c>
      <c r="C1598" s="134">
        <v>1.5</v>
      </c>
      <c r="D1598" s="478">
        <v>7.12</v>
      </c>
      <c r="E1598" s="478">
        <v>24.34</v>
      </c>
      <c r="F1598" s="569" t="s">
        <v>4262</v>
      </c>
      <c r="G1598">
        <v>25</v>
      </c>
      <c r="H1598">
        <v>75</v>
      </c>
      <c r="I1598" s="217">
        <v>44972</v>
      </c>
      <c r="J1598" t="s">
        <v>4026</v>
      </c>
      <c r="K1598">
        <v>33.369999999999997</v>
      </c>
      <c r="L1598">
        <v>0.12</v>
      </c>
      <c r="Q1598" s="4" t="s">
        <v>3076</v>
      </c>
      <c r="T1598" s="478" t="s">
        <v>4067</v>
      </c>
      <c r="U1598" t="s">
        <v>4312</v>
      </c>
      <c r="V1598" s="407" t="s">
        <v>3224</v>
      </c>
      <c r="W1598" s="29">
        <v>4</v>
      </c>
    </row>
    <row r="1599" spans="1:28">
      <c r="A1599" s="136">
        <v>2635</v>
      </c>
      <c r="B1599" s="134">
        <v>16.399999999999999</v>
      </c>
      <c r="C1599" s="478">
        <v>1.48</v>
      </c>
      <c r="D1599" s="478">
        <v>7.12</v>
      </c>
      <c r="E1599" s="478">
        <v>24.37</v>
      </c>
      <c r="F1599" s="517" t="s">
        <v>4263</v>
      </c>
      <c r="G1599" s="478">
        <v>25</v>
      </c>
      <c r="H1599" s="478">
        <v>75</v>
      </c>
      <c r="I1599" s="217">
        <v>44972</v>
      </c>
      <c r="J1599" s="478" t="s">
        <v>4026</v>
      </c>
      <c r="Q1599" s="4" t="s">
        <v>3076</v>
      </c>
      <c r="T1599" s="478" t="s">
        <v>4067</v>
      </c>
      <c r="U1599" t="s">
        <v>4264</v>
      </c>
      <c r="V1599" s="407" t="s">
        <v>3053</v>
      </c>
    </row>
    <row r="1600" spans="1:28">
      <c r="A1600" s="136">
        <v>2613</v>
      </c>
      <c r="B1600" s="134">
        <v>17.2</v>
      </c>
      <c r="C1600" s="478">
        <v>1.5</v>
      </c>
      <c r="D1600" s="478">
        <v>7.1</v>
      </c>
      <c r="E1600" s="478">
        <v>24.36</v>
      </c>
      <c r="F1600" s="249" t="s">
        <v>4265</v>
      </c>
      <c r="G1600">
        <v>19</v>
      </c>
      <c r="H1600">
        <v>76</v>
      </c>
      <c r="I1600" s="217">
        <v>44972</v>
      </c>
      <c r="J1600" s="478" t="s">
        <v>4026</v>
      </c>
      <c r="K1600">
        <v>33.33</v>
      </c>
      <c r="L1600">
        <v>0.89700000000000002</v>
      </c>
      <c r="Q1600" s="4" t="s">
        <v>3076</v>
      </c>
      <c r="T1600" s="478" t="s">
        <v>4067</v>
      </c>
      <c r="U1600" t="s">
        <v>4431</v>
      </c>
      <c r="V1600" s="407" t="s">
        <v>3479</v>
      </c>
      <c r="W1600" s="29">
        <v>10</v>
      </c>
    </row>
    <row r="1601" spans="1:23">
      <c r="A1601" s="134">
        <v>2611</v>
      </c>
      <c r="B1601" s="134">
        <v>18</v>
      </c>
      <c r="C1601" s="478">
        <v>1.47</v>
      </c>
      <c r="D1601" s="478">
        <v>7.1</v>
      </c>
      <c r="E1601" s="478">
        <v>24.38</v>
      </c>
      <c r="F1601" s="187" t="s">
        <v>4266</v>
      </c>
      <c r="G1601" s="478">
        <v>19</v>
      </c>
      <c r="H1601" s="478">
        <v>76</v>
      </c>
      <c r="I1601" s="217">
        <v>44972</v>
      </c>
      <c r="J1601" s="478" t="s">
        <v>4026</v>
      </c>
      <c r="T1601" s="478" t="s">
        <v>4067</v>
      </c>
    </row>
    <row r="1602" spans="1:23" ht="25.5" customHeight="1">
      <c r="A1602" s="134">
        <v>2611</v>
      </c>
      <c r="B1602" s="134">
        <v>16</v>
      </c>
      <c r="C1602" s="478">
        <v>1.48</v>
      </c>
      <c r="D1602" s="478">
        <v>7.05</v>
      </c>
      <c r="E1602" s="478">
        <v>24.41</v>
      </c>
      <c r="F1602" s="19" t="s">
        <v>4314</v>
      </c>
      <c r="G1602">
        <v>34</v>
      </c>
      <c r="H1602">
        <v>73.7</v>
      </c>
      <c r="I1602" s="217">
        <v>45020</v>
      </c>
      <c r="J1602" t="s">
        <v>3074</v>
      </c>
      <c r="K1602">
        <v>33.47</v>
      </c>
      <c r="L1602">
        <v>0.111</v>
      </c>
      <c r="Q1602" s="4" t="s">
        <v>3076</v>
      </c>
      <c r="T1602" s="478" t="s">
        <v>4067</v>
      </c>
      <c r="U1602" t="s">
        <v>4347</v>
      </c>
      <c r="V1602" s="407" t="s">
        <v>2819</v>
      </c>
      <c r="W1602" s="29">
        <v>7</v>
      </c>
    </row>
    <row r="1603" spans="1:23">
      <c r="A1603" s="134">
        <v>2530</v>
      </c>
      <c r="B1603" s="134">
        <v>17.2</v>
      </c>
      <c r="C1603" s="478">
        <v>1.5</v>
      </c>
      <c r="D1603" s="478">
        <v>7.13</v>
      </c>
      <c r="E1603" s="478">
        <v>24.26</v>
      </c>
      <c r="F1603" s="19" t="s">
        <v>4315</v>
      </c>
      <c r="G1603" s="478">
        <v>29</v>
      </c>
      <c r="H1603" s="478">
        <v>77.5</v>
      </c>
      <c r="I1603" s="217">
        <v>45020</v>
      </c>
      <c r="J1603" s="478" t="s">
        <v>3074</v>
      </c>
      <c r="K1603">
        <v>33.409999999999997</v>
      </c>
      <c r="L1603">
        <v>0.57399999999999995</v>
      </c>
      <c r="Q1603" s="4" t="s">
        <v>3076</v>
      </c>
      <c r="T1603" s="478" t="s">
        <v>4067</v>
      </c>
      <c r="U1603" s="478" t="s">
        <v>4348</v>
      </c>
      <c r="V1603" s="407" t="s">
        <v>3159</v>
      </c>
      <c r="W1603" s="29">
        <v>7</v>
      </c>
    </row>
    <row r="1604" spans="1:23">
      <c r="A1604" s="134">
        <v>2659</v>
      </c>
      <c r="B1604" s="134">
        <v>18.399999999999999</v>
      </c>
      <c r="C1604" s="478">
        <v>1.5</v>
      </c>
      <c r="D1604" s="478">
        <v>7.11</v>
      </c>
      <c r="E1604" s="478">
        <v>24.34</v>
      </c>
      <c r="F1604" s="176" t="s">
        <v>4316</v>
      </c>
      <c r="G1604">
        <v>29</v>
      </c>
      <c r="H1604">
        <v>75.3</v>
      </c>
      <c r="I1604" s="217">
        <v>45021</v>
      </c>
      <c r="J1604" t="s">
        <v>3074</v>
      </c>
      <c r="T1604" s="478" t="s">
        <v>4067</v>
      </c>
    </row>
    <row r="1605" spans="1:23">
      <c r="A1605" s="134">
        <v>2659</v>
      </c>
      <c r="B1605" s="134">
        <v>18.399999999999999</v>
      </c>
      <c r="C1605" s="478">
        <v>1.5</v>
      </c>
      <c r="D1605" s="478">
        <v>7.11</v>
      </c>
      <c r="E1605" s="478">
        <v>24.34</v>
      </c>
      <c r="F1605" s="45" t="s">
        <v>4317</v>
      </c>
      <c r="G1605" s="478">
        <v>29</v>
      </c>
      <c r="H1605" s="478">
        <v>75.3</v>
      </c>
      <c r="I1605" s="217">
        <v>45021</v>
      </c>
      <c r="J1605" s="478" t="s">
        <v>3074</v>
      </c>
      <c r="K1605">
        <v>33.35</v>
      </c>
      <c r="L1605">
        <v>0.58299999999999996</v>
      </c>
      <c r="Q1605" s="4" t="s">
        <v>3076</v>
      </c>
      <c r="T1605" s="478" t="s">
        <v>4067</v>
      </c>
      <c r="U1605" s="29" t="s">
        <v>4318</v>
      </c>
      <c r="V1605" s="407" t="s">
        <v>3277</v>
      </c>
      <c r="W1605" s="29">
        <v>5</v>
      </c>
    </row>
    <row r="1606" spans="1:23">
      <c r="A1606" s="134">
        <v>2656</v>
      </c>
      <c r="B1606" s="134">
        <v>16.399999999999999</v>
      </c>
      <c r="C1606" s="478">
        <v>1.51</v>
      </c>
      <c r="D1606" s="478">
        <v>7.06</v>
      </c>
      <c r="E1606" s="478">
        <v>24.31</v>
      </c>
      <c r="F1606" s="249" t="s">
        <v>4319</v>
      </c>
      <c r="G1606" s="478">
        <v>29</v>
      </c>
      <c r="H1606" s="478">
        <v>75.3</v>
      </c>
      <c r="I1606" s="217">
        <v>45021</v>
      </c>
      <c r="J1606" s="478" t="s">
        <v>3074</v>
      </c>
      <c r="K1606">
        <v>33.369999999999997</v>
      </c>
      <c r="L1606">
        <v>0.61899999999999999</v>
      </c>
      <c r="Q1606" s="4" t="s">
        <v>3076</v>
      </c>
      <c r="T1606" s="478" t="s">
        <v>4067</v>
      </c>
      <c r="U1606" s="29" t="s">
        <v>4352</v>
      </c>
      <c r="V1606" s="407" t="s">
        <v>3065</v>
      </c>
      <c r="W1606" s="29">
        <v>9</v>
      </c>
    </row>
    <row r="1607" spans="1:23">
      <c r="A1607" s="134">
        <v>2660</v>
      </c>
      <c r="B1607" s="134">
        <v>16.8</v>
      </c>
      <c r="C1607" s="478">
        <v>1.51</v>
      </c>
      <c r="D1607" s="478">
        <v>7.08</v>
      </c>
      <c r="E1607" s="478">
        <v>24.28</v>
      </c>
      <c r="F1607" s="19" t="s">
        <v>4320</v>
      </c>
      <c r="G1607" s="478">
        <v>29</v>
      </c>
      <c r="H1607" s="478">
        <v>75.3</v>
      </c>
      <c r="I1607" s="217">
        <v>45021</v>
      </c>
      <c r="J1607" s="478" t="s">
        <v>3074</v>
      </c>
      <c r="K1607">
        <v>33.299999999999997</v>
      </c>
      <c r="L1607">
        <v>0.47499999999999998</v>
      </c>
      <c r="Q1607" s="4" t="s">
        <v>3076</v>
      </c>
      <c r="T1607" s="478" t="s">
        <v>4067</v>
      </c>
      <c r="U1607" s="29" t="s">
        <v>4353</v>
      </c>
      <c r="V1607" s="407" t="s">
        <v>3081</v>
      </c>
      <c r="W1607" s="29">
        <v>10</v>
      </c>
    </row>
    <row r="1608" spans="1:23">
      <c r="A1608" s="134">
        <v>2657</v>
      </c>
      <c r="B1608" s="134">
        <v>18</v>
      </c>
      <c r="C1608" s="478">
        <v>1.49</v>
      </c>
      <c r="D1608" s="478">
        <v>7.14</v>
      </c>
      <c r="E1608" s="478">
        <v>24.34</v>
      </c>
      <c r="F1608" s="176" t="s">
        <v>4321</v>
      </c>
      <c r="G1608" s="478">
        <v>29</v>
      </c>
      <c r="H1608" s="478">
        <v>75.3</v>
      </c>
      <c r="I1608" s="217">
        <v>45021</v>
      </c>
      <c r="J1608" s="478" t="s">
        <v>3074</v>
      </c>
      <c r="T1608" s="478" t="s">
        <v>4067</v>
      </c>
    </row>
    <row r="1609" spans="1:23">
      <c r="A1609" s="134">
        <v>2657</v>
      </c>
      <c r="B1609" s="134">
        <v>18</v>
      </c>
      <c r="C1609" s="478">
        <v>1.49</v>
      </c>
      <c r="D1609" s="478">
        <v>7.14</v>
      </c>
      <c r="E1609" s="478">
        <v>24.34</v>
      </c>
      <c r="F1609" s="19" t="s">
        <v>4322</v>
      </c>
      <c r="G1609">
        <v>38</v>
      </c>
      <c r="H1609">
        <v>73.900000000000006</v>
      </c>
      <c r="I1609" s="217">
        <v>45022</v>
      </c>
      <c r="J1609" s="478" t="s">
        <v>3074</v>
      </c>
      <c r="K1609">
        <v>33.49</v>
      </c>
      <c r="L1609">
        <v>0.22700000000000001</v>
      </c>
      <c r="Q1609" s="4" t="s">
        <v>3076</v>
      </c>
      <c r="T1609" s="478" t="s">
        <v>4067</v>
      </c>
      <c r="U1609" s="29" t="s">
        <v>4351</v>
      </c>
      <c r="V1609" s="407" t="s">
        <v>3065</v>
      </c>
      <c r="W1609" s="29">
        <v>6</v>
      </c>
    </row>
    <row r="1610" spans="1:23">
      <c r="A1610" s="134">
        <v>2256</v>
      </c>
      <c r="B1610" s="134">
        <v>18.399999999999999</v>
      </c>
      <c r="C1610" s="478">
        <v>1.51</v>
      </c>
      <c r="D1610" s="478">
        <v>7.14</v>
      </c>
      <c r="E1610" s="478">
        <v>24.32</v>
      </c>
      <c r="F1610" s="19" t="s">
        <v>4323</v>
      </c>
      <c r="G1610">
        <v>29</v>
      </c>
      <c r="H1610">
        <v>76.8</v>
      </c>
      <c r="I1610" s="217">
        <v>45022</v>
      </c>
      <c r="J1610" s="478" t="s">
        <v>3074</v>
      </c>
      <c r="K1610">
        <v>33.380000000000003</v>
      </c>
      <c r="L1610">
        <v>0.57999999999999996</v>
      </c>
      <c r="Q1610" s="4" t="s">
        <v>3076</v>
      </c>
      <c r="T1610" s="478" t="s">
        <v>4067</v>
      </c>
      <c r="U1610" s="29" t="s">
        <v>4350</v>
      </c>
      <c r="V1610" s="407" t="s">
        <v>3053</v>
      </c>
      <c r="W1610" s="29">
        <v>13</v>
      </c>
    </row>
    <row r="1611" spans="1:23">
      <c r="A1611" s="134">
        <v>2655</v>
      </c>
      <c r="B1611" s="134">
        <v>18.8</v>
      </c>
      <c r="C1611">
        <v>1.47</v>
      </c>
      <c r="D1611">
        <v>7.1</v>
      </c>
      <c r="E1611">
        <v>24.35</v>
      </c>
      <c r="F1611" s="45" t="s">
        <v>4324</v>
      </c>
      <c r="G1611" s="478">
        <v>29</v>
      </c>
      <c r="H1611" s="478">
        <v>76.8</v>
      </c>
      <c r="I1611" s="217">
        <v>45022</v>
      </c>
      <c r="J1611" s="478" t="s">
        <v>3074</v>
      </c>
      <c r="K1611">
        <v>33.39</v>
      </c>
      <c r="L1611">
        <v>0.26100000000000001</v>
      </c>
      <c r="Q1611" s="4" t="s">
        <v>3076</v>
      </c>
      <c r="T1611" s="478" t="s">
        <v>4067</v>
      </c>
      <c r="U1611" s="29" t="s">
        <v>4325</v>
      </c>
      <c r="V1611" s="407" t="s">
        <v>3081</v>
      </c>
      <c r="W1611" s="29">
        <v>12</v>
      </c>
    </row>
    <row r="1612" spans="1:23">
      <c r="A1612" s="134">
        <v>2661</v>
      </c>
      <c r="B1612" s="134">
        <v>16.399999999999999</v>
      </c>
      <c r="C1612" s="478">
        <v>1.5</v>
      </c>
      <c r="D1612" s="478">
        <v>7.09</v>
      </c>
      <c r="E1612" s="478">
        <v>24.4</v>
      </c>
      <c r="F1612" s="45" t="s">
        <v>4326</v>
      </c>
      <c r="G1612">
        <v>20</v>
      </c>
      <c r="H1612">
        <v>72.099999999999994</v>
      </c>
      <c r="I1612" s="217">
        <v>45026</v>
      </c>
      <c r="J1612" s="478" t="s">
        <v>3074</v>
      </c>
      <c r="K1612">
        <v>33.409999999999997</v>
      </c>
      <c r="L1612">
        <v>0.70199999999999996</v>
      </c>
      <c r="Q1612" s="4" t="s">
        <v>3076</v>
      </c>
      <c r="T1612" s="478" t="s">
        <v>4067</v>
      </c>
      <c r="U1612" s="29" t="s">
        <v>4327</v>
      </c>
      <c r="V1612" s="407" t="s">
        <v>3053</v>
      </c>
      <c r="W1612" s="29">
        <v>9</v>
      </c>
    </row>
    <row r="1613" spans="1:23">
      <c r="A1613" s="134">
        <v>2628</v>
      </c>
      <c r="B1613" s="134">
        <v>16.2</v>
      </c>
      <c r="C1613">
        <v>1.48</v>
      </c>
      <c r="D1613">
        <v>7.11</v>
      </c>
      <c r="E1613">
        <v>24.39</v>
      </c>
      <c r="F1613" s="19" t="s">
        <v>4328</v>
      </c>
      <c r="G1613">
        <v>19</v>
      </c>
      <c r="H1613">
        <v>75.5</v>
      </c>
      <c r="I1613" s="217">
        <v>45026</v>
      </c>
      <c r="J1613" s="478" t="s">
        <v>3074</v>
      </c>
      <c r="K1613">
        <v>33.42</v>
      </c>
      <c r="L1613">
        <v>0.38400000000000001</v>
      </c>
      <c r="Q1613" s="4" t="s">
        <v>3076</v>
      </c>
      <c r="T1613" s="478" t="s">
        <v>4067</v>
      </c>
      <c r="U1613" s="29" t="s">
        <v>4349</v>
      </c>
      <c r="V1613" s="407" t="s">
        <v>3086</v>
      </c>
      <c r="W1613" s="29">
        <v>10</v>
      </c>
    </row>
    <row r="1614" spans="1:23" ht="25.5" customHeight="1">
      <c r="A1614" s="134">
        <v>2549</v>
      </c>
      <c r="B1614" s="134">
        <v>17.2</v>
      </c>
      <c r="C1614" s="478">
        <v>1.5</v>
      </c>
      <c r="D1614" s="478">
        <v>7.07</v>
      </c>
      <c r="E1614" s="478">
        <v>24.32</v>
      </c>
      <c r="F1614" s="19" t="s">
        <v>4329</v>
      </c>
      <c r="G1614">
        <v>24</v>
      </c>
      <c r="H1614">
        <v>75.3</v>
      </c>
      <c r="I1614" s="217">
        <v>45042</v>
      </c>
      <c r="J1614" t="s">
        <v>3074</v>
      </c>
      <c r="K1614">
        <v>33.42</v>
      </c>
      <c r="L1614">
        <v>0.749</v>
      </c>
      <c r="Q1614" s="4" t="s">
        <v>3076</v>
      </c>
      <c r="T1614" s="478" t="s">
        <v>4067</v>
      </c>
      <c r="U1614" s="29" t="s">
        <v>4371</v>
      </c>
      <c r="V1614" s="407" t="s">
        <v>3086</v>
      </c>
      <c r="W1614" s="29">
        <v>6</v>
      </c>
    </row>
    <row r="1615" spans="1:23">
      <c r="A1615" s="134">
        <v>2662</v>
      </c>
      <c r="B1615" s="134">
        <v>18.8</v>
      </c>
      <c r="C1615" s="478">
        <v>1.51</v>
      </c>
      <c r="D1615" s="478">
        <v>7.09</v>
      </c>
      <c r="E1615" s="478">
        <v>24.52</v>
      </c>
      <c r="F1615" s="176" t="s">
        <v>4330</v>
      </c>
      <c r="G1615" s="478">
        <v>24</v>
      </c>
      <c r="H1615" s="478">
        <v>75.3</v>
      </c>
      <c r="I1615" s="217">
        <v>45042</v>
      </c>
      <c r="J1615" s="478" t="s">
        <v>3074</v>
      </c>
      <c r="K1615">
        <v>33.49</v>
      </c>
      <c r="L1615">
        <v>0.752</v>
      </c>
      <c r="Q1615" s="4" t="s">
        <v>3076</v>
      </c>
      <c r="T1615" s="478" t="s">
        <v>4067</v>
      </c>
      <c r="U1615" s="29" t="s">
        <v>4331</v>
      </c>
      <c r="V1615" s="407" t="s">
        <v>3237</v>
      </c>
      <c r="W1615" s="29">
        <v>2</v>
      </c>
    </row>
    <row r="1616" spans="1:23" s="478" customFormat="1">
      <c r="A1616" s="134">
        <v>2662</v>
      </c>
      <c r="B1616" s="134">
        <v>18.8</v>
      </c>
      <c r="C1616" s="478">
        <v>1.51</v>
      </c>
      <c r="D1616" s="478">
        <v>7.09</v>
      </c>
      <c r="E1616" s="478">
        <v>24.52</v>
      </c>
      <c r="F1616" s="176" t="s">
        <v>4342</v>
      </c>
      <c r="G1616" s="478">
        <v>31</v>
      </c>
      <c r="H1616" s="478">
        <v>71.400000000000006</v>
      </c>
      <c r="I1616" s="217">
        <v>45049</v>
      </c>
      <c r="J1616" s="478" t="s">
        <v>3074</v>
      </c>
      <c r="K1616" s="478">
        <v>33.5</v>
      </c>
      <c r="L1616" s="478">
        <v>0.44800000000000001</v>
      </c>
      <c r="Q1616" s="4" t="s">
        <v>3076</v>
      </c>
      <c r="T1616" s="478" t="s">
        <v>4067</v>
      </c>
      <c r="U1616" s="29" t="s">
        <v>4343</v>
      </c>
      <c r="V1616" s="571" t="s">
        <v>3194</v>
      </c>
      <c r="W1616" s="29"/>
    </row>
    <row r="1617" spans="1:23">
      <c r="A1617" s="134">
        <v>2662</v>
      </c>
      <c r="B1617" s="134">
        <v>18.8</v>
      </c>
      <c r="C1617" s="478">
        <v>1.51</v>
      </c>
      <c r="D1617" s="478">
        <v>7.09</v>
      </c>
      <c r="E1617" s="478">
        <v>24.52</v>
      </c>
      <c r="F1617" s="19" t="s">
        <v>4344</v>
      </c>
      <c r="G1617" s="478">
        <v>31</v>
      </c>
      <c r="H1617" s="478">
        <v>71.400000000000006</v>
      </c>
      <c r="I1617" s="217">
        <v>45049</v>
      </c>
      <c r="J1617" s="478" t="s">
        <v>3074</v>
      </c>
      <c r="K1617">
        <v>33.51</v>
      </c>
      <c r="L1617">
        <v>0.42</v>
      </c>
      <c r="Q1617" s="4" t="s">
        <v>3076</v>
      </c>
      <c r="T1617" s="478" t="s">
        <v>4067</v>
      </c>
      <c r="U1617" s="29" t="s">
        <v>4424</v>
      </c>
      <c r="V1617" s="407" t="s">
        <v>3024</v>
      </c>
      <c r="W1617" s="29">
        <v>3</v>
      </c>
    </row>
    <row r="1618" spans="1:23">
      <c r="A1618" s="134">
        <v>2663</v>
      </c>
      <c r="B1618" s="134">
        <v>16.2</v>
      </c>
      <c r="C1618" s="478">
        <v>1.47</v>
      </c>
      <c r="D1618" s="478">
        <v>7.09</v>
      </c>
      <c r="E1618" s="478">
        <v>24.35</v>
      </c>
      <c r="F1618" s="19" t="s">
        <v>4332</v>
      </c>
      <c r="G1618">
        <v>26</v>
      </c>
      <c r="H1618">
        <v>71.400000000000006</v>
      </c>
      <c r="I1618" s="217">
        <v>45043</v>
      </c>
      <c r="J1618" t="s">
        <v>3074</v>
      </c>
      <c r="K1618">
        <v>33.33</v>
      </c>
      <c r="L1618">
        <v>0.56599999999999995</v>
      </c>
      <c r="Q1618" s="4" t="s">
        <v>3076</v>
      </c>
      <c r="T1618" s="478" t="s">
        <v>4067</v>
      </c>
      <c r="U1618" s="29" t="s">
        <v>4372</v>
      </c>
      <c r="V1618" s="407" t="s">
        <v>3027</v>
      </c>
      <c r="W1618" s="29">
        <v>5</v>
      </c>
    </row>
    <row r="1619" spans="1:23">
      <c r="A1619" s="134">
        <v>2658</v>
      </c>
      <c r="B1619" s="134">
        <v>17.2</v>
      </c>
      <c r="C1619" s="478">
        <v>1.51</v>
      </c>
      <c r="D1619" s="478">
        <v>7.1</v>
      </c>
      <c r="E1619" s="478">
        <v>24.39</v>
      </c>
      <c r="F1619" s="19" t="s">
        <v>4333</v>
      </c>
      <c r="G1619" s="478">
        <v>26</v>
      </c>
      <c r="H1619" s="478">
        <v>71.400000000000006</v>
      </c>
      <c r="I1619" s="217">
        <v>45043</v>
      </c>
      <c r="J1619" s="478" t="s">
        <v>3074</v>
      </c>
      <c r="K1619">
        <v>33.479999999999997</v>
      </c>
      <c r="L1619">
        <v>0.17100000000000001</v>
      </c>
      <c r="Q1619" s="4" t="s">
        <v>3076</v>
      </c>
      <c r="T1619" s="478" t="s">
        <v>4067</v>
      </c>
      <c r="U1619" s="29" t="s">
        <v>4374</v>
      </c>
      <c r="V1619" s="407" t="s">
        <v>3136</v>
      </c>
      <c r="W1619" s="29">
        <v>3</v>
      </c>
    </row>
    <row r="1620" spans="1:23">
      <c r="A1620" s="134">
        <v>2550</v>
      </c>
      <c r="B1620" s="134">
        <v>16</v>
      </c>
      <c r="C1620" s="478">
        <v>1.49</v>
      </c>
      <c r="D1620" s="478">
        <v>7.09</v>
      </c>
      <c r="E1620" s="478">
        <v>24.36</v>
      </c>
      <c r="F1620" s="19" t="s">
        <v>4334</v>
      </c>
      <c r="G1620">
        <v>29</v>
      </c>
      <c r="H1620">
        <v>75.900000000000006</v>
      </c>
      <c r="I1620" s="217">
        <v>45047</v>
      </c>
      <c r="J1620" s="478" t="s">
        <v>3074</v>
      </c>
      <c r="K1620" s="478">
        <v>33.450000000000003</v>
      </c>
      <c r="L1620">
        <v>0.73399999999999999</v>
      </c>
      <c r="Q1620" s="4" t="s">
        <v>3076</v>
      </c>
      <c r="T1620" s="478" t="s">
        <v>4067</v>
      </c>
      <c r="U1620" s="29" t="s">
        <v>4375</v>
      </c>
      <c r="V1620" s="407" t="s">
        <v>3340</v>
      </c>
      <c r="W1620" s="29">
        <v>2</v>
      </c>
    </row>
    <row r="1621" spans="1:23">
      <c r="A1621" s="134">
        <v>2664</v>
      </c>
      <c r="B1621" s="134">
        <v>18.399999999999999</v>
      </c>
      <c r="C1621" s="478">
        <v>1.51</v>
      </c>
      <c r="D1621" s="478">
        <v>7.11</v>
      </c>
      <c r="E1621" s="478">
        <v>24.34</v>
      </c>
      <c r="F1621" s="249" t="s">
        <v>4336</v>
      </c>
      <c r="G1621">
        <v>29</v>
      </c>
      <c r="H1621">
        <v>76.2</v>
      </c>
      <c r="I1621" s="217">
        <v>45047</v>
      </c>
      <c r="J1621" s="478" t="s">
        <v>3074</v>
      </c>
      <c r="K1621">
        <v>33.43</v>
      </c>
      <c r="L1621">
        <v>0.25600000000000001</v>
      </c>
      <c r="Q1621" s="4" t="s">
        <v>3076</v>
      </c>
      <c r="T1621" s="478" t="s">
        <v>4067</v>
      </c>
      <c r="U1621" s="29" t="s">
        <v>4335</v>
      </c>
      <c r="V1621" s="407" t="s">
        <v>3026</v>
      </c>
      <c r="W1621" s="29">
        <v>6</v>
      </c>
    </row>
    <row r="1622" spans="1:23">
      <c r="A1622" s="134">
        <v>2546</v>
      </c>
      <c r="B1622" s="134">
        <v>18.600000000000001</v>
      </c>
      <c r="C1622" s="478">
        <v>1.49</v>
      </c>
      <c r="D1622" s="478">
        <v>7.09</v>
      </c>
      <c r="E1622" s="478">
        <v>24.32</v>
      </c>
      <c r="F1622" s="19" t="s">
        <v>4337</v>
      </c>
      <c r="G1622">
        <v>24</v>
      </c>
      <c r="H1622">
        <v>76.099999999999994</v>
      </c>
      <c r="I1622" s="217">
        <v>45048</v>
      </c>
      <c r="J1622" s="478" t="s">
        <v>3074</v>
      </c>
      <c r="K1622">
        <v>33.409999999999997</v>
      </c>
      <c r="L1622">
        <v>0.48</v>
      </c>
      <c r="Q1622" s="4" t="s">
        <v>3076</v>
      </c>
      <c r="T1622" s="478" t="s">
        <v>4067</v>
      </c>
      <c r="U1622" s="29" t="s">
        <v>4369</v>
      </c>
      <c r="V1622" s="407" t="s">
        <v>3027</v>
      </c>
      <c r="W1622" s="29">
        <v>2</v>
      </c>
    </row>
    <row r="1623" spans="1:23">
      <c r="A1623" s="134">
        <v>2551</v>
      </c>
      <c r="B1623" s="134">
        <v>18.8</v>
      </c>
      <c r="C1623" s="478">
        <v>1.5</v>
      </c>
      <c r="D1623" s="478">
        <v>7.11</v>
      </c>
      <c r="E1623" s="478">
        <v>24.42</v>
      </c>
      <c r="F1623" s="45" t="s">
        <v>4338</v>
      </c>
      <c r="G1623" s="478">
        <v>24</v>
      </c>
      <c r="H1623" s="478">
        <v>76.099999999999994</v>
      </c>
      <c r="I1623" s="217">
        <v>45048</v>
      </c>
      <c r="J1623" s="478" t="s">
        <v>3074</v>
      </c>
      <c r="K1623">
        <v>33.43</v>
      </c>
      <c r="L1623">
        <v>0.41599999999999998</v>
      </c>
      <c r="Q1623" s="4" t="s">
        <v>3076</v>
      </c>
      <c r="T1623" s="478" t="s">
        <v>4067</v>
      </c>
      <c r="U1623" s="29" t="s">
        <v>4339</v>
      </c>
      <c r="V1623" s="407" t="s">
        <v>3025</v>
      </c>
      <c r="W1623" s="29">
        <v>9</v>
      </c>
    </row>
    <row r="1624" spans="1:23">
      <c r="A1624" s="134">
        <v>2545</v>
      </c>
      <c r="B1624" s="134">
        <v>18</v>
      </c>
      <c r="C1624" s="478">
        <v>1.49</v>
      </c>
      <c r="D1624" s="478">
        <v>7.08</v>
      </c>
      <c r="E1624" s="478">
        <v>24.23</v>
      </c>
      <c r="F1624" s="19" t="s">
        <v>4340</v>
      </c>
      <c r="G1624">
        <v>24</v>
      </c>
      <c r="H1624">
        <v>76.2</v>
      </c>
      <c r="I1624" s="217">
        <v>45048</v>
      </c>
      <c r="J1624" s="478" t="s">
        <v>3074</v>
      </c>
      <c r="K1624">
        <v>33.42</v>
      </c>
      <c r="L1624">
        <v>0.75800000000000001</v>
      </c>
      <c r="Q1624" s="4" t="s">
        <v>3076</v>
      </c>
      <c r="T1624" s="478" t="s">
        <v>4067</v>
      </c>
      <c r="U1624" s="29" t="s">
        <v>4373</v>
      </c>
      <c r="V1624" s="407" t="s">
        <v>3166</v>
      </c>
      <c r="W1624" s="29">
        <v>5</v>
      </c>
    </row>
    <row r="1625" spans="1:23">
      <c r="A1625" s="134">
        <v>2548</v>
      </c>
      <c r="B1625" s="134">
        <v>18.8</v>
      </c>
      <c r="C1625" s="478">
        <v>1.49</v>
      </c>
      <c r="D1625" s="478">
        <v>7.12</v>
      </c>
      <c r="E1625" s="478">
        <v>24.35</v>
      </c>
      <c r="F1625" s="19" t="s">
        <v>4341</v>
      </c>
      <c r="G1625" s="478">
        <v>24</v>
      </c>
      <c r="H1625" s="478">
        <v>76.2</v>
      </c>
      <c r="I1625" s="217">
        <v>45048</v>
      </c>
      <c r="J1625" s="478" t="s">
        <v>3074</v>
      </c>
      <c r="K1625">
        <v>33.47</v>
      </c>
      <c r="L1625">
        <v>0.44700000000000001</v>
      </c>
      <c r="Q1625" s="4" t="s">
        <v>3076</v>
      </c>
      <c r="T1625" s="478" t="s">
        <v>4067</v>
      </c>
      <c r="U1625" s="29" t="s">
        <v>4370</v>
      </c>
      <c r="V1625" s="570" t="s">
        <v>3027</v>
      </c>
      <c r="W1625" s="29">
        <v>2</v>
      </c>
    </row>
    <row r="1626" spans="1:23" ht="24" customHeight="1">
      <c r="A1626" s="134">
        <v>2554</v>
      </c>
      <c r="B1626" s="134">
        <v>18.399999999999999</v>
      </c>
      <c r="C1626" s="478">
        <v>1.48</v>
      </c>
      <c r="D1626" s="478">
        <v>7.08</v>
      </c>
      <c r="E1626" s="478">
        <v>24.35</v>
      </c>
      <c r="F1626" s="19" t="s">
        <v>4345</v>
      </c>
      <c r="G1626">
        <v>19</v>
      </c>
      <c r="H1626">
        <v>75.3</v>
      </c>
      <c r="I1626" s="217">
        <v>45056</v>
      </c>
      <c r="J1626" t="s">
        <v>3074</v>
      </c>
      <c r="K1626">
        <v>33.380000000000003</v>
      </c>
      <c r="L1626">
        <v>0.78900000000000003</v>
      </c>
      <c r="Q1626" s="4" t="s">
        <v>3076</v>
      </c>
      <c r="T1626" s="478" t="s">
        <v>4067</v>
      </c>
      <c r="U1626" s="29" t="s">
        <v>4377</v>
      </c>
      <c r="V1626" s="407" t="s">
        <v>3026</v>
      </c>
      <c r="W1626" s="29">
        <v>9</v>
      </c>
    </row>
    <row r="1627" spans="1:23">
      <c r="A1627" s="134">
        <v>2547</v>
      </c>
      <c r="B1627" s="134">
        <v>17.600000000000001</v>
      </c>
      <c r="C1627" s="478">
        <v>1.5</v>
      </c>
      <c r="D1627" s="478">
        <v>7.09</v>
      </c>
      <c r="E1627" s="478">
        <v>24.4</v>
      </c>
      <c r="F1627" s="176" t="s">
        <v>4346</v>
      </c>
      <c r="G1627" s="478">
        <v>19</v>
      </c>
      <c r="H1627" s="478">
        <v>75.3</v>
      </c>
      <c r="I1627" s="217">
        <v>45056</v>
      </c>
      <c r="J1627" s="478" t="s">
        <v>3074</v>
      </c>
      <c r="K1627">
        <v>33.31</v>
      </c>
      <c r="L1627">
        <v>0.36399999999999999</v>
      </c>
      <c r="Q1627" s="4" t="s">
        <v>3076</v>
      </c>
      <c r="T1627" s="478" t="s">
        <v>4067</v>
      </c>
      <c r="U1627" s="29" t="s">
        <v>4355</v>
      </c>
    </row>
    <row r="1628" spans="1:23">
      <c r="A1628" s="134">
        <v>2547</v>
      </c>
      <c r="B1628" s="134">
        <v>17.600000000000001</v>
      </c>
      <c r="C1628" s="478">
        <v>1.5</v>
      </c>
      <c r="D1628" s="478">
        <v>7.09</v>
      </c>
      <c r="E1628" s="478">
        <v>24.4</v>
      </c>
      <c r="F1628" s="176" t="s">
        <v>4354</v>
      </c>
      <c r="G1628">
        <v>30</v>
      </c>
      <c r="H1628">
        <v>76.099999999999994</v>
      </c>
      <c r="I1628" s="217">
        <v>45057</v>
      </c>
      <c r="J1628" s="478" t="s">
        <v>3074</v>
      </c>
      <c r="K1628">
        <v>33.31</v>
      </c>
      <c r="L1628">
        <v>0.60299999999999998</v>
      </c>
      <c r="Q1628" s="4" t="s">
        <v>3076</v>
      </c>
      <c r="T1628" s="478" t="s">
        <v>4067</v>
      </c>
      <c r="U1628" s="29" t="s">
        <v>3548</v>
      </c>
    </row>
    <row r="1629" spans="1:23">
      <c r="A1629" s="134">
        <v>2577</v>
      </c>
      <c r="B1629" s="134">
        <v>17.2</v>
      </c>
      <c r="C1629" s="478">
        <v>1.49</v>
      </c>
      <c r="D1629" s="478">
        <v>7.05</v>
      </c>
      <c r="E1629" s="478">
        <v>24.4</v>
      </c>
      <c r="F1629" s="19" t="s">
        <v>4356</v>
      </c>
      <c r="G1629" s="478">
        <v>30</v>
      </c>
      <c r="H1629" s="478">
        <v>76.099999999999994</v>
      </c>
      <c r="I1629" s="217">
        <v>45057</v>
      </c>
      <c r="J1629" s="478" t="s">
        <v>3074</v>
      </c>
      <c r="K1629">
        <v>33.24</v>
      </c>
      <c r="L1629">
        <v>0.56000000000000005</v>
      </c>
      <c r="Q1629" s="4" t="s">
        <v>3076</v>
      </c>
      <c r="T1629" s="478" t="s">
        <v>4067</v>
      </c>
      <c r="U1629" s="29" t="s">
        <v>4382</v>
      </c>
      <c r="V1629" s="407" t="s">
        <v>3025</v>
      </c>
      <c r="W1629" s="29">
        <v>11</v>
      </c>
    </row>
    <row r="1630" spans="1:23">
      <c r="A1630" s="134">
        <v>2576</v>
      </c>
      <c r="B1630" s="134">
        <v>17.600000000000001</v>
      </c>
      <c r="C1630" s="478">
        <v>1.47</v>
      </c>
      <c r="D1630" s="478">
        <v>7.13</v>
      </c>
      <c r="E1630" s="478">
        <v>24.31</v>
      </c>
      <c r="F1630" s="176" t="s">
        <v>4357</v>
      </c>
      <c r="G1630" s="478">
        <v>30</v>
      </c>
      <c r="H1630" s="478">
        <v>76.099999999999994</v>
      </c>
      <c r="I1630" s="217">
        <v>45057</v>
      </c>
      <c r="J1630" s="478" t="s">
        <v>3074</v>
      </c>
      <c r="Q1630" s="4" t="s">
        <v>3076</v>
      </c>
      <c r="T1630" s="478" t="s">
        <v>4067</v>
      </c>
    </row>
    <row r="1631" spans="1:23">
      <c r="A1631" s="134">
        <v>2576</v>
      </c>
      <c r="B1631" s="134">
        <v>17.600000000000001</v>
      </c>
      <c r="C1631" s="478">
        <v>1.47</v>
      </c>
      <c r="D1631" s="478">
        <v>7.13</v>
      </c>
      <c r="E1631" s="478">
        <v>24.31</v>
      </c>
      <c r="F1631" s="176" t="s">
        <v>4358</v>
      </c>
      <c r="G1631">
        <v>32</v>
      </c>
      <c r="H1631">
        <v>76.099999999999994</v>
      </c>
      <c r="I1631" s="217">
        <v>45058</v>
      </c>
      <c r="J1631" s="478" t="s">
        <v>3074</v>
      </c>
      <c r="K1631">
        <v>33.340000000000003</v>
      </c>
      <c r="L1631">
        <v>0.376</v>
      </c>
      <c r="Q1631" s="4" t="s">
        <v>3076</v>
      </c>
      <c r="T1631" s="478" t="s">
        <v>4067</v>
      </c>
      <c r="U1631" s="29" t="s">
        <v>4359</v>
      </c>
    </row>
    <row r="1632" spans="1:23" s="13" customFormat="1">
      <c r="A1632" s="136">
        <v>2576</v>
      </c>
      <c r="B1632" s="136">
        <v>17.600000000000001</v>
      </c>
      <c r="C1632" s="13">
        <v>1.47</v>
      </c>
      <c r="D1632" s="13">
        <v>7.13</v>
      </c>
      <c r="E1632" s="13">
        <v>24.31</v>
      </c>
      <c r="F1632" s="249" t="s">
        <v>4368</v>
      </c>
      <c r="G1632" s="13">
        <v>20</v>
      </c>
      <c r="H1632" s="13">
        <v>75</v>
      </c>
      <c r="I1632" s="426">
        <v>45062</v>
      </c>
      <c r="J1632" s="13" t="s">
        <v>3074</v>
      </c>
      <c r="K1632" s="13">
        <v>33.340000000000003</v>
      </c>
      <c r="L1632" s="13">
        <v>0.26800000000000002</v>
      </c>
      <c r="Q1632" s="34" t="s">
        <v>3076</v>
      </c>
      <c r="T1632" s="13" t="s">
        <v>4067</v>
      </c>
      <c r="U1632" s="269" t="s">
        <v>4380</v>
      </c>
      <c r="V1632" s="19" t="s">
        <v>3159</v>
      </c>
      <c r="W1632" s="269">
        <v>4</v>
      </c>
    </row>
    <row r="1633" spans="1:23">
      <c r="A1633" s="134">
        <v>2553</v>
      </c>
      <c r="B1633" s="134">
        <v>17.600000000000001</v>
      </c>
      <c r="C1633" s="478">
        <v>1.49</v>
      </c>
      <c r="D1633" s="478">
        <v>7.07</v>
      </c>
      <c r="E1633" s="478">
        <v>24.32</v>
      </c>
      <c r="F1633" s="19" t="s">
        <v>4360</v>
      </c>
      <c r="G1633">
        <v>30</v>
      </c>
      <c r="H1633">
        <v>73</v>
      </c>
      <c r="I1633" s="217">
        <v>45061</v>
      </c>
      <c r="J1633" s="478" t="s">
        <v>3074</v>
      </c>
      <c r="K1633">
        <v>33.26</v>
      </c>
      <c r="L1633">
        <v>0.40799999999999997</v>
      </c>
      <c r="Q1633" s="4" t="s">
        <v>3076</v>
      </c>
      <c r="T1633" s="478" t="s">
        <v>4067</v>
      </c>
      <c r="U1633" s="29" t="s">
        <v>4376</v>
      </c>
      <c r="V1633" s="407" t="s">
        <v>3053</v>
      </c>
      <c r="W1633" s="29">
        <v>5</v>
      </c>
    </row>
    <row r="1634" spans="1:23">
      <c r="A1634" s="134">
        <v>2575</v>
      </c>
      <c r="B1634" s="134">
        <v>18.399999999999999</v>
      </c>
      <c r="C1634" s="478">
        <v>1.5</v>
      </c>
      <c r="D1634" s="478">
        <v>7.13</v>
      </c>
      <c r="E1634" s="478">
        <v>24.33</v>
      </c>
      <c r="F1634" s="19" t="s">
        <v>4361</v>
      </c>
      <c r="G1634" s="478">
        <v>30</v>
      </c>
      <c r="H1634" s="478">
        <v>73</v>
      </c>
      <c r="I1634" s="217">
        <v>45061</v>
      </c>
      <c r="J1634" s="478" t="s">
        <v>3074</v>
      </c>
      <c r="K1634">
        <v>33.42</v>
      </c>
      <c r="L1634">
        <v>0.61199999999999999</v>
      </c>
      <c r="Q1634" s="4" t="s">
        <v>3076</v>
      </c>
      <c r="T1634" s="478" t="s">
        <v>4067</v>
      </c>
      <c r="U1634" s="29" t="s">
        <v>4378</v>
      </c>
      <c r="V1634" s="572" t="s">
        <v>3053</v>
      </c>
      <c r="W1634" s="29">
        <v>5</v>
      </c>
    </row>
    <row r="1635" spans="1:23">
      <c r="A1635" s="134">
        <v>2578</v>
      </c>
      <c r="B1635" s="134">
        <v>16.399999999999999</v>
      </c>
      <c r="C1635" s="478">
        <v>1.49</v>
      </c>
      <c r="D1635" s="478">
        <v>7.13</v>
      </c>
      <c r="E1635" s="478">
        <v>24.39</v>
      </c>
      <c r="F1635" s="176" t="s">
        <v>4362</v>
      </c>
      <c r="G1635">
        <v>20</v>
      </c>
      <c r="H1635">
        <v>75</v>
      </c>
      <c r="I1635" s="217">
        <v>45062</v>
      </c>
      <c r="J1635" s="478" t="s">
        <v>3074</v>
      </c>
      <c r="Q1635" s="4" t="s">
        <v>3076</v>
      </c>
      <c r="T1635" s="478" t="s">
        <v>4067</v>
      </c>
    </row>
    <row r="1636" spans="1:23">
      <c r="A1636" s="134">
        <v>2578</v>
      </c>
      <c r="B1636" s="134">
        <v>16.399999999999999</v>
      </c>
      <c r="C1636" s="478">
        <v>1.49</v>
      </c>
      <c r="D1636" s="478">
        <v>7.13</v>
      </c>
      <c r="E1636" s="478">
        <v>24.39</v>
      </c>
      <c r="F1636" s="19" t="s">
        <v>4363</v>
      </c>
      <c r="G1636" s="478">
        <v>20</v>
      </c>
      <c r="H1636" s="478">
        <v>75</v>
      </c>
      <c r="I1636" s="217">
        <v>45062</v>
      </c>
      <c r="J1636" s="478" t="s">
        <v>3074</v>
      </c>
      <c r="K1636">
        <v>33.36</v>
      </c>
      <c r="L1636">
        <v>0.436</v>
      </c>
      <c r="Q1636" s="4" t="s">
        <v>3076</v>
      </c>
      <c r="T1636" s="478" t="s">
        <v>4067</v>
      </c>
      <c r="U1636" s="29" t="s">
        <v>4379</v>
      </c>
      <c r="V1636" s="407" t="s">
        <v>3221</v>
      </c>
      <c r="W1636" s="29">
        <v>4</v>
      </c>
    </row>
    <row r="1637" spans="1:23">
      <c r="A1637" s="134">
        <v>2580</v>
      </c>
      <c r="B1637" s="134">
        <v>18</v>
      </c>
      <c r="C1637" s="478">
        <v>1.5</v>
      </c>
      <c r="D1637" s="478">
        <v>7.08</v>
      </c>
      <c r="E1637" s="478">
        <v>24.28</v>
      </c>
      <c r="F1637" s="176" t="s">
        <v>4364</v>
      </c>
      <c r="G1637" s="478">
        <v>20</v>
      </c>
      <c r="H1637" s="478">
        <v>75</v>
      </c>
      <c r="I1637" s="217">
        <v>45062</v>
      </c>
      <c r="J1637" s="478" t="s">
        <v>3074</v>
      </c>
      <c r="T1637" s="478" t="s">
        <v>4067</v>
      </c>
    </row>
    <row r="1638" spans="1:23">
      <c r="A1638" s="134">
        <v>2580</v>
      </c>
      <c r="B1638" s="134">
        <v>18</v>
      </c>
      <c r="C1638" s="478">
        <v>1.5</v>
      </c>
      <c r="D1638" s="478">
        <v>7.08</v>
      </c>
      <c r="E1638" s="478">
        <v>24.28</v>
      </c>
      <c r="F1638" s="45" t="s">
        <v>4365</v>
      </c>
      <c r="G1638" s="478">
        <v>20</v>
      </c>
      <c r="H1638" s="478">
        <v>75</v>
      </c>
      <c r="I1638" s="217">
        <v>45062</v>
      </c>
      <c r="J1638" s="478" t="s">
        <v>3074</v>
      </c>
      <c r="K1638">
        <v>33.32</v>
      </c>
      <c r="L1638">
        <v>0.32400000000000001</v>
      </c>
      <c r="Q1638" s="4" t="s">
        <v>3076</v>
      </c>
      <c r="T1638" s="478" t="s">
        <v>4067</v>
      </c>
      <c r="U1638" s="29" t="s">
        <v>4366</v>
      </c>
      <c r="V1638" s="407" t="s">
        <v>3005</v>
      </c>
      <c r="W1638" s="29">
        <v>3</v>
      </c>
    </row>
    <row r="1639" spans="1:23">
      <c r="A1639" s="134">
        <v>2552</v>
      </c>
      <c r="B1639" s="134">
        <v>17.2</v>
      </c>
      <c r="C1639" s="478">
        <v>1.5</v>
      </c>
      <c r="D1639" s="478">
        <v>7.08</v>
      </c>
      <c r="E1639" s="478">
        <v>24.26</v>
      </c>
      <c r="F1639" s="19" t="s">
        <v>4367</v>
      </c>
      <c r="G1639" s="478">
        <v>20</v>
      </c>
      <c r="H1639" s="478">
        <v>75</v>
      </c>
      <c r="I1639" s="217">
        <v>45062</v>
      </c>
      <c r="J1639" s="478" t="s">
        <v>3074</v>
      </c>
      <c r="K1639">
        <v>33.33</v>
      </c>
      <c r="L1639">
        <v>0.14199999999999999</v>
      </c>
      <c r="Q1639" s="4" t="s">
        <v>3076</v>
      </c>
      <c r="T1639" s="478" t="s">
        <v>4067</v>
      </c>
      <c r="U1639" s="29" t="s">
        <v>4381</v>
      </c>
      <c r="V1639" s="407" t="s">
        <v>3013</v>
      </c>
      <c r="W1639" s="29">
        <v>7</v>
      </c>
    </row>
    <row r="1640" spans="1:23">
      <c r="C1640" s="478"/>
      <c r="D1640" s="478"/>
      <c r="E1640" s="478"/>
      <c r="F1640" s="573"/>
    </row>
    <row r="1641" spans="1:23">
      <c r="A1641" s="134">
        <v>2547</v>
      </c>
      <c r="B1641" s="134">
        <v>17.600000000000001</v>
      </c>
      <c r="C1641" s="478">
        <v>1.5</v>
      </c>
      <c r="D1641" s="478">
        <v>7.09</v>
      </c>
      <c r="E1641" s="478">
        <v>24.4</v>
      </c>
      <c r="F1641" s="176" t="s">
        <v>4383</v>
      </c>
      <c r="G1641">
        <v>44</v>
      </c>
      <c r="H1641">
        <v>73</v>
      </c>
      <c r="I1641" s="217">
        <v>45086</v>
      </c>
      <c r="J1641" t="s">
        <v>4026</v>
      </c>
      <c r="Q1641" s="4" t="s">
        <v>3076</v>
      </c>
      <c r="T1641" s="478" t="s">
        <v>4067</v>
      </c>
    </row>
    <row r="1642" spans="1:23">
      <c r="A1642" s="136">
        <v>2547</v>
      </c>
      <c r="B1642" s="136">
        <v>17.600000000000001</v>
      </c>
      <c r="C1642" s="13">
        <v>1.5</v>
      </c>
      <c r="D1642" s="13">
        <v>7.09</v>
      </c>
      <c r="E1642" s="13">
        <v>24.4</v>
      </c>
      <c r="F1642" s="19" t="s">
        <v>4384</v>
      </c>
      <c r="G1642" s="13">
        <v>54</v>
      </c>
      <c r="H1642" s="13">
        <v>74</v>
      </c>
      <c r="I1642" s="426">
        <v>45089</v>
      </c>
      <c r="J1642" s="13" t="s">
        <v>4026</v>
      </c>
      <c r="K1642" s="13">
        <v>33.39</v>
      </c>
      <c r="L1642" s="13">
        <v>0.52</v>
      </c>
      <c r="M1642" s="13"/>
      <c r="N1642" s="13"/>
      <c r="O1642" s="13"/>
      <c r="P1642" s="13"/>
      <c r="Q1642" s="34" t="s">
        <v>3076</v>
      </c>
      <c r="R1642" s="13"/>
      <c r="S1642" s="13"/>
      <c r="T1642" s="13" t="s">
        <v>4067</v>
      </c>
      <c r="U1642" s="13" t="s">
        <v>4416</v>
      </c>
      <c r="V1642" s="19" t="s">
        <v>3924</v>
      </c>
      <c r="W1642" s="29" t="s">
        <v>4395</v>
      </c>
    </row>
    <row r="1643" spans="1:23">
      <c r="A1643" s="136">
        <v>2579</v>
      </c>
      <c r="B1643" s="136">
        <v>18</v>
      </c>
      <c r="C1643" s="13">
        <v>1.49</v>
      </c>
      <c r="D1643" s="13">
        <v>7.12</v>
      </c>
      <c r="E1643" s="13">
        <v>24.37</v>
      </c>
      <c r="F1643" s="582" t="s">
        <v>4385</v>
      </c>
      <c r="G1643" s="13">
        <v>54</v>
      </c>
      <c r="H1643" s="13">
        <v>74</v>
      </c>
      <c r="I1643" s="426">
        <v>45090</v>
      </c>
      <c r="J1643" s="13" t="s">
        <v>4026</v>
      </c>
      <c r="K1643" s="13">
        <v>33.39</v>
      </c>
      <c r="L1643" s="13">
        <v>0.2</v>
      </c>
      <c r="M1643" s="13"/>
      <c r="N1643" s="13"/>
      <c r="O1643" s="13"/>
      <c r="P1643" s="13"/>
      <c r="Q1643" s="34" t="s">
        <v>3076</v>
      </c>
      <c r="R1643" s="13"/>
      <c r="S1643" s="13"/>
      <c r="T1643" s="13" t="s">
        <v>4067</v>
      </c>
      <c r="U1643" s="13" t="s">
        <v>4410</v>
      </c>
      <c r="V1643" s="19" t="s">
        <v>3077</v>
      </c>
      <c r="W1643" s="29">
        <v>6</v>
      </c>
    </row>
    <row r="1644" spans="1:23" s="478" customFormat="1">
      <c r="A1644" s="136">
        <v>2581</v>
      </c>
      <c r="B1644" s="134">
        <v>18</v>
      </c>
      <c r="C1644" s="478">
        <v>1.5</v>
      </c>
      <c r="D1644" s="478">
        <v>7.09</v>
      </c>
      <c r="E1644" s="478">
        <v>24.38</v>
      </c>
      <c r="F1644" s="360" t="s">
        <v>4392</v>
      </c>
      <c r="G1644" s="478">
        <v>51</v>
      </c>
      <c r="H1644" s="478">
        <v>74</v>
      </c>
      <c r="I1644" s="217">
        <v>45093</v>
      </c>
      <c r="J1644" s="478" t="s">
        <v>4026</v>
      </c>
      <c r="K1644" s="478">
        <v>33.299999999999997</v>
      </c>
      <c r="L1644" s="478">
        <v>0.503</v>
      </c>
      <c r="Q1644" s="4" t="s">
        <v>3076</v>
      </c>
      <c r="T1644" s="478" t="s">
        <v>4067</v>
      </c>
      <c r="U1644" s="478" t="s">
        <v>4420</v>
      </c>
      <c r="V1644" s="574" t="s">
        <v>3081</v>
      </c>
      <c r="W1644" s="29" t="s">
        <v>4396</v>
      </c>
    </row>
    <row r="1645" spans="1:23">
      <c r="A1645" s="371">
        <v>2581</v>
      </c>
      <c r="B1645" s="305">
        <v>18</v>
      </c>
      <c r="C1645" s="300">
        <v>1.5</v>
      </c>
      <c r="D1645" s="300">
        <v>7.09</v>
      </c>
      <c r="E1645" s="300">
        <v>24.38</v>
      </c>
      <c r="F1645" s="404" t="s">
        <v>4386</v>
      </c>
      <c r="G1645" s="300">
        <v>48</v>
      </c>
      <c r="H1645" s="300">
        <v>76</v>
      </c>
      <c r="I1645" s="424">
        <v>45091</v>
      </c>
      <c r="J1645" s="300" t="s">
        <v>4026</v>
      </c>
      <c r="K1645" s="300">
        <v>33.42</v>
      </c>
      <c r="L1645" s="300">
        <v>0.70799999999999996</v>
      </c>
      <c r="M1645" s="300"/>
      <c r="N1645" s="300"/>
      <c r="O1645" s="300"/>
      <c r="P1645" s="300"/>
      <c r="Q1645" s="576" t="s">
        <v>3076</v>
      </c>
      <c r="R1645" s="300"/>
      <c r="S1645" s="300"/>
      <c r="T1645" s="300" t="s">
        <v>4067</v>
      </c>
      <c r="U1645" s="300" t="s">
        <v>4419</v>
      </c>
      <c r="V1645" s="247" t="s">
        <v>4387</v>
      </c>
      <c r="W1645" s="578">
        <v>8</v>
      </c>
    </row>
    <row r="1646" spans="1:23" ht="14.25" customHeight="1">
      <c r="A1646" s="136">
        <v>2582</v>
      </c>
      <c r="B1646" s="136">
        <v>18.8</v>
      </c>
      <c r="C1646" s="13">
        <v>1.51</v>
      </c>
      <c r="D1646" s="13">
        <v>7.12</v>
      </c>
      <c r="E1646" s="13">
        <v>24.36</v>
      </c>
      <c r="F1646" s="569" t="s">
        <v>4388</v>
      </c>
      <c r="G1646" s="13">
        <v>48</v>
      </c>
      <c r="H1646" s="13">
        <v>76</v>
      </c>
      <c r="I1646" s="426">
        <v>45091</v>
      </c>
      <c r="J1646" s="13" t="s">
        <v>4026</v>
      </c>
      <c r="K1646" s="13">
        <v>33.380000000000003</v>
      </c>
      <c r="L1646" s="13">
        <v>0.374</v>
      </c>
      <c r="M1646" s="13"/>
      <c r="N1646" s="13"/>
      <c r="O1646" s="13"/>
      <c r="P1646" s="13"/>
      <c r="Q1646" s="34" t="s">
        <v>3076</v>
      </c>
      <c r="R1646" s="13"/>
      <c r="S1646" s="13"/>
      <c r="T1646" s="13" t="s">
        <v>4067</v>
      </c>
      <c r="U1646" s="13" t="s">
        <v>4411</v>
      </c>
      <c r="V1646" s="19" t="s">
        <v>3224</v>
      </c>
      <c r="W1646" s="269">
        <v>5</v>
      </c>
    </row>
    <row r="1647" spans="1:23">
      <c r="A1647" s="136">
        <v>2583</v>
      </c>
      <c r="B1647" s="136">
        <v>17.600000000000001</v>
      </c>
      <c r="C1647" s="13">
        <v>1.48</v>
      </c>
      <c r="D1647" s="13">
        <v>7.11</v>
      </c>
      <c r="E1647" s="13">
        <v>24.37</v>
      </c>
      <c r="F1647" s="569" t="s">
        <v>4389</v>
      </c>
      <c r="G1647" s="13">
        <v>46</v>
      </c>
      <c r="H1647" s="13">
        <v>77</v>
      </c>
      <c r="I1647" s="426">
        <v>45091</v>
      </c>
      <c r="J1647" s="13" t="s">
        <v>4026</v>
      </c>
      <c r="K1647" s="13">
        <v>33.39</v>
      </c>
      <c r="L1647" s="13">
        <v>0.63200000000000001</v>
      </c>
      <c r="M1647" s="13"/>
      <c r="N1647" s="13"/>
      <c r="O1647" s="13"/>
      <c r="P1647" s="13"/>
      <c r="Q1647" s="34" t="s">
        <v>3076</v>
      </c>
      <c r="R1647" s="13"/>
      <c r="S1647" s="13"/>
      <c r="T1647" s="13" t="s">
        <v>4067</v>
      </c>
      <c r="U1647" s="13" t="s">
        <v>4412</v>
      </c>
      <c r="V1647" s="19" t="s">
        <v>3157</v>
      </c>
      <c r="W1647" s="269">
        <v>4</v>
      </c>
    </row>
    <row r="1648" spans="1:23">
      <c r="A1648" s="136">
        <v>2584</v>
      </c>
      <c r="B1648" s="136">
        <v>18.399999999999999</v>
      </c>
      <c r="C1648" s="13">
        <v>1.48</v>
      </c>
      <c r="D1648" s="13">
        <v>7.11</v>
      </c>
      <c r="E1648" s="13">
        <v>24.37</v>
      </c>
      <c r="F1648" s="569" t="s">
        <v>4390</v>
      </c>
      <c r="G1648" s="13">
        <v>49</v>
      </c>
      <c r="H1648" s="13">
        <v>73</v>
      </c>
      <c r="I1648" s="426">
        <v>45092</v>
      </c>
      <c r="J1648" s="13" t="s">
        <v>4026</v>
      </c>
      <c r="K1648" s="13">
        <v>33.42</v>
      </c>
      <c r="L1648" s="13">
        <v>0.48199999999999998</v>
      </c>
      <c r="M1648" s="13"/>
      <c r="N1648" s="13"/>
      <c r="O1648" s="13"/>
      <c r="P1648" s="13"/>
      <c r="Q1648" s="34" t="s">
        <v>3076</v>
      </c>
      <c r="R1648" s="13"/>
      <c r="S1648" s="13"/>
      <c r="T1648" s="13" t="s">
        <v>4067</v>
      </c>
      <c r="U1648" s="13" t="s">
        <v>4413</v>
      </c>
      <c r="V1648" s="19" t="s">
        <v>3136</v>
      </c>
      <c r="W1648" s="269">
        <v>10</v>
      </c>
    </row>
    <row r="1649" spans="1:23">
      <c r="A1649" s="136">
        <v>2555</v>
      </c>
      <c r="B1649" s="136">
        <v>17.2</v>
      </c>
      <c r="C1649" s="13">
        <v>1.5</v>
      </c>
      <c r="D1649" s="13">
        <v>7.11</v>
      </c>
      <c r="E1649" s="13">
        <v>24.38</v>
      </c>
      <c r="F1649" s="575" t="s">
        <v>4393</v>
      </c>
      <c r="G1649" s="13">
        <v>51</v>
      </c>
      <c r="H1649" s="13">
        <v>75</v>
      </c>
      <c r="I1649" s="426">
        <v>45093</v>
      </c>
      <c r="J1649" s="13" t="s">
        <v>4026</v>
      </c>
      <c r="K1649" s="13">
        <v>33.409999999999997</v>
      </c>
      <c r="L1649" s="13">
        <v>0.55000000000000004</v>
      </c>
      <c r="M1649" s="13"/>
      <c r="N1649" s="13"/>
      <c r="O1649" s="13"/>
      <c r="P1649" s="13"/>
      <c r="Q1649" s="34" t="s">
        <v>3076</v>
      </c>
      <c r="R1649" s="13"/>
      <c r="S1649" s="13"/>
      <c r="T1649" s="13" t="s">
        <v>4067</v>
      </c>
      <c r="U1649" s="13" t="s">
        <v>4414</v>
      </c>
      <c r="V1649" s="19" t="s">
        <v>4394</v>
      </c>
      <c r="W1649" s="269" t="s">
        <v>4397</v>
      </c>
    </row>
    <row r="1650" spans="1:23">
      <c r="A1650" s="136">
        <v>2556</v>
      </c>
      <c r="B1650" s="136">
        <v>18.8</v>
      </c>
      <c r="C1650" s="13">
        <v>1.51</v>
      </c>
      <c r="D1650" s="13">
        <v>7.12</v>
      </c>
      <c r="E1650" s="13">
        <v>24.36</v>
      </c>
      <c r="F1650" s="179" t="s">
        <v>4386</v>
      </c>
      <c r="G1650" s="13">
        <v>51</v>
      </c>
      <c r="H1650" s="13">
        <v>75</v>
      </c>
      <c r="I1650" s="426">
        <v>45093</v>
      </c>
      <c r="J1650" s="13" t="s">
        <v>4026</v>
      </c>
      <c r="K1650" s="13">
        <v>33.4</v>
      </c>
      <c r="L1650" s="13">
        <v>0.91400000000000003</v>
      </c>
      <c r="M1650" s="13"/>
      <c r="N1650" s="13"/>
      <c r="O1650" s="13"/>
      <c r="P1650" s="13"/>
      <c r="Q1650" s="34" t="s">
        <v>3076</v>
      </c>
      <c r="R1650" s="13"/>
      <c r="S1650" s="13"/>
      <c r="T1650" s="13" t="s">
        <v>4067</v>
      </c>
      <c r="U1650" s="13" t="s">
        <v>4417</v>
      </c>
      <c r="V1650" s="19" t="s">
        <v>3086</v>
      </c>
      <c r="W1650" s="269">
        <v>22</v>
      </c>
    </row>
    <row r="1651" spans="1:23">
      <c r="A1651" s="136">
        <v>2557</v>
      </c>
      <c r="B1651" s="136">
        <v>17.600000000000001</v>
      </c>
      <c r="C1651" s="13">
        <v>1.49</v>
      </c>
      <c r="D1651" s="13">
        <v>7.12</v>
      </c>
      <c r="E1651" s="13">
        <v>24.37</v>
      </c>
      <c r="F1651" s="100" t="s">
        <v>4398</v>
      </c>
      <c r="G1651" s="13">
        <v>49</v>
      </c>
      <c r="H1651" s="13">
        <v>73</v>
      </c>
      <c r="I1651" s="426">
        <v>45099</v>
      </c>
      <c r="J1651" s="13" t="s">
        <v>4026</v>
      </c>
      <c r="K1651" s="13">
        <v>33.44</v>
      </c>
      <c r="L1651" s="13">
        <v>0.73099999999999998</v>
      </c>
      <c r="M1651" s="13"/>
      <c r="N1651" s="13"/>
      <c r="O1651" s="13"/>
      <c r="P1651" s="13"/>
      <c r="Q1651" s="34" t="s">
        <v>3076</v>
      </c>
      <c r="R1651" s="13"/>
      <c r="S1651" s="13"/>
      <c r="T1651" s="13" t="s">
        <v>4067</v>
      </c>
      <c r="U1651" s="13" t="s">
        <v>4415</v>
      </c>
      <c r="V1651" s="19" t="s">
        <v>3406</v>
      </c>
      <c r="W1651" s="269">
        <v>22</v>
      </c>
    </row>
    <row r="1652" spans="1:23">
      <c r="A1652" s="136">
        <v>2558</v>
      </c>
      <c r="B1652" s="136">
        <v>16.399999999999999</v>
      </c>
      <c r="C1652" s="13">
        <v>1.51</v>
      </c>
      <c r="D1652" s="13">
        <v>7.12</v>
      </c>
      <c r="E1652" s="13">
        <v>24.4</v>
      </c>
      <c r="F1652" s="404" t="s">
        <v>4400</v>
      </c>
      <c r="G1652" s="13">
        <v>49</v>
      </c>
      <c r="H1652" s="13">
        <v>75</v>
      </c>
      <c r="I1652" s="426">
        <v>45099</v>
      </c>
      <c r="J1652" s="13" t="s">
        <v>4026</v>
      </c>
      <c r="K1652" s="13">
        <v>33.409999999999997</v>
      </c>
      <c r="L1652" s="13">
        <v>0.67200000000000004</v>
      </c>
      <c r="M1652" s="13"/>
      <c r="N1652" s="13"/>
      <c r="O1652" s="13"/>
      <c r="P1652" s="13"/>
      <c r="Q1652" s="34" t="s">
        <v>3076</v>
      </c>
      <c r="R1652" s="13"/>
      <c r="S1652" s="13"/>
      <c r="T1652" s="13" t="s">
        <v>4067</v>
      </c>
      <c r="U1652" s="13" t="s">
        <v>4391</v>
      </c>
      <c r="V1652" s="19" t="s">
        <v>3025</v>
      </c>
      <c r="W1652" s="269" t="s">
        <v>4399</v>
      </c>
    </row>
    <row r="1653" spans="1:23" ht="25.5" customHeight="1">
      <c r="A1653" s="136">
        <v>2583</v>
      </c>
      <c r="B1653" s="136">
        <v>17.600000000000001</v>
      </c>
      <c r="C1653" s="13">
        <v>1.48</v>
      </c>
      <c r="D1653" s="13">
        <v>7.11</v>
      </c>
      <c r="E1653" s="13">
        <v>24.37</v>
      </c>
      <c r="F1653" s="19" t="s">
        <v>4401</v>
      </c>
      <c r="G1653" s="13">
        <v>51</v>
      </c>
      <c r="H1653" s="13">
        <v>72.3</v>
      </c>
      <c r="I1653" s="426">
        <v>45118</v>
      </c>
      <c r="J1653" s="13" t="s">
        <v>3074</v>
      </c>
      <c r="K1653" s="13">
        <v>33.409999999999997</v>
      </c>
      <c r="L1653" s="13">
        <v>0.36599999999999999</v>
      </c>
      <c r="M1653" s="13"/>
      <c r="N1653" s="13"/>
      <c r="O1653" s="13"/>
      <c r="P1653" s="13"/>
      <c r="Q1653" s="34" t="s">
        <v>3076</v>
      </c>
      <c r="R1653" s="13"/>
      <c r="S1653" s="13"/>
      <c r="T1653" s="13" t="s">
        <v>4067</v>
      </c>
      <c r="U1653" s="29" t="s">
        <v>4421</v>
      </c>
      <c r="V1653" s="19" t="s">
        <v>3224</v>
      </c>
      <c r="W1653" s="269">
        <v>5</v>
      </c>
    </row>
    <row r="1654" spans="1:23">
      <c r="A1654" s="136">
        <v>2584</v>
      </c>
      <c r="B1654" s="136">
        <v>18.399999999999999</v>
      </c>
      <c r="C1654" s="13">
        <v>1.48</v>
      </c>
      <c r="D1654" s="13">
        <v>7.11</v>
      </c>
      <c r="E1654" s="13">
        <v>24.37</v>
      </c>
      <c r="F1654" s="19" t="s">
        <v>4402</v>
      </c>
      <c r="G1654" s="13">
        <v>51</v>
      </c>
      <c r="H1654" s="13">
        <v>72.3</v>
      </c>
      <c r="I1654" s="426">
        <v>45118</v>
      </c>
      <c r="J1654" s="13" t="s">
        <v>3074</v>
      </c>
      <c r="K1654" s="13">
        <v>33.43</v>
      </c>
      <c r="L1654" s="13">
        <v>0.67100000000000004</v>
      </c>
      <c r="M1654" s="13"/>
      <c r="N1654" s="13"/>
      <c r="O1654" s="13"/>
      <c r="P1654" s="13"/>
      <c r="Q1654" s="34" t="s">
        <v>3076</v>
      </c>
      <c r="R1654" s="13"/>
      <c r="S1654" s="13"/>
      <c r="T1654" s="13" t="s">
        <v>4067</v>
      </c>
      <c r="U1654" s="29" t="s">
        <v>4423</v>
      </c>
      <c r="V1654" s="19" t="s">
        <v>3127</v>
      </c>
      <c r="W1654" s="269">
        <v>6</v>
      </c>
    </row>
    <row r="1655" spans="1:23">
      <c r="A1655" s="136">
        <v>2561</v>
      </c>
      <c r="B1655" s="136">
        <v>18</v>
      </c>
      <c r="C1655" s="13">
        <v>1.51</v>
      </c>
      <c r="D1655" s="13">
        <v>7.11</v>
      </c>
      <c r="E1655" s="13">
        <v>24.37</v>
      </c>
      <c r="F1655" s="270" t="s">
        <v>4403</v>
      </c>
      <c r="G1655" s="13">
        <v>51</v>
      </c>
      <c r="H1655" s="13">
        <v>73.7</v>
      </c>
      <c r="I1655" s="426">
        <v>45119</v>
      </c>
      <c r="J1655" s="13" t="s">
        <v>3074</v>
      </c>
      <c r="K1655" s="13"/>
      <c r="L1655" s="13"/>
      <c r="M1655" s="13"/>
      <c r="N1655" s="13"/>
      <c r="O1655" s="13"/>
      <c r="P1655" s="13"/>
      <c r="Q1655" s="13"/>
      <c r="R1655" s="13"/>
      <c r="S1655" s="13"/>
      <c r="T1655" s="13" t="s">
        <v>4405</v>
      </c>
      <c r="U1655" s="13"/>
      <c r="V1655" s="19"/>
      <c r="W1655" s="269"/>
    </row>
    <row r="1656" spans="1:23">
      <c r="A1656" s="136">
        <v>2561</v>
      </c>
      <c r="B1656" s="136">
        <v>18</v>
      </c>
      <c r="C1656" s="13">
        <v>1.51</v>
      </c>
      <c r="D1656" s="13">
        <v>7.11</v>
      </c>
      <c r="E1656" s="13">
        <v>24.37</v>
      </c>
      <c r="F1656" s="270" t="s">
        <v>4404</v>
      </c>
      <c r="G1656" s="13">
        <v>51</v>
      </c>
      <c r="H1656" s="13">
        <v>73.7</v>
      </c>
      <c r="I1656" s="426">
        <v>45119</v>
      </c>
      <c r="J1656" s="13" t="s">
        <v>3074</v>
      </c>
      <c r="K1656" s="13"/>
      <c r="L1656" s="13"/>
      <c r="M1656" s="13"/>
      <c r="N1656" s="13"/>
      <c r="O1656" s="13"/>
      <c r="P1656" s="13"/>
      <c r="Q1656" s="13"/>
      <c r="R1656" s="13"/>
      <c r="S1656" s="13"/>
      <c r="T1656" s="13" t="s">
        <v>4405</v>
      </c>
      <c r="U1656" s="13"/>
      <c r="V1656" s="19"/>
      <c r="W1656" s="269"/>
    </row>
    <row r="1657" spans="1:23">
      <c r="A1657" s="136">
        <v>2561</v>
      </c>
      <c r="B1657" s="136">
        <v>18</v>
      </c>
      <c r="C1657" s="13">
        <v>1.51</v>
      </c>
      <c r="D1657" s="13">
        <v>7.11</v>
      </c>
      <c r="E1657" s="13">
        <v>24.37</v>
      </c>
      <c r="F1657" s="19" t="s">
        <v>4406</v>
      </c>
      <c r="G1657" s="13">
        <v>51</v>
      </c>
      <c r="H1657" s="13">
        <v>73.7</v>
      </c>
      <c r="I1657" s="426">
        <v>45119</v>
      </c>
      <c r="J1657" s="13" t="s">
        <v>3074</v>
      </c>
      <c r="K1657" s="13">
        <v>33.47</v>
      </c>
      <c r="L1657" s="13">
        <v>0.57499999999999996</v>
      </c>
      <c r="M1657" s="13"/>
      <c r="N1657" s="13"/>
      <c r="O1657" s="13"/>
      <c r="P1657" s="13"/>
      <c r="Q1657" s="34" t="s">
        <v>3076</v>
      </c>
      <c r="R1657" s="13"/>
      <c r="S1657" s="13"/>
      <c r="T1657" s="13" t="s">
        <v>4405</v>
      </c>
      <c r="U1657" s="29" t="s">
        <v>4427</v>
      </c>
      <c r="V1657" s="19" t="s">
        <v>3166</v>
      </c>
      <c r="W1657" s="269">
        <v>4</v>
      </c>
    </row>
    <row r="1658" spans="1:23">
      <c r="A1658" s="136">
        <v>2559</v>
      </c>
      <c r="B1658" s="136">
        <v>18.8</v>
      </c>
      <c r="C1658" s="13">
        <v>1.5</v>
      </c>
      <c r="D1658" s="13">
        <v>7.12</v>
      </c>
      <c r="E1658" s="13">
        <v>24.35</v>
      </c>
      <c r="F1658" s="19" t="s">
        <v>4407</v>
      </c>
      <c r="G1658" s="13">
        <v>51</v>
      </c>
      <c r="H1658" s="13">
        <v>73.7</v>
      </c>
      <c r="I1658" s="426">
        <v>45119</v>
      </c>
      <c r="J1658" s="13" t="s">
        <v>3074</v>
      </c>
      <c r="K1658" s="13">
        <v>33.43</v>
      </c>
      <c r="L1658" s="13">
        <v>0.754</v>
      </c>
      <c r="M1658" s="13"/>
      <c r="N1658" s="13"/>
      <c r="O1658" s="13"/>
      <c r="P1658" s="13"/>
      <c r="Q1658" s="34" t="s">
        <v>3076</v>
      </c>
      <c r="R1658" s="13"/>
      <c r="S1658" s="13"/>
      <c r="T1658" s="13" t="s">
        <v>4405</v>
      </c>
      <c r="U1658" s="29" t="s">
        <v>4426</v>
      </c>
      <c r="V1658" s="19" t="s">
        <v>3175</v>
      </c>
      <c r="W1658" s="269">
        <v>4</v>
      </c>
    </row>
    <row r="1659" spans="1:23">
      <c r="A1659" s="136">
        <v>2560</v>
      </c>
      <c r="B1659" s="136">
        <v>17.8</v>
      </c>
      <c r="C1659" s="13">
        <v>1.5</v>
      </c>
      <c r="D1659" s="13">
        <v>7.12</v>
      </c>
      <c r="E1659" s="13">
        <v>24.34</v>
      </c>
      <c r="F1659" s="19" t="s">
        <v>4408</v>
      </c>
      <c r="G1659" s="13">
        <v>49</v>
      </c>
      <c r="H1659" s="13">
        <v>74.400000000000006</v>
      </c>
      <c r="I1659" s="426">
        <v>45119</v>
      </c>
      <c r="J1659" s="13" t="s">
        <v>3074</v>
      </c>
      <c r="K1659" s="13">
        <v>33.4</v>
      </c>
      <c r="L1659" s="13">
        <v>0.73399999999999999</v>
      </c>
      <c r="M1659" s="13"/>
      <c r="N1659" s="13"/>
      <c r="O1659" s="13"/>
      <c r="P1659" s="13"/>
      <c r="Q1659" s="34" t="s">
        <v>3076</v>
      </c>
      <c r="R1659" s="13"/>
      <c r="S1659" s="13"/>
      <c r="T1659" s="13" t="s">
        <v>4405</v>
      </c>
      <c r="U1659" s="29" t="s">
        <v>4422</v>
      </c>
      <c r="V1659" s="19" t="s">
        <v>3053</v>
      </c>
      <c r="W1659" s="269">
        <v>6</v>
      </c>
    </row>
    <row r="1660" spans="1:23">
      <c r="A1660" s="136">
        <v>2562</v>
      </c>
      <c r="B1660" s="136">
        <v>18.8</v>
      </c>
      <c r="C1660" s="13">
        <v>1.52</v>
      </c>
      <c r="D1660" s="13">
        <v>7.09</v>
      </c>
      <c r="E1660" s="13">
        <v>24.35</v>
      </c>
      <c r="F1660" s="19" t="s">
        <v>4409</v>
      </c>
      <c r="G1660" s="13">
        <v>49</v>
      </c>
      <c r="H1660" s="13">
        <v>74.400000000000006</v>
      </c>
      <c r="I1660" s="426">
        <v>45119</v>
      </c>
      <c r="J1660" s="13" t="s">
        <v>3074</v>
      </c>
      <c r="K1660" s="13">
        <v>33.43</v>
      </c>
      <c r="L1660" s="13">
        <v>0.52800000000000002</v>
      </c>
      <c r="M1660" s="13"/>
      <c r="N1660" s="13"/>
      <c r="O1660" s="13"/>
      <c r="P1660" s="13"/>
      <c r="Q1660" s="34" t="s">
        <v>3076</v>
      </c>
      <c r="R1660" s="13"/>
      <c r="S1660" s="13"/>
      <c r="T1660" s="13" t="s">
        <v>4405</v>
      </c>
      <c r="U1660" s="29" t="s">
        <v>4425</v>
      </c>
      <c r="V1660" s="19" t="s">
        <v>3351</v>
      </c>
      <c r="W1660" s="269" t="s">
        <v>4418</v>
      </c>
    </row>
    <row r="1661" spans="1:23">
      <c r="F1661" s="19"/>
      <c r="G1661" s="136"/>
      <c r="H1661" s="13"/>
      <c r="I1661" s="19"/>
      <c r="J1661" s="13"/>
      <c r="K1661" s="13"/>
      <c r="L1661" s="13"/>
      <c r="M1661" s="13"/>
      <c r="N1661" s="13"/>
      <c r="O1661" s="13"/>
      <c r="P1661" s="13"/>
      <c r="Q1661" s="13"/>
      <c r="R1661" s="13"/>
      <c r="S1661" s="13"/>
      <c r="T1661" s="13"/>
      <c r="U1661" s="13"/>
      <c r="V1661" s="19"/>
      <c r="W1661" s="269"/>
    </row>
    <row r="1662" spans="1:23">
      <c r="A1662" s="136">
        <v>2637</v>
      </c>
      <c r="B1662" s="136">
        <v>18</v>
      </c>
      <c r="C1662" s="13">
        <v>1.5</v>
      </c>
      <c r="D1662" s="13">
        <v>7.11</v>
      </c>
      <c r="E1662" s="13">
        <v>24.45</v>
      </c>
      <c r="F1662" s="19" t="s">
        <v>4432</v>
      </c>
      <c r="G1662" s="136">
        <v>49</v>
      </c>
      <c r="H1662" s="13">
        <v>75</v>
      </c>
      <c r="I1662" s="426">
        <v>45162</v>
      </c>
      <c r="J1662" s="13" t="s">
        <v>4026</v>
      </c>
      <c r="K1662" s="13">
        <v>33.479999999999997</v>
      </c>
      <c r="L1662" s="13">
        <v>0.36099999999999999</v>
      </c>
      <c r="M1662" s="13"/>
      <c r="N1662" s="13"/>
      <c r="O1662" s="13"/>
      <c r="P1662" s="13"/>
      <c r="Q1662" s="34" t="s">
        <v>3076</v>
      </c>
      <c r="R1662" s="13"/>
      <c r="S1662" s="13"/>
      <c r="T1662" s="13" t="s">
        <v>4405</v>
      </c>
      <c r="U1662" s="269" t="s">
        <v>4457</v>
      </c>
      <c r="V1662" s="19" t="s">
        <v>4433</v>
      </c>
      <c r="W1662" s="269">
        <v>5</v>
      </c>
    </row>
    <row r="1663" spans="1:23">
      <c r="A1663" s="136">
        <v>2638</v>
      </c>
      <c r="B1663" s="136">
        <v>10.8</v>
      </c>
      <c r="C1663" s="13">
        <v>1.52</v>
      </c>
      <c r="D1663" s="13">
        <v>7.1</v>
      </c>
      <c r="E1663" s="13">
        <v>24.4</v>
      </c>
      <c r="F1663" s="19" t="s">
        <v>4434</v>
      </c>
      <c r="G1663" s="136">
        <v>49</v>
      </c>
      <c r="H1663" s="13">
        <v>75</v>
      </c>
      <c r="I1663" s="426">
        <v>45162</v>
      </c>
      <c r="J1663" s="13" t="s">
        <v>4026</v>
      </c>
      <c r="K1663" s="13">
        <v>33.520000000000003</v>
      </c>
      <c r="L1663" s="13">
        <v>0.34200000000000003</v>
      </c>
      <c r="M1663" s="13"/>
      <c r="N1663" s="13"/>
      <c r="O1663" s="13"/>
      <c r="P1663" s="13"/>
      <c r="Q1663" s="34" t="s">
        <v>3076</v>
      </c>
      <c r="R1663" s="13"/>
      <c r="S1663" s="13"/>
      <c r="T1663" s="13" t="s">
        <v>4405</v>
      </c>
      <c r="U1663" s="269" t="s">
        <v>4452</v>
      </c>
      <c r="V1663" s="19" t="s">
        <v>4435</v>
      </c>
      <c r="W1663" s="269">
        <v>2</v>
      </c>
    </row>
    <row r="1664" spans="1:23">
      <c r="A1664" s="136">
        <v>2640</v>
      </c>
      <c r="B1664" s="136">
        <v>11</v>
      </c>
      <c r="C1664" s="13">
        <v>1.5</v>
      </c>
      <c r="D1664" s="13">
        <v>7.12</v>
      </c>
      <c r="E1664" s="13">
        <v>24.43</v>
      </c>
      <c r="F1664" s="184" t="s">
        <v>4436</v>
      </c>
      <c r="G1664" s="136">
        <v>49</v>
      </c>
      <c r="H1664" s="13">
        <v>75</v>
      </c>
      <c r="I1664" s="426">
        <v>45162</v>
      </c>
      <c r="J1664" s="13" t="s">
        <v>4026</v>
      </c>
      <c r="K1664" s="13">
        <v>33.51</v>
      </c>
      <c r="L1664" s="13">
        <v>0.34499999999999997</v>
      </c>
      <c r="M1664" s="13"/>
      <c r="N1664" s="13"/>
      <c r="O1664" s="13"/>
      <c r="P1664" s="13"/>
      <c r="Q1664" s="34" t="s">
        <v>3076</v>
      </c>
      <c r="R1664" s="13"/>
      <c r="S1664" s="13"/>
      <c r="T1664" s="13" t="s">
        <v>4405</v>
      </c>
      <c r="U1664" s="269" t="s">
        <v>4455</v>
      </c>
      <c r="V1664" s="19" t="s">
        <v>4437</v>
      </c>
      <c r="W1664" s="269">
        <v>2</v>
      </c>
    </row>
    <row r="1665" spans="1:24">
      <c r="A1665" s="136">
        <v>2641</v>
      </c>
      <c r="B1665" s="136">
        <v>13.4</v>
      </c>
      <c r="C1665" s="13">
        <v>1.48</v>
      </c>
      <c r="D1665" s="13">
        <v>7.12</v>
      </c>
      <c r="E1665" s="13">
        <v>24.4</v>
      </c>
      <c r="F1665" s="248" t="s">
        <v>4438</v>
      </c>
      <c r="G1665" s="418">
        <v>54</v>
      </c>
      <c r="H1665" s="13">
        <v>73</v>
      </c>
      <c r="I1665" s="426">
        <v>45163</v>
      </c>
      <c r="J1665" s="13" t="s">
        <v>4026</v>
      </c>
      <c r="K1665" s="13">
        <v>33.6</v>
      </c>
      <c r="L1665" s="13">
        <v>0.72399999999999998</v>
      </c>
      <c r="M1665" s="13"/>
      <c r="N1665" s="13"/>
      <c r="O1665" s="13"/>
      <c r="P1665" s="13"/>
      <c r="Q1665" s="34" t="s">
        <v>3076</v>
      </c>
      <c r="R1665" s="13"/>
      <c r="S1665" s="13"/>
      <c r="T1665" s="13" t="s">
        <v>4405</v>
      </c>
      <c r="U1665" s="269" t="s">
        <v>4439</v>
      </c>
      <c r="V1665" s="19" t="s">
        <v>2955</v>
      </c>
      <c r="W1665" s="269">
        <v>5</v>
      </c>
    </row>
    <row r="1666" spans="1:24">
      <c r="A1666" s="136">
        <v>2643</v>
      </c>
      <c r="B1666" s="136">
        <v>13.2</v>
      </c>
      <c r="C1666" s="13">
        <v>1.5</v>
      </c>
      <c r="D1666" s="13">
        <v>7.13</v>
      </c>
      <c r="E1666" s="13">
        <v>24.38</v>
      </c>
      <c r="F1666" s="249" t="s">
        <v>4441</v>
      </c>
      <c r="G1666" s="418">
        <v>54</v>
      </c>
      <c r="H1666" s="13">
        <v>73</v>
      </c>
      <c r="I1666" s="426">
        <v>45163</v>
      </c>
      <c r="J1666" s="13" t="s">
        <v>4026</v>
      </c>
      <c r="K1666" s="13">
        <v>33.47</v>
      </c>
      <c r="L1666" s="13">
        <v>0.34599999999999997</v>
      </c>
      <c r="M1666" s="13"/>
      <c r="N1666" s="13"/>
      <c r="O1666" s="13"/>
      <c r="P1666" s="13"/>
      <c r="Q1666" s="34" t="s">
        <v>3076</v>
      </c>
      <c r="R1666" s="13"/>
      <c r="S1666" s="13"/>
      <c r="T1666" s="13" t="s">
        <v>4405</v>
      </c>
      <c r="U1666" s="269" t="s">
        <v>4454</v>
      </c>
      <c r="V1666" s="19" t="s">
        <v>3329</v>
      </c>
      <c r="W1666" s="269">
        <v>2</v>
      </c>
    </row>
    <row r="1667" spans="1:24">
      <c r="A1667" s="136">
        <v>2665</v>
      </c>
      <c r="B1667" s="136">
        <v>78</v>
      </c>
      <c r="C1667" s="13">
        <v>1.5</v>
      </c>
      <c r="D1667" s="13">
        <v>7.09</v>
      </c>
      <c r="E1667" s="13">
        <v>24.35</v>
      </c>
      <c r="F1667" s="19" t="s">
        <v>4440</v>
      </c>
      <c r="G1667" s="418">
        <v>54</v>
      </c>
      <c r="H1667" s="13">
        <v>73</v>
      </c>
      <c r="I1667" s="426">
        <v>45163</v>
      </c>
      <c r="J1667" s="13" t="s">
        <v>4026</v>
      </c>
      <c r="K1667" s="13">
        <v>33.42</v>
      </c>
      <c r="L1667" s="13">
        <v>0.59099999999999997</v>
      </c>
      <c r="M1667" s="13"/>
      <c r="N1667" s="13"/>
      <c r="O1667" s="13"/>
      <c r="P1667" s="13"/>
      <c r="Q1667" s="34" t="s">
        <v>3076</v>
      </c>
      <c r="R1667" s="13"/>
      <c r="S1667" s="13"/>
      <c r="T1667" s="13" t="s">
        <v>4405</v>
      </c>
      <c r="U1667" s="269" t="s">
        <v>4456</v>
      </c>
      <c r="V1667" s="19" t="s">
        <v>4442</v>
      </c>
      <c r="W1667" s="269">
        <v>5</v>
      </c>
    </row>
    <row r="1668" spans="1:24">
      <c r="A1668" s="583">
        <v>2664</v>
      </c>
      <c r="B1668" s="583">
        <v>18.2</v>
      </c>
      <c r="C1668" s="99">
        <v>1.53</v>
      </c>
      <c r="D1668" s="99">
        <v>7.11</v>
      </c>
      <c r="E1668" s="99">
        <v>24.4</v>
      </c>
      <c r="F1668" s="176" t="s">
        <v>4443</v>
      </c>
      <c r="G1668" s="559">
        <v>55</v>
      </c>
      <c r="H1668" s="99">
        <v>76</v>
      </c>
      <c r="I1668" s="584">
        <v>45163</v>
      </c>
      <c r="J1668" s="99" t="s">
        <v>4026</v>
      </c>
      <c r="K1668" s="99">
        <v>33.450000000000003</v>
      </c>
      <c r="L1668" s="99">
        <v>0.30399999999999999</v>
      </c>
      <c r="M1668" s="99"/>
      <c r="N1668" s="99"/>
      <c r="O1668" s="99"/>
      <c r="P1668" s="99"/>
      <c r="Q1668" s="585" t="s">
        <v>3076</v>
      </c>
      <c r="R1668" s="99"/>
      <c r="S1668" s="99"/>
      <c r="T1668" s="99" t="s">
        <v>4405</v>
      </c>
      <c r="U1668" s="586" t="s">
        <v>4444</v>
      </c>
      <c r="V1668" s="270" t="s">
        <v>2749</v>
      </c>
      <c r="W1668" s="586"/>
    </row>
    <row r="1669" spans="1:24">
      <c r="A1669" s="277">
        <v>2664</v>
      </c>
      <c r="B1669" s="277">
        <v>18.2</v>
      </c>
      <c r="C1669" s="170">
        <v>1.53</v>
      </c>
      <c r="D1669" s="170">
        <v>7.11</v>
      </c>
      <c r="E1669" s="170">
        <v>24.4</v>
      </c>
      <c r="F1669" s="590" t="s">
        <v>4445</v>
      </c>
      <c r="G1669" s="418">
        <v>55</v>
      </c>
      <c r="H1669" s="170">
        <v>76</v>
      </c>
      <c r="I1669" s="587">
        <v>45163</v>
      </c>
      <c r="J1669" s="13" t="s">
        <v>4026</v>
      </c>
      <c r="K1669" s="170">
        <v>33.4</v>
      </c>
      <c r="L1669" s="170">
        <v>0.2152</v>
      </c>
      <c r="M1669" s="170"/>
      <c r="N1669" s="170"/>
      <c r="O1669" s="170"/>
      <c r="P1669" s="170"/>
      <c r="Q1669" s="588" t="s">
        <v>3076</v>
      </c>
      <c r="R1669" s="170"/>
      <c r="S1669" s="170"/>
      <c r="T1669" s="170" t="s">
        <v>4405</v>
      </c>
      <c r="U1669" s="170" t="s">
        <v>4446</v>
      </c>
      <c r="V1669" s="249" t="s">
        <v>3025</v>
      </c>
      <c r="W1669" s="589">
        <v>2</v>
      </c>
      <c r="X1669" s="301"/>
    </row>
    <row r="1670" spans="1:24">
      <c r="A1670" s="136">
        <v>2666</v>
      </c>
      <c r="B1670" s="136">
        <v>10.199999999999999</v>
      </c>
      <c r="C1670" s="13">
        <v>1.5</v>
      </c>
      <c r="D1670" s="13">
        <v>7.13</v>
      </c>
      <c r="E1670" s="13">
        <v>24.39</v>
      </c>
      <c r="F1670" s="249" t="s">
        <v>4447</v>
      </c>
      <c r="G1670" s="418">
        <v>55</v>
      </c>
      <c r="H1670" s="170">
        <v>76</v>
      </c>
      <c r="I1670" s="587">
        <v>45163</v>
      </c>
      <c r="J1670" s="13" t="s">
        <v>4026</v>
      </c>
      <c r="K1670" s="13">
        <v>33.58</v>
      </c>
      <c r="L1670" s="13">
        <v>0.45200000000000001</v>
      </c>
      <c r="M1670" s="13"/>
      <c r="N1670" s="13"/>
      <c r="O1670" s="13"/>
      <c r="P1670" s="13"/>
      <c r="Q1670" s="34" t="s">
        <v>3076</v>
      </c>
      <c r="R1670" s="13"/>
      <c r="S1670" s="13"/>
      <c r="T1670" s="170" t="s">
        <v>4405</v>
      </c>
      <c r="U1670" s="269" t="s">
        <v>4451</v>
      </c>
      <c r="V1670" s="19" t="s">
        <v>2697</v>
      </c>
      <c r="W1670" s="269">
        <v>7</v>
      </c>
    </row>
    <row r="1671" spans="1:24" s="478" customFormat="1">
      <c r="A1671" s="136">
        <v>2667</v>
      </c>
      <c r="B1671" s="136">
        <v>17.2</v>
      </c>
      <c r="C1671" s="13">
        <v>1.5</v>
      </c>
      <c r="D1671" s="13">
        <v>7.12</v>
      </c>
      <c r="E1671" s="13">
        <v>24.4</v>
      </c>
      <c r="F1671" s="248" t="s">
        <v>4448</v>
      </c>
      <c r="G1671" s="277">
        <v>51</v>
      </c>
      <c r="H1671" s="13">
        <v>74</v>
      </c>
      <c r="I1671" s="587">
        <v>45166</v>
      </c>
      <c r="J1671" s="13" t="s">
        <v>4026</v>
      </c>
      <c r="K1671" s="13">
        <v>33.47</v>
      </c>
      <c r="L1671" s="13">
        <v>0.309</v>
      </c>
      <c r="M1671" s="13"/>
      <c r="N1671" s="13"/>
      <c r="O1671" s="13"/>
      <c r="P1671" s="13"/>
      <c r="Q1671" s="34" t="s">
        <v>3076</v>
      </c>
      <c r="R1671" s="13"/>
      <c r="S1671" s="13"/>
      <c r="T1671" s="170" t="s">
        <v>4405</v>
      </c>
      <c r="U1671" s="269" t="s">
        <v>4449</v>
      </c>
      <c r="V1671" s="19" t="s">
        <v>3293</v>
      </c>
      <c r="W1671" s="269">
        <v>8</v>
      </c>
    </row>
    <row r="1672" spans="1:24">
      <c r="A1672" s="136">
        <v>2639</v>
      </c>
      <c r="B1672" s="136">
        <v>10.6</v>
      </c>
      <c r="C1672" s="13">
        <v>1.48</v>
      </c>
      <c r="D1672" s="13">
        <v>7.13</v>
      </c>
      <c r="E1672" s="13">
        <v>24.36</v>
      </c>
      <c r="F1672" s="249" t="s">
        <v>4450</v>
      </c>
      <c r="G1672" s="277">
        <v>51</v>
      </c>
      <c r="H1672" s="13">
        <v>74</v>
      </c>
      <c r="I1672" s="587">
        <v>45166</v>
      </c>
      <c r="J1672" s="13" t="s">
        <v>4026</v>
      </c>
      <c r="K1672" s="13">
        <v>33.51</v>
      </c>
      <c r="L1672" s="13">
        <v>0.56399999999999995</v>
      </c>
      <c r="Q1672" s="4" t="s">
        <v>3076</v>
      </c>
      <c r="T1672" s="170" t="s">
        <v>4405</v>
      </c>
      <c r="U1672" s="269" t="s">
        <v>4453</v>
      </c>
      <c r="V1672" s="407">
        <v>28.28</v>
      </c>
      <c r="W1672" s="269">
        <v>9</v>
      </c>
    </row>
    <row r="1673" spans="1:24" ht="25.5" customHeight="1">
      <c r="A1673" s="136">
        <v>2636</v>
      </c>
      <c r="B1673" s="136">
        <v>16.8</v>
      </c>
      <c r="C1673" s="13">
        <v>1.51</v>
      </c>
      <c r="D1673" s="13">
        <v>7.12</v>
      </c>
      <c r="E1673" s="13">
        <v>24.39</v>
      </c>
      <c r="F1673" s="184" t="s">
        <v>4458</v>
      </c>
      <c r="G1673" s="277">
        <v>53</v>
      </c>
      <c r="H1673" s="13">
        <v>72.5</v>
      </c>
      <c r="I1673" s="426">
        <v>45180</v>
      </c>
      <c r="J1673" s="13" t="s">
        <v>3074</v>
      </c>
      <c r="K1673" s="13">
        <v>33.479999999999997</v>
      </c>
      <c r="L1673" s="13">
        <v>0.68</v>
      </c>
      <c r="M1673" s="13"/>
      <c r="N1673" s="13"/>
      <c r="O1673" s="13"/>
      <c r="P1673" s="13"/>
      <c r="Q1673" s="34" t="s">
        <v>3076</v>
      </c>
      <c r="R1673" s="13"/>
      <c r="S1673" s="13"/>
      <c r="T1673" s="170" t="s">
        <v>4405</v>
      </c>
      <c r="U1673" s="269" t="s">
        <v>4466</v>
      </c>
      <c r="V1673" s="19" t="s">
        <v>3027</v>
      </c>
      <c r="W1673" s="269">
        <v>5</v>
      </c>
    </row>
    <row r="1674" spans="1:24">
      <c r="A1674" s="136">
        <v>2563</v>
      </c>
      <c r="B1674" s="136">
        <v>16.8</v>
      </c>
      <c r="C1674" s="13">
        <v>1.51</v>
      </c>
      <c r="D1674" s="13">
        <v>7.11</v>
      </c>
      <c r="E1674" s="13">
        <v>24.34</v>
      </c>
      <c r="F1674" s="249" t="s">
        <v>4459</v>
      </c>
      <c r="G1674" s="277">
        <v>51</v>
      </c>
      <c r="H1674" s="13">
        <v>73.900000000000006</v>
      </c>
      <c r="I1674" s="426">
        <v>45180</v>
      </c>
      <c r="J1674" s="13" t="s">
        <v>3074</v>
      </c>
      <c r="K1674" s="13">
        <v>33.35</v>
      </c>
      <c r="L1674" s="13">
        <v>0.34200000000000003</v>
      </c>
      <c r="M1674" s="13"/>
      <c r="N1674" s="13"/>
      <c r="O1674" s="13"/>
      <c r="P1674" s="13"/>
      <c r="Q1674" s="34" t="s">
        <v>3076</v>
      </c>
      <c r="R1674" s="13"/>
      <c r="S1674" s="13"/>
      <c r="T1674" s="170" t="s">
        <v>4405</v>
      </c>
      <c r="U1674" s="269" t="s">
        <v>4467</v>
      </c>
      <c r="V1674" s="19" t="s">
        <v>3166</v>
      </c>
      <c r="W1674" s="269">
        <v>6</v>
      </c>
    </row>
    <row r="1675" spans="1:24">
      <c r="A1675" s="136">
        <v>2644</v>
      </c>
      <c r="B1675" s="136">
        <v>17.600000000000001</v>
      </c>
      <c r="C1675" s="13">
        <v>1.5</v>
      </c>
      <c r="D1675" s="13">
        <v>7.09</v>
      </c>
      <c r="E1675" s="13">
        <v>24.29</v>
      </c>
      <c r="F1675" s="184" t="s">
        <v>4460</v>
      </c>
      <c r="G1675" s="277">
        <v>51</v>
      </c>
      <c r="H1675" s="13">
        <v>73.900000000000006</v>
      </c>
      <c r="I1675" s="426">
        <v>45180</v>
      </c>
      <c r="J1675" s="13" t="s">
        <v>3074</v>
      </c>
      <c r="K1675" s="13">
        <v>33.32</v>
      </c>
      <c r="L1675" s="13">
        <v>0.56200000000000006</v>
      </c>
      <c r="M1675" s="13"/>
      <c r="N1675" s="13"/>
      <c r="O1675" s="13"/>
      <c r="P1675" s="13"/>
      <c r="Q1675" s="34" t="s">
        <v>3076</v>
      </c>
      <c r="R1675" s="13"/>
      <c r="S1675" s="13"/>
      <c r="T1675" s="170" t="s">
        <v>4405</v>
      </c>
      <c r="U1675" s="269" t="s">
        <v>4468</v>
      </c>
      <c r="V1675" s="19" t="s">
        <v>3013</v>
      </c>
      <c r="W1675" s="269">
        <v>5</v>
      </c>
    </row>
    <row r="1676" spans="1:24">
      <c r="A1676" s="136">
        <v>2676</v>
      </c>
      <c r="B1676" s="136">
        <v>18.399999999999999</v>
      </c>
      <c r="C1676" s="13">
        <v>1.52</v>
      </c>
      <c r="D1676" s="13">
        <v>7.09</v>
      </c>
      <c r="E1676" s="13">
        <v>24.43</v>
      </c>
      <c r="F1676" s="184" t="s">
        <v>4461</v>
      </c>
      <c r="G1676" s="277">
        <v>52</v>
      </c>
      <c r="H1676" s="13">
        <v>72.5</v>
      </c>
      <c r="I1676" s="426">
        <v>45181</v>
      </c>
      <c r="J1676" s="13" t="s">
        <v>3074</v>
      </c>
      <c r="K1676" s="13">
        <v>33.39</v>
      </c>
      <c r="L1676" s="13">
        <v>0.35199999999999998</v>
      </c>
      <c r="M1676" s="13"/>
      <c r="N1676" s="13"/>
      <c r="O1676" s="13"/>
      <c r="P1676" s="13"/>
      <c r="Q1676" s="34" t="s">
        <v>3076</v>
      </c>
      <c r="R1676" s="13"/>
      <c r="S1676" s="13"/>
      <c r="T1676" s="170" t="s">
        <v>4405</v>
      </c>
      <c r="U1676" s="269" t="s">
        <v>4469</v>
      </c>
      <c r="V1676" s="19" t="s">
        <v>3053</v>
      </c>
      <c r="W1676" s="269">
        <v>2</v>
      </c>
    </row>
    <row r="1677" spans="1:24">
      <c r="A1677" s="136">
        <v>2564</v>
      </c>
      <c r="B1677" s="136">
        <v>18.8</v>
      </c>
      <c r="C1677" s="13">
        <v>1.5</v>
      </c>
      <c r="D1677" s="13">
        <v>7.07</v>
      </c>
      <c r="E1677" s="13">
        <v>24.32</v>
      </c>
      <c r="F1677" s="184" t="s">
        <v>4462</v>
      </c>
      <c r="G1677" s="277">
        <v>50</v>
      </c>
      <c r="H1677" s="13">
        <v>74.099999999999994</v>
      </c>
      <c r="I1677" s="426">
        <v>45181</v>
      </c>
      <c r="J1677" s="13" t="s">
        <v>3074</v>
      </c>
      <c r="K1677" s="13">
        <v>33.44</v>
      </c>
      <c r="L1677" s="13">
        <v>0.29899999999999999</v>
      </c>
      <c r="M1677" s="13"/>
      <c r="N1677" s="13"/>
      <c r="O1677" s="13"/>
      <c r="P1677" s="13"/>
      <c r="Q1677" s="34" t="s">
        <v>3076</v>
      </c>
      <c r="R1677" s="13"/>
      <c r="S1677" s="13"/>
      <c r="T1677" s="170" t="s">
        <v>4405</v>
      </c>
      <c r="U1677" s="269" t="s">
        <v>4470</v>
      </c>
      <c r="V1677" s="19" t="s">
        <v>3012</v>
      </c>
      <c r="W1677" s="269">
        <v>6</v>
      </c>
    </row>
    <row r="1678" spans="1:24" s="478" customFormat="1">
      <c r="A1678" s="136">
        <v>2675</v>
      </c>
      <c r="B1678" s="136">
        <v>16.399999999999999</v>
      </c>
      <c r="C1678" s="13">
        <v>1.52</v>
      </c>
      <c r="D1678" s="13">
        <v>7.11</v>
      </c>
      <c r="E1678" s="13">
        <v>24.39</v>
      </c>
      <c r="F1678" s="270" t="s">
        <v>4463</v>
      </c>
      <c r="G1678" s="277">
        <v>50</v>
      </c>
      <c r="H1678" s="13">
        <v>74.099999999999994</v>
      </c>
      <c r="I1678" s="426">
        <v>45181</v>
      </c>
      <c r="J1678" s="13" t="s">
        <v>3074</v>
      </c>
      <c r="K1678" s="13"/>
      <c r="L1678" s="13"/>
      <c r="M1678" s="13"/>
      <c r="N1678" s="13"/>
      <c r="O1678" s="13"/>
      <c r="P1678" s="13"/>
      <c r="Q1678" s="34"/>
      <c r="R1678" s="13"/>
      <c r="S1678" s="13"/>
      <c r="T1678" s="170" t="s">
        <v>4405</v>
      </c>
      <c r="U1678" s="269"/>
      <c r="V1678" s="19"/>
      <c r="W1678" s="269"/>
    </row>
    <row r="1679" spans="1:24">
      <c r="A1679" s="136">
        <v>2675</v>
      </c>
      <c r="B1679" s="136">
        <v>16.399999999999999</v>
      </c>
      <c r="C1679" s="13">
        <v>1.52</v>
      </c>
      <c r="D1679" s="13">
        <v>7.11</v>
      </c>
      <c r="E1679" s="13">
        <v>24.39</v>
      </c>
      <c r="F1679" s="270" t="s">
        <v>4464</v>
      </c>
      <c r="G1679" s="277">
        <v>53</v>
      </c>
      <c r="H1679" s="13">
        <v>71.400000000000006</v>
      </c>
      <c r="I1679" s="426">
        <v>45182</v>
      </c>
      <c r="J1679" s="13" t="s">
        <v>3074</v>
      </c>
      <c r="K1679" s="13"/>
      <c r="L1679" s="13"/>
      <c r="M1679" s="13"/>
      <c r="N1679" s="13"/>
      <c r="O1679" s="13"/>
      <c r="P1679" s="13"/>
      <c r="Q1679" s="13"/>
      <c r="R1679" s="13"/>
      <c r="S1679" s="13"/>
      <c r="T1679" s="170" t="s">
        <v>4405</v>
      </c>
      <c r="U1679" s="13"/>
      <c r="V1679" s="19"/>
      <c r="W1679" s="269"/>
    </row>
    <row r="1680" spans="1:24">
      <c r="A1680" s="136">
        <v>2675</v>
      </c>
      <c r="B1680" s="136">
        <v>16.399999999999999</v>
      </c>
      <c r="C1680" s="13">
        <v>1.52</v>
      </c>
      <c r="D1680" s="13">
        <v>7.11</v>
      </c>
      <c r="E1680" s="13">
        <v>24.39</v>
      </c>
      <c r="F1680" s="184" t="s">
        <v>4465</v>
      </c>
      <c r="G1680" s="277">
        <v>53</v>
      </c>
      <c r="H1680" s="13">
        <v>71.400000000000006</v>
      </c>
      <c r="I1680" s="426">
        <v>45182</v>
      </c>
      <c r="J1680" s="13" t="s">
        <v>3074</v>
      </c>
      <c r="K1680" s="13">
        <v>33.6</v>
      </c>
      <c r="L1680" s="13">
        <v>0.111</v>
      </c>
      <c r="M1680" s="13"/>
      <c r="N1680" s="13"/>
      <c r="O1680" s="13"/>
      <c r="P1680" s="13"/>
      <c r="Q1680" s="34" t="s">
        <v>3076</v>
      </c>
      <c r="R1680" s="13"/>
      <c r="S1680" s="13"/>
      <c r="T1680" s="170" t="s">
        <v>4405</v>
      </c>
      <c r="U1680" s="269" t="s">
        <v>4471</v>
      </c>
      <c r="V1680" s="19" t="s">
        <v>3105</v>
      </c>
      <c r="W1680" s="269">
        <v>4</v>
      </c>
    </row>
    <row r="1681" spans="1:23" ht="25.5" customHeight="1">
      <c r="F1681" s="247"/>
    </row>
    <row r="1682" spans="1:23">
      <c r="A1682" s="136">
        <v>2671</v>
      </c>
      <c r="B1682" s="136">
        <v>16</v>
      </c>
      <c r="C1682" s="13">
        <v>1.48</v>
      </c>
      <c r="D1682" s="13">
        <v>7.1</v>
      </c>
      <c r="E1682" s="13">
        <v>24.4</v>
      </c>
      <c r="F1682" s="249" t="s">
        <v>4473</v>
      </c>
      <c r="G1682" s="277">
        <v>40</v>
      </c>
      <c r="H1682" s="13">
        <v>72.5</v>
      </c>
      <c r="I1682" s="426">
        <v>45197</v>
      </c>
      <c r="J1682" s="13" t="s">
        <v>4026</v>
      </c>
      <c r="K1682" s="13">
        <v>33.35</v>
      </c>
      <c r="L1682" s="13">
        <v>0.66400000000000003</v>
      </c>
      <c r="M1682" s="13"/>
      <c r="N1682" s="13"/>
      <c r="O1682" s="13"/>
      <c r="P1682" s="13"/>
      <c r="Q1682" s="34" t="s">
        <v>3076</v>
      </c>
      <c r="R1682" s="13"/>
      <c r="S1682" s="13"/>
      <c r="T1682" s="170" t="s">
        <v>4405</v>
      </c>
      <c r="U1682" s="13" t="s">
        <v>4498</v>
      </c>
      <c r="V1682" s="19" t="s">
        <v>2697</v>
      </c>
      <c r="W1682" s="269">
        <v>7</v>
      </c>
    </row>
    <row r="1683" spans="1:23">
      <c r="A1683" s="136">
        <v>2672</v>
      </c>
      <c r="B1683" s="136">
        <v>18.8</v>
      </c>
      <c r="C1683" s="13">
        <v>1.5</v>
      </c>
      <c r="D1683" s="13">
        <v>7.13</v>
      </c>
      <c r="E1683" s="13">
        <v>24.35</v>
      </c>
      <c r="F1683" s="249" t="s">
        <v>4475</v>
      </c>
      <c r="G1683" s="277">
        <v>39</v>
      </c>
      <c r="H1683" s="13">
        <v>74.400000000000006</v>
      </c>
      <c r="I1683" s="426">
        <v>45197</v>
      </c>
      <c r="J1683" s="13" t="s">
        <v>4026</v>
      </c>
      <c r="K1683" s="13">
        <v>33.33</v>
      </c>
      <c r="L1683" s="13">
        <v>0.58899999999999997</v>
      </c>
      <c r="M1683" s="13"/>
      <c r="N1683" s="13"/>
      <c r="O1683" s="13"/>
      <c r="P1683" s="13"/>
      <c r="Q1683" s="34" t="s">
        <v>3076</v>
      </c>
      <c r="R1683" s="13"/>
      <c r="S1683" s="13"/>
      <c r="T1683" s="170" t="s">
        <v>4405</v>
      </c>
      <c r="U1683" s="13" t="s">
        <v>4495</v>
      </c>
      <c r="V1683" s="19" t="s">
        <v>4485</v>
      </c>
      <c r="W1683" s="269">
        <v>4</v>
      </c>
    </row>
    <row r="1684" spans="1:23">
      <c r="A1684" s="136">
        <v>2673</v>
      </c>
      <c r="B1684" s="136">
        <v>16.399999999999999</v>
      </c>
      <c r="C1684" s="13">
        <v>1.51</v>
      </c>
      <c r="D1684" s="13">
        <v>7.09</v>
      </c>
      <c r="E1684" s="13">
        <v>24.38</v>
      </c>
      <c r="F1684" s="178" t="s">
        <v>4474</v>
      </c>
      <c r="G1684" s="277">
        <v>39</v>
      </c>
      <c r="H1684" s="13">
        <v>74.400000000000006</v>
      </c>
      <c r="I1684" s="426">
        <v>45197</v>
      </c>
      <c r="J1684" s="13" t="s">
        <v>4026</v>
      </c>
      <c r="K1684" s="13">
        <v>33.36</v>
      </c>
      <c r="L1684" s="13">
        <v>0.498</v>
      </c>
      <c r="M1684" s="13"/>
      <c r="N1684" s="13"/>
      <c r="O1684" s="13"/>
      <c r="P1684" s="13"/>
      <c r="Q1684" s="34" t="s">
        <v>3076</v>
      </c>
      <c r="R1684" s="13"/>
      <c r="S1684" s="13"/>
      <c r="T1684" s="170" t="s">
        <v>4405</v>
      </c>
      <c r="U1684" s="13" t="s">
        <v>4495</v>
      </c>
      <c r="V1684" s="19" t="s">
        <v>2832</v>
      </c>
      <c r="W1684" s="269">
        <v>5</v>
      </c>
    </row>
    <row r="1685" spans="1:23">
      <c r="A1685" s="136">
        <v>2674</v>
      </c>
      <c r="B1685" s="136">
        <v>17.600000000000001</v>
      </c>
      <c r="C1685" s="13">
        <v>1.5</v>
      </c>
      <c r="D1685" s="13">
        <v>7.13</v>
      </c>
      <c r="E1685" s="13">
        <v>24.36</v>
      </c>
      <c r="F1685" s="506" t="s">
        <v>4476</v>
      </c>
      <c r="G1685" s="277">
        <v>48</v>
      </c>
      <c r="H1685" s="63">
        <v>73</v>
      </c>
      <c r="I1685" s="426">
        <v>45198</v>
      </c>
      <c r="J1685" s="13" t="s">
        <v>4026</v>
      </c>
      <c r="K1685" s="13">
        <v>33.380000000000003</v>
      </c>
      <c r="L1685" s="63">
        <v>0.51800000000000002</v>
      </c>
      <c r="M1685" s="13"/>
      <c r="N1685" s="13"/>
      <c r="O1685" s="13"/>
      <c r="P1685" s="13"/>
      <c r="Q1685" s="4" t="s">
        <v>3076</v>
      </c>
      <c r="R1685" s="13"/>
      <c r="S1685" s="13"/>
      <c r="T1685" s="170" t="s">
        <v>4405</v>
      </c>
      <c r="U1685" s="13" t="s">
        <v>4495</v>
      </c>
      <c r="V1685" s="19" t="s">
        <v>2955</v>
      </c>
      <c r="W1685" s="269">
        <v>8</v>
      </c>
    </row>
    <row r="1686" spans="1:23">
      <c r="A1686" s="136">
        <v>2677</v>
      </c>
      <c r="B1686" s="136">
        <v>18.8</v>
      </c>
      <c r="C1686" s="13">
        <v>1.48</v>
      </c>
      <c r="D1686" s="13">
        <v>7.12</v>
      </c>
      <c r="E1686" s="13">
        <v>24.36</v>
      </c>
      <c r="F1686" s="469" t="s">
        <v>4477</v>
      </c>
      <c r="G1686" s="277">
        <v>48</v>
      </c>
      <c r="H1686" s="63">
        <v>73</v>
      </c>
      <c r="I1686" s="426">
        <v>45198</v>
      </c>
      <c r="J1686" s="13" t="s">
        <v>4026</v>
      </c>
      <c r="K1686" s="13"/>
      <c r="L1686" s="13"/>
      <c r="M1686" s="13"/>
      <c r="N1686" s="13"/>
      <c r="O1686" s="13"/>
      <c r="P1686" s="13"/>
      <c r="Q1686" s="34" t="s">
        <v>3076</v>
      </c>
      <c r="R1686" s="13"/>
      <c r="S1686" s="13"/>
      <c r="T1686" s="170" t="s">
        <v>4405</v>
      </c>
      <c r="U1686" s="13"/>
      <c r="V1686" s="19" t="s">
        <v>2768</v>
      </c>
      <c r="W1686" s="269"/>
    </row>
    <row r="1687" spans="1:23">
      <c r="A1687" s="136">
        <v>2677</v>
      </c>
      <c r="B1687" s="136">
        <v>18.8</v>
      </c>
      <c r="C1687" s="13">
        <v>1.48</v>
      </c>
      <c r="D1687" s="13">
        <v>7.12</v>
      </c>
      <c r="E1687" s="13">
        <v>24.36</v>
      </c>
      <c r="F1687" s="596" t="s">
        <v>4478</v>
      </c>
      <c r="G1687" s="591">
        <v>50</v>
      </c>
      <c r="H1687" s="63">
        <v>73</v>
      </c>
      <c r="I1687" s="426">
        <v>45201</v>
      </c>
      <c r="J1687" s="13" t="s">
        <v>4026</v>
      </c>
      <c r="K1687" s="13">
        <v>33.33</v>
      </c>
      <c r="L1687" s="13">
        <v>0.114</v>
      </c>
      <c r="M1687" s="13"/>
      <c r="N1687" s="13"/>
      <c r="O1687" s="13"/>
      <c r="P1687" s="13"/>
      <c r="Q1687" s="34" t="s">
        <v>3076</v>
      </c>
      <c r="R1687" s="13"/>
      <c r="S1687" s="13"/>
      <c r="T1687" s="170" t="s">
        <v>4405</v>
      </c>
      <c r="U1687" s="13" t="s">
        <v>4480</v>
      </c>
      <c r="V1687" s="19" t="s">
        <v>4479</v>
      </c>
      <c r="W1687" s="269">
        <v>4</v>
      </c>
    </row>
    <row r="1688" spans="1:23">
      <c r="A1688" s="134">
        <v>2678</v>
      </c>
      <c r="B1688" s="478">
        <v>17.2</v>
      </c>
      <c r="C1688" s="478">
        <v>1.5</v>
      </c>
      <c r="D1688" s="478">
        <v>7.13</v>
      </c>
      <c r="E1688" s="136">
        <v>24.36</v>
      </c>
      <c r="F1688" s="597" t="s">
        <v>4481</v>
      </c>
      <c r="G1688" s="591">
        <v>50</v>
      </c>
      <c r="H1688" s="63">
        <v>73</v>
      </c>
      <c r="I1688" s="426">
        <v>45201</v>
      </c>
      <c r="J1688" s="13" t="s">
        <v>4026</v>
      </c>
      <c r="K1688" s="13">
        <v>33.369999999999997</v>
      </c>
      <c r="L1688" s="13">
        <v>0.73099999999999998</v>
      </c>
      <c r="M1688" s="13"/>
      <c r="N1688" s="13"/>
      <c r="O1688" s="13"/>
      <c r="P1688" s="13"/>
      <c r="Q1688" s="34" t="s">
        <v>3076</v>
      </c>
      <c r="R1688" s="13"/>
      <c r="S1688" s="13"/>
      <c r="T1688" s="170" t="s">
        <v>4405</v>
      </c>
      <c r="U1688" s="13" t="s">
        <v>4482</v>
      </c>
      <c r="V1688" s="19" t="s">
        <v>2832</v>
      </c>
      <c r="W1688" s="269">
        <v>7</v>
      </c>
    </row>
    <row r="1689" spans="1:23">
      <c r="A1689" s="136">
        <v>2679</v>
      </c>
      <c r="B1689" s="136">
        <v>18.8</v>
      </c>
      <c r="C1689" s="13">
        <v>1.5</v>
      </c>
      <c r="D1689" s="13">
        <v>7.1</v>
      </c>
      <c r="E1689" s="13">
        <v>24.42</v>
      </c>
      <c r="F1689" s="593" t="s">
        <v>4483</v>
      </c>
      <c r="G1689" s="591">
        <v>50</v>
      </c>
      <c r="H1689" s="63">
        <v>73</v>
      </c>
      <c r="I1689" s="426">
        <v>45201</v>
      </c>
      <c r="J1689" s="13" t="s">
        <v>4026</v>
      </c>
      <c r="K1689" s="13">
        <v>33.340000000000003</v>
      </c>
      <c r="L1689" s="13">
        <v>0.58599999999999997</v>
      </c>
      <c r="M1689" s="592"/>
      <c r="N1689" s="13"/>
      <c r="O1689" s="13"/>
      <c r="P1689" s="13"/>
      <c r="Q1689" s="34" t="s">
        <v>3076</v>
      </c>
      <c r="R1689" s="13"/>
      <c r="S1689" s="13"/>
      <c r="T1689" s="170" t="s">
        <v>4405</v>
      </c>
      <c r="U1689" s="13" t="s">
        <v>4482</v>
      </c>
      <c r="V1689" s="19" t="s">
        <v>2710</v>
      </c>
      <c r="W1689" s="269">
        <v>8</v>
      </c>
    </row>
    <row r="1690" spans="1:23">
      <c r="A1690" s="136">
        <v>2680</v>
      </c>
      <c r="B1690" s="136">
        <v>16.2</v>
      </c>
      <c r="C1690" s="13">
        <v>1.51</v>
      </c>
      <c r="D1690" s="13">
        <v>7.12</v>
      </c>
      <c r="E1690" s="13">
        <v>24.36</v>
      </c>
      <c r="F1690" s="602" t="s">
        <v>4484</v>
      </c>
      <c r="G1690" s="591">
        <v>50</v>
      </c>
      <c r="H1690" s="63">
        <v>73</v>
      </c>
      <c r="I1690" s="426">
        <v>45201</v>
      </c>
      <c r="J1690" s="13" t="s">
        <v>4026</v>
      </c>
      <c r="K1690" s="13">
        <v>33.340000000000003</v>
      </c>
      <c r="L1690" s="13">
        <v>0.73099999999999998</v>
      </c>
      <c r="M1690" s="13"/>
      <c r="N1690" s="13"/>
      <c r="O1690" s="13"/>
      <c r="P1690" s="13"/>
      <c r="Q1690" s="34" t="s">
        <v>3076</v>
      </c>
      <c r="R1690" s="13"/>
      <c r="S1690" s="13"/>
      <c r="T1690" s="170" t="s">
        <v>4405</v>
      </c>
      <c r="U1690" s="13" t="s">
        <v>4487</v>
      </c>
      <c r="V1690" s="19" t="s">
        <v>2695</v>
      </c>
      <c r="W1690" s="269">
        <v>3</v>
      </c>
    </row>
    <row r="1691" spans="1:23">
      <c r="A1691" s="136">
        <v>2668</v>
      </c>
      <c r="B1691" s="136">
        <v>17.399999999999999</v>
      </c>
      <c r="C1691" s="13">
        <v>1.5</v>
      </c>
      <c r="D1691" s="13">
        <v>7.12</v>
      </c>
      <c r="E1691" s="13">
        <v>24.4</v>
      </c>
      <c r="F1691" s="599" t="s">
        <v>4486</v>
      </c>
      <c r="G1691" s="591">
        <v>51</v>
      </c>
      <c r="H1691" s="63">
        <v>73</v>
      </c>
      <c r="I1691" s="426">
        <v>45202</v>
      </c>
      <c r="J1691" s="13" t="s">
        <v>4026</v>
      </c>
      <c r="K1691" s="13">
        <v>33.46</v>
      </c>
      <c r="L1691" s="13">
        <v>0.63400000000000001</v>
      </c>
      <c r="M1691" s="13"/>
      <c r="N1691" s="13"/>
      <c r="O1691" s="13"/>
      <c r="P1691" s="13"/>
      <c r="Q1691" s="34" t="s">
        <v>3076</v>
      </c>
      <c r="R1691" s="13"/>
      <c r="S1691" s="13"/>
      <c r="T1691" s="170" t="s">
        <v>4405</v>
      </c>
      <c r="U1691" s="13" t="s">
        <v>4496</v>
      </c>
      <c r="V1691" s="19" t="s">
        <v>2710</v>
      </c>
      <c r="W1691" s="269">
        <v>4</v>
      </c>
    </row>
    <row r="1692" spans="1:23">
      <c r="A1692" s="136">
        <v>2669</v>
      </c>
      <c r="B1692" s="136">
        <v>16.8</v>
      </c>
      <c r="C1692" s="13">
        <v>1.5</v>
      </c>
      <c r="D1692" s="13">
        <v>7.11</v>
      </c>
      <c r="E1692" s="13">
        <v>24.42</v>
      </c>
      <c r="F1692" s="594" t="s">
        <v>4488</v>
      </c>
      <c r="G1692" s="591">
        <v>51</v>
      </c>
      <c r="H1692" s="63">
        <v>73</v>
      </c>
      <c r="I1692" s="426">
        <v>45202</v>
      </c>
      <c r="J1692" s="13" t="s">
        <v>4026</v>
      </c>
      <c r="K1692" s="13"/>
      <c r="L1692" s="13"/>
      <c r="M1692" s="13"/>
      <c r="N1692" s="13"/>
      <c r="O1692" s="13"/>
      <c r="P1692" s="13"/>
      <c r="Q1692" s="34" t="s">
        <v>3076</v>
      </c>
      <c r="R1692" s="13"/>
      <c r="S1692" s="13"/>
      <c r="T1692" s="170" t="s">
        <v>4405</v>
      </c>
      <c r="U1692" s="13"/>
      <c r="V1692" s="19"/>
      <c r="W1692" s="269">
        <v>12</v>
      </c>
    </row>
    <row r="1693" spans="1:23">
      <c r="A1693" s="136">
        <v>2669</v>
      </c>
      <c r="B1693" s="136">
        <v>16.8</v>
      </c>
      <c r="C1693" s="13">
        <v>1.5</v>
      </c>
      <c r="D1693" s="13">
        <v>7.11</v>
      </c>
      <c r="E1693" s="13">
        <v>24.42</v>
      </c>
      <c r="F1693" s="595" t="s">
        <v>4489</v>
      </c>
      <c r="G1693" s="591">
        <v>49</v>
      </c>
      <c r="H1693" s="63">
        <v>75</v>
      </c>
      <c r="I1693" s="426">
        <v>45202</v>
      </c>
      <c r="J1693" s="13" t="s">
        <v>4026</v>
      </c>
      <c r="K1693" s="13"/>
      <c r="L1693" s="13"/>
      <c r="M1693" s="13"/>
      <c r="N1693" s="13"/>
      <c r="O1693" s="13"/>
      <c r="P1693" s="13"/>
      <c r="Q1693" s="34" t="s">
        <v>3076</v>
      </c>
      <c r="R1693" s="13"/>
      <c r="S1693" s="13"/>
      <c r="T1693" s="170" t="s">
        <v>4405</v>
      </c>
      <c r="U1693" s="13"/>
      <c r="V1693" s="19" t="s">
        <v>3306</v>
      </c>
      <c r="W1693" s="269">
        <v>7</v>
      </c>
    </row>
    <row r="1694" spans="1:23">
      <c r="A1694" s="136">
        <v>2669</v>
      </c>
      <c r="B1694" s="136">
        <v>16.8</v>
      </c>
      <c r="C1694" s="13">
        <v>1.5</v>
      </c>
      <c r="D1694" s="13">
        <v>7.11</v>
      </c>
      <c r="E1694" s="13">
        <v>24.42</v>
      </c>
      <c r="F1694" s="601" t="s">
        <v>4490</v>
      </c>
      <c r="G1694" s="591">
        <v>49</v>
      </c>
      <c r="H1694" s="63">
        <v>75</v>
      </c>
      <c r="I1694" s="426">
        <v>45202</v>
      </c>
      <c r="J1694" s="13" t="s">
        <v>4026</v>
      </c>
      <c r="K1694" s="13">
        <v>33.46</v>
      </c>
      <c r="L1694" s="13">
        <v>0.48699999999999999</v>
      </c>
      <c r="M1694" s="13"/>
      <c r="N1694" s="13"/>
      <c r="O1694" s="13"/>
      <c r="P1694" s="13"/>
      <c r="Q1694" s="34" t="s">
        <v>3076</v>
      </c>
      <c r="R1694" s="13"/>
      <c r="S1694" s="13"/>
      <c r="T1694" s="170" t="s">
        <v>4405</v>
      </c>
      <c r="U1694" s="13" t="s">
        <v>4499</v>
      </c>
      <c r="V1694" s="19" t="s">
        <v>4491</v>
      </c>
      <c r="W1694" s="269">
        <v>4</v>
      </c>
    </row>
    <row r="1695" spans="1:23">
      <c r="A1695" s="136">
        <v>2670</v>
      </c>
      <c r="B1695" s="136">
        <v>17.399999999999999</v>
      </c>
      <c r="C1695" s="13">
        <v>1.5</v>
      </c>
      <c r="D1695" s="13">
        <v>7.14</v>
      </c>
      <c r="E1695" s="13">
        <v>24.39</v>
      </c>
      <c r="F1695" s="598" t="s">
        <v>4492</v>
      </c>
      <c r="G1695" s="591">
        <v>51</v>
      </c>
      <c r="H1695" s="63">
        <v>72</v>
      </c>
      <c r="I1695" s="426">
        <v>45204</v>
      </c>
      <c r="J1695" s="13" t="s">
        <v>4026</v>
      </c>
      <c r="K1695" s="13">
        <v>33.44</v>
      </c>
      <c r="L1695" s="13">
        <v>0.47199999999999998</v>
      </c>
      <c r="M1695" s="13"/>
      <c r="N1695" s="13"/>
      <c r="O1695" s="13"/>
      <c r="P1695" s="13"/>
      <c r="Q1695" s="34" t="s">
        <v>3076</v>
      </c>
      <c r="R1695" s="13"/>
      <c r="S1695" s="13"/>
      <c r="T1695" s="170" t="s">
        <v>4405</v>
      </c>
      <c r="U1695" s="13" t="s">
        <v>4493</v>
      </c>
      <c r="V1695" s="19" t="s">
        <v>3555</v>
      </c>
      <c r="W1695" s="269">
        <v>2</v>
      </c>
    </row>
    <row r="1696" spans="1:23">
      <c r="A1696" s="136">
        <v>2681</v>
      </c>
      <c r="B1696" s="136">
        <v>18.399999999999999</v>
      </c>
      <c r="C1696" s="13">
        <v>1.51</v>
      </c>
      <c r="D1696" s="13">
        <v>7.12</v>
      </c>
      <c r="E1696" s="13">
        <v>24.36</v>
      </c>
      <c r="F1696" s="600" t="s">
        <v>4494</v>
      </c>
      <c r="G1696" s="591">
        <v>49</v>
      </c>
      <c r="H1696" s="63">
        <v>73</v>
      </c>
      <c r="I1696" s="426">
        <v>45204</v>
      </c>
      <c r="J1696" s="13" t="s">
        <v>4026</v>
      </c>
      <c r="K1696" s="13">
        <v>33.21</v>
      </c>
      <c r="L1696" s="13">
        <v>0.76300000000000001</v>
      </c>
      <c r="M1696" s="13"/>
      <c r="N1696" s="13"/>
      <c r="O1696" s="13"/>
      <c r="P1696" s="13"/>
      <c r="Q1696" s="34" t="s">
        <v>3076</v>
      </c>
      <c r="R1696" s="13"/>
      <c r="S1696" s="13"/>
      <c r="T1696" s="170" t="s">
        <v>4405</v>
      </c>
      <c r="U1696" s="13" t="s">
        <v>4497</v>
      </c>
      <c r="V1696" s="19" t="s">
        <v>4485</v>
      </c>
      <c r="W1696" s="269">
        <v>9</v>
      </c>
    </row>
    <row r="1697" spans="1:23" ht="25.5" customHeight="1">
      <c r="A1697" s="136">
        <v>2682</v>
      </c>
      <c r="B1697" s="136">
        <v>17.600000000000001</v>
      </c>
      <c r="C1697" s="13">
        <v>1.51</v>
      </c>
      <c r="D1697" s="13">
        <v>7.13</v>
      </c>
      <c r="E1697" s="13">
        <v>23.34</v>
      </c>
      <c r="F1697" s="603" t="s">
        <v>4500</v>
      </c>
      <c r="G1697" s="591">
        <v>37</v>
      </c>
      <c r="H1697" s="63">
        <v>71</v>
      </c>
      <c r="I1697" s="426">
        <v>45218</v>
      </c>
      <c r="J1697" s="13" t="s">
        <v>3074</v>
      </c>
      <c r="K1697" s="13">
        <v>33.5</v>
      </c>
      <c r="L1697" s="13">
        <v>0.70899999999999996</v>
      </c>
      <c r="M1697" s="13"/>
      <c r="N1697" s="13"/>
      <c r="O1697" s="13"/>
      <c r="P1697" s="13"/>
      <c r="Q1697" s="34" t="s">
        <v>3076</v>
      </c>
      <c r="R1697" s="13"/>
      <c r="S1697" s="13"/>
      <c r="T1697" s="170" t="s">
        <v>4405</v>
      </c>
      <c r="U1697" s="13" t="s">
        <v>4501</v>
      </c>
      <c r="V1697" s="19" t="s">
        <v>2819</v>
      </c>
      <c r="W1697" s="269">
        <v>8</v>
      </c>
    </row>
    <row r="1698" spans="1:23">
      <c r="A1698" s="136">
        <v>2683</v>
      </c>
      <c r="B1698" s="136">
        <v>16.2</v>
      </c>
      <c r="C1698" s="13">
        <v>1.48</v>
      </c>
      <c r="D1698" s="13">
        <v>7.16</v>
      </c>
      <c r="E1698" s="13">
        <v>24.34</v>
      </c>
      <c r="F1698" s="356" t="s">
        <v>4502</v>
      </c>
      <c r="G1698" s="591">
        <v>37</v>
      </c>
      <c r="H1698" s="63">
        <v>71</v>
      </c>
      <c r="I1698" s="426">
        <v>45218</v>
      </c>
      <c r="J1698" s="13" t="s">
        <v>3074</v>
      </c>
      <c r="K1698" s="13">
        <v>33.47</v>
      </c>
      <c r="L1698" s="13">
        <v>0.53300000000000003</v>
      </c>
      <c r="M1698" s="13"/>
      <c r="N1698" s="13"/>
      <c r="O1698" s="13"/>
      <c r="P1698" s="13"/>
      <c r="Q1698" s="34" t="s">
        <v>3076</v>
      </c>
      <c r="R1698" s="13"/>
      <c r="S1698" s="13"/>
      <c r="T1698" s="170" t="s">
        <v>4405</v>
      </c>
      <c r="U1698" s="13" t="s">
        <v>4503</v>
      </c>
      <c r="V1698" s="19" t="s">
        <v>3053</v>
      </c>
      <c r="W1698" s="269">
        <v>6</v>
      </c>
    </row>
    <row r="1699" spans="1:23">
      <c r="A1699" s="136">
        <v>2684</v>
      </c>
      <c r="B1699" s="136">
        <v>16.399999999999999</v>
      </c>
      <c r="C1699" s="13">
        <v>1.5</v>
      </c>
      <c r="D1699" s="13">
        <v>7.07</v>
      </c>
      <c r="E1699" s="13">
        <v>24.39</v>
      </c>
      <c r="F1699" s="356" t="s">
        <v>4504</v>
      </c>
      <c r="G1699" s="591">
        <v>35</v>
      </c>
      <c r="H1699" s="63">
        <v>73.2</v>
      </c>
      <c r="I1699" s="426">
        <v>45218</v>
      </c>
      <c r="J1699" s="13" t="s">
        <v>3074</v>
      </c>
      <c r="K1699" s="13">
        <v>33.299999999999997</v>
      </c>
      <c r="L1699" s="13">
        <v>0.27800000000000002</v>
      </c>
      <c r="M1699" s="13"/>
      <c r="N1699" s="13"/>
      <c r="O1699" s="13"/>
      <c r="P1699" s="13"/>
      <c r="Q1699" s="34" t="s">
        <v>3076</v>
      </c>
      <c r="R1699" s="13"/>
      <c r="S1699" s="13"/>
      <c r="T1699" s="170" t="s">
        <v>4405</v>
      </c>
      <c r="U1699" s="13" t="s">
        <v>4501</v>
      </c>
      <c r="V1699" s="19" t="s">
        <v>3166</v>
      </c>
      <c r="W1699" s="269">
        <v>2</v>
      </c>
    </row>
    <row r="1700" spans="1:23">
      <c r="A1700" s="136">
        <v>2685</v>
      </c>
      <c r="B1700" s="136">
        <v>16.8</v>
      </c>
      <c r="C1700" s="13">
        <v>1.49</v>
      </c>
      <c r="D1700" s="13">
        <v>7.15</v>
      </c>
      <c r="E1700" s="13">
        <v>24.44</v>
      </c>
      <c r="F1700" s="356" t="s">
        <v>4505</v>
      </c>
      <c r="G1700" s="591">
        <v>42</v>
      </c>
      <c r="H1700" s="63">
        <v>72.3</v>
      </c>
      <c r="I1700" s="426">
        <v>45219</v>
      </c>
      <c r="J1700" s="13" t="s">
        <v>3074</v>
      </c>
      <c r="K1700" s="13">
        <v>33.4</v>
      </c>
      <c r="L1700" s="13">
        <v>0.69199999999999995</v>
      </c>
      <c r="M1700" s="13"/>
      <c r="N1700" s="13"/>
      <c r="O1700" s="13"/>
      <c r="P1700" s="13"/>
      <c r="Q1700" s="34" t="s">
        <v>3076</v>
      </c>
      <c r="R1700" s="13"/>
      <c r="S1700" s="13"/>
      <c r="T1700" s="170" t="s">
        <v>4405</v>
      </c>
      <c r="U1700" s="13" t="s">
        <v>4506</v>
      </c>
      <c r="V1700" s="19" t="s">
        <v>3479</v>
      </c>
      <c r="W1700" s="269">
        <v>3</v>
      </c>
    </row>
    <row r="1701" spans="1:23">
      <c r="A1701" s="136">
        <v>2686</v>
      </c>
      <c r="B1701" s="136">
        <v>17.600000000000001</v>
      </c>
      <c r="C1701" s="13">
        <v>1.5</v>
      </c>
      <c r="D1701" s="13">
        <v>7.12</v>
      </c>
      <c r="E1701" s="13">
        <v>24.37</v>
      </c>
      <c r="F1701" s="356" t="s">
        <v>4507</v>
      </c>
      <c r="G1701" s="591">
        <v>42</v>
      </c>
      <c r="H1701" s="63">
        <v>72.3</v>
      </c>
      <c r="I1701" s="426">
        <v>45219</v>
      </c>
      <c r="J1701" s="13" t="s">
        <v>3074</v>
      </c>
      <c r="K1701" s="13">
        <v>33.42</v>
      </c>
      <c r="L1701" s="13">
        <v>8.4000000000000005E-2</v>
      </c>
      <c r="M1701" s="13"/>
      <c r="N1701" s="13"/>
      <c r="O1701" s="13"/>
      <c r="P1701" s="13"/>
      <c r="Q1701" s="34" t="s">
        <v>3076</v>
      </c>
      <c r="R1701" s="13"/>
      <c r="S1701" s="13"/>
      <c r="T1701" s="170" t="s">
        <v>4405</v>
      </c>
      <c r="U1701" s="13" t="s">
        <v>4508</v>
      </c>
      <c r="V1701" s="19" t="s">
        <v>3159</v>
      </c>
      <c r="W1701" s="269">
        <v>6</v>
      </c>
    </row>
    <row r="1702" spans="1:23">
      <c r="A1702" s="136">
        <v>2536</v>
      </c>
      <c r="B1702" s="136">
        <v>18.8</v>
      </c>
      <c r="C1702" s="13">
        <v>1.51</v>
      </c>
      <c r="D1702" s="13">
        <v>7.08</v>
      </c>
      <c r="E1702" s="13">
        <v>24.37</v>
      </c>
      <c r="F1702" s="356" t="s">
        <v>4509</v>
      </c>
      <c r="G1702" s="591">
        <v>41</v>
      </c>
      <c r="H1702" s="63">
        <v>74.099999999999994</v>
      </c>
      <c r="I1702" s="426">
        <v>45219</v>
      </c>
      <c r="J1702" s="13" t="s">
        <v>3074</v>
      </c>
      <c r="K1702" s="13">
        <v>33.369999999999997</v>
      </c>
      <c r="L1702" s="13">
        <v>0.34599999999999997</v>
      </c>
      <c r="M1702" s="13"/>
      <c r="N1702" s="13"/>
      <c r="O1702" s="13"/>
      <c r="P1702" s="13"/>
      <c r="Q1702" s="34" t="s">
        <v>3076</v>
      </c>
      <c r="R1702" s="13"/>
      <c r="S1702" s="13"/>
      <c r="T1702" s="170" t="s">
        <v>4405</v>
      </c>
      <c r="U1702" s="13" t="s">
        <v>4510</v>
      </c>
      <c r="V1702" s="19" t="s">
        <v>3159</v>
      </c>
      <c r="W1702" s="269">
        <v>4</v>
      </c>
    </row>
    <row r="1703" spans="1:23">
      <c r="A1703" s="136"/>
      <c r="B1703" s="136"/>
      <c r="C1703" s="13"/>
      <c r="D1703" s="13"/>
      <c r="E1703" s="13"/>
      <c r="F1703" s="184"/>
      <c r="G1703" s="13"/>
      <c r="H1703" s="13"/>
      <c r="I1703" s="19"/>
      <c r="J1703" s="13"/>
      <c r="K1703" s="13"/>
      <c r="L1703" s="13"/>
      <c r="M1703" s="13"/>
      <c r="N1703" s="13"/>
      <c r="O1703" s="13"/>
      <c r="P1703" s="13"/>
      <c r="Q1703" s="13"/>
      <c r="R1703" s="13"/>
      <c r="S1703" s="13"/>
      <c r="T1703" s="13"/>
      <c r="U1703" s="13"/>
      <c r="V1703" s="19"/>
      <c r="W1703" s="269"/>
    </row>
    <row r="1704" spans="1:23">
      <c r="A1704" s="136"/>
      <c r="B1704" s="136"/>
      <c r="C1704" s="13"/>
      <c r="D1704" s="13"/>
      <c r="E1704" s="13"/>
      <c r="F1704" s="184"/>
      <c r="G1704" s="13"/>
      <c r="H1704" s="13"/>
      <c r="I1704" s="19"/>
      <c r="J1704" s="13"/>
      <c r="K1704" s="13"/>
      <c r="L1704" s="13"/>
      <c r="M1704" s="13"/>
      <c r="N1704" s="13"/>
      <c r="O1704" s="13"/>
      <c r="P1704" s="13"/>
      <c r="Q1704" s="13"/>
      <c r="R1704" s="13"/>
      <c r="S1704" s="13"/>
      <c r="T1704" s="13"/>
      <c r="U1704" s="13"/>
      <c r="V1704" s="19"/>
      <c r="W1704" s="269"/>
    </row>
    <row r="1705" spans="1:23">
      <c r="A1705" s="136"/>
      <c r="B1705" s="136"/>
      <c r="C1705" s="13"/>
      <c r="D1705" s="13"/>
      <c r="E1705" s="13"/>
      <c r="F1705" s="19"/>
      <c r="G1705" s="13"/>
      <c r="H1705" s="13"/>
      <c r="I1705" s="19"/>
      <c r="J1705" s="13"/>
      <c r="K1705" s="13"/>
      <c r="L1705" s="13"/>
      <c r="M1705" s="13"/>
      <c r="N1705" s="13"/>
      <c r="O1705" s="13"/>
      <c r="P1705" s="13"/>
      <c r="Q1705" s="13"/>
      <c r="R1705" s="13"/>
      <c r="S1705" s="13"/>
      <c r="T1705" s="13"/>
      <c r="U1705" s="13"/>
      <c r="V1705" s="19"/>
      <c r="W1705" s="269"/>
    </row>
    <row r="1706" spans="1:23">
      <c r="A1706" s="136"/>
      <c r="B1706" s="136"/>
      <c r="C1706" s="13"/>
      <c r="D1706" s="13"/>
      <c r="E1706" s="13"/>
      <c r="F1706" s="19"/>
      <c r="G1706" s="13"/>
      <c r="H1706" s="13"/>
      <c r="I1706" s="19"/>
      <c r="J1706" s="13"/>
      <c r="K1706" s="13"/>
      <c r="L1706" s="13"/>
      <c r="M1706" s="13"/>
      <c r="N1706" s="13"/>
      <c r="O1706" s="13"/>
      <c r="P1706" s="13"/>
      <c r="Q1706" s="13"/>
      <c r="R1706" s="13"/>
      <c r="S1706" s="13"/>
      <c r="T1706" s="13"/>
      <c r="U1706" s="13"/>
      <c r="V1706" s="19"/>
      <c r="W1706" s="269"/>
    </row>
    <row r="1707" spans="1:23">
      <c r="A1707" s="136"/>
      <c r="B1707" s="136"/>
      <c r="C1707" s="13"/>
      <c r="D1707" s="13"/>
      <c r="E1707" s="13"/>
      <c r="F1707" s="19"/>
      <c r="G1707" s="13"/>
      <c r="H1707" s="13"/>
      <c r="I1707" s="19"/>
      <c r="J1707" s="13"/>
      <c r="K1707" s="13"/>
      <c r="L1707" s="13"/>
      <c r="M1707" s="13"/>
      <c r="N1707" s="13"/>
      <c r="O1707" s="13"/>
      <c r="P1707" s="13"/>
      <c r="Q1707" s="13"/>
      <c r="R1707" s="13"/>
      <c r="S1707" s="13"/>
      <c r="T1707" s="13"/>
      <c r="U1707" s="13"/>
      <c r="V1707" s="19"/>
      <c r="W1707" s="269"/>
    </row>
    <row r="1708" spans="1:23">
      <c r="A1708" s="136"/>
      <c r="B1708" s="136"/>
      <c r="C1708" s="13"/>
      <c r="D1708" s="13"/>
      <c r="E1708" s="13"/>
      <c r="F1708" s="19"/>
      <c r="G1708" s="13"/>
      <c r="H1708" s="13"/>
      <c r="I1708" s="19"/>
      <c r="J1708" s="13"/>
      <c r="K1708" s="13"/>
      <c r="L1708" s="13"/>
      <c r="M1708" s="13"/>
      <c r="N1708" s="13"/>
      <c r="O1708" s="13"/>
      <c r="P1708" s="13"/>
      <c r="Q1708" s="13"/>
      <c r="R1708" s="13"/>
      <c r="S1708" s="13"/>
      <c r="T1708" s="13"/>
      <c r="U1708" s="13"/>
      <c r="V1708" s="19"/>
      <c r="W1708" s="269"/>
    </row>
    <row r="1709" spans="1:23">
      <c r="A1709" s="136"/>
      <c r="B1709" s="136"/>
      <c r="C1709" s="13"/>
      <c r="D1709" s="13"/>
      <c r="E1709" s="13"/>
      <c r="F1709" s="19"/>
      <c r="G1709" s="13"/>
      <c r="H1709" s="13"/>
      <c r="I1709" s="19"/>
      <c r="J1709" s="13"/>
      <c r="K1709" s="13"/>
      <c r="L1709" s="13"/>
      <c r="M1709" s="13"/>
      <c r="N1709" s="13"/>
      <c r="O1709" s="13"/>
      <c r="P1709" s="13"/>
      <c r="Q1709" s="13"/>
      <c r="R1709" s="13"/>
      <c r="S1709" s="13"/>
      <c r="T1709" s="13"/>
      <c r="U1709" s="13"/>
      <c r="V1709" s="19"/>
      <c r="W1709" s="269"/>
    </row>
    <row r="1710" spans="1:23">
      <c r="A1710" s="136"/>
      <c r="B1710" s="136"/>
      <c r="C1710" s="13"/>
      <c r="D1710" s="13"/>
      <c r="E1710" s="13"/>
      <c r="F1710" s="19"/>
      <c r="G1710" s="13"/>
      <c r="H1710" s="13"/>
      <c r="I1710" s="19"/>
      <c r="J1710" s="13"/>
      <c r="K1710" s="13"/>
      <c r="L1710" s="13"/>
      <c r="M1710" s="13"/>
      <c r="N1710" s="13"/>
      <c r="O1710" s="13"/>
      <c r="P1710" s="13"/>
      <c r="Q1710" s="13"/>
      <c r="R1710" s="13"/>
      <c r="S1710" s="13"/>
      <c r="T1710" s="13"/>
      <c r="U1710" s="13"/>
      <c r="V1710" s="19"/>
      <c r="W1710" s="269"/>
    </row>
    <row r="1711" spans="1:23">
      <c r="A1711" s="136"/>
      <c r="B1711" s="136"/>
      <c r="C1711" s="13"/>
      <c r="D1711" s="13"/>
      <c r="E1711" s="13"/>
      <c r="F1711" s="19"/>
      <c r="G1711" s="13"/>
      <c r="H1711" s="13"/>
      <c r="I1711" s="19"/>
      <c r="J1711" s="13"/>
      <c r="K1711" s="13"/>
      <c r="L1711" s="13"/>
      <c r="M1711" s="13"/>
      <c r="N1711" s="13"/>
      <c r="O1711" s="13"/>
      <c r="P1711" s="13"/>
      <c r="Q1711" s="13"/>
      <c r="R1711" s="13"/>
      <c r="S1711" s="13"/>
      <c r="T1711" s="13"/>
      <c r="U1711" s="13"/>
      <c r="V1711" s="19"/>
      <c r="W1711" s="269"/>
    </row>
    <row r="1712" spans="1:23">
      <c r="A1712" s="136"/>
      <c r="B1712" s="136"/>
      <c r="C1712" s="13"/>
      <c r="D1712" s="13"/>
      <c r="E1712" s="13"/>
      <c r="F1712" s="19"/>
      <c r="G1712" s="13"/>
      <c r="H1712" s="13"/>
      <c r="I1712" s="19"/>
      <c r="J1712" s="13"/>
      <c r="K1712" s="13"/>
      <c r="L1712" s="13"/>
      <c r="M1712" s="13"/>
      <c r="N1712" s="13"/>
      <c r="O1712" s="13"/>
      <c r="P1712" s="13"/>
      <c r="Q1712" s="13"/>
      <c r="R1712" s="13"/>
      <c r="S1712" s="13"/>
      <c r="T1712" s="13"/>
      <c r="U1712" s="13"/>
      <c r="V1712" s="19"/>
      <c r="W1712" s="269"/>
    </row>
    <row r="1713" spans="1:23">
      <c r="A1713" s="136"/>
      <c r="B1713" s="136"/>
      <c r="C1713" s="13"/>
      <c r="D1713" s="13"/>
      <c r="E1713" s="13"/>
      <c r="F1713" s="19"/>
      <c r="G1713" s="13"/>
      <c r="H1713" s="13"/>
      <c r="I1713" s="19"/>
      <c r="J1713" s="13"/>
      <c r="K1713" s="13"/>
      <c r="L1713" s="13"/>
      <c r="M1713" s="13"/>
      <c r="N1713" s="13"/>
      <c r="O1713" s="13"/>
      <c r="P1713" s="13"/>
      <c r="Q1713" s="13"/>
      <c r="R1713" s="13"/>
      <c r="S1713" s="13"/>
      <c r="T1713" s="13"/>
      <c r="U1713" s="13"/>
      <c r="V1713" s="19"/>
      <c r="W1713" s="269"/>
    </row>
    <row r="1714" spans="1:23">
      <c r="A1714" s="136"/>
      <c r="B1714" s="136"/>
      <c r="C1714" s="13"/>
      <c r="D1714" s="13"/>
      <c r="E1714" s="13"/>
      <c r="F1714" s="19"/>
      <c r="G1714" s="13"/>
      <c r="H1714" s="13"/>
      <c r="I1714" s="19"/>
      <c r="J1714" s="13"/>
      <c r="K1714" s="13"/>
      <c r="L1714" s="13"/>
      <c r="M1714" s="13"/>
      <c r="N1714" s="13"/>
      <c r="O1714" s="13"/>
      <c r="P1714" s="13"/>
      <c r="Q1714" s="13"/>
      <c r="R1714" s="13"/>
      <c r="S1714" s="13"/>
      <c r="T1714" s="13"/>
      <c r="U1714" s="13"/>
      <c r="V1714" s="19"/>
      <c r="W1714" s="269"/>
    </row>
    <row r="1715" spans="1:23">
      <c r="A1715" s="136"/>
      <c r="B1715" s="136"/>
      <c r="C1715" s="13"/>
      <c r="D1715" s="13"/>
      <c r="E1715" s="13"/>
      <c r="F1715" s="19"/>
      <c r="G1715" s="13"/>
      <c r="H1715" s="13"/>
      <c r="I1715" s="19"/>
      <c r="J1715" s="13"/>
      <c r="K1715" s="13"/>
      <c r="L1715" s="13"/>
      <c r="M1715" s="13"/>
      <c r="N1715" s="13"/>
      <c r="O1715" s="13"/>
      <c r="P1715" s="13"/>
      <c r="Q1715" s="13"/>
      <c r="R1715" s="13"/>
      <c r="S1715" s="13"/>
      <c r="T1715" s="13"/>
      <c r="U1715" s="13"/>
      <c r="V1715" s="19"/>
      <c r="W1715" s="269"/>
    </row>
    <row r="1716" spans="1:23">
      <c r="A1716" s="136"/>
      <c r="B1716" s="136"/>
      <c r="C1716" s="13"/>
      <c r="D1716" s="13"/>
      <c r="E1716" s="13"/>
      <c r="F1716" s="19"/>
      <c r="G1716" s="13"/>
      <c r="H1716" s="13"/>
      <c r="I1716" s="19"/>
      <c r="J1716" s="13"/>
      <c r="K1716" s="13"/>
      <c r="L1716" s="13"/>
      <c r="M1716" s="13"/>
      <c r="N1716" s="13"/>
      <c r="O1716" s="13"/>
      <c r="P1716" s="13"/>
      <c r="Q1716" s="13"/>
      <c r="R1716" s="13"/>
      <c r="S1716" s="13"/>
      <c r="T1716" s="13"/>
      <c r="U1716" s="13"/>
      <c r="V1716" s="19"/>
      <c r="W1716" s="269"/>
    </row>
    <row r="1717" spans="1:23">
      <c r="A1717" s="136"/>
      <c r="B1717" s="136"/>
      <c r="C1717" s="13"/>
      <c r="D1717" s="13"/>
      <c r="E1717" s="13"/>
      <c r="F1717" s="19"/>
      <c r="G1717" s="13"/>
      <c r="H1717" s="13"/>
      <c r="I1717" s="19"/>
      <c r="J1717" s="13"/>
      <c r="K1717" s="13"/>
      <c r="L1717" s="13"/>
      <c r="M1717" s="13"/>
      <c r="N1717" s="13"/>
      <c r="O1717" s="13"/>
      <c r="P1717" s="13"/>
      <c r="Q1717" s="13"/>
      <c r="R1717" s="13"/>
      <c r="S1717" s="13"/>
      <c r="T1717" s="13"/>
      <c r="U1717" s="13"/>
      <c r="V1717" s="19"/>
      <c r="W1717" s="269"/>
    </row>
    <row r="1718" spans="1:23">
      <c r="A1718" s="136"/>
      <c r="B1718" s="136"/>
      <c r="C1718" s="13"/>
      <c r="D1718" s="13"/>
      <c r="E1718" s="13"/>
      <c r="F1718" s="19"/>
      <c r="G1718" s="13"/>
      <c r="H1718" s="13"/>
      <c r="I1718" s="19"/>
      <c r="J1718" s="13"/>
      <c r="K1718" s="13"/>
      <c r="L1718" s="13"/>
      <c r="M1718" s="13"/>
      <c r="N1718" s="13"/>
      <c r="O1718" s="13"/>
      <c r="P1718" s="13"/>
      <c r="Q1718" s="13"/>
      <c r="R1718" s="13"/>
      <c r="S1718" s="13"/>
      <c r="T1718" s="13"/>
      <c r="U1718" s="13"/>
      <c r="V1718" s="19"/>
      <c r="W1718" s="269"/>
    </row>
    <row r="1719" spans="1:23">
      <c r="A1719" s="136"/>
      <c r="B1719" s="136"/>
      <c r="C1719" s="13"/>
      <c r="D1719" s="13"/>
      <c r="E1719" s="13"/>
      <c r="F1719" s="19"/>
      <c r="G1719" s="13"/>
      <c r="H1719" s="13"/>
      <c r="I1719" s="19"/>
      <c r="J1719" s="13"/>
      <c r="K1719" s="13"/>
      <c r="L1719" s="13"/>
      <c r="M1719" s="13"/>
      <c r="N1719" s="13"/>
      <c r="O1719" s="13"/>
      <c r="P1719" s="13"/>
      <c r="Q1719" s="13"/>
      <c r="R1719" s="13"/>
      <c r="S1719" s="13"/>
      <c r="T1719" s="13"/>
      <c r="U1719" s="13"/>
      <c r="V1719" s="19"/>
      <c r="W1719" s="269"/>
    </row>
    <row r="1720" spans="1:23">
      <c r="A1720" s="136"/>
      <c r="B1720" s="136"/>
      <c r="C1720" s="13"/>
      <c r="D1720" s="13"/>
      <c r="E1720" s="13"/>
      <c r="F1720" s="19"/>
      <c r="G1720" s="13"/>
      <c r="H1720" s="13"/>
      <c r="I1720" s="19"/>
      <c r="J1720" s="13"/>
      <c r="K1720" s="13"/>
      <c r="L1720" s="13"/>
      <c r="M1720" s="13"/>
      <c r="N1720" s="13"/>
      <c r="O1720" s="13"/>
      <c r="P1720" s="13"/>
      <c r="Q1720" s="13"/>
      <c r="R1720" s="13"/>
      <c r="S1720" s="13"/>
      <c r="T1720" s="13"/>
      <c r="U1720" s="13"/>
      <c r="V1720" s="19"/>
      <c r="W1720" s="269"/>
    </row>
    <row r="1721" spans="1:23">
      <c r="A1721" s="136"/>
      <c r="B1721" s="136"/>
      <c r="C1721" s="13"/>
      <c r="D1721" s="13"/>
      <c r="E1721" s="13"/>
      <c r="F1721" s="19"/>
      <c r="G1721" s="13"/>
      <c r="H1721" s="13"/>
      <c r="I1721" s="19"/>
      <c r="J1721" s="13"/>
      <c r="K1721" s="13"/>
      <c r="L1721" s="13"/>
      <c r="M1721" s="13"/>
      <c r="N1721" s="13"/>
      <c r="O1721" s="13"/>
      <c r="P1721" s="13"/>
      <c r="Q1721" s="13"/>
      <c r="R1721" s="13"/>
      <c r="S1721" s="13"/>
      <c r="T1721" s="13"/>
      <c r="U1721" s="13"/>
      <c r="V1721" s="19"/>
      <c r="W1721" s="269"/>
    </row>
    <row r="1722" spans="1:23">
      <c r="A1722" s="136"/>
      <c r="B1722" s="136"/>
      <c r="C1722" s="13"/>
      <c r="D1722" s="13"/>
      <c r="E1722" s="13"/>
      <c r="F1722" s="19"/>
      <c r="G1722" s="13"/>
      <c r="H1722" s="13"/>
      <c r="I1722" s="19"/>
      <c r="J1722" s="13"/>
      <c r="K1722" s="13"/>
      <c r="L1722" s="13"/>
      <c r="M1722" s="13"/>
      <c r="N1722" s="13"/>
      <c r="O1722" s="13"/>
      <c r="P1722" s="13"/>
      <c r="Q1722" s="13"/>
      <c r="R1722" s="13"/>
      <c r="S1722" s="13"/>
      <c r="T1722" s="13"/>
      <c r="U1722" s="13"/>
      <c r="V1722" s="19"/>
      <c r="W1722" s="269"/>
    </row>
    <row r="1723" spans="1:23">
      <c r="A1723" s="136"/>
      <c r="B1723" s="136"/>
      <c r="C1723" s="13"/>
      <c r="D1723" s="13"/>
      <c r="E1723" s="13"/>
      <c r="F1723" s="19"/>
      <c r="G1723" s="13"/>
      <c r="H1723" s="13"/>
      <c r="I1723" s="19"/>
      <c r="J1723" s="13"/>
      <c r="K1723" s="13"/>
      <c r="L1723" s="13"/>
      <c r="M1723" s="13"/>
      <c r="N1723" s="13"/>
      <c r="O1723" s="13"/>
      <c r="P1723" s="13"/>
      <c r="Q1723" s="13"/>
      <c r="R1723" s="13"/>
      <c r="S1723" s="13"/>
      <c r="T1723" s="13"/>
      <c r="U1723" s="13"/>
      <c r="V1723" s="19"/>
      <c r="W1723" s="269"/>
    </row>
    <row r="1724" spans="1:23">
      <c r="A1724" s="136"/>
      <c r="B1724" s="136"/>
      <c r="C1724" s="13"/>
      <c r="D1724" s="13"/>
      <c r="E1724" s="13"/>
      <c r="F1724" s="19"/>
      <c r="G1724" s="13"/>
      <c r="H1724" s="13"/>
      <c r="I1724" s="19"/>
      <c r="J1724" s="13"/>
      <c r="K1724" s="13"/>
      <c r="L1724" s="13"/>
      <c r="M1724" s="13"/>
      <c r="N1724" s="13"/>
      <c r="O1724" s="13"/>
      <c r="P1724" s="13"/>
      <c r="Q1724" s="13"/>
      <c r="R1724" s="13"/>
      <c r="S1724" s="13"/>
      <c r="T1724" s="13"/>
      <c r="U1724" s="13"/>
      <c r="V1724" s="19"/>
      <c r="W1724" s="269"/>
    </row>
    <row r="1725" spans="1:23">
      <c r="A1725" s="136"/>
      <c r="B1725" s="136"/>
      <c r="C1725" s="13"/>
      <c r="D1725" s="13"/>
      <c r="E1725" s="13"/>
      <c r="F1725" s="19"/>
      <c r="G1725" s="13"/>
      <c r="H1725" s="13"/>
      <c r="I1725" s="19"/>
      <c r="J1725" s="13"/>
      <c r="K1725" s="13"/>
      <c r="L1725" s="13"/>
      <c r="M1725" s="13"/>
      <c r="N1725" s="13"/>
      <c r="O1725" s="13"/>
      <c r="P1725" s="13"/>
      <c r="Q1725" s="13"/>
      <c r="R1725" s="13"/>
      <c r="S1725" s="13"/>
      <c r="T1725" s="13"/>
      <c r="U1725" s="13"/>
      <c r="V1725" s="19"/>
      <c r="W1725" s="269"/>
    </row>
    <row r="1726" spans="1:23">
      <c r="A1726" s="136"/>
      <c r="B1726" s="136"/>
      <c r="C1726" s="13"/>
      <c r="D1726" s="13"/>
      <c r="E1726" s="13"/>
      <c r="F1726" s="19"/>
      <c r="G1726" s="13"/>
      <c r="H1726" s="13"/>
      <c r="I1726" s="19"/>
      <c r="J1726" s="13"/>
      <c r="K1726" s="13"/>
      <c r="L1726" s="13"/>
      <c r="M1726" s="13"/>
      <c r="N1726" s="13"/>
      <c r="O1726" s="13"/>
      <c r="P1726" s="13"/>
      <c r="Q1726" s="13"/>
      <c r="R1726" s="13"/>
      <c r="S1726" s="13"/>
      <c r="T1726" s="13"/>
      <c r="U1726" s="13"/>
      <c r="V1726" s="19"/>
      <c r="W1726" s="269"/>
    </row>
    <row r="1727" spans="1:23">
      <c r="A1727" s="136"/>
      <c r="B1727" s="136"/>
      <c r="C1727" s="13"/>
      <c r="D1727" s="13"/>
      <c r="E1727" s="13"/>
      <c r="F1727" s="19"/>
      <c r="G1727" s="13"/>
      <c r="H1727" s="13"/>
      <c r="I1727" s="19"/>
      <c r="J1727" s="13"/>
      <c r="K1727" s="13"/>
      <c r="L1727" s="13"/>
      <c r="M1727" s="13"/>
      <c r="N1727" s="13"/>
      <c r="O1727" s="13"/>
      <c r="P1727" s="13"/>
      <c r="Q1727" s="13"/>
      <c r="R1727" s="13"/>
      <c r="S1727" s="13"/>
      <c r="T1727" s="13"/>
      <c r="U1727" s="13"/>
      <c r="V1727" s="19"/>
      <c r="W1727" s="269"/>
    </row>
    <row r="1728" spans="1:23">
      <c r="A1728" s="136"/>
      <c r="B1728" s="136"/>
      <c r="C1728" s="13"/>
      <c r="D1728" s="13"/>
      <c r="E1728" s="13"/>
      <c r="F1728" s="19"/>
      <c r="G1728" s="13"/>
      <c r="H1728" s="13"/>
      <c r="I1728" s="19"/>
      <c r="J1728" s="13"/>
      <c r="K1728" s="13"/>
      <c r="L1728" s="13"/>
      <c r="M1728" s="13"/>
      <c r="N1728" s="13"/>
      <c r="O1728" s="13"/>
      <c r="P1728" s="13"/>
      <c r="Q1728" s="13"/>
      <c r="R1728" s="13"/>
      <c r="S1728" s="13"/>
      <c r="T1728" s="13"/>
      <c r="U1728" s="13"/>
      <c r="V1728" s="19"/>
      <c r="W1728" s="269"/>
    </row>
    <row r="1729" spans="1:23">
      <c r="A1729" s="136"/>
      <c r="B1729" s="136"/>
      <c r="C1729" s="13"/>
      <c r="D1729" s="13"/>
      <c r="E1729" s="13"/>
      <c r="F1729" s="19"/>
      <c r="G1729" s="13"/>
      <c r="H1729" s="13"/>
      <c r="I1729" s="19"/>
      <c r="J1729" s="13"/>
      <c r="K1729" s="13"/>
      <c r="L1729" s="13"/>
      <c r="M1729" s="13"/>
      <c r="N1729" s="13"/>
      <c r="O1729" s="13"/>
      <c r="P1729" s="13"/>
      <c r="Q1729" s="13"/>
      <c r="R1729" s="13"/>
      <c r="S1729" s="13"/>
      <c r="T1729" s="13"/>
      <c r="U1729" s="13"/>
      <c r="V1729" s="19"/>
      <c r="W1729" s="269"/>
    </row>
    <row r="1730" spans="1:23">
      <c r="A1730" s="136"/>
      <c r="B1730" s="136"/>
      <c r="C1730" s="13"/>
      <c r="D1730" s="13"/>
      <c r="E1730" s="13"/>
      <c r="F1730" s="19"/>
      <c r="G1730" s="13"/>
      <c r="H1730" s="13"/>
      <c r="I1730" s="19"/>
      <c r="J1730" s="13"/>
      <c r="K1730" s="13"/>
      <c r="L1730" s="13"/>
      <c r="M1730" s="13"/>
      <c r="N1730" s="13"/>
      <c r="O1730" s="13"/>
      <c r="P1730" s="13"/>
      <c r="Q1730" s="13"/>
      <c r="R1730" s="13"/>
      <c r="S1730" s="13"/>
      <c r="T1730" s="13"/>
      <c r="U1730" s="13"/>
      <c r="V1730" s="19"/>
      <c r="W1730" s="269"/>
    </row>
    <row r="1731" spans="1:23">
      <c r="A1731" s="136"/>
      <c r="B1731" s="136"/>
      <c r="C1731" s="13"/>
      <c r="D1731" s="13"/>
      <c r="E1731" s="13"/>
      <c r="F1731" s="19"/>
      <c r="G1731" s="13"/>
      <c r="H1731" s="13"/>
      <c r="I1731" s="19"/>
      <c r="J1731" s="13"/>
      <c r="K1731" s="13"/>
      <c r="L1731" s="13"/>
      <c r="M1731" s="13"/>
      <c r="N1731" s="13"/>
      <c r="O1731" s="13"/>
      <c r="P1731" s="13"/>
      <c r="Q1731" s="13"/>
      <c r="R1731" s="13"/>
      <c r="S1731" s="13"/>
      <c r="T1731" s="13"/>
      <c r="U1731" s="13"/>
      <c r="V1731" s="19"/>
      <c r="W1731" s="269"/>
    </row>
    <row r="1732" spans="1:23">
      <c r="A1732" s="136"/>
      <c r="B1732" s="136"/>
      <c r="C1732" s="13"/>
      <c r="D1732" s="13"/>
      <c r="E1732" s="13"/>
      <c r="F1732" s="19"/>
      <c r="G1732" s="13"/>
      <c r="H1732" s="13"/>
      <c r="I1732" s="19"/>
      <c r="J1732" s="13"/>
      <c r="K1732" s="13"/>
      <c r="L1732" s="13"/>
      <c r="M1732" s="13"/>
      <c r="N1732" s="13"/>
      <c r="O1732" s="13"/>
      <c r="P1732" s="13"/>
      <c r="Q1732" s="13"/>
      <c r="R1732" s="13"/>
      <c r="S1732" s="13"/>
      <c r="T1732" s="13"/>
      <c r="U1732" s="13"/>
      <c r="V1732" s="19"/>
      <c r="W1732" s="269"/>
    </row>
    <row r="1733" spans="1:23">
      <c r="A1733" s="136"/>
      <c r="B1733" s="136"/>
      <c r="C1733" s="13"/>
      <c r="D1733" s="13"/>
      <c r="E1733" s="13"/>
      <c r="F1733" s="19"/>
      <c r="G1733" s="13"/>
      <c r="H1733" s="13"/>
      <c r="I1733" s="19"/>
      <c r="J1733" s="13"/>
      <c r="K1733" s="13"/>
      <c r="L1733" s="13"/>
      <c r="M1733" s="13"/>
      <c r="N1733" s="13"/>
      <c r="O1733" s="13"/>
      <c r="P1733" s="13"/>
      <c r="Q1733" s="13"/>
      <c r="R1733" s="13"/>
      <c r="S1733" s="13"/>
      <c r="T1733" s="13"/>
      <c r="U1733" s="13"/>
      <c r="V1733" s="19"/>
      <c r="W1733" s="269"/>
    </row>
    <row r="1734" spans="1:23">
      <c r="A1734" s="136"/>
      <c r="B1734" s="136"/>
      <c r="C1734" s="13"/>
      <c r="D1734" s="13"/>
      <c r="E1734" s="13"/>
      <c r="F1734" s="19"/>
      <c r="G1734" s="13"/>
      <c r="H1734" s="13"/>
      <c r="I1734" s="19"/>
      <c r="J1734" s="13"/>
      <c r="K1734" s="13"/>
      <c r="L1734" s="13"/>
      <c r="M1734" s="13"/>
      <c r="N1734" s="13"/>
      <c r="O1734" s="13"/>
      <c r="P1734" s="13"/>
      <c r="Q1734" s="13"/>
      <c r="R1734" s="13"/>
      <c r="S1734" s="13"/>
      <c r="T1734" s="13"/>
      <c r="U1734" s="13"/>
      <c r="V1734" s="19"/>
      <c r="W1734" s="269"/>
    </row>
    <row r="1735" spans="1:23">
      <c r="A1735" s="136"/>
      <c r="B1735" s="136"/>
      <c r="C1735" s="13"/>
      <c r="D1735" s="13"/>
      <c r="E1735" s="13"/>
      <c r="F1735" s="19"/>
      <c r="G1735" s="13"/>
      <c r="H1735" s="13"/>
      <c r="I1735" s="19"/>
      <c r="J1735" s="13"/>
      <c r="K1735" s="13"/>
      <c r="L1735" s="13"/>
      <c r="M1735" s="13"/>
      <c r="N1735" s="13"/>
      <c r="O1735" s="13"/>
      <c r="P1735" s="13"/>
      <c r="Q1735" s="13"/>
      <c r="R1735" s="13"/>
      <c r="S1735" s="13"/>
      <c r="T1735" s="13"/>
      <c r="U1735" s="13"/>
      <c r="V1735" s="19"/>
      <c r="W1735" s="269"/>
    </row>
    <row r="1736" spans="1:23">
      <c r="A1736" s="136"/>
      <c r="B1736" s="136"/>
      <c r="C1736" s="13"/>
      <c r="D1736" s="13"/>
      <c r="E1736" s="13"/>
      <c r="F1736" s="19"/>
      <c r="G1736" s="13"/>
      <c r="H1736" s="13"/>
      <c r="I1736" s="19"/>
      <c r="J1736" s="13"/>
      <c r="K1736" s="13"/>
      <c r="L1736" s="13"/>
      <c r="M1736" s="13"/>
      <c r="N1736" s="13"/>
      <c r="O1736" s="13"/>
      <c r="P1736" s="13"/>
      <c r="Q1736" s="13"/>
      <c r="R1736" s="13"/>
      <c r="S1736" s="13"/>
      <c r="T1736" s="13"/>
      <c r="U1736" s="13"/>
      <c r="V1736" s="19"/>
      <c r="W1736" s="269"/>
    </row>
    <row r="1737" spans="1:23">
      <c r="A1737" s="136"/>
      <c r="B1737" s="136"/>
      <c r="C1737" s="13"/>
      <c r="D1737" s="13"/>
      <c r="E1737" s="13"/>
      <c r="F1737" s="19"/>
      <c r="G1737" s="13"/>
      <c r="H1737" s="13"/>
      <c r="I1737" s="19"/>
      <c r="J1737" s="13"/>
      <c r="K1737" s="13"/>
      <c r="L1737" s="13"/>
      <c r="M1737" s="13"/>
      <c r="N1737" s="13"/>
      <c r="O1737" s="13"/>
      <c r="P1737" s="13"/>
      <c r="Q1737" s="13"/>
      <c r="R1737" s="13"/>
      <c r="S1737" s="13"/>
      <c r="T1737" s="13"/>
      <c r="U1737" s="13"/>
      <c r="V1737" s="19"/>
      <c r="W1737" s="269"/>
    </row>
    <row r="1738" spans="1:23">
      <c r="A1738" s="136"/>
      <c r="B1738" s="136"/>
      <c r="C1738" s="13"/>
      <c r="D1738" s="13"/>
      <c r="E1738" s="13"/>
      <c r="F1738" s="19"/>
      <c r="G1738" s="13"/>
      <c r="H1738" s="13"/>
      <c r="I1738" s="19"/>
      <c r="J1738" s="13"/>
      <c r="K1738" s="13"/>
      <c r="L1738" s="13"/>
      <c r="M1738" s="13"/>
      <c r="N1738" s="13"/>
      <c r="O1738" s="13"/>
      <c r="P1738" s="13"/>
      <c r="Q1738" s="13"/>
      <c r="R1738" s="13"/>
      <c r="S1738" s="13"/>
      <c r="T1738" s="13"/>
      <c r="U1738" s="13"/>
      <c r="V1738" s="19"/>
      <c r="W1738" s="269"/>
    </row>
    <row r="1739" spans="1:23">
      <c r="A1739" s="136"/>
      <c r="B1739" s="136"/>
      <c r="C1739" s="13"/>
      <c r="D1739" s="13"/>
      <c r="E1739" s="13"/>
      <c r="F1739" s="19"/>
      <c r="G1739" s="13"/>
      <c r="H1739" s="13"/>
      <c r="I1739" s="19"/>
      <c r="J1739" s="13"/>
      <c r="K1739" s="13"/>
      <c r="L1739" s="13"/>
      <c r="M1739" s="13"/>
      <c r="N1739" s="13"/>
      <c r="O1739" s="13"/>
      <c r="P1739" s="13"/>
      <c r="Q1739" s="13"/>
      <c r="R1739" s="13"/>
      <c r="S1739" s="13"/>
      <c r="T1739" s="13"/>
      <c r="U1739" s="13"/>
      <c r="V1739" s="19"/>
      <c r="W1739" s="269"/>
    </row>
    <row r="1740" spans="1:23">
      <c r="A1740" s="136"/>
      <c r="B1740" s="136"/>
      <c r="C1740" s="13"/>
      <c r="D1740" s="13"/>
      <c r="E1740" s="13"/>
      <c r="F1740" s="19"/>
      <c r="G1740" s="13"/>
      <c r="H1740" s="13"/>
      <c r="I1740" s="19"/>
      <c r="J1740" s="13"/>
      <c r="K1740" s="13"/>
      <c r="L1740" s="13"/>
      <c r="M1740" s="13"/>
      <c r="N1740" s="13"/>
      <c r="O1740" s="13"/>
      <c r="P1740" s="13"/>
      <c r="Q1740" s="13"/>
      <c r="R1740" s="13"/>
      <c r="S1740" s="13"/>
      <c r="T1740" s="13"/>
      <c r="U1740" s="13"/>
      <c r="V1740" s="19"/>
      <c r="W1740" s="269"/>
    </row>
    <row r="1741" spans="1:23">
      <c r="A1741" s="136"/>
      <c r="B1741" s="136"/>
      <c r="C1741" s="13"/>
      <c r="D1741" s="13"/>
      <c r="E1741" s="13"/>
      <c r="F1741" s="19"/>
      <c r="G1741" s="13"/>
      <c r="H1741" s="13"/>
      <c r="I1741" s="19"/>
      <c r="J1741" s="13"/>
      <c r="K1741" s="13"/>
      <c r="L1741" s="13"/>
      <c r="M1741" s="13"/>
      <c r="N1741" s="13"/>
      <c r="O1741" s="13"/>
      <c r="P1741" s="13"/>
      <c r="Q1741" s="13"/>
      <c r="R1741" s="13"/>
      <c r="S1741" s="13"/>
      <c r="T1741" s="13"/>
      <c r="U1741" s="13"/>
      <c r="V1741" s="19"/>
      <c r="W1741" s="269"/>
    </row>
    <row r="1742" spans="1:23">
      <c r="A1742" s="136"/>
      <c r="B1742" s="136"/>
      <c r="C1742" s="13"/>
      <c r="D1742" s="13"/>
      <c r="E1742" s="13"/>
      <c r="F1742" s="19"/>
      <c r="G1742" s="13"/>
      <c r="H1742" s="13"/>
      <c r="I1742" s="19"/>
      <c r="J1742" s="13"/>
      <c r="K1742" s="13"/>
      <c r="L1742" s="13"/>
      <c r="M1742" s="13"/>
      <c r="N1742" s="13"/>
      <c r="O1742" s="13"/>
      <c r="P1742" s="13"/>
      <c r="Q1742" s="13"/>
      <c r="R1742" s="13"/>
      <c r="S1742" s="13"/>
      <c r="T1742" s="13"/>
      <c r="U1742" s="13"/>
      <c r="V1742" s="19"/>
      <c r="W1742" s="269"/>
    </row>
    <row r="1743" spans="1:23">
      <c r="A1743" s="136"/>
      <c r="B1743" s="136"/>
      <c r="C1743" s="13"/>
      <c r="D1743" s="13"/>
      <c r="E1743" s="13"/>
      <c r="F1743" s="19"/>
      <c r="G1743" s="13"/>
      <c r="H1743" s="13"/>
      <c r="I1743" s="19"/>
      <c r="J1743" s="13"/>
      <c r="K1743" s="13"/>
      <c r="L1743" s="13"/>
      <c r="M1743" s="13"/>
      <c r="N1743" s="13"/>
      <c r="O1743" s="13"/>
      <c r="P1743" s="13"/>
      <c r="Q1743" s="13"/>
      <c r="R1743" s="13"/>
      <c r="S1743" s="13"/>
      <c r="T1743" s="13"/>
      <c r="U1743" s="13"/>
      <c r="V1743" s="19"/>
      <c r="W1743" s="269"/>
    </row>
    <row r="1744" spans="1:23">
      <c r="A1744" s="136"/>
      <c r="B1744" s="136"/>
      <c r="C1744" s="13"/>
      <c r="D1744" s="13"/>
      <c r="E1744" s="13"/>
      <c r="F1744" s="19"/>
      <c r="G1744" s="13"/>
      <c r="H1744" s="13"/>
      <c r="I1744" s="19"/>
      <c r="J1744" s="13"/>
      <c r="K1744" s="13"/>
      <c r="L1744" s="13"/>
      <c r="M1744" s="13"/>
      <c r="N1744" s="13"/>
      <c r="O1744" s="13"/>
      <c r="P1744" s="13"/>
      <c r="Q1744" s="13"/>
      <c r="R1744" s="13"/>
      <c r="S1744" s="13"/>
      <c r="T1744" s="13"/>
      <c r="U1744" s="13"/>
      <c r="V1744" s="19"/>
      <c r="W1744" s="269"/>
    </row>
    <row r="1745" spans="1:23">
      <c r="A1745" s="136"/>
      <c r="B1745" s="136"/>
      <c r="C1745" s="13"/>
      <c r="D1745" s="13"/>
      <c r="E1745" s="13"/>
      <c r="F1745" s="19"/>
      <c r="G1745" s="13"/>
      <c r="H1745" s="13"/>
      <c r="I1745" s="19"/>
      <c r="J1745" s="13"/>
      <c r="K1745" s="13"/>
      <c r="L1745" s="13"/>
      <c r="M1745" s="13"/>
      <c r="N1745" s="13"/>
      <c r="O1745" s="13"/>
      <c r="P1745" s="13"/>
      <c r="Q1745" s="13"/>
      <c r="R1745" s="13"/>
      <c r="S1745" s="13"/>
      <c r="T1745" s="13"/>
      <c r="U1745" s="13"/>
      <c r="V1745" s="19"/>
      <c r="W1745" s="269"/>
    </row>
    <row r="1746" spans="1:23">
      <c r="A1746" s="136"/>
      <c r="B1746" s="136"/>
      <c r="C1746" s="13"/>
      <c r="D1746" s="13"/>
      <c r="E1746" s="13"/>
      <c r="F1746" s="19"/>
      <c r="G1746" s="13"/>
      <c r="H1746" s="13"/>
      <c r="I1746" s="19"/>
      <c r="J1746" s="13"/>
      <c r="K1746" s="13"/>
      <c r="L1746" s="13"/>
      <c r="M1746" s="13"/>
      <c r="N1746" s="13"/>
      <c r="O1746" s="13"/>
      <c r="P1746" s="13"/>
      <c r="Q1746" s="13"/>
      <c r="R1746" s="13"/>
      <c r="S1746" s="13"/>
      <c r="T1746" s="13"/>
      <c r="U1746" s="13"/>
      <c r="V1746" s="19"/>
      <c r="W1746" s="269"/>
    </row>
    <row r="1747" spans="1:23">
      <c r="A1747" s="136"/>
      <c r="B1747" s="136"/>
      <c r="C1747" s="13"/>
      <c r="D1747" s="13"/>
      <c r="E1747" s="13"/>
      <c r="F1747" s="19"/>
      <c r="G1747" s="13"/>
      <c r="H1747" s="13"/>
      <c r="I1747" s="19"/>
      <c r="J1747" s="13"/>
      <c r="K1747" s="13"/>
      <c r="L1747" s="13"/>
      <c r="M1747" s="13"/>
      <c r="N1747" s="13"/>
      <c r="O1747" s="13"/>
      <c r="P1747" s="13"/>
      <c r="Q1747" s="13"/>
      <c r="R1747" s="13"/>
      <c r="S1747" s="13"/>
      <c r="T1747" s="13"/>
      <c r="U1747" s="13"/>
      <c r="V1747" s="19"/>
      <c r="W1747" s="269"/>
    </row>
    <row r="1748" spans="1:23">
      <c r="A1748" s="136"/>
      <c r="B1748" s="136"/>
      <c r="C1748" s="13"/>
      <c r="D1748" s="13"/>
      <c r="E1748" s="13"/>
      <c r="F1748" s="19"/>
      <c r="G1748" s="13"/>
      <c r="H1748" s="13"/>
      <c r="I1748" s="19"/>
      <c r="J1748" s="13"/>
      <c r="K1748" s="13"/>
      <c r="L1748" s="13"/>
      <c r="M1748" s="13"/>
      <c r="N1748" s="13"/>
      <c r="O1748" s="13"/>
      <c r="P1748" s="13"/>
      <c r="Q1748" s="13"/>
      <c r="R1748" s="13"/>
      <c r="S1748" s="13"/>
      <c r="T1748" s="13"/>
      <c r="U1748" s="13"/>
      <c r="V1748" s="19"/>
      <c r="W1748" s="269"/>
    </row>
    <row r="1749" spans="1:23">
      <c r="A1749" s="136"/>
      <c r="B1749" s="136"/>
      <c r="C1749" s="13"/>
      <c r="D1749" s="13"/>
      <c r="E1749" s="13"/>
      <c r="F1749" s="19"/>
      <c r="G1749" s="13"/>
      <c r="H1749" s="13"/>
      <c r="I1749" s="19"/>
      <c r="J1749" s="13"/>
      <c r="K1749" s="13"/>
      <c r="L1749" s="13"/>
      <c r="M1749" s="13"/>
      <c r="N1749" s="13"/>
      <c r="O1749" s="13"/>
      <c r="P1749" s="13"/>
      <c r="Q1749" s="13"/>
      <c r="R1749" s="13"/>
      <c r="S1749" s="13"/>
      <c r="T1749" s="13"/>
      <c r="U1749" s="13"/>
      <c r="V1749" s="19"/>
      <c r="W1749" s="269"/>
    </row>
    <row r="1750" spans="1:23">
      <c r="A1750" s="136"/>
      <c r="B1750" s="136"/>
      <c r="C1750" s="13"/>
      <c r="D1750" s="13"/>
      <c r="E1750" s="13"/>
      <c r="F1750" s="19"/>
      <c r="G1750" s="13"/>
      <c r="H1750" s="13"/>
      <c r="I1750" s="19"/>
      <c r="J1750" s="13"/>
      <c r="K1750" s="13"/>
      <c r="L1750" s="13"/>
      <c r="M1750" s="13"/>
      <c r="N1750" s="13"/>
      <c r="O1750" s="13"/>
      <c r="P1750" s="13"/>
      <c r="Q1750" s="13"/>
      <c r="R1750" s="13"/>
      <c r="S1750" s="13"/>
      <c r="T1750" s="13"/>
      <c r="U1750" s="13"/>
      <c r="V1750" s="19"/>
      <c r="W1750" s="269"/>
    </row>
    <row r="1751" spans="1:23">
      <c r="A1751" s="136"/>
      <c r="B1751" s="136"/>
      <c r="C1751" s="13"/>
      <c r="D1751" s="13"/>
      <c r="E1751" s="13"/>
      <c r="F1751" s="19"/>
      <c r="G1751" s="13"/>
      <c r="H1751" s="13"/>
      <c r="I1751" s="19"/>
      <c r="J1751" s="13"/>
      <c r="K1751" s="13"/>
      <c r="L1751" s="13"/>
      <c r="M1751" s="13"/>
      <c r="N1751" s="13"/>
      <c r="O1751" s="13"/>
      <c r="P1751" s="13"/>
      <c r="Q1751" s="13"/>
      <c r="R1751" s="13"/>
      <c r="S1751" s="13"/>
      <c r="T1751" s="13"/>
      <c r="U1751" s="13"/>
      <c r="V1751" s="19"/>
      <c r="W1751" s="269"/>
    </row>
    <row r="1752" spans="1:23">
      <c r="A1752" s="136"/>
      <c r="B1752" s="136"/>
      <c r="C1752" s="13"/>
      <c r="D1752" s="13"/>
      <c r="E1752" s="13"/>
      <c r="F1752" s="19"/>
      <c r="G1752" s="13"/>
      <c r="H1752" s="13"/>
      <c r="I1752" s="19"/>
      <c r="J1752" s="13"/>
      <c r="K1752" s="13"/>
      <c r="L1752" s="13"/>
      <c r="M1752" s="13"/>
      <c r="N1752" s="13"/>
      <c r="O1752" s="13"/>
      <c r="P1752" s="13"/>
      <c r="Q1752" s="13"/>
      <c r="R1752" s="13"/>
      <c r="S1752" s="13"/>
      <c r="T1752" s="13"/>
      <c r="U1752" s="13"/>
      <c r="V1752" s="19"/>
      <c r="W1752" s="269"/>
    </row>
    <row r="1753" spans="1:23">
      <c r="A1753" s="136"/>
      <c r="B1753" s="136"/>
      <c r="C1753" s="13"/>
      <c r="D1753" s="13"/>
      <c r="E1753" s="13"/>
      <c r="F1753" s="19"/>
      <c r="G1753" s="13"/>
      <c r="H1753" s="13"/>
      <c r="I1753" s="19"/>
      <c r="J1753" s="13"/>
      <c r="K1753" s="13"/>
      <c r="L1753" s="13"/>
      <c r="M1753" s="13"/>
      <c r="N1753" s="13"/>
      <c r="O1753" s="13"/>
      <c r="P1753" s="13"/>
      <c r="Q1753" s="13"/>
      <c r="R1753" s="13"/>
      <c r="S1753" s="13"/>
      <c r="T1753" s="13"/>
      <c r="U1753" s="13"/>
      <c r="V1753" s="19"/>
      <c r="W1753" s="269"/>
    </row>
    <row r="1754" spans="1:23">
      <c r="A1754" s="136"/>
      <c r="B1754" s="136"/>
      <c r="C1754" s="13"/>
      <c r="D1754" s="13"/>
      <c r="E1754" s="13"/>
      <c r="F1754" s="19"/>
      <c r="G1754" s="13"/>
      <c r="H1754" s="13"/>
      <c r="I1754" s="19"/>
      <c r="J1754" s="13"/>
      <c r="K1754" s="13"/>
      <c r="L1754" s="13"/>
      <c r="M1754" s="13"/>
      <c r="N1754" s="13"/>
      <c r="O1754" s="13"/>
      <c r="P1754" s="13"/>
      <c r="Q1754" s="13"/>
      <c r="R1754" s="13"/>
      <c r="S1754" s="13"/>
      <c r="T1754" s="13"/>
      <c r="U1754" s="13"/>
      <c r="V1754" s="19"/>
      <c r="W1754" s="269"/>
    </row>
    <row r="1755" spans="1:23">
      <c r="A1755" s="136"/>
      <c r="B1755" s="136"/>
      <c r="C1755" s="13"/>
      <c r="D1755" s="13"/>
      <c r="E1755" s="13"/>
      <c r="F1755" s="19"/>
      <c r="G1755" s="13"/>
      <c r="H1755" s="13"/>
      <c r="I1755" s="19"/>
      <c r="J1755" s="13"/>
      <c r="K1755" s="13"/>
      <c r="L1755" s="13"/>
      <c r="M1755" s="13"/>
      <c r="N1755" s="13"/>
      <c r="O1755" s="13"/>
      <c r="P1755" s="13"/>
      <c r="Q1755" s="13"/>
      <c r="R1755" s="13"/>
      <c r="S1755" s="13"/>
      <c r="T1755" s="13"/>
      <c r="U1755" s="13"/>
      <c r="V1755" s="19"/>
      <c r="W1755" s="269"/>
    </row>
    <row r="1756" spans="1:23">
      <c r="A1756" s="136"/>
      <c r="B1756" s="136"/>
      <c r="C1756" s="13"/>
      <c r="D1756" s="13"/>
      <c r="E1756" s="13"/>
      <c r="F1756" s="19"/>
      <c r="G1756" s="13"/>
      <c r="H1756" s="13"/>
      <c r="I1756" s="19"/>
      <c r="J1756" s="13"/>
      <c r="K1756" s="13"/>
      <c r="L1756" s="13"/>
      <c r="M1756" s="13"/>
      <c r="N1756" s="13"/>
      <c r="O1756" s="13"/>
      <c r="P1756" s="13"/>
      <c r="Q1756" s="13"/>
      <c r="R1756" s="13"/>
      <c r="S1756" s="13"/>
      <c r="T1756" s="13"/>
      <c r="U1756" s="13"/>
      <c r="V1756" s="19"/>
      <c r="W1756" s="269"/>
    </row>
    <row r="1757" spans="1:23">
      <c r="A1757" s="136"/>
      <c r="B1757" s="136"/>
      <c r="C1757" s="13"/>
      <c r="D1757" s="13"/>
      <c r="E1757" s="13"/>
      <c r="F1757" s="19"/>
      <c r="G1757" s="13"/>
      <c r="H1757" s="13"/>
      <c r="I1757" s="19"/>
      <c r="J1757" s="13"/>
      <c r="K1757" s="13"/>
      <c r="L1757" s="13"/>
      <c r="M1757" s="13"/>
      <c r="N1757" s="13"/>
      <c r="O1757" s="13"/>
      <c r="P1757" s="13"/>
      <c r="Q1757" s="13"/>
      <c r="R1757" s="13"/>
      <c r="S1757" s="13"/>
      <c r="T1757" s="13"/>
      <c r="U1757" s="13"/>
      <c r="V1757" s="19"/>
      <c r="W1757" s="269"/>
    </row>
    <row r="1758" spans="1:23">
      <c r="A1758" s="136"/>
      <c r="B1758" s="136"/>
      <c r="C1758" s="13"/>
      <c r="D1758" s="13"/>
      <c r="E1758" s="13"/>
      <c r="F1758" s="19"/>
      <c r="G1758" s="13"/>
      <c r="H1758" s="13"/>
      <c r="I1758" s="19"/>
      <c r="J1758" s="13"/>
      <c r="K1758" s="13"/>
      <c r="L1758" s="13"/>
      <c r="M1758" s="13"/>
      <c r="N1758" s="13"/>
      <c r="O1758" s="13"/>
      <c r="P1758" s="13"/>
      <c r="Q1758" s="13"/>
      <c r="R1758" s="13"/>
      <c r="S1758" s="13"/>
      <c r="T1758" s="13"/>
      <c r="U1758" s="13"/>
      <c r="V1758" s="19"/>
      <c r="W1758" s="269"/>
    </row>
    <row r="1759" spans="1:23">
      <c r="A1759" s="136"/>
      <c r="B1759" s="136"/>
      <c r="C1759" s="13"/>
      <c r="D1759" s="13"/>
      <c r="E1759" s="13"/>
      <c r="F1759" s="19"/>
      <c r="G1759" s="13"/>
      <c r="H1759" s="13"/>
      <c r="I1759" s="19"/>
      <c r="J1759" s="13"/>
      <c r="K1759" s="13"/>
      <c r="L1759" s="13"/>
      <c r="M1759" s="13"/>
      <c r="N1759" s="13"/>
      <c r="O1759" s="13"/>
      <c r="P1759" s="13"/>
      <c r="Q1759" s="13"/>
      <c r="R1759" s="13"/>
      <c r="S1759" s="13"/>
      <c r="T1759" s="13"/>
      <c r="U1759" s="13"/>
      <c r="V1759" s="19"/>
      <c r="W1759" s="269"/>
    </row>
  </sheetData>
  <mergeCells count="1">
    <mergeCell ref="B2:C2"/>
  </mergeCells>
  <conditionalFormatting sqref="U1572">
    <cfRule type="cellIs" dxfId="0" priority="1" operator="between">
      <formula>870</formula>
      <formula>880</formula>
    </cfRule>
  </conditionalFormatting>
  <hyperlinks>
    <hyperlink ref="Q1035" r:id="rId1" xr:uid="{00000000-0004-0000-0400-000000000000}"/>
    <hyperlink ref="Q1033" r:id="rId2" xr:uid="{00000000-0004-0000-0400-000001000000}"/>
    <hyperlink ref="Q1040" r:id="rId3" xr:uid="{00000000-0004-0000-0400-000002000000}"/>
    <hyperlink ref="Q1041" r:id="rId4" xr:uid="{00000000-0004-0000-0400-000003000000}"/>
    <hyperlink ref="Q1044" r:id="rId5" xr:uid="{00000000-0004-0000-0400-000004000000}"/>
    <hyperlink ref="Q1045" r:id="rId6" xr:uid="{00000000-0004-0000-0400-000005000000}"/>
    <hyperlink ref="Q1046" r:id="rId7" xr:uid="{00000000-0004-0000-0400-000006000000}"/>
    <hyperlink ref="Q1047" r:id="rId8" xr:uid="{00000000-0004-0000-0400-000007000000}"/>
    <hyperlink ref="Q1048" r:id="rId9" xr:uid="{00000000-0004-0000-0400-000008000000}"/>
    <hyperlink ref="Q1049" r:id="rId10" xr:uid="{00000000-0004-0000-0400-000009000000}"/>
    <hyperlink ref="Q1050" r:id="rId11" xr:uid="{00000000-0004-0000-0400-00000A000000}"/>
    <hyperlink ref="Q1036" r:id="rId12" xr:uid="{00000000-0004-0000-0400-00000B000000}"/>
    <hyperlink ref="Q1042" r:id="rId13" xr:uid="{00000000-0004-0000-0400-00000C000000}"/>
    <hyperlink ref="Q1043" r:id="rId14" xr:uid="{00000000-0004-0000-0400-00000D000000}"/>
    <hyperlink ref="Q1037" r:id="rId15" xr:uid="{00000000-0004-0000-0400-00000E000000}"/>
    <hyperlink ref="Q1038" r:id="rId16" xr:uid="{00000000-0004-0000-0400-00000F000000}"/>
    <hyperlink ref="Q1039" r:id="rId17" xr:uid="{00000000-0004-0000-0400-000010000000}"/>
    <hyperlink ref="Q1051" r:id="rId18" xr:uid="{00000000-0004-0000-0400-000011000000}"/>
    <hyperlink ref="Q1052" r:id="rId19" xr:uid="{00000000-0004-0000-0400-000012000000}"/>
    <hyperlink ref="Q1054" r:id="rId20" xr:uid="{00000000-0004-0000-0400-000013000000}"/>
    <hyperlink ref="Q1062" r:id="rId21" xr:uid="{00000000-0004-0000-0400-000014000000}"/>
    <hyperlink ref="Q1066" r:id="rId22" xr:uid="{00000000-0004-0000-0400-000015000000}"/>
    <hyperlink ref="Q1061" r:id="rId23" xr:uid="{00000000-0004-0000-0400-000016000000}"/>
    <hyperlink ref="Q1059" r:id="rId24" xr:uid="{00000000-0004-0000-0400-000017000000}"/>
    <hyperlink ref="Q1060" r:id="rId25" xr:uid="{00000000-0004-0000-0400-000018000000}"/>
    <hyperlink ref="Q1058" r:id="rId26" xr:uid="{00000000-0004-0000-0400-000019000000}"/>
    <hyperlink ref="Q1064" r:id="rId27" xr:uid="{00000000-0004-0000-0400-00001A000000}"/>
    <hyperlink ref="Q1065" r:id="rId28" xr:uid="{00000000-0004-0000-0400-00001B000000}"/>
    <hyperlink ref="Q1067" r:id="rId29" xr:uid="{00000000-0004-0000-0400-00001C000000}"/>
    <hyperlink ref="Q1068" r:id="rId30" xr:uid="{00000000-0004-0000-0400-00001D000000}"/>
    <hyperlink ref="Q1055" r:id="rId31" xr:uid="{00000000-0004-0000-0400-00001E000000}"/>
    <hyperlink ref="Q1063" r:id="rId32" xr:uid="{00000000-0004-0000-0400-00001F000000}"/>
    <hyperlink ref="Q1069" r:id="rId33" xr:uid="{00000000-0004-0000-0400-000020000000}"/>
    <hyperlink ref="Q1070" r:id="rId34" xr:uid="{00000000-0004-0000-0400-000021000000}"/>
    <hyperlink ref="Q1071" r:id="rId35" xr:uid="{00000000-0004-0000-0400-000022000000}"/>
    <hyperlink ref="Q1072" r:id="rId36" xr:uid="{00000000-0004-0000-0400-000023000000}"/>
    <hyperlink ref="Q1075" r:id="rId37" xr:uid="{00000000-0004-0000-0400-000024000000}"/>
    <hyperlink ref="Q1077" r:id="rId38" xr:uid="{00000000-0004-0000-0400-000025000000}"/>
    <hyperlink ref="Q1078" r:id="rId39" xr:uid="{00000000-0004-0000-0400-000026000000}"/>
    <hyperlink ref="Q1079" r:id="rId40" xr:uid="{00000000-0004-0000-0400-000027000000}"/>
    <hyperlink ref="Q1080" r:id="rId41" xr:uid="{00000000-0004-0000-0400-000028000000}"/>
    <hyperlink ref="Q1081" r:id="rId42" xr:uid="{00000000-0004-0000-0400-000029000000}"/>
    <hyperlink ref="Q1082" r:id="rId43" xr:uid="{00000000-0004-0000-0400-00002A000000}"/>
    <hyperlink ref="Q1073" r:id="rId44" xr:uid="{00000000-0004-0000-0400-00002B000000}"/>
    <hyperlink ref="Q1074" r:id="rId45" xr:uid="{00000000-0004-0000-0400-00002C000000}"/>
    <hyperlink ref="Q1076" r:id="rId46" xr:uid="{00000000-0004-0000-0400-00002D000000}"/>
    <hyperlink ref="Q1087" r:id="rId47" xr:uid="{00000000-0004-0000-0400-00002E000000}"/>
    <hyperlink ref="Q1089" r:id="rId48" xr:uid="{00000000-0004-0000-0400-00002F000000}"/>
    <hyperlink ref="Q1086" r:id="rId49" xr:uid="{00000000-0004-0000-0400-000030000000}"/>
    <hyperlink ref="Q1083" r:id="rId50" xr:uid="{00000000-0004-0000-0400-000031000000}"/>
    <hyperlink ref="Q1084" r:id="rId51" xr:uid="{00000000-0004-0000-0400-000032000000}"/>
    <hyperlink ref="Q1090" r:id="rId52" xr:uid="{00000000-0004-0000-0400-000033000000}"/>
    <hyperlink ref="Q1091" r:id="rId53" xr:uid="{00000000-0004-0000-0400-000034000000}"/>
    <hyperlink ref="Q1092" r:id="rId54" xr:uid="{00000000-0004-0000-0400-000035000000}"/>
    <hyperlink ref="Q1093" r:id="rId55" xr:uid="{00000000-0004-0000-0400-000036000000}"/>
    <hyperlink ref="Q1096" r:id="rId56" xr:uid="{00000000-0004-0000-0400-000037000000}"/>
    <hyperlink ref="Q1097" r:id="rId57" xr:uid="{00000000-0004-0000-0400-000038000000}"/>
    <hyperlink ref="Q1085" r:id="rId58" xr:uid="{00000000-0004-0000-0400-000039000000}"/>
    <hyperlink ref="Q1094" r:id="rId59" xr:uid="{00000000-0004-0000-0400-00003A000000}"/>
    <hyperlink ref="Q1095" r:id="rId60" xr:uid="{00000000-0004-0000-0400-00003B000000}"/>
    <hyperlink ref="Q1098" r:id="rId61" xr:uid="{00000000-0004-0000-0400-00003C000000}"/>
    <hyperlink ref="Q1100" r:id="rId62" xr:uid="{00000000-0004-0000-0400-00003D000000}"/>
    <hyperlink ref="Q1102" r:id="rId63" xr:uid="{00000000-0004-0000-0400-00003E000000}"/>
    <hyperlink ref="Q1103" r:id="rId64" xr:uid="{00000000-0004-0000-0400-00003F000000}"/>
    <hyperlink ref="Q1104" r:id="rId65" xr:uid="{00000000-0004-0000-0400-000040000000}"/>
    <hyperlink ref="Q1105" r:id="rId66" xr:uid="{00000000-0004-0000-0400-000041000000}"/>
    <hyperlink ref="Q1108" r:id="rId67" xr:uid="{00000000-0004-0000-0400-000042000000}"/>
    <hyperlink ref="Q1109" r:id="rId68" xr:uid="{00000000-0004-0000-0400-000043000000}"/>
    <hyperlink ref="Q1113" r:id="rId69" xr:uid="{00000000-0004-0000-0400-000044000000}"/>
    <hyperlink ref="Q1115" r:id="rId70" xr:uid="{00000000-0004-0000-0400-000045000000}"/>
    <hyperlink ref="Q1119" r:id="rId71" xr:uid="{00000000-0004-0000-0400-000046000000}"/>
    <hyperlink ref="Q1121" r:id="rId72" xr:uid="{00000000-0004-0000-0400-000047000000}"/>
    <hyperlink ref="Q1116" r:id="rId73" xr:uid="{00000000-0004-0000-0400-000048000000}"/>
    <hyperlink ref="Q1106" r:id="rId74" xr:uid="{00000000-0004-0000-0400-000049000000}"/>
    <hyperlink ref="Q1107" r:id="rId75" xr:uid="{00000000-0004-0000-0400-00004A000000}"/>
    <hyperlink ref="Q1118" r:id="rId76" xr:uid="{00000000-0004-0000-0400-00004B000000}"/>
    <hyperlink ref="Q1122" r:id="rId77" xr:uid="{00000000-0004-0000-0400-00004C000000}"/>
    <hyperlink ref="Q1101" r:id="rId78" xr:uid="{00000000-0004-0000-0400-00004D000000}"/>
    <hyperlink ref="Q1110" r:id="rId79" xr:uid="{00000000-0004-0000-0400-00004E000000}"/>
    <hyperlink ref="Q1112" r:id="rId80" xr:uid="{00000000-0004-0000-0400-00004F000000}"/>
    <hyperlink ref="Q1123" r:id="rId81" xr:uid="{00000000-0004-0000-0400-000050000000}"/>
    <hyperlink ref="Q1124" r:id="rId82" xr:uid="{00000000-0004-0000-0400-000051000000}"/>
    <hyperlink ref="Q1125" r:id="rId83" xr:uid="{00000000-0004-0000-0400-000052000000}"/>
    <hyperlink ref="Q1126" r:id="rId84" xr:uid="{00000000-0004-0000-0400-000053000000}"/>
    <hyperlink ref="Q1127" r:id="rId85" xr:uid="{00000000-0004-0000-0400-000054000000}"/>
    <hyperlink ref="Q1128" r:id="rId86" xr:uid="{00000000-0004-0000-0400-000055000000}"/>
    <hyperlink ref="Q1129" r:id="rId87" xr:uid="{00000000-0004-0000-0400-000056000000}"/>
    <hyperlink ref="Q1130" r:id="rId88" xr:uid="{00000000-0004-0000-0400-000057000000}"/>
    <hyperlink ref="Q1131" r:id="rId89" xr:uid="{00000000-0004-0000-0400-000058000000}"/>
    <hyperlink ref="Q1133" r:id="rId90" xr:uid="{00000000-0004-0000-0400-000059000000}"/>
    <hyperlink ref="Q1134" r:id="rId91" xr:uid="{00000000-0004-0000-0400-00005A000000}"/>
    <hyperlink ref="Q1132" r:id="rId92" xr:uid="{00000000-0004-0000-0400-00005B000000}"/>
    <hyperlink ref="Q1135" r:id="rId93" xr:uid="{00000000-0004-0000-0400-00005C000000}"/>
    <hyperlink ref="Q1136" r:id="rId94" xr:uid="{00000000-0004-0000-0400-00005D000000}"/>
    <hyperlink ref="Q1137" r:id="rId95" xr:uid="{00000000-0004-0000-0400-00005E000000}"/>
    <hyperlink ref="Q1138" r:id="rId96" xr:uid="{00000000-0004-0000-0400-00005F000000}"/>
    <hyperlink ref="Q1139" r:id="rId97" xr:uid="{00000000-0004-0000-0400-000060000000}"/>
    <hyperlink ref="Q1143" r:id="rId98" xr:uid="{00000000-0004-0000-0400-000061000000}"/>
    <hyperlink ref="Q1144" r:id="rId99" xr:uid="{00000000-0004-0000-0400-000062000000}"/>
    <hyperlink ref="Q1149" r:id="rId100" xr:uid="{00000000-0004-0000-0400-000063000000}"/>
    <hyperlink ref="Q1148" r:id="rId101" xr:uid="{00000000-0004-0000-0400-000064000000}"/>
    <hyperlink ref="Q1151" r:id="rId102" xr:uid="{00000000-0004-0000-0400-000065000000}"/>
    <hyperlink ref="Q1152" r:id="rId103" xr:uid="{00000000-0004-0000-0400-000066000000}"/>
    <hyperlink ref="Q1153" r:id="rId104" xr:uid="{00000000-0004-0000-0400-000067000000}"/>
    <hyperlink ref="Q1146" r:id="rId105" xr:uid="{00000000-0004-0000-0400-000068000000}"/>
    <hyperlink ref="Q1147" r:id="rId106" xr:uid="{00000000-0004-0000-0400-000069000000}"/>
    <hyperlink ref="Q1150" r:id="rId107" xr:uid="{00000000-0004-0000-0400-00006A000000}"/>
    <hyperlink ref="Q1154" r:id="rId108" xr:uid="{00000000-0004-0000-0400-00006B000000}"/>
    <hyperlink ref="Q1156" r:id="rId109" xr:uid="{00000000-0004-0000-0400-00006C000000}"/>
    <hyperlink ref="Q1157" r:id="rId110" xr:uid="{00000000-0004-0000-0400-00006D000000}"/>
    <hyperlink ref="Q1158" r:id="rId111" xr:uid="{00000000-0004-0000-0400-00006E000000}"/>
    <hyperlink ref="Q1160" r:id="rId112" xr:uid="{00000000-0004-0000-0400-00006F000000}"/>
    <hyperlink ref="Q1161" r:id="rId113" xr:uid="{00000000-0004-0000-0400-000070000000}"/>
    <hyperlink ref="Q1162" r:id="rId114" xr:uid="{00000000-0004-0000-0400-000071000000}"/>
    <hyperlink ref="Q1164" r:id="rId115" xr:uid="{00000000-0004-0000-0400-000072000000}"/>
    <hyperlink ref="Q1165" r:id="rId116" xr:uid="{00000000-0004-0000-0400-000073000000}"/>
    <hyperlink ref="Q1166" r:id="rId117" xr:uid="{00000000-0004-0000-0400-000074000000}"/>
    <hyperlink ref="Q1167" r:id="rId118" xr:uid="{00000000-0004-0000-0400-000075000000}"/>
    <hyperlink ref="Q1169" r:id="rId119" xr:uid="{00000000-0004-0000-0400-000076000000}"/>
    <hyperlink ref="Q1170" r:id="rId120" xr:uid="{00000000-0004-0000-0400-000077000000}"/>
    <hyperlink ref="Q1171" r:id="rId121" xr:uid="{00000000-0004-0000-0400-000078000000}"/>
    <hyperlink ref="Q1174" r:id="rId122" xr:uid="{00000000-0004-0000-0400-000079000000}"/>
    <hyperlink ref="Q1175" r:id="rId123" xr:uid="{00000000-0004-0000-0400-00007A000000}"/>
    <hyperlink ref="Q1177" r:id="rId124" xr:uid="{00000000-0004-0000-0400-00007B000000}"/>
    <hyperlink ref="Q1178" r:id="rId125" xr:uid="{00000000-0004-0000-0400-00007C000000}"/>
    <hyperlink ref="Q1180" r:id="rId126" xr:uid="{00000000-0004-0000-0400-00007D000000}"/>
    <hyperlink ref="Q1181" r:id="rId127" xr:uid="{00000000-0004-0000-0400-00007E000000}"/>
    <hyperlink ref="Q1179" r:id="rId128" xr:uid="{00000000-0004-0000-0400-00007F000000}"/>
    <hyperlink ref="Q1173" r:id="rId129" xr:uid="{00000000-0004-0000-0400-000080000000}"/>
    <hyperlink ref="Q1182" r:id="rId130" xr:uid="{00000000-0004-0000-0400-000081000000}"/>
    <hyperlink ref="Q1183" r:id="rId131" xr:uid="{00000000-0004-0000-0400-000082000000}"/>
    <hyperlink ref="Q1184" r:id="rId132" xr:uid="{00000000-0004-0000-0400-000083000000}"/>
    <hyperlink ref="Q1185" r:id="rId133" xr:uid="{00000000-0004-0000-0400-000084000000}"/>
    <hyperlink ref="Q1186" r:id="rId134" xr:uid="{00000000-0004-0000-0400-000085000000}"/>
    <hyperlink ref="Q1187" r:id="rId135" xr:uid="{00000000-0004-0000-0400-000086000000}"/>
    <hyperlink ref="Q1189" r:id="rId136" xr:uid="{00000000-0004-0000-0400-000087000000}"/>
    <hyperlink ref="Q1190" r:id="rId137" xr:uid="{00000000-0004-0000-0400-000088000000}"/>
    <hyperlink ref="Q1192" r:id="rId138" xr:uid="{00000000-0004-0000-0400-000089000000}"/>
    <hyperlink ref="Q1193" r:id="rId139" xr:uid="{00000000-0004-0000-0400-00008A000000}"/>
    <hyperlink ref="Q1194" r:id="rId140" xr:uid="{00000000-0004-0000-0400-00008B000000}"/>
    <hyperlink ref="Q1195" r:id="rId141" xr:uid="{00000000-0004-0000-0400-00008C000000}"/>
    <hyperlink ref="Q1196" r:id="rId142" xr:uid="{00000000-0004-0000-0400-00008D000000}"/>
    <hyperlink ref="Q1197" r:id="rId143" xr:uid="{00000000-0004-0000-0400-00008E000000}"/>
    <hyperlink ref="Q1198" r:id="rId144" xr:uid="{00000000-0004-0000-0400-00008F000000}"/>
    <hyperlink ref="Q1199" r:id="rId145" xr:uid="{00000000-0004-0000-0400-000090000000}"/>
    <hyperlink ref="Q1200" r:id="rId146" xr:uid="{00000000-0004-0000-0400-000091000000}"/>
    <hyperlink ref="Q1201" r:id="rId147" xr:uid="{00000000-0004-0000-0400-000092000000}"/>
    <hyperlink ref="Q1202" r:id="rId148" xr:uid="{00000000-0004-0000-0400-000093000000}"/>
    <hyperlink ref="Q1203" r:id="rId149" xr:uid="{00000000-0004-0000-0400-000094000000}"/>
    <hyperlink ref="Q1204" r:id="rId150" xr:uid="{00000000-0004-0000-0400-000095000000}"/>
    <hyperlink ref="Q1163" r:id="rId151" xr:uid="{00000000-0004-0000-0400-000096000000}"/>
    <hyperlink ref="Q1205" r:id="rId152" xr:uid="{00000000-0004-0000-0400-000097000000}"/>
    <hyperlink ref="Q1206" r:id="rId153" xr:uid="{00000000-0004-0000-0400-000098000000}"/>
    <hyperlink ref="Q1207" r:id="rId154" xr:uid="{00000000-0004-0000-0400-000099000000}"/>
    <hyperlink ref="Q1208" r:id="rId155" xr:uid="{00000000-0004-0000-0400-00009A000000}"/>
    <hyperlink ref="Q1209" r:id="rId156" xr:uid="{00000000-0004-0000-0400-00009B000000}"/>
    <hyperlink ref="Q1210" r:id="rId157" xr:uid="{00000000-0004-0000-0400-00009C000000}"/>
    <hyperlink ref="Q1211" r:id="rId158" xr:uid="{00000000-0004-0000-0400-00009D000000}"/>
    <hyperlink ref="Q1212" r:id="rId159" xr:uid="{00000000-0004-0000-0400-00009E000000}"/>
    <hyperlink ref="Q1213" r:id="rId160" xr:uid="{00000000-0004-0000-0400-00009F000000}"/>
    <hyperlink ref="Q1214" r:id="rId161" xr:uid="{00000000-0004-0000-0400-0000A0000000}"/>
    <hyperlink ref="Q1215" r:id="rId162" xr:uid="{00000000-0004-0000-0400-0000A1000000}"/>
    <hyperlink ref="Q1216" r:id="rId163" xr:uid="{00000000-0004-0000-0400-0000A2000000}"/>
    <hyperlink ref="Q1217" r:id="rId164" xr:uid="{00000000-0004-0000-0400-0000A3000000}"/>
    <hyperlink ref="Q1218" r:id="rId165" xr:uid="{00000000-0004-0000-0400-0000A4000000}"/>
    <hyperlink ref="Q1219" r:id="rId166" xr:uid="{00000000-0004-0000-0400-0000A5000000}"/>
    <hyperlink ref="Q1220" r:id="rId167" xr:uid="{00000000-0004-0000-0400-0000A6000000}"/>
    <hyperlink ref="Q1221" r:id="rId168" xr:uid="{00000000-0004-0000-0400-0000A7000000}"/>
    <hyperlink ref="Q1222" r:id="rId169" xr:uid="{00000000-0004-0000-0400-0000A8000000}"/>
    <hyperlink ref="Q1223" r:id="rId170" xr:uid="{00000000-0004-0000-0400-0000A9000000}"/>
    <hyperlink ref="Q1224" r:id="rId171" xr:uid="{00000000-0004-0000-0400-0000AA000000}"/>
    <hyperlink ref="Q1225" r:id="rId172" xr:uid="{00000000-0004-0000-0400-0000AB000000}"/>
    <hyperlink ref="Q1226" r:id="rId173" xr:uid="{00000000-0004-0000-0400-0000AC000000}"/>
    <hyperlink ref="Q1227" r:id="rId174" xr:uid="{00000000-0004-0000-0400-0000AD000000}"/>
    <hyperlink ref="Q1228" r:id="rId175" xr:uid="{00000000-0004-0000-0400-0000AE000000}"/>
    <hyperlink ref="Q1229" r:id="rId176" xr:uid="{00000000-0004-0000-0400-0000AF000000}"/>
    <hyperlink ref="Q1230" r:id="rId177" xr:uid="{00000000-0004-0000-0400-0000B0000000}"/>
    <hyperlink ref="Q1231" r:id="rId178" xr:uid="{00000000-0004-0000-0400-0000B1000000}"/>
    <hyperlink ref="Q1232" r:id="rId179" xr:uid="{00000000-0004-0000-0400-0000B2000000}"/>
    <hyperlink ref="Q1233" r:id="rId180" xr:uid="{00000000-0004-0000-0400-0000B3000000}"/>
    <hyperlink ref="Q1234" r:id="rId181" xr:uid="{00000000-0004-0000-0400-0000B4000000}"/>
    <hyperlink ref="Q1235" r:id="rId182" xr:uid="{00000000-0004-0000-0400-0000B5000000}"/>
    <hyperlink ref="Q1236" r:id="rId183" xr:uid="{00000000-0004-0000-0400-0000B6000000}"/>
    <hyperlink ref="Q1237" r:id="rId184" xr:uid="{00000000-0004-0000-0400-0000B7000000}"/>
    <hyperlink ref="Q1238" r:id="rId185" xr:uid="{00000000-0004-0000-0400-0000B8000000}"/>
    <hyperlink ref="Q1239" r:id="rId186" xr:uid="{00000000-0004-0000-0400-0000B9000000}"/>
    <hyperlink ref="Q1240" r:id="rId187" xr:uid="{00000000-0004-0000-0400-0000BA000000}"/>
    <hyperlink ref="Q1241" r:id="rId188" xr:uid="{00000000-0004-0000-0400-0000BB000000}"/>
    <hyperlink ref="Q1243" r:id="rId189" xr:uid="{00000000-0004-0000-0400-0000BC000000}"/>
    <hyperlink ref="Q1244" r:id="rId190" xr:uid="{00000000-0004-0000-0400-0000BD000000}"/>
    <hyperlink ref="Q1245" r:id="rId191" xr:uid="{00000000-0004-0000-0400-0000BE000000}"/>
    <hyperlink ref="Q1247" r:id="rId192" xr:uid="{00000000-0004-0000-0400-0000BF000000}"/>
    <hyperlink ref="Q1248" r:id="rId193" xr:uid="{00000000-0004-0000-0400-0000C0000000}"/>
    <hyperlink ref="Q1249" r:id="rId194" xr:uid="{00000000-0004-0000-0400-0000C1000000}"/>
    <hyperlink ref="Q1250" r:id="rId195" xr:uid="{00000000-0004-0000-0400-0000C2000000}"/>
    <hyperlink ref="Q1251" r:id="rId196" xr:uid="{00000000-0004-0000-0400-0000C3000000}"/>
    <hyperlink ref="Q1252" r:id="rId197" xr:uid="{00000000-0004-0000-0400-0000C4000000}"/>
    <hyperlink ref="Q1253" r:id="rId198" xr:uid="{00000000-0004-0000-0400-0000C5000000}"/>
    <hyperlink ref="Q1254" r:id="rId199" xr:uid="{00000000-0004-0000-0400-0000C6000000}"/>
    <hyperlink ref="Q1255" r:id="rId200" xr:uid="{00000000-0004-0000-0400-0000C7000000}"/>
    <hyperlink ref="Q1256" r:id="rId201" xr:uid="{00000000-0004-0000-0400-0000C8000000}"/>
    <hyperlink ref="Q1257" r:id="rId202" xr:uid="{00000000-0004-0000-0400-0000C9000000}"/>
    <hyperlink ref="Q1258" r:id="rId203" xr:uid="{00000000-0004-0000-0400-0000CA000000}"/>
    <hyperlink ref="Q1259" r:id="rId204" xr:uid="{00000000-0004-0000-0400-0000CB000000}"/>
    <hyperlink ref="Q1260" r:id="rId205" xr:uid="{00000000-0004-0000-0400-0000CC000000}"/>
    <hyperlink ref="Q1261" r:id="rId206" xr:uid="{00000000-0004-0000-0400-0000CD000000}"/>
    <hyperlink ref="Q1262" r:id="rId207" xr:uid="{00000000-0004-0000-0400-0000CE000000}"/>
    <hyperlink ref="Q1263" r:id="rId208" xr:uid="{00000000-0004-0000-0400-0000CF000000}"/>
    <hyperlink ref="Q1264" r:id="rId209" xr:uid="{00000000-0004-0000-0400-0000D0000000}"/>
    <hyperlink ref="Q1265" r:id="rId210" xr:uid="{00000000-0004-0000-0400-0000D1000000}"/>
    <hyperlink ref="Q1266" r:id="rId211" xr:uid="{00000000-0004-0000-0400-0000D2000000}"/>
    <hyperlink ref="Q1267" r:id="rId212" xr:uid="{00000000-0004-0000-0400-0000D3000000}"/>
    <hyperlink ref="Q1268" r:id="rId213" xr:uid="{00000000-0004-0000-0400-0000D4000000}"/>
    <hyperlink ref="Q1269" r:id="rId214" xr:uid="{00000000-0004-0000-0400-0000D5000000}"/>
    <hyperlink ref="Q1270" r:id="rId215" xr:uid="{00000000-0004-0000-0400-0000D6000000}"/>
    <hyperlink ref="Q1271" r:id="rId216" xr:uid="{00000000-0004-0000-0400-0000D7000000}"/>
    <hyperlink ref="Q1272" r:id="rId217" xr:uid="{00000000-0004-0000-0400-0000D8000000}"/>
    <hyperlink ref="Q1273" r:id="rId218" xr:uid="{00000000-0004-0000-0400-0000D9000000}"/>
    <hyperlink ref="Q1276" r:id="rId219" xr:uid="{00000000-0004-0000-0400-0000DA000000}"/>
    <hyperlink ref="Q1277" r:id="rId220" xr:uid="{00000000-0004-0000-0400-0000DB000000}"/>
    <hyperlink ref="Q1278" r:id="rId221" xr:uid="{00000000-0004-0000-0400-0000DC000000}"/>
    <hyperlink ref="Q1279" r:id="rId222" xr:uid="{00000000-0004-0000-0400-0000DD000000}"/>
    <hyperlink ref="Q1280" r:id="rId223" xr:uid="{00000000-0004-0000-0400-0000DE000000}"/>
    <hyperlink ref="Q1281" r:id="rId224" xr:uid="{00000000-0004-0000-0400-0000DF000000}"/>
    <hyperlink ref="Q1275" r:id="rId225" xr:uid="{00000000-0004-0000-0400-0000E0000000}"/>
    <hyperlink ref="Q1282" r:id="rId226" xr:uid="{00000000-0004-0000-0400-0000E1000000}"/>
    <hyperlink ref="Q1283" r:id="rId227" xr:uid="{00000000-0004-0000-0400-0000E2000000}"/>
    <hyperlink ref="Q1286" r:id="rId228" xr:uid="{00000000-0004-0000-0400-0000E3000000}"/>
    <hyperlink ref="Q1287" r:id="rId229" xr:uid="{00000000-0004-0000-0400-0000E4000000}"/>
    <hyperlink ref="Q1288" r:id="rId230" xr:uid="{00000000-0004-0000-0400-0000E5000000}"/>
    <hyperlink ref="Q1289" r:id="rId231" xr:uid="{00000000-0004-0000-0400-0000E6000000}"/>
    <hyperlink ref="Q1290" r:id="rId232" xr:uid="{00000000-0004-0000-0400-0000E7000000}"/>
    <hyperlink ref="Q1284" r:id="rId233" xr:uid="{00000000-0004-0000-0400-0000E8000000}"/>
    <hyperlink ref="Q1291" r:id="rId234" xr:uid="{00000000-0004-0000-0400-0000E9000000}"/>
    <hyperlink ref="Q1292" r:id="rId235" xr:uid="{00000000-0004-0000-0400-0000EA000000}"/>
    <hyperlink ref="Q1293" r:id="rId236" xr:uid="{00000000-0004-0000-0400-0000EB000000}"/>
    <hyperlink ref="Q1294" r:id="rId237" xr:uid="{00000000-0004-0000-0400-0000EC000000}"/>
    <hyperlink ref="Q1295" r:id="rId238" xr:uid="{00000000-0004-0000-0400-0000ED000000}"/>
    <hyperlink ref="Q1296" r:id="rId239" xr:uid="{00000000-0004-0000-0400-0000EE000000}"/>
    <hyperlink ref="Q1304" r:id="rId240" xr:uid="{00000000-0004-0000-0400-0000EF000000}"/>
    <hyperlink ref="Q1306" r:id="rId241" xr:uid="{00000000-0004-0000-0400-0000F0000000}"/>
    <hyperlink ref="Q1307" r:id="rId242" xr:uid="{00000000-0004-0000-0400-0000F1000000}"/>
    <hyperlink ref="Q1308" r:id="rId243" xr:uid="{00000000-0004-0000-0400-0000F2000000}"/>
    <hyperlink ref="Q1309" r:id="rId244" xr:uid="{00000000-0004-0000-0400-0000F3000000}"/>
    <hyperlink ref="Q1310" r:id="rId245" xr:uid="{00000000-0004-0000-0400-0000F4000000}"/>
    <hyperlink ref="Q1311" r:id="rId246" xr:uid="{00000000-0004-0000-0400-0000F5000000}"/>
    <hyperlink ref="Q1312" r:id="rId247" xr:uid="{00000000-0004-0000-0400-0000F6000000}"/>
    <hyperlink ref="Q1313" r:id="rId248" xr:uid="{00000000-0004-0000-0400-0000F7000000}"/>
    <hyperlink ref="Q1314" r:id="rId249" xr:uid="{00000000-0004-0000-0400-0000F8000000}"/>
    <hyperlink ref="Q1315" r:id="rId250" xr:uid="{00000000-0004-0000-0400-0000F9000000}"/>
    <hyperlink ref="Q1316" r:id="rId251" xr:uid="{00000000-0004-0000-0400-0000FA000000}"/>
    <hyperlink ref="Q1298:Q1302" r:id="rId252" display="folder" xr:uid="{00000000-0004-0000-0400-0000FB000000}"/>
    <hyperlink ref="Q1298" r:id="rId253" xr:uid="{00000000-0004-0000-0400-0000FC000000}"/>
    <hyperlink ref="Q1299" r:id="rId254" xr:uid="{00000000-0004-0000-0400-0000FD000000}"/>
    <hyperlink ref="Q1300" r:id="rId255" xr:uid="{00000000-0004-0000-0400-0000FE000000}"/>
    <hyperlink ref="Q1301" r:id="rId256" xr:uid="{00000000-0004-0000-0400-0000FF000000}"/>
    <hyperlink ref="Q1302" r:id="rId257" xr:uid="{00000000-0004-0000-0400-000000010000}"/>
    <hyperlink ref="Q1317" r:id="rId258" xr:uid="{00000000-0004-0000-0400-000001010000}"/>
    <hyperlink ref="Q1318" r:id="rId259" xr:uid="{00000000-0004-0000-0400-000002010000}"/>
    <hyperlink ref="Q1297" r:id="rId260" xr:uid="{00000000-0004-0000-0400-000003010000}"/>
    <hyperlink ref="Q1303" r:id="rId261" xr:uid="{00000000-0004-0000-0400-000004010000}"/>
    <hyperlink ref="Q1319" r:id="rId262" xr:uid="{00000000-0004-0000-0400-000005010000}"/>
    <hyperlink ref="Q1320" r:id="rId263" xr:uid="{00000000-0004-0000-0400-000006010000}"/>
    <hyperlink ref="Q1321" r:id="rId264" xr:uid="{00000000-0004-0000-0400-000007010000}"/>
    <hyperlink ref="Q1322" r:id="rId265" xr:uid="{00000000-0004-0000-0400-000008010000}"/>
    <hyperlink ref="Q1323" r:id="rId266" xr:uid="{00000000-0004-0000-0400-000009010000}"/>
    <hyperlink ref="Q1324" r:id="rId267" xr:uid="{00000000-0004-0000-0400-00000A010000}"/>
    <hyperlink ref="Q1325" r:id="rId268" xr:uid="{00000000-0004-0000-0400-00000B010000}"/>
    <hyperlink ref="Q1326" r:id="rId269" xr:uid="{00000000-0004-0000-0400-00000C010000}"/>
    <hyperlink ref="Q1327" r:id="rId270" xr:uid="{00000000-0004-0000-0400-00000D010000}"/>
    <hyperlink ref="Q1329" r:id="rId271" xr:uid="{00000000-0004-0000-0400-00000E010000}"/>
    <hyperlink ref="Q1330" r:id="rId272" xr:uid="{00000000-0004-0000-0400-00000F010000}"/>
    <hyperlink ref="Q1332" r:id="rId273" xr:uid="{00000000-0004-0000-0400-000010010000}"/>
    <hyperlink ref="Q1333" r:id="rId274" xr:uid="{00000000-0004-0000-0400-000011010000}"/>
    <hyperlink ref="Q1334" r:id="rId275" xr:uid="{00000000-0004-0000-0400-000012010000}"/>
    <hyperlink ref="Q1335" r:id="rId276" xr:uid="{00000000-0004-0000-0400-000013010000}"/>
    <hyperlink ref="Q1336" r:id="rId277" xr:uid="{00000000-0004-0000-0400-000014010000}"/>
    <hyperlink ref="Q1338" r:id="rId278" xr:uid="{00000000-0004-0000-0400-000015010000}"/>
    <hyperlink ref="Q1341" r:id="rId279" xr:uid="{00000000-0004-0000-0400-000016010000}"/>
    <hyperlink ref="Q1342" r:id="rId280" xr:uid="{00000000-0004-0000-0400-000017010000}"/>
    <hyperlink ref="Q1331" r:id="rId281" xr:uid="{00000000-0004-0000-0400-000018010000}"/>
    <hyperlink ref="Q1343" r:id="rId282" xr:uid="{00000000-0004-0000-0400-000019010000}"/>
    <hyperlink ref="Q1344" r:id="rId283" xr:uid="{00000000-0004-0000-0400-00001A010000}"/>
    <hyperlink ref="Q1337" r:id="rId284" xr:uid="{00000000-0004-0000-0400-00001B010000}"/>
    <hyperlink ref="Q1340" r:id="rId285" xr:uid="{00000000-0004-0000-0400-00001C010000}"/>
    <hyperlink ref="Q1339" r:id="rId286" xr:uid="{00000000-0004-0000-0400-00001D010000}"/>
    <hyperlink ref="Q1345" r:id="rId287" xr:uid="{00000000-0004-0000-0400-00001E010000}"/>
    <hyperlink ref="Q1346" r:id="rId288" xr:uid="{00000000-0004-0000-0400-00001F010000}"/>
    <hyperlink ref="Q1347" r:id="rId289" xr:uid="{00000000-0004-0000-0400-000020010000}"/>
    <hyperlink ref="Q1348" r:id="rId290" xr:uid="{00000000-0004-0000-0400-000021010000}"/>
    <hyperlink ref="Q1349" r:id="rId291" xr:uid="{00000000-0004-0000-0400-000022010000}"/>
    <hyperlink ref="Q1350" r:id="rId292" xr:uid="{00000000-0004-0000-0400-000023010000}"/>
    <hyperlink ref="Q1351" r:id="rId293" xr:uid="{00000000-0004-0000-0400-000024010000}"/>
    <hyperlink ref="Q1353" r:id="rId294" xr:uid="{00000000-0004-0000-0400-000025010000}"/>
    <hyperlink ref="Q1354" r:id="rId295" xr:uid="{00000000-0004-0000-0400-000026010000}"/>
    <hyperlink ref="Q1355" r:id="rId296" xr:uid="{00000000-0004-0000-0400-000027010000}"/>
    <hyperlink ref="Q1356" r:id="rId297" xr:uid="{00000000-0004-0000-0400-000028010000}"/>
    <hyperlink ref="Q1357" r:id="rId298" xr:uid="{00000000-0004-0000-0400-000029010000}"/>
    <hyperlink ref="Q1358" r:id="rId299" xr:uid="{00000000-0004-0000-0400-00002A010000}"/>
    <hyperlink ref="Q1359" r:id="rId300" xr:uid="{00000000-0004-0000-0400-00002B010000}"/>
    <hyperlink ref="Q1360" r:id="rId301" xr:uid="{00000000-0004-0000-0400-00002C010000}"/>
    <hyperlink ref="Q1361" r:id="rId302" xr:uid="{00000000-0004-0000-0400-00002D010000}"/>
    <hyperlink ref="Q1362" r:id="rId303" xr:uid="{00000000-0004-0000-0400-00002E010000}"/>
    <hyperlink ref="Q1363" r:id="rId304" xr:uid="{00000000-0004-0000-0400-00002F010000}"/>
    <hyperlink ref="Q1364" r:id="rId305" xr:uid="{00000000-0004-0000-0400-000030010000}"/>
    <hyperlink ref="Q1365" r:id="rId306" xr:uid="{00000000-0004-0000-0400-000031010000}"/>
    <hyperlink ref="Q1366" r:id="rId307" xr:uid="{00000000-0004-0000-0400-000032010000}"/>
    <hyperlink ref="Q1367" r:id="rId308" xr:uid="{00000000-0004-0000-0400-000033010000}"/>
    <hyperlink ref="Q1368" r:id="rId309" xr:uid="{00000000-0004-0000-0400-000034010000}"/>
    <hyperlink ref="Q1369" r:id="rId310" xr:uid="{00000000-0004-0000-0400-000035010000}"/>
    <hyperlink ref="Q1370" r:id="rId311" xr:uid="{00000000-0004-0000-0400-000036010000}"/>
    <hyperlink ref="Q1371" r:id="rId312" xr:uid="{00000000-0004-0000-0400-000037010000}"/>
    <hyperlink ref="Q1372" r:id="rId313" xr:uid="{00000000-0004-0000-0400-000038010000}"/>
    <hyperlink ref="Q1373" r:id="rId314" xr:uid="{00000000-0004-0000-0400-000039010000}"/>
    <hyperlink ref="Q1374" r:id="rId315" xr:uid="{00000000-0004-0000-0400-00003A010000}"/>
    <hyperlink ref="Q1375" r:id="rId316" xr:uid="{00000000-0004-0000-0400-00003B010000}"/>
    <hyperlink ref="Q1376" r:id="rId317" xr:uid="{00000000-0004-0000-0400-00003C010000}"/>
    <hyperlink ref="Q1377" r:id="rId318" xr:uid="{00000000-0004-0000-0400-00003D010000}"/>
    <hyperlink ref="Q1378" r:id="rId319" xr:uid="{00000000-0004-0000-0400-00003E010000}"/>
    <hyperlink ref="Q1379" r:id="rId320" xr:uid="{00000000-0004-0000-0400-00003F010000}"/>
    <hyperlink ref="Q1380" r:id="rId321" xr:uid="{00000000-0004-0000-0400-000040010000}"/>
    <hyperlink ref="Q1381" r:id="rId322" xr:uid="{00000000-0004-0000-0400-000041010000}"/>
    <hyperlink ref="Q1382" r:id="rId323" xr:uid="{00000000-0004-0000-0400-000042010000}"/>
    <hyperlink ref="Q1383" r:id="rId324" xr:uid="{00000000-0004-0000-0400-000043010000}"/>
    <hyperlink ref="Q1385" r:id="rId325" xr:uid="{00000000-0004-0000-0400-000044010000}"/>
    <hyperlink ref="Q1386" r:id="rId326" xr:uid="{00000000-0004-0000-0400-000045010000}"/>
    <hyperlink ref="Q1387" r:id="rId327" xr:uid="{00000000-0004-0000-0400-000046010000}"/>
    <hyperlink ref="Q1388" r:id="rId328" xr:uid="{00000000-0004-0000-0400-000047010000}"/>
    <hyperlink ref="Q1389" r:id="rId329" xr:uid="{00000000-0004-0000-0400-000048010000}"/>
    <hyperlink ref="Q1390" r:id="rId330" xr:uid="{00000000-0004-0000-0400-000049010000}"/>
    <hyperlink ref="Q1391" r:id="rId331" xr:uid="{00000000-0004-0000-0400-00004A010000}"/>
    <hyperlink ref="Q1392" r:id="rId332" xr:uid="{00000000-0004-0000-0400-00004B010000}"/>
    <hyperlink ref="Q1393" r:id="rId333" xr:uid="{00000000-0004-0000-0400-00004C010000}"/>
    <hyperlink ref="Q1394" r:id="rId334" xr:uid="{00000000-0004-0000-0400-00004D010000}"/>
    <hyperlink ref="Q1396" r:id="rId335" xr:uid="{00000000-0004-0000-0400-00004E010000}"/>
    <hyperlink ref="Q1397" r:id="rId336" xr:uid="{00000000-0004-0000-0400-00004F010000}"/>
    <hyperlink ref="Q1398" r:id="rId337" xr:uid="{00000000-0004-0000-0400-000050010000}"/>
    <hyperlink ref="Q1399" r:id="rId338" xr:uid="{00000000-0004-0000-0400-000051010000}"/>
    <hyperlink ref="Q1400" r:id="rId339" xr:uid="{00000000-0004-0000-0400-000052010000}"/>
    <hyperlink ref="Q1401" r:id="rId340" xr:uid="{00000000-0004-0000-0400-000053010000}"/>
    <hyperlink ref="Q1402" r:id="rId341" xr:uid="{00000000-0004-0000-0400-000054010000}"/>
    <hyperlink ref="Q1403" r:id="rId342" xr:uid="{00000000-0004-0000-0400-000055010000}"/>
    <hyperlink ref="Q1404" r:id="rId343" xr:uid="{00000000-0004-0000-0400-000056010000}"/>
    <hyperlink ref="Q1405" r:id="rId344" xr:uid="{00000000-0004-0000-0400-000057010000}"/>
    <hyperlink ref="Q1406" r:id="rId345" xr:uid="{00000000-0004-0000-0400-000058010000}"/>
    <hyperlink ref="Q1407" r:id="rId346" xr:uid="{00000000-0004-0000-0400-000059010000}"/>
    <hyperlink ref="Q1408" r:id="rId347" xr:uid="{00000000-0004-0000-0400-00005A010000}"/>
    <hyperlink ref="Q1409" r:id="rId348" xr:uid="{00000000-0004-0000-0400-00005B010000}"/>
    <hyperlink ref="Q1410" r:id="rId349" xr:uid="{00000000-0004-0000-0400-00005C010000}"/>
    <hyperlink ref="Q1411" r:id="rId350" xr:uid="{00000000-0004-0000-0400-00005D010000}"/>
    <hyperlink ref="Q1412" r:id="rId351" xr:uid="{00000000-0004-0000-0400-00005E010000}"/>
    <hyperlink ref="Q1413" r:id="rId352" xr:uid="{00000000-0004-0000-0400-00005F010000}"/>
    <hyperlink ref="Q1414" r:id="rId353" xr:uid="{00000000-0004-0000-0400-000060010000}"/>
    <hyperlink ref="Q1415" r:id="rId354" xr:uid="{DFD8B5F8-71F0-4EFC-BDFF-C0D955FBB327}"/>
    <hyperlink ref="Q1416" r:id="rId355" xr:uid="{67DFDD5E-B47D-4DCB-96F1-E3BD2F5A8BF9}"/>
    <hyperlink ref="Q1417" r:id="rId356" xr:uid="{5B00FEC0-7035-45F3-B04D-01B3928700D5}"/>
    <hyperlink ref="Q1418" r:id="rId357" xr:uid="{DA80B763-EF02-481D-B22A-088F0C46F920}"/>
    <hyperlink ref="Q1419" r:id="rId358" xr:uid="{5041F47B-6D31-49EC-8531-1D69D104FEE7}"/>
    <hyperlink ref="Q1420" r:id="rId359" xr:uid="{553D7033-1890-421C-AE1E-BC3ACFA48E63}"/>
    <hyperlink ref="Q1421" r:id="rId360" xr:uid="{D0F4011D-A0B5-4E19-9A1C-B2B6F0382A65}"/>
    <hyperlink ref="Q1422" r:id="rId361" xr:uid="{D53402C3-A80E-41EA-855A-59190E2F5E3F}"/>
    <hyperlink ref="Q1423" r:id="rId362" xr:uid="{8564DD4E-44C3-414D-AAA2-16293AD7A088}"/>
    <hyperlink ref="Q1424" r:id="rId363" xr:uid="{427AD318-3B52-40A0-9F22-ACBFB49E876B}"/>
    <hyperlink ref="Q1425" r:id="rId364" xr:uid="{A0E77CF2-AA99-4977-95E6-A81FB75DE291}"/>
    <hyperlink ref="Q1426" r:id="rId365" xr:uid="{BFE4EC93-4165-42C8-8675-A1E5FFBF8F73}"/>
    <hyperlink ref="Q1427" r:id="rId366" xr:uid="{123A1B1E-475A-43DD-A0B0-BE397F36B1A6}"/>
    <hyperlink ref="Q1428" r:id="rId367" xr:uid="{AA5AEDA1-0D63-4C89-8BA0-69197871AB44}"/>
    <hyperlink ref="Q1429" r:id="rId368" xr:uid="{477A4B80-0F17-42C0-978A-4FB42C5EDCD8}"/>
    <hyperlink ref="Q1430" r:id="rId369" xr:uid="{5AC60C0E-BC73-46D1-8F53-ED0EC9D18683}"/>
    <hyperlink ref="Q1431" r:id="rId370" xr:uid="{8A23CC25-A4FB-437E-8647-0050856E087E}"/>
    <hyperlink ref="Q1432" r:id="rId371" xr:uid="{0B8B8CF5-909F-439E-A7C4-97094B2D0837}"/>
    <hyperlink ref="Q1433" r:id="rId372" xr:uid="{43A45A8D-57A1-47EC-A3F0-F04E0F19871A}"/>
    <hyperlink ref="Q1434" r:id="rId373" xr:uid="{D7B9C679-736D-4252-9DA2-E8B29FC2DEA0}"/>
    <hyperlink ref="Q1435" r:id="rId374" xr:uid="{11BAF698-C7BA-4AD4-A590-99414C3DF67B}"/>
    <hyperlink ref="Q1436" r:id="rId375" xr:uid="{85DDCCDE-84C0-4DD0-BF06-75742FA9CBF4}"/>
    <hyperlink ref="Q1437" r:id="rId376" xr:uid="{1C96B7BA-408B-4BCF-8496-C1BA5ED91458}"/>
    <hyperlink ref="Q1438" r:id="rId377" xr:uid="{F44B821F-7208-46DE-A04F-1BD0B7DC8CB1}"/>
    <hyperlink ref="Q1439" r:id="rId378" xr:uid="{6AB4975D-100E-4377-BB6F-588831FA8833}"/>
    <hyperlink ref="Q1440" r:id="rId379" xr:uid="{422C8E61-4DF8-4D7D-A956-1C49AD2EF65A}"/>
    <hyperlink ref="Q1441" r:id="rId380" xr:uid="{D6B7E8CA-51FE-44FF-85C9-E10FE0312AE2}"/>
    <hyperlink ref="Q1442" r:id="rId381" xr:uid="{DC8A3686-0B07-4FB1-8B62-31805E622C57}"/>
    <hyperlink ref="Q1443" r:id="rId382" xr:uid="{BC218002-FBD8-421E-8EEE-92494BBEFFC0}"/>
    <hyperlink ref="Q1444" r:id="rId383" xr:uid="{B6628E32-B3CB-4F38-9E72-DBA56BB31500}"/>
    <hyperlink ref="Q1445" r:id="rId384" xr:uid="{3DD414B0-6C96-4FED-9394-A952850BCCF9}"/>
    <hyperlink ref="Q1446" r:id="rId385" xr:uid="{A73DA48C-D679-4FFA-9D8A-68B2BB749612}"/>
    <hyperlink ref="Q1447" r:id="rId386" xr:uid="{F879129C-06E0-40C9-B452-D2A97BD55932}"/>
    <hyperlink ref="Q1448" r:id="rId387" xr:uid="{F553EA1F-313F-4041-9C56-25B07FE78E33}"/>
    <hyperlink ref="Q1449" r:id="rId388" xr:uid="{51400500-394D-4020-AFE4-52B0E581A89E}"/>
    <hyperlink ref="Q1450" r:id="rId389" xr:uid="{30438C45-0C22-4FCB-8718-DC4549BF161F}"/>
    <hyperlink ref="Q1451" r:id="rId390" xr:uid="{CFD20BF6-3AC7-4CFD-8AC2-6FF03FB047D4}"/>
    <hyperlink ref="Q1452" r:id="rId391" xr:uid="{BAB02A26-3FE2-42C9-A54D-8797EEFE996E}"/>
    <hyperlink ref="Q1453" r:id="rId392" xr:uid="{DF552B66-932D-437A-9D66-79C964F50F4D}"/>
    <hyperlink ref="Q1454" r:id="rId393" xr:uid="{AEAB9B26-88DA-46F3-9788-A93BA2D0383F}"/>
    <hyperlink ref="Q1455" r:id="rId394" xr:uid="{FFFEE9F1-DBA4-4248-9959-956DF44F785C}"/>
    <hyperlink ref="Q1456" r:id="rId395" xr:uid="{F6D3DB3E-5827-4FF7-95E5-6404841D00ED}"/>
    <hyperlink ref="Q1457" r:id="rId396" xr:uid="{78E3858C-B1FC-4E4C-BD83-A0067159ED78}"/>
    <hyperlink ref="Q1458" r:id="rId397" xr:uid="{F46B6157-A05E-410E-9D18-5457DEA107A3}"/>
    <hyperlink ref="Q1459" r:id="rId398" xr:uid="{7256F8CD-5C9E-49C3-8A63-2F45EE84AA45}"/>
    <hyperlink ref="Q1460" r:id="rId399" xr:uid="{A9722BC6-C421-4571-B547-FB8AF96A0B22}"/>
    <hyperlink ref="Q1462" r:id="rId400" xr:uid="{BD50B08A-456F-4403-9731-611C3500F7C2}"/>
    <hyperlink ref="Q1463" r:id="rId401" xr:uid="{7B270ED1-83B1-4CA2-AC3F-41EE8F8A2205}"/>
    <hyperlink ref="Q1464" r:id="rId402" xr:uid="{96E13C22-2E9E-4B35-BA80-6F481E5EA11D}"/>
    <hyperlink ref="Q1465" r:id="rId403" xr:uid="{2C5324EE-CC6C-4596-85F5-F4E2EB4922CB}"/>
    <hyperlink ref="Q1466" r:id="rId404" xr:uid="{9C9621C8-0F7B-45CB-8B8C-90B89B363B03}"/>
    <hyperlink ref="Q1467" r:id="rId405" xr:uid="{728F0951-BD52-40B1-B015-BF1B96858AD1}"/>
    <hyperlink ref="Q1468" r:id="rId406" xr:uid="{D0547999-B45C-4132-BA23-4C062DAAD8B3}"/>
    <hyperlink ref="Q1469" r:id="rId407" xr:uid="{B1439BE6-7943-40DF-9494-50064EFC51AB}"/>
    <hyperlink ref="Q1470" r:id="rId408" xr:uid="{BE884A19-FCB6-4380-BCB3-A7F737CABA64}"/>
    <hyperlink ref="Q1472" r:id="rId409" xr:uid="{8C7F9E64-5134-433C-8AFC-2095F537E9B5}"/>
    <hyperlink ref="Q1474" r:id="rId410" xr:uid="{76CC1A44-6500-4C02-A0F5-DBBFE149AA39}"/>
    <hyperlink ref="Q1471" r:id="rId411" xr:uid="{364A998B-B508-4956-8867-493C7B30E7FF}"/>
    <hyperlink ref="Q1475" r:id="rId412" xr:uid="{E3895DB9-CDD2-4151-ABCC-8AD31C853939}"/>
    <hyperlink ref="Q1476" r:id="rId413" xr:uid="{15B6FED9-250A-4F09-A876-7E05DC710E94}"/>
    <hyperlink ref="Q1477" r:id="rId414" xr:uid="{9A154C79-4F70-406B-8908-E57A8679FFDE}"/>
    <hyperlink ref="Q1478" r:id="rId415" xr:uid="{18706A2D-1CB1-45DB-B757-EB298CAD0F1E}"/>
    <hyperlink ref="Q1480" r:id="rId416" xr:uid="{DE203C7C-9687-4680-A237-C7F0A9CADE51}"/>
    <hyperlink ref="Q1481" r:id="rId417" xr:uid="{E8C6D0F6-DA41-4AF8-B01A-B6F4920205B1}"/>
    <hyperlink ref="Q1483" r:id="rId418" xr:uid="{E8B8FD9D-8F78-41A9-A078-85E1E30619DB}"/>
    <hyperlink ref="Q1484" r:id="rId419" xr:uid="{B998DE18-C0CD-4BD1-A417-D4B00BB2F506}"/>
    <hyperlink ref="Q1485" r:id="rId420" xr:uid="{E9643061-3D0F-486D-A6F6-23700D93CF5B}"/>
    <hyperlink ref="Q1486" r:id="rId421" xr:uid="{E9547EDC-A9E7-473E-BEBD-39DA5CDE4F9E}"/>
    <hyperlink ref="Q1487" r:id="rId422" xr:uid="{1DBFA682-3928-4390-AC86-71CBD90AE794}"/>
    <hyperlink ref="Q1488" r:id="rId423" xr:uid="{5697EF2F-4A01-42B7-A0AC-459DC8BB4449}"/>
    <hyperlink ref="Q1489" r:id="rId424" xr:uid="{421D3A9B-08AD-4348-A32F-2E263BAEDEA3}"/>
    <hyperlink ref="Q1490" r:id="rId425" xr:uid="{89D268A3-0472-4730-B5A8-1C52036BF0E3}"/>
    <hyperlink ref="Q1492" r:id="rId426" xr:uid="{E4F38D5C-8E20-4EFD-8B32-E8E96B0B3063}"/>
    <hyperlink ref="Q1494" r:id="rId427" xr:uid="{E20A9063-36E1-4C6C-92A5-B1F233F0E31A}"/>
    <hyperlink ref="Q1495" r:id="rId428" xr:uid="{24529474-D302-4E40-9DD3-7EE56C342DF1}"/>
    <hyperlink ref="Q1496" r:id="rId429" xr:uid="{56EC92B9-9C7C-45A4-B0BD-2E0AC800F263}"/>
    <hyperlink ref="Q1497" r:id="rId430" xr:uid="{0F65E72E-5DD2-44D6-9306-F7E2E89C8EB8}"/>
    <hyperlink ref="Q1498" r:id="rId431" xr:uid="{9A0C5E8D-B75F-4813-A753-D31540704042}"/>
    <hyperlink ref="Q1493" r:id="rId432" xr:uid="{E743ED3C-FDC9-4D18-8DBA-360C71D867F9}"/>
    <hyperlink ref="Q1499" r:id="rId433" xr:uid="{D6F4E40D-67F2-44F5-BB17-58091808BB51}"/>
    <hyperlink ref="Q1500" r:id="rId434" xr:uid="{B1671FB5-7998-4AE2-9160-81D626B4372F}"/>
    <hyperlink ref="Q1501" r:id="rId435" xr:uid="{00D8FDC9-A41F-4247-9F51-A97C5B0B5CA4}"/>
    <hyperlink ref="Q1502" r:id="rId436" xr:uid="{272E8D92-590A-4307-A17D-B40A2CD5B0B8}"/>
    <hyperlink ref="Q1504" r:id="rId437" xr:uid="{9AC88FA7-6A32-4FE8-A2AD-6F2DAAF4C618}"/>
    <hyperlink ref="Q1505" r:id="rId438" xr:uid="{36024C5A-3778-4955-AB16-E17953EDEEDA}"/>
    <hyperlink ref="Q1506" r:id="rId439" xr:uid="{00F991B6-A490-4B60-A056-F85C40987256}"/>
    <hyperlink ref="Q1507" r:id="rId440" xr:uid="{D816CE22-BE2C-4D68-B70C-200242DF5FE9}"/>
    <hyperlink ref="Q1508" r:id="rId441" xr:uid="{C0C43CCF-0B1E-4A18-8939-35218C31A21C}"/>
    <hyperlink ref="Q1509" r:id="rId442" xr:uid="{2E081833-F595-44A4-B7A9-1E798172C96F}"/>
    <hyperlink ref="Q1511" r:id="rId443" xr:uid="{5A59A3BE-A537-4012-B938-5716F16EE2D2}"/>
    <hyperlink ref="Q1512" r:id="rId444" xr:uid="{D530FE45-F3E4-454A-969B-DEDBBE6BC525}"/>
    <hyperlink ref="Q1514" r:id="rId445" xr:uid="{B8C0F20A-A93C-4FC7-8614-8422C2773685}"/>
    <hyperlink ref="Q1517" r:id="rId446" xr:uid="{40437E81-23D9-45AB-AADB-1CAFB0C3412E}"/>
    <hyperlink ref="Q1518" r:id="rId447" xr:uid="{C2DD564E-8658-4278-A0B0-8B41BA7DC13E}"/>
    <hyperlink ref="Q1519" r:id="rId448" xr:uid="{6368C54C-9264-428B-B9BF-D782FB572BCA}"/>
    <hyperlink ref="Q1520" r:id="rId449" xr:uid="{77249977-68DB-4CAC-A29C-07D43D12418A}"/>
    <hyperlink ref="Q1521" r:id="rId450" xr:uid="{FA6A8C36-D11A-4152-A42E-99EF158DAE24}"/>
    <hyperlink ref="Q1522" r:id="rId451" xr:uid="{062B7C7F-D24F-43AB-9754-76835E799B97}"/>
    <hyperlink ref="Q1523" r:id="rId452" xr:uid="{DE2A69F4-8FE9-4752-B5EE-1590C39A5509}"/>
    <hyperlink ref="Q1524" r:id="rId453" xr:uid="{9C2A54CF-659E-4B0D-ABBD-5B9FB579D167}"/>
    <hyperlink ref="Q1526" r:id="rId454" xr:uid="{D3F9B884-130A-4067-B94D-51217B788E88}"/>
    <hyperlink ref="Q1527" r:id="rId455" xr:uid="{A0E85F2B-1EFB-478F-BF77-FEA4C0EE9B5D}"/>
    <hyperlink ref="Q1525" r:id="rId456" xr:uid="{9FEF6838-0C82-406B-876C-5526126CEE09}"/>
    <hyperlink ref="Q1528" r:id="rId457" xr:uid="{1A70047A-CB3C-4B13-BE12-23C49AA0C2CD}"/>
    <hyperlink ref="Q1529" r:id="rId458" xr:uid="{64BB3CEF-CF25-4F63-A04A-F0B5F74D0BC4}"/>
    <hyperlink ref="Q1530" r:id="rId459" xr:uid="{DDF22A47-E8BF-4DB1-B72F-FE4D81C265E1}"/>
    <hyperlink ref="Q1531" r:id="rId460" xr:uid="{A79BD956-163B-40B5-B265-57EDD1E0607D}"/>
    <hyperlink ref="Q1532" r:id="rId461" xr:uid="{15B86045-B992-47C6-86FE-3DC5E9E2A5BC}"/>
    <hyperlink ref="Q1533" r:id="rId462" xr:uid="{291EA175-D39E-45B9-A6E1-FF1646F70C5C}"/>
    <hyperlink ref="Q1534" r:id="rId463" xr:uid="{1A6E38FC-1612-4B15-AFB4-6225D50B2133}"/>
    <hyperlink ref="Q1535" r:id="rId464" xr:uid="{41866648-F29B-48BD-9E08-8DAE97065E82}"/>
    <hyperlink ref="Q1536" r:id="rId465" xr:uid="{4F5DDB0E-531B-43FD-885E-68935922ECC2}"/>
    <hyperlink ref="Q1537" r:id="rId466" xr:uid="{6945CD77-F380-46DC-8D09-231B6BD8A0F5}"/>
    <hyperlink ref="Q1540" r:id="rId467" xr:uid="{F77ADD86-04D8-4662-A358-DBDDBDB12547}"/>
    <hyperlink ref="Q1539" r:id="rId468" xr:uid="{405C259A-026C-465F-B7A7-E8C46C9FD8C1}"/>
    <hyperlink ref="Q1543" r:id="rId469" xr:uid="{4838BF91-9D4F-4A5A-9F95-63610A038943}"/>
    <hyperlink ref="Q1544" r:id="rId470" xr:uid="{E3D8A011-A358-4354-AFCB-A2339EC33F8C}"/>
    <hyperlink ref="Q1545" r:id="rId471" xr:uid="{22D991A6-018F-4D46-947C-24CDCFD1B99D}"/>
    <hyperlink ref="Q1546" r:id="rId472" xr:uid="{2AA1C5BB-4809-4F0D-B736-B12E34951335}"/>
    <hyperlink ref="Q1547" r:id="rId473" xr:uid="{FA2801D9-FBD3-49AB-B2F3-26B6634275FF}"/>
    <hyperlink ref="Q1549" r:id="rId474" xr:uid="{748290C9-AB1E-4750-8904-67CBB2682962}"/>
    <hyperlink ref="Q1550" r:id="rId475" xr:uid="{16373C30-23BA-4324-BCDA-83AD2DA0E1A5}"/>
    <hyperlink ref="Q1551" r:id="rId476" xr:uid="{A2B81849-0F9B-47EE-8DF3-AF67A64A46AC}"/>
    <hyperlink ref="Q1552" r:id="rId477" xr:uid="{A692AF2A-0D80-4B6E-BA0B-2570CB6686D1}"/>
    <hyperlink ref="Q1553" r:id="rId478" xr:uid="{81903B22-1BDC-452B-810E-E707282A912A}"/>
    <hyperlink ref="Q1555" r:id="rId479" xr:uid="{A3EDCC3A-C5A2-4EA0-80F3-EC656465759F}"/>
    <hyperlink ref="Q1556" r:id="rId480" xr:uid="{9316B26F-A630-4821-879D-50FA5287616C}"/>
    <hyperlink ref="Q1557" r:id="rId481" xr:uid="{95C54244-84D2-41C0-ADE6-C19CC935C89D}"/>
    <hyperlink ref="Q1558" r:id="rId482" xr:uid="{3FB555EA-E0D0-4396-B08F-B7D222FF9F56}"/>
    <hyperlink ref="Q1559" r:id="rId483" xr:uid="{27FE6C53-0C03-445D-8F97-FEA5C15A71A0}"/>
    <hyperlink ref="Q1560" r:id="rId484" xr:uid="{14F3B3A6-D531-4630-B317-D736042822B5}"/>
    <hyperlink ref="Q1554" r:id="rId485" xr:uid="{5557A88A-F6FD-437D-9624-29A1469CC02C}"/>
    <hyperlink ref="Q1561" r:id="rId486" xr:uid="{031F6533-0F18-4383-9D25-2BDDCF9F25D8}"/>
    <hyperlink ref="Q1562" r:id="rId487" xr:uid="{4AA927C2-E13D-4693-AE77-1DE801930EFD}"/>
    <hyperlink ref="Q1563" r:id="rId488" xr:uid="{A65BF689-AB96-40FC-9781-9B1891C48B35}"/>
    <hyperlink ref="Q1564" r:id="rId489" xr:uid="{CD27325A-D66E-4835-865B-44847A0A762F}"/>
    <hyperlink ref="Q1565" r:id="rId490" xr:uid="{8C25413D-F342-44E9-ACC3-01F5698F2549}"/>
    <hyperlink ref="Q1566" r:id="rId491" xr:uid="{4765A93D-8F8A-444D-8DE2-B82556D1C522}"/>
    <hyperlink ref="Q1567" r:id="rId492" xr:uid="{D2FE48FB-E8D1-49EE-BD55-F3C032D8441F}"/>
    <hyperlink ref="Q1568" r:id="rId493" xr:uid="{73EEC92D-B835-474E-B7F9-1A07A2325835}"/>
    <hyperlink ref="Q1570" r:id="rId494" xr:uid="{AA2FC4F4-BD04-4D78-A221-3DFE893187F6}"/>
    <hyperlink ref="Q1569" r:id="rId495" xr:uid="{B5D2E413-B177-4ADB-8B80-B3A29A219032}"/>
    <hyperlink ref="Q1571" r:id="rId496" xr:uid="{77F3AFCE-6AE5-4A72-8E01-C6EBCF76C3F6}"/>
    <hyperlink ref="Q1572" r:id="rId497" xr:uid="{B28CC6C1-A7CD-41FB-9153-8CE44B116AD8}"/>
    <hyperlink ref="Q1573" r:id="rId498" xr:uid="{683125C7-1A0D-4C0B-8DEB-726456CF8731}"/>
    <hyperlink ref="Q1574" r:id="rId499" xr:uid="{2DDE276F-2CD3-4A97-B6C6-C1964B197B7D}"/>
    <hyperlink ref="Q1575" r:id="rId500" xr:uid="{18EEF485-95C3-497D-AC15-7CFF0F5E0770}"/>
    <hyperlink ref="Q1576" r:id="rId501" xr:uid="{BEBFEE08-642A-4775-865B-4B3DF72243D5}"/>
    <hyperlink ref="Q1577" r:id="rId502" xr:uid="{EFC1FF05-66CF-4E98-AEBE-0F04E8751DA9}"/>
    <hyperlink ref="Q1578" r:id="rId503" xr:uid="{F5DA4780-6B74-4940-A683-E7EA34783B0E}"/>
    <hyperlink ref="Q1579" r:id="rId504" xr:uid="{E066A733-9ECE-47D5-B649-57018B0E0F1C}"/>
    <hyperlink ref="Q1580" r:id="rId505" xr:uid="{AC8E5E86-2E08-4791-BE3E-D62265B526AF}"/>
    <hyperlink ref="Q1581" r:id="rId506" xr:uid="{1C9FFDF8-C995-4FB9-82BF-DAEB4C0A61C9}"/>
    <hyperlink ref="Q1582" r:id="rId507" xr:uid="{91FFA206-6FA9-46F3-B166-79D2E279F224}"/>
    <hyperlink ref="Q1583" r:id="rId508" xr:uid="{F69B3B49-B5FF-4ADE-A420-2170921A1AFA}"/>
    <hyperlink ref="Q1584" r:id="rId509" xr:uid="{EAA4DDB2-7944-4C1B-AE55-0BBCF8756BF6}"/>
    <hyperlink ref="Q1586" r:id="rId510" xr:uid="{27AD4396-EE7E-4FDA-B2FF-6C3FB5F88F72}"/>
    <hyperlink ref="Q1588" r:id="rId511" xr:uid="{BEAB0CE2-C002-48D4-B571-3EB08D818BBA}"/>
    <hyperlink ref="Q1589" r:id="rId512" xr:uid="{6E451B6C-4286-4AB5-B099-B0E1A44F821E}"/>
    <hyperlink ref="Q1590" r:id="rId513" xr:uid="{8154B0C2-0E47-44C3-BD99-23C9B3E03459}"/>
    <hyperlink ref="Q1591" r:id="rId514" xr:uid="{9FF3C6CE-352C-4F9B-8535-C679FEC892BF}"/>
    <hyperlink ref="Q1592" r:id="rId515" xr:uid="{39FA67E9-10CF-4D9A-A238-7E498DADDA50}"/>
    <hyperlink ref="Q1593" r:id="rId516" xr:uid="{DDC877EF-7773-4E77-9E9D-872428EADA24}"/>
    <hyperlink ref="Q1598" r:id="rId517" xr:uid="{A1B204FC-1DAB-4796-83F2-E9F9737EEC34}"/>
    <hyperlink ref="Q1599" r:id="rId518" xr:uid="{C89F9C15-470A-4A77-BC16-31551B146378}"/>
    <hyperlink ref="Q1600" r:id="rId519" xr:uid="{DCD672FC-FC07-4F43-9F04-61330CDA5CE9}"/>
    <hyperlink ref="Q1602" r:id="rId520" xr:uid="{B187896F-8D5F-4B3A-BCBE-C8361A488513}"/>
    <hyperlink ref="Q1603" r:id="rId521" xr:uid="{0C465BC4-3877-4EC1-9A6F-C454853DFCB6}"/>
    <hyperlink ref="Q1605" r:id="rId522" xr:uid="{C3CE7EBA-9571-4ACA-B25A-870CFA91D0E6}"/>
    <hyperlink ref="Q1606" r:id="rId523" xr:uid="{7BE61AD2-CD48-4EBD-8B30-991A454DF88C}"/>
    <hyperlink ref="Q1607" r:id="rId524" xr:uid="{F943E441-5375-4E48-947A-350D2534A3DD}"/>
    <hyperlink ref="Q1609" r:id="rId525" xr:uid="{D3524639-3FED-4AEA-9A9A-77802387C6CD}"/>
    <hyperlink ref="Q1610" r:id="rId526" xr:uid="{5FA8DFD9-79BF-4BEE-9F5E-7B1177B06EB2}"/>
    <hyperlink ref="Q1611" r:id="rId527" xr:uid="{D5AB960C-9EDA-4FEB-BCBC-00BDE894D9C6}"/>
    <hyperlink ref="Q1612" r:id="rId528" xr:uid="{B6D6A4E1-6C32-41AA-822B-E43871E41BFA}"/>
    <hyperlink ref="Q1613" r:id="rId529" xr:uid="{80D64D4A-E648-4C64-A8EE-0C5320259049}"/>
    <hyperlink ref="Q1614" r:id="rId530" xr:uid="{14643A56-09E5-4ACF-B7F3-F0A60FB4DDEA}"/>
    <hyperlink ref="Q1615" r:id="rId531" xr:uid="{19891C16-8782-4A42-A7F7-08C3D5280A58}"/>
    <hyperlink ref="Q1618" r:id="rId532" xr:uid="{C1E19762-CAC1-4A56-9BE1-9E8FEFF0B0C8}"/>
    <hyperlink ref="Q1619" r:id="rId533" xr:uid="{53CE3C95-8F8E-42EE-A9D1-48B5A5F026C3}"/>
    <hyperlink ref="Q1620" r:id="rId534" xr:uid="{D6B404F7-543C-4D34-AA2F-155E78BAE7E8}"/>
    <hyperlink ref="Q1621" r:id="rId535" xr:uid="{2A5E726A-4432-4DFE-8D78-66B80CE7B69E}"/>
    <hyperlink ref="Q1622" r:id="rId536" xr:uid="{18C30C05-E1D4-442F-8AB5-DCA55B7C09F9}"/>
    <hyperlink ref="Q1623" r:id="rId537" xr:uid="{70184E3C-10F2-4B70-89C7-0A73EC2AC356}"/>
    <hyperlink ref="Q1624" r:id="rId538" xr:uid="{BEDECCAE-9C58-4ADA-8368-041D3A169A8A}"/>
    <hyperlink ref="Q1625" r:id="rId539" xr:uid="{D59BD750-5809-45D9-8E44-1CF9F2760C0D}"/>
    <hyperlink ref="Q1616" r:id="rId540" xr:uid="{95092DAF-9DAD-4CAC-8191-334A5ABB32B1}"/>
    <hyperlink ref="Q1617" r:id="rId541" xr:uid="{35902023-2F59-4990-AD71-B2A7900CC81F}"/>
    <hyperlink ref="Q1626" r:id="rId542" xr:uid="{A7FF9DD2-0FBC-4A3D-AB96-0631B07EF219}"/>
    <hyperlink ref="Q1627" r:id="rId543" xr:uid="{E1F17EC6-ED86-4671-AFA0-D15052857318}"/>
    <hyperlink ref="Q1628" r:id="rId544" xr:uid="{F9D95030-4942-484B-A564-A8B03FFA176C}"/>
    <hyperlink ref="Q1629" r:id="rId545" xr:uid="{E62632F6-F879-4F7E-B5E5-E33E4DBB2862}"/>
    <hyperlink ref="Q1630" r:id="rId546" xr:uid="{395FE08A-3719-4174-94EF-F168FFF7EF44}"/>
    <hyperlink ref="Q1631" r:id="rId547" xr:uid="{F66BE0DB-CE1E-4EDB-9A96-CD7A2E56110D}"/>
    <hyperlink ref="Q1633" r:id="rId548" xr:uid="{92351B9C-02FA-4E27-AE05-40D214DC3084}"/>
    <hyperlink ref="Q1634" r:id="rId549" xr:uid="{5E418E64-886A-47E2-9974-8A7081E1674C}"/>
    <hyperlink ref="Q1635" r:id="rId550" xr:uid="{A4CEB9FB-007B-47AD-84CB-D484716A917F}"/>
    <hyperlink ref="Q1636" r:id="rId551" xr:uid="{330936BB-8F1B-4130-B7D3-E8E707AD034E}"/>
    <hyperlink ref="Q1638" r:id="rId552" xr:uid="{D80BDD3C-1D7F-44B0-AD1C-2FD0FC66339C}"/>
    <hyperlink ref="Q1639" r:id="rId553" xr:uid="{FA86CB83-EF04-4579-8296-FE04C6602D94}"/>
    <hyperlink ref="Q1632" r:id="rId554" xr:uid="{BCB5DF6B-B284-4664-BB6D-50E065C79BE5}"/>
    <hyperlink ref="Q1641" r:id="rId555" xr:uid="{B46DBCEC-547D-4750-9937-3139EDC65BBB}"/>
    <hyperlink ref="Q1642" r:id="rId556" xr:uid="{A36F2111-21F4-4C93-9123-211F011EF496}"/>
    <hyperlink ref="Q1643" r:id="rId557" xr:uid="{D4F1D76F-0806-46DC-B0FF-94D7218E66CB}"/>
    <hyperlink ref="Q1645" r:id="rId558" xr:uid="{03991CB5-430B-4BD6-9F32-3CA8FD09F2EB}"/>
    <hyperlink ref="Q1646" r:id="rId559" xr:uid="{1603F1DB-E6A9-4283-9C05-EAAFE0C07B0D}"/>
    <hyperlink ref="Q1647" r:id="rId560" xr:uid="{1D097A1A-498C-4936-A3B9-F459BBA2B499}"/>
    <hyperlink ref="Q1648" r:id="rId561" xr:uid="{86B82D09-FDF2-4232-9AD8-30474195C6F0}"/>
    <hyperlink ref="Q1644" r:id="rId562" xr:uid="{6905D286-8ACF-4FF9-851A-DBD2B5F2FCBC}"/>
    <hyperlink ref="Q1649" r:id="rId563" xr:uid="{222951BE-622F-48D6-B990-F9F45F843F60}"/>
    <hyperlink ref="Q1650" r:id="rId564" xr:uid="{AA979EAF-5F46-4A46-9E2B-1A6E95F568BE}"/>
    <hyperlink ref="Q1651" r:id="rId565" xr:uid="{2F0C08CE-31FA-4F59-87E2-BE434A9492CC}"/>
    <hyperlink ref="Q1652" r:id="rId566" xr:uid="{E729F367-E165-46F3-92DE-2F04D0EFAA4A}"/>
    <hyperlink ref="Q1653" r:id="rId567" xr:uid="{2B894FE1-8BD0-44DD-A138-84E02E6E87EE}"/>
    <hyperlink ref="Q1654" r:id="rId568" xr:uid="{BD6A9CDF-8DBB-4B09-8FA1-A086BCB66671}"/>
    <hyperlink ref="Q1657" r:id="rId569" xr:uid="{3D6DBD79-04EA-448D-BDEB-EBCDC8394AAC}"/>
    <hyperlink ref="Q1658" r:id="rId570" xr:uid="{16D446D1-4B95-4C10-9B1F-AF2DC24075E9}"/>
    <hyperlink ref="Q1659" r:id="rId571" xr:uid="{25F58143-89D1-4DCE-BE08-D43C71C3F3B7}"/>
    <hyperlink ref="Q1660" r:id="rId572" xr:uid="{7E97EC84-1DF0-45EE-9448-9450D10CA311}"/>
    <hyperlink ref="Q1662" r:id="rId573" xr:uid="{5F4EFE64-9976-4A1A-B91B-D1834FCB49B0}"/>
    <hyperlink ref="Q1663" r:id="rId574" xr:uid="{BCEA70EE-1E68-49FA-B1F0-00EA6879F9B7}"/>
    <hyperlink ref="Q1664" r:id="rId575" xr:uid="{B995DF6A-F985-4A72-94B9-299A4AFC095A}"/>
    <hyperlink ref="Q1667" r:id="rId576" xr:uid="{4FBB56D2-0737-4041-B079-3F9B5E2E8190}"/>
    <hyperlink ref="Q1668" r:id="rId577" xr:uid="{D23C91C9-AE5F-4679-AB2C-A309FA8CC877}"/>
    <hyperlink ref="Q1669" r:id="rId578" xr:uid="{505D7245-4B15-41B0-A4D7-1CFC7A343AE3}"/>
    <hyperlink ref="Q1670" r:id="rId579" xr:uid="{0AED57D1-64B8-4329-9ECA-D56D0BCE1616}"/>
    <hyperlink ref="Q1665" r:id="rId580" xr:uid="{B4325612-7AE8-401D-A9C5-1D0C0EF2FD79}"/>
    <hyperlink ref="Q1666" r:id="rId581" xr:uid="{90410387-4CC9-4605-A44A-5936856589F5}"/>
    <hyperlink ref="Q1671" r:id="rId582" xr:uid="{2D933C3E-F0BA-4341-B075-F2EE6C08B02F}"/>
    <hyperlink ref="Q1672" r:id="rId583" xr:uid="{A04E02D4-4498-4A2D-8881-2F50BED7414A}"/>
    <hyperlink ref="Q1673" r:id="rId584" xr:uid="{AF537AD1-E3B2-4FF1-8910-8383AA2B5F36}"/>
    <hyperlink ref="Q1674" r:id="rId585" xr:uid="{CB46E031-DFDA-42B4-9E59-38C274C4754F}"/>
    <hyperlink ref="Q1675" r:id="rId586" xr:uid="{8A2B8D3B-69D5-49D5-8788-2412F5813817}"/>
    <hyperlink ref="Q1676" r:id="rId587" xr:uid="{74916CBC-11A1-45E5-B9A6-60118B3511B9}"/>
    <hyperlink ref="Q1677" r:id="rId588" xr:uid="{85C9F6E5-687A-475A-89E9-5DA211D36370}"/>
    <hyperlink ref="Q1680" r:id="rId589" xr:uid="{0F6ED9F1-9704-4FED-B5A2-0902310EE9AF}"/>
    <hyperlink ref="Q1682" r:id="rId590" xr:uid="{CFAB62AB-81B3-4FB8-903F-16A002863144}"/>
    <hyperlink ref="Q1683" r:id="rId591" xr:uid="{F6255E31-D065-4D31-828F-AC39DF78CE98}"/>
    <hyperlink ref="Q1684" r:id="rId592" xr:uid="{7E45A541-FBFA-4152-9589-E2870EE9DA4E}"/>
    <hyperlink ref="Q1685" r:id="rId593" xr:uid="{03BC112B-60A9-4673-9D76-7B1F15CCB663}"/>
    <hyperlink ref="Q1686" r:id="rId594" xr:uid="{088E22DF-9560-4E9B-9B18-D867D4B1CE12}"/>
    <hyperlink ref="Q1687" r:id="rId595" xr:uid="{FCA3C313-6967-4AA4-B81E-DFE086559666}"/>
    <hyperlink ref="Q1688" r:id="rId596" xr:uid="{BC3FC607-7EDA-43F8-AA6D-462BA719FB3B}"/>
    <hyperlink ref="Q1689" r:id="rId597" xr:uid="{C2C88FEC-3FC1-439E-9568-F0FC8F74C638}"/>
    <hyperlink ref="Q1690" r:id="rId598" xr:uid="{9C5071F0-6453-4331-9D95-1F68C03550F5}"/>
    <hyperlink ref="Q1691" r:id="rId599" xr:uid="{2616336A-D669-4377-9243-DD836597BC2B}"/>
    <hyperlink ref="Q1692" r:id="rId600" xr:uid="{11FF04F0-545F-437E-B20C-C9E62574111D}"/>
    <hyperlink ref="Q1693" r:id="rId601" xr:uid="{64A6171A-ADFD-4F56-AC3B-6BD3FD110564}"/>
    <hyperlink ref="Q1694" r:id="rId602" xr:uid="{33547A90-6944-4B84-BF29-DF7D4726587F}"/>
    <hyperlink ref="Q1695" r:id="rId603" xr:uid="{F92485A2-F54A-44E6-9CF3-5F0F55C2A609}"/>
    <hyperlink ref="Q1696" r:id="rId604" xr:uid="{36669978-21C2-4036-B974-232ECB84A9A6}"/>
    <hyperlink ref="Q1697" r:id="rId605" xr:uid="{F44CA070-ED90-49C0-B542-AA10A2C3D01C}"/>
    <hyperlink ref="Q1698" r:id="rId606" xr:uid="{B6B09825-D2DD-4C5B-9132-4B8D3FDA137E}"/>
    <hyperlink ref="Q1699" r:id="rId607" xr:uid="{20D7F0FE-422E-4F68-8323-CBB6A3FB6920}"/>
    <hyperlink ref="Q1700" r:id="rId608" xr:uid="{AEA3AA63-7EA7-4E4B-9345-16970F82A7E4}"/>
    <hyperlink ref="Q1701" r:id="rId609" xr:uid="{A61D27CE-4525-424C-A1CD-8244DC6296AD}"/>
    <hyperlink ref="Q1702" r:id="rId610" xr:uid="{5F2041AE-CF28-4D62-9086-200A05416691}"/>
  </hyperlinks>
  <printOptions gridLines="1"/>
  <pageMargins left="0.7" right="0.7" top="0.75" bottom="0.75" header="0.3" footer="0.3"/>
  <pageSetup scale="53" orientation="landscape" r:id="rId611"/>
  <legacyDrawing r:id="rId6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73"/>
  <sheetViews>
    <sheetView zoomScale="116" zoomScaleNormal="116" workbookViewId="0">
      <pane ySplit="3" topLeftCell="A28" activePane="bottomLeft" state="frozen"/>
      <selection pane="bottomLeft" activeCell="F29" sqref="F29"/>
    </sheetView>
  </sheetViews>
  <sheetFormatPr defaultRowHeight="15"/>
  <cols>
    <col min="4" max="4" width="10.85546875" customWidth="1"/>
    <col min="6" max="6" width="25.42578125" style="393" customWidth="1"/>
    <col min="7" max="7" width="7.85546875" style="386" customWidth="1"/>
    <col min="8" max="8" width="8.140625" style="386" customWidth="1"/>
    <col min="9" max="9" width="11.7109375" style="386" bestFit="1" customWidth="1"/>
    <col min="10" max="12" width="9.140625" style="386"/>
    <col min="13" max="13" width="9.140625" style="134"/>
    <col min="14" max="14" width="11" bestFit="1" customWidth="1"/>
    <col min="15" max="15" width="39.42578125" customWidth="1"/>
    <col min="16" max="16" width="23.85546875" customWidth="1"/>
  </cols>
  <sheetData>
    <row r="1" spans="1:21">
      <c r="A1" s="303" t="s">
        <v>2372</v>
      </c>
      <c r="B1" s="275"/>
      <c r="E1" t="s">
        <v>2465</v>
      </c>
    </row>
    <row r="2" spans="1:21" ht="60">
      <c r="A2" s="134"/>
      <c r="B2" s="604" t="s">
        <v>5</v>
      </c>
      <c r="C2" s="604"/>
      <c r="D2" s="101" t="s">
        <v>14</v>
      </c>
      <c r="E2" s="29" t="s">
        <v>2371</v>
      </c>
    </row>
    <row r="3" spans="1:21" ht="73.5" customHeight="1">
      <c r="A3" s="362" t="s">
        <v>4</v>
      </c>
      <c r="B3" s="237" t="s">
        <v>1202</v>
      </c>
      <c r="C3" s="23" t="s">
        <v>2466</v>
      </c>
      <c r="D3" s="23" t="s">
        <v>403</v>
      </c>
      <c r="E3" s="23" t="s">
        <v>416</v>
      </c>
      <c r="F3" s="22" t="s">
        <v>135</v>
      </c>
      <c r="G3" s="22" t="s">
        <v>131</v>
      </c>
      <c r="H3" s="22" t="s">
        <v>132</v>
      </c>
      <c r="I3" s="22" t="s">
        <v>133</v>
      </c>
      <c r="J3" s="22" t="s">
        <v>1250</v>
      </c>
      <c r="K3" s="22" t="s">
        <v>105</v>
      </c>
      <c r="L3" s="22" t="s">
        <v>157</v>
      </c>
      <c r="M3" s="219" t="s">
        <v>1352</v>
      </c>
      <c r="N3" s="18" t="s">
        <v>239</v>
      </c>
      <c r="O3" s="18" t="s">
        <v>145</v>
      </c>
      <c r="P3" s="18" t="s">
        <v>183</v>
      </c>
      <c r="Q3" s="11" t="s">
        <v>2188</v>
      </c>
      <c r="R3" s="11" t="s">
        <v>2189</v>
      </c>
      <c r="T3" s="22"/>
      <c r="U3" s="57"/>
    </row>
    <row r="4" spans="1:21" ht="33" customHeight="1">
      <c r="A4" s="134" t="s">
        <v>2363</v>
      </c>
      <c r="B4" s="134">
        <v>18.8</v>
      </c>
      <c r="C4">
        <v>1.51</v>
      </c>
      <c r="D4">
        <v>7.05</v>
      </c>
      <c r="E4">
        <v>24.32</v>
      </c>
      <c r="F4" s="384" t="s">
        <v>2367</v>
      </c>
      <c r="G4" s="386">
        <v>60.6</v>
      </c>
      <c r="H4" s="386">
        <v>68</v>
      </c>
      <c r="I4" s="217">
        <v>42961</v>
      </c>
      <c r="J4" s="19" t="s">
        <v>130</v>
      </c>
      <c r="K4" s="19">
        <v>33.33</v>
      </c>
      <c r="L4" s="19">
        <v>0.32500000000000001</v>
      </c>
      <c r="M4" s="136">
        <v>332</v>
      </c>
      <c r="N4" s="4" t="str">
        <f>HYPERLINK("\\hopi-fs\shares\users\dhar\Stalk mount testing\Type 1e Quality Assurance\CRYO-ISE-2Q16-10-B131  18 MEQ","folder")</f>
        <v>folder</v>
      </c>
      <c r="O4" t="s">
        <v>2337</v>
      </c>
      <c r="P4" t="s">
        <v>2379</v>
      </c>
    </row>
    <row r="5" spans="1:21">
      <c r="A5" s="134" t="s">
        <v>2364</v>
      </c>
      <c r="B5" s="134">
        <v>17.600000000000001</v>
      </c>
      <c r="C5">
        <v>1.5</v>
      </c>
      <c r="D5">
        <v>7.11</v>
      </c>
      <c r="E5">
        <v>24.36</v>
      </c>
      <c r="F5" s="360" t="s">
        <v>2368</v>
      </c>
      <c r="G5" s="386">
        <v>60.6</v>
      </c>
      <c r="H5" s="386">
        <v>68</v>
      </c>
      <c r="I5" s="217">
        <v>42961</v>
      </c>
      <c r="J5" s="19" t="s">
        <v>130</v>
      </c>
      <c r="K5" s="19">
        <v>33.42</v>
      </c>
      <c r="L5" s="19">
        <v>0.35599999999999998</v>
      </c>
      <c r="M5" s="136">
        <v>294</v>
      </c>
      <c r="N5" s="4" t="str">
        <f>HYPERLINK("\\hopi-fs\shares\users\dhar\Stalk mount testing\Type 1e Quality Assurance\CRYO-ISE-2Q16-10-B132  18 MEQ","folder")</f>
        <v>folder</v>
      </c>
      <c r="O5" t="s">
        <v>2337</v>
      </c>
      <c r="P5" t="s">
        <v>2430</v>
      </c>
    </row>
    <row r="6" spans="1:21">
      <c r="A6" s="134" t="s">
        <v>2365</v>
      </c>
      <c r="B6" s="134">
        <v>16.8</v>
      </c>
      <c r="C6">
        <v>1.49</v>
      </c>
      <c r="D6">
        <v>7.13</v>
      </c>
      <c r="E6">
        <v>24.33</v>
      </c>
      <c r="F6" s="384" t="s">
        <v>2369</v>
      </c>
      <c r="G6" s="386">
        <v>60.6</v>
      </c>
      <c r="H6" s="386">
        <v>68</v>
      </c>
      <c r="I6" s="217">
        <v>42961</v>
      </c>
      <c r="J6" s="19" t="s">
        <v>130</v>
      </c>
      <c r="K6" s="19">
        <v>33.39</v>
      </c>
      <c r="L6" s="19">
        <v>0.35599999999999998</v>
      </c>
      <c r="M6" s="136">
        <v>292</v>
      </c>
      <c r="N6" s="4" t="str">
        <f>HYPERLINK("\\hopi-fs\shares\users\dhar\Stalk mount testing\Type 1e Quality Assurance\CRYO-ISE-2Q16-10-B135  18 MEQ","folder")</f>
        <v>folder</v>
      </c>
      <c r="O6" t="s">
        <v>2337</v>
      </c>
      <c r="P6" t="s">
        <v>2379</v>
      </c>
    </row>
    <row r="7" spans="1:21" ht="28.5" customHeight="1">
      <c r="A7" s="134" t="s">
        <v>2402</v>
      </c>
      <c r="B7">
        <v>18.8</v>
      </c>
      <c r="C7">
        <v>1.49</v>
      </c>
      <c r="D7">
        <v>7.11</v>
      </c>
      <c r="E7">
        <v>24.39</v>
      </c>
      <c r="F7" s="360" t="s">
        <v>2404</v>
      </c>
      <c r="G7" s="386">
        <v>57.6</v>
      </c>
      <c r="H7" s="386">
        <v>70</v>
      </c>
      <c r="I7" s="217">
        <v>42976</v>
      </c>
      <c r="J7" s="19" t="s">
        <v>130</v>
      </c>
      <c r="K7" s="19">
        <v>33.44</v>
      </c>
      <c r="L7" s="19">
        <v>0.61</v>
      </c>
      <c r="M7" s="136">
        <v>312</v>
      </c>
      <c r="N7" s="4" t="str">
        <f>HYPERLINK("\\hopi-fs\shares\users\dhar\Stalk mount testing\Type 18\CRYO-ISE-2Q16-10-B136  18 MEQ","folder")</f>
        <v>folder</v>
      </c>
      <c r="O7" t="s">
        <v>2337</v>
      </c>
      <c r="P7" t="s">
        <v>2430</v>
      </c>
    </row>
    <row r="8" spans="1:21">
      <c r="A8" s="134" t="s">
        <v>2403</v>
      </c>
      <c r="B8" s="134">
        <v>18.399999999999999</v>
      </c>
      <c r="C8">
        <v>1.5</v>
      </c>
      <c r="D8">
        <v>7.12</v>
      </c>
      <c r="E8">
        <v>24.52</v>
      </c>
      <c r="F8" s="360" t="s">
        <v>2405</v>
      </c>
      <c r="G8" s="386">
        <v>57.6</v>
      </c>
      <c r="H8" s="386">
        <v>70</v>
      </c>
      <c r="I8" s="217">
        <v>42976</v>
      </c>
      <c r="J8" s="19" t="s">
        <v>130</v>
      </c>
      <c r="K8" s="386">
        <v>33.57</v>
      </c>
      <c r="L8" s="386">
        <v>0.50800000000000001</v>
      </c>
      <c r="M8" s="134">
        <v>295</v>
      </c>
      <c r="N8" s="4" t="str">
        <f>HYPERLINK("\\hopi-fs\shares\users\dhar\Stalk mount testing\Type 18\CRYO-ISE-2Q16-10-B138  18 MEQ","folder")</f>
        <v>folder</v>
      </c>
      <c r="O8" t="s">
        <v>2337</v>
      </c>
      <c r="P8" t="s">
        <v>2430</v>
      </c>
    </row>
    <row r="9" spans="1:21">
      <c r="A9" s="134" t="s">
        <v>2406</v>
      </c>
      <c r="B9" s="134">
        <v>19</v>
      </c>
      <c r="C9">
        <v>1.5</v>
      </c>
      <c r="D9">
        <v>7.13</v>
      </c>
      <c r="E9">
        <v>24.37</v>
      </c>
      <c r="F9" s="19" t="s">
        <v>2407</v>
      </c>
      <c r="G9" s="386">
        <v>53.6</v>
      </c>
      <c r="H9" s="386">
        <v>70</v>
      </c>
      <c r="I9" s="217">
        <v>42986</v>
      </c>
      <c r="J9" s="386" t="s">
        <v>130</v>
      </c>
      <c r="K9" s="386">
        <v>33.44</v>
      </c>
      <c r="L9" s="386">
        <v>0.82399999999999995</v>
      </c>
      <c r="M9" s="134">
        <v>300</v>
      </c>
      <c r="N9" s="4" t="str">
        <f>HYPERLINK("\\hopi-fs\shares\users\dhar\Stalk mount testing\Type 18\CRYO-ISE-1Q18-01-D01 18 MEQ","folder")</f>
        <v>folder</v>
      </c>
      <c r="O9" t="s">
        <v>2337</v>
      </c>
      <c r="P9" t="s">
        <v>2430</v>
      </c>
    </row>
    <row r="10" spans="1:21" ht="30" customHeight="1">
      <c r="A10" s="134" t="s">
        <v>2468</v>
      </c>
      <c r="B10" s="134"/>
      <c r="F10" s="176" t="s">
        <v>2467</v>
      </c>
      <c r="G10" s="386">
        <v>31.9</v>
      </c>
      <c r="H10" s="386">
        <v>72.3</v>
      </c>
      <c r="I10" s="217">
        <v>43040</v>
      </c>
      <c r="J10" s="386" t="s">
        <v>130</v>
      </c>
      <c r="N10" s="64"/>
      <c r="O10" t="s">
        <v>2337</v>
      </c>
      <c r="P10" t="s">
        <v>2492</v>
      </c>
    </row>
    <row r="11" spans="1:21">
      <c r="A11" s="134" t="s">
        <v>2468</v>
      </c>
      <c r="B11" s="134"/>
      <c r="F11" s="176" t="s">
        <v>2491</v>
      </c>
      <c r="G11" s="395">
        <v>54</v>
      </c>
      <c r="H11" s="395">
        <v>69</v>
      </c>
      <c r="I11" s="217">
        <v>43042</v>
      </c>
      <c r="J11" s="395" t="s">
        <v>130</v>
      </c>
      <c r="K11" s="395"/>
      <c r="L11" s="395"/>
      <c r="N11" s="34" t="str">
        <f>HYPERLINK("\\HOPI-FS\shares\users\dhar\Stalk mount testing\Type 1e Quality Assurance\CRYO-2074-2827","folder")</f>
        <v>folder</v>
      </c>
      <c r="O11" t="s">
        <v>2337</v>
      </c>
      <c r="P11" t="s">
        <v>2493</v>
      </c>
    </row>
    <row r="12" spans="1:21">
      <c r="A12" s="134" t="s">
        <v>2468</v>
      </c>
      <c r="B12" s="134">
        <v>16</v>
      </c>
      <c r="C12">
        <v>1.64</v>
      </c>
      <c r="D12">
        <v>7.11</v>
      </c>
      <c r="E12">
        <v>24.44</v>
      </c>
      <c r="F12" s="248" t="s">
        <v>2501</v>
      </c>
      <c r="G12" s="395">
        <v>54</v>
      </c>
      <c r="H12" s="395">
        <v>69</v>
      </c>
      <c r="I12" s="217">
        <v>43042</v>
      </c>
      <c r="J12" s="395" t="s">
        <v>130</v>
      </c>
      <c r="K12" s="395">
        <v>33.68</v>
      </c>
      <c r="L12" s="395">
        <v>0.05</v>
      </c>
      <c r="M12" s="396">
        <v>228</v>
      </c>
      <c r="N12" s="34" t="str">
        <f>HYPERLINK("\\HOPI-FS\shares\users\dhar\Stalk mount testing\Type 1e Quality Assurance\CRYO-2074-2831","FOLDER")</f>
        <v>FOLDER</v>
      </c>
      <c r="O12" t="s">
        <v>2337</v>
      </c>
      <c r="P12" s="13" t="s">
        <v>2511</v>
      </c>
      <c r="Q12" t="s">
        <v>2503</v>
      </c>
    </row>
    <row r="13" spans="1:21">
      <c r="A13" s="134" t="s">
        <v>2469</v>
      </c>
      <c r="F13" s="176" t="s">
        <v>2478</v>
      </c>
      <c r="G13" s="394">
        <v>31.9</v>
      </c>
      <c r="H13" s="394">
        <v>72.3</v>
      </c>
      <c r="I13" s="217">
        <v>43040</v>
      </c>
      <c r="J13" s="393" t="s">
        <v>130</v>
      </c>
      <c r="N13" s="64"/>
      <c r="O13" t="s">
        <v>2337</v>
      </c>
      <c r="P13" s="13" t="s">
        <v>2494</v>
      </c>
    </row>
    <row r="14" spans="1:21">
      <c r="A14" s="134" t="s">
        <v>2469</v>
      </c>
      <c r="B14">
        <v>19</v>
      </c>
      <c r="C14">
        <v>1.58</v>
      </c>
      <c r="D14">
        <v>7.13</v>
      </c>
      <c r="E14">
        <v>24.38</v>
      </c>
      <c r="F14" s="249" t="s">
        <v>2499</v>
      </c>
      <c r="G14" s="395">
        <v>54</v>
      </c>
      <c r="H14" s="395">
        <v>69</v>
      </c>
      <c r="I14" s="217">
        <v>43042</v>
      </c>
      <c r="J14" s="395" t="s">
        <v>130</v>
      </c>
      <c r="K14" s="395">
        <v>33.590000000000003</v>
      </c>
      <c r="L14" s="395">
        <v>0.31</v>
      </c>
      <c r="M14" s="134">
        <v>395</v>
      </c>
      <c r="N14" s="34" t="str">
        <f>HYPERLINK("\\HOPI-FS\shares\users\dhar\Stalk mount testing\Type 1e Quality Assurance\CRYO-2073-2830","folder")</f>
        <v>folder</v>
      </c>
      <c r="O14" t="s">
        <v>2337</v>
      </c>
      <c r="P14" s="13" t="s">
        <v>2500</v>
      </c>
      <c r="Q14" t="s">
        <v>2348</v>
      </c>
    </row>
    <row r="15" spans="1:21">
      <c r="A15" s="134" t="s">
        <v>2470</v>
      </c>
      <c r="B15" s="134">
        <v>19</v>
      </c>
      <c r="C15">
        <v>1.53</v>
      </c>
      <c r="D15">
        <v>7.09</v>
      </c>
      <c r="E15">
        <v>24.36</v>
      </c>
      <c r="F15" s="249" t="s">
        <v>2479</v>
      </c>
      <c r="G15" s="394">
        <v>31.9</v>
      </c>
      <c r="H15" s="394">
        <v>72.3</v>
      </c>
      <c r="I15" s="217">
        <v>43040</v>
      </c>
      <c r="J15" s="393" t="s">
        <v>130</v>
      </c>
      <c r="K15" s="386">
        <v>33.51</v>
      </c>
      <c r="L15" s="386">
        <v>0.40200000000000002</v>
      </c>
      <c r="M15" s="134">
        <v>361</v>
      </c>
      <c r="N15" s="385" t="str">
        <f>HYPERLINK("\\HOPI-FS\shares\users\dhar\Stalk mount testing\Type 1e Quality Assurance\CRYO-2074-2832  18-009","folder")</f>
        <v>folder</v>
      </c>
      <c r="O15" t="s">
        <v>2337</v>
      </c>
      <c r="P15" s="13" t="s">
        <v>2495</v>
      </c>
      <c r="Q15" t="s">
        <v>2487</v>
      </c>
      <c r="R15">
        <v>2</v>
      </c>
    </row>
    <row r="16" spans="1:21">
      <c r="A16" s="134" t="s">
        <v>2471</v>
      </c>
      <c r="B16" s="134">
        <v>18</v>
      </c>
      <c r="C16">
        <v>1.49</v>
      </c>
      <c r="D16">
        <v>7.15</v>
      </c>
      <c r="E16">
        <v>24.4</v>
      </c>
      <c r="F16" s="19" t="s">
        <v>2480</v>
      </c>
      <c r="G16" s="394">
        <v>31.9</v>
      </c>
      <c r="H16" s="394">
        <v>72.3</v>
      </c>
      <c r="I16" s="217">
        <v>43040</v>
      </c>
      <c r="J16" s="393" t="s">
        <v>130</v>
      </c>
      <c r="K16" s="386">
        <v>33.549999999999997</v>
      </c>
      <c r="L16" s="386">
        <v>0.27400000000000002</v>
      </c>
      <c r="M16" s="134">
        <v>382</v>
      </c>
      <c r="N16" s="385" t="str">
        <f>HYPERLINK("\\HOPI-FS\shares\users\dhar\Stalk mount testing\Type 1e Quality Assurance\CRYO-2068-2835  18-010","folder")</f>
        <v>folder</v>
      </c>
      <c r="O16" t="s">
        <v>2337</v>
      </c>
      <c r="P16" s="13" t="s">
        <v>2496</v>
      </c>
      <c r="Q16" t="s">
        <v>2488</v>
      </c>
      <c r="R16">
        <v>1</v>
      </c>
    </row>
    <row r="17" spans="1:18">
      <c r="A17" s="134" t="s">
        <v>2472</v>
      </c>
      <c r="B17" s="134">
        <v>16.8</v>
      </c>
      <c r="C17">
        <v>1.5</v>
      </c>
      <c r="D17">
        <v>7.07</v>
      </c>
      <c r="E17">
        <v>24.4</v>
      </c>
      <c r="F17" s="249" t="s">
        <v>2481</v>
      </c>
      <c r="G17" s="394">
        <v>31.9</v>
      </c>
      <c r="H17" s="394">
        <v>72.3</v>
      </c>
      <c r="I17" s="217">
        <v>43040</v>
      </c>
      <c r="J17" s="393" t="s">
        <v>130</v>
      </c>
      <c r="K17" s="386">
        <v>33.47</v>
      </c>
      <c r="L17" s="386">
        <v>0.182</v>
      </c>
      <c r="M17" s="134">
        <v>343</v>
      </c>
      <c r="N17" s="385" t="str">
        <f>HYPERLINK("\\HOPI-FS\shares\users\dhar\Stalk mount testing\Type 1e Quality Assurance\CRYO-2068-2839  18-011","folder")</f>
        <v>folder</v>
      </c>
      <c r="O17" t="s">
        <v>2337</v>
      </c>
      <c r="P17" s="13" t="s">
        <v>2496</v>
      </c>
      <c r="Q17" t="s">
        <v>2312</v>
      </c>
      <c r="R17">
        <v>1</v>
      </c>
    </row>
    <row r="18" spans="1:18">
      <c r="A18" s="134" t="s">
        <v>2473</v>
      </c>
      <c r="B18" s="134">
        <v>16.399999999999999</v>
      </c>
      <c r="C18">
        <v>1.51</v>
      </c>
      <c r="D18">
        <v>7.1</v>
      </c>
      <c r="E18">
        <v>24.39</v>
      </c>
      <c r="F18" s="45" t="s">
        <v>2482</v>
      </c>
      <c r="G18" s="394">
        <v>31.9</v>
      </c>
      <c r="H18" s="394">
        <v>72.3</v>
      </c>
      <c r="I18" s="217">
        <v>43040</v>
      </c>
      <c r="J18" s="393" t="s">
        <v>130</v>
      </c>
      <c r="K18" s="386">
        <v>33.54</v>
      </c>
      <c r="L18" s="386">
        <v>0.307</v>
      </c>
      <c r="M18" s="396">
        <v>296</v>
      </c>
      <c r="N18" s="385" t="str">
        <f>HYPERLINK("\\HOPI-FS\shares\users\dhar\Stalk mount testing\Type 1e Quality Assurance\CRYO-2069-2843  18-012","folder")</f>
        <v>folder</v>
      </c>
      <c r="O18" t="s">
        <v>2337</v>
      </c>
      <c r="P18" s="13" t="s">
        <v>2504</v>
      </c>
      <c r="Q18" t="s">
        <v>2489</v>
      </c>
      <c r="R18" t="s">
        <v>2512</v>
      </c>
    </row>
    <row r="19" spans="1:18">
      <c r="A19" s="134" t="s">
        <v>2474</v>
      </c>
      <c r="B19" s="134">
        <v>16</v>
      </c>
      <c r="C19">
        <v>1.49</v>
      </c>
      <c r="D19">
        <v>7.08</v>
      </c>
      <c r="E19">
        <v>24.44</v>
      </c>
      <c r="F19" s="45" t="s">
        <v>2483</v>
      </c>
      <c r="G19" s="394">
        <v>31.9</v>
      </c>
      <c r="H19" s="394">
        <v>72.3</v>
      </c>
      <c r="I19" s="217">
        <v>43040</v>
      </c>
      <c r="J19" s="393" t="s">
        <v>130</v>
      </c>
      <c r="K19" s="386">
        <v>33.549999999999997</v>
      </c>
      <c r="L19" s="386">
        <v>0.29499999999999998</v>
      </c>
      <c r="M19" s="396" t="s">
        <v>2513</v>
      </c>
      <c r="N19" s="4" t="str">
        <f>HYPERLINK("\\HOPI-FS\shares\users\dhar\Stalk mount testing\Type 1e Quality Assurance\CRYO-2074-2846  18-013","folder")</f>
        <v>folder</v>
      </c>
      <c r="O19" t="s">
        <v>2337</v>
      </c>
      <c r="P19" s="13" t="s">
        <v>2509</v>
      </c>
      <c r="Q19" t="s">
        <v>2490</v>
      </c>
      <c r="R19" t="s">
        <v>2508</v>
      </c>
    </row>
    <row r="20" spans="1:18">
      <c r="A20" s="134" t="s">
        <v>2475</v>
      </c>
      <c r="B20" s="134">
        <v>16</v>
      </c>
      <c r="C20">
        <v>1.51</v>
      </c>
      <c r="D20">
        <v>7.12</v>
      </c>
      <c r="E20">
        <v>24.39</v>
      </c>
      <c r="F20" s="176" t="s">
        <v>2484</v>
      </c>
      <c r="G20" s="394">
        <v>31.9</v>
      </c>
      <c r="H20" s="394">
        <v>72.3</v>
      </c>
      <c r="I20" s="217">
        <v>43040</v>
      </c>
      <c r="J20" s="393" t="s">
        <v>130</v>
      </c>
      <c r="K20" s="386">
        <v>33.549999999999997</v>
      </c>
      <c r="L20" s="386">
        <v>0.17899999999999999</v>
      </c>
      <c r="N20" s="4" t="str">
        <f>HYPERLINK("\\HOPI-FS\shares\users\dhar\Stalk mount testing\Type 1e Quality Assurance\CRYO-2074-2857  18-014","folder")</f>
        <v>folder</v>
      </c>
      <c r="O20" t="s">
        <v>2337</v>
      </c>
      <c r="P20" t="s">
        <v>2498</v>
      </c>
      <c r="Q20" t="s">
        <v>2338</v>
      </c>
      <c r="R20" s="146">
        <v>4</v>
      </c>
    </row>
    <row r="21" spans="1:18">
      <c r="A21" s="134" t="s">
        <v>2475</v>
      </c>
      <c r="B21" s="134">
        <v>16</v>
      </c>
      <c r="C21">
        <v>1.58</v>
      </c>
      <c r="D21">
        <v>7.1</v>
      </c>
      <c r="E21">
        <v>24.42</v>
      </c>
      <c r="F21" s="19" t="s">
        <v>2506</v>
      </c>
      <c r="G21" s="395">
        <v>54</v>
      </c>
      <c r="H21" s="395">
        <v>69</v>
      </c>
      <c r="I21" s="217">
        <v>43042</v>
      </c>
      <c r="J21" s="395" t="s">
        <v>130</v>
      </c>
      <c r="K21" s="395">
        <v>33.590000000000003</v>
      </c>
      <c r="L21" s="395">
        <v>0.4</v>
      </c>
      <c r="M21" s="134">
        <v>326</v>
      </c>
      <c r="N21" s="4" t="str">
        <f>HYPERLINK("\\HOPI-FS\shares\users\dhar\Stalk mount testing\Type 1e Quality Assurance\CRYO-2074-2847  18-014","folder")</f>
        <v>folder</v>
      </c>
      <c r="O21" t="s">
        <v>2337</v>
      </c>
      <c r="P21" s="13" t="s">
        <v>2497</v>
      </c>
      <c r="Q21" t="s">
        <v>2507</v>
      </c>
      <c r="R21" s="301">
        <v>5</v>
      </c>
    </row>
    <row r="22" spans="1:18">
      <c r="A22" s="134" t="s">
        <v>2476</v>
      </c>
      <c r="B22" s="134">
        <v>16</v>
      </c>
      <c r="C22">
        <v>1.49</v>
      </c>
      <c r="D22">
        <v>7.07</v>
      </c>
      <c r="E22">
        <v>24.41</v>
      </c>
      <c r="F22" s="45" t="s">
        <v>2485</v>
      </c>
      <c r="G22" s="394">
        <v>31.9</v>
      </c>
      <c r="H22" s="394">
        <v>72.3</v>
      </c>
      <c r="I22" s="217">
        <v>43040</v>
      </c>
      <c r="J22" s="393" t="s">
        <v>130</v>
      </c>
      <c r="K22" s="386">
        <v>33.47</v>
      </c>
      <c r="L22" s="386">
        <v>6.6000000000000003E-2</v>
      </c>
      <c r="M22" s="134">
        <v>387</v>
      </c>
      <c r="N22" s="385" t="str">
        <f>HYPERLINK("\\HOPI-FS\shares\users\dhar\Stalk mount testing\Type 1e Quality Assurance\CRYO-2069-2877  18-016","folder")</f>
        <v>folder</v>
      </c>
      <c r="O22" t="s">
        <v>2337</v>
      </c>
      <c r="P22" t="s">
        <v>2510</v>
      </c>
      <c r="Q22" t="s">
        <v>2384</v>
      </c>
      <c r="R22">
        <v>0</v>
      </c>
    </row>
    <row r="23" spans="1:18">
      <c r="A23" s="134" t="s">
        <v>2477</v>
      </c>
      <c r="B23" s="134">
        <v>18</v>
      </c>
      <c r="C23">
        <v>1.52</v>
      </c>
      <c r="D23">
        <v>7.12</v>
      </c>
      <c r="E23">
        <v>24.4</v>
      </c>
      <c r="F23" s="19" t="s">
        <v>2486</v>
      </c>
      <c r="G23" s="394">
        <v>31.9</v>
      </c>
      <c r="H23" s="394">
        <v>72.3</v>
      </c>
      <c r="I23" s="217">
        <v>43040</v>
      </c>
      <c r="J23" s="393" t="s">
        <v>130</v>
      </c>
      <c r="K23" s="386">
        <v>33.54</v>
      </c>
      <c r="L23" s="386">
        <v>0.60199999999999998</v>
      </c>
      <c r="M23" s="134">
        <v>396</v>
      </c>
      <c r="N23" s="385" t="str">
        <f>HYPERLINK("\\HOPI-FS\shares\users\dhar\Stalk mount testing\Type 1e Quality Assurance\CRYO-2069-2882  18-017","folder")</f>
        <v>folder</v>
      </c>
      <c r="O23" t="s">
        <v>2337</v>
      </c>
      <c r="P23" s="13" t="s">
        <v>2502</v>
      </c>
      <c r="Q23" t="s">
        <v>2341</v>
      </c>
      <c r="R23">
        <v>4</v>
      </c>
    </row>
    <row r="24" spans="1:18">
      <c r="A24" s="604" t="s">
        <v>3303</v>
      </c>
      <c r="B24" s="604"/>
      <c r="C24" s="604"/>
      <c r="D24" s="604"/>
      <c r="E24" s="604"/>
      <c r="F24" s="604"/>
      <c r="G24" s="604"/>
      <c r="H24" s="604"/>
      <c r="I24" s="604"/>
      <c r="J24" s="604"/>
      <c r="K24" s="452"/>
      <c r="L24" s="452"/>
      <c r="N24" s="385"/>
      <c r="P24" s="13"/>
    </row>
    <row r="25" spans="1:18">
      <c r="A25" s="134" t="s">
        <v>3225</v>
      </c>
      <c r="B25" s="134">
        <v>18</v>
      </c>
      <c r="C25">
        <v>1.5</v>
      </c>
      <c r="D25">
        <v>7.14</v>
      </c>
      <c r="E25">
        <v>24.4</v>
      </c>
      <c r="F25" s="327" t="s">
        <v>3226</v>
      </c>
      <c r="G25" s="386">
        <v>16</v>
      </c>
      <c r="H25" s="386">
        <v>72</v>
      </c>
      <c r="I25" s="217">
        <v>43808</v>
      </c>
      <c r="J25" s="386" t="s">
        <v>3074</v>
      </c>
      <c r="K25" s="386">
        <v>33.47</v>
      </c>
      <c r="L25" s="386">
        <v>0.61799999999999999</v>
      </c>
      <c r="N25" s="27" t="s">
        <v>3076</v>
      </c>
      <c r="O25" t="s">
        <v>3109</v>
      </c>
      <c r="P25" t="s">
        <v>3228</v>
      </c>
      <c r="Q25" t="s">
        <v>2439</v>
      </c>
      <c r="R25">
        <v>7</v>
      </c>
    </row>
    <row r="26" spans="1:18">
      <c r="A26" s="134" t="s">
        <v>3225</v>
      </c>
      <c r="B26" s="134">
        <v>18</v>
      </c>
      <c r="C26">
        <v>1.51</v>
      </c>
      <c r="D26">
        <v>7.14</v>
      </c>
      <c r="E26">
        <v>24.4</v>
      </c>
      <c r="F26" s="69" t="s">
        <v>3253</v>
      </c>
      <c r="G26" s="443">
        <v>10</v>
      </c>
      <c r="H26" s="443">
        <v>73.900000000000006</v>
      </c>
      <c r="I26" s="217">
        <v>43812</v>
      </c>
      <c r="J26" s="443" t="s">
        <v>3074</v>
      </c>
      <c r="K26" s="443">
        <v>33.4</v>
      </c>
      <c r="L26" s="443">
        <v>0.83399999999999996</v>
      </c>
      <c r="N26" s="4" t="s">
        <v>3076</v>
      </c>
      <c r="O26" t="s">
        <v>3109</v>
      </c>
      <c r="P26" t="s">
        <v>3287</v>
      </c>
      <c r="Q26" t="s">
        <v>3237</v>
      </c>
      <c r="R26">
        <v>7</v>
      </c>
    </row>
    <row r="27" spans="1:18">
      <c r="A27" s="134" t="s">
        <v>3248</v>
      </c>
      <c r="B27" s="134">
        <v>17.2</v>
      </c>
      <c r="C27">
        <v>1.51</v>
      </c>
      <c r="D27">
        <v>7.09</v>
      </c>
      <c r="E27">
        <v>24.31</v>
      </c>
      <c r="F27" s="176" t="s">
        <v>3252</v>
      </c>
      <c r="G27" s="386">
        <v>10</v>
      </c>
      <c r="H27" s="386">
        <v>73.900000000000006</v>
      </c>
      <c r="I27" s="217">
        <v>43812</v>
      </c>
      <c r="J27" s="443" t="s">
        <v>3074</v>
      </c>
      <c r="K27" s="386">
        <v>33.47</v>
      </c>
      <c r="L27" s="386">
        <v>0.68400000000000005</v>
      </c>
      <c r="N27" s="4" t="s">
        <v>3076</v>
      </c>
      <c r="O27" t="s">
        <v>3109</v>
      </c>
      <c r="P27" t="s">
        <v>3198</v>
      </c>
      <c r="Q27" t="s">
        <v>2871</v>
      </c>
      <c r="R27">
        <v>9</v>
      </c>
    </row>
    <row r="28" spans="1:18">
      <c r="A28" s="134" t="s">
        <v>3259</v>
      </c>
      <c r="B28" s="134">
        <v>16.8</v>
      </c>
      <c r="C28">
        <v>1.56</v>
      </c>
      <c r="D28">
        <v>7.13</v>
      </c>
      <c r="E28">
        <v>24.32</v>
      </c>
      <c r="F28" s="19" t="s">
        <v>3263</v>
      </c>
      <c r="G28" s="249">
        <v>10</v>
      </c>
      <c r="H28" s="249">
        <v>72.7</v>
      </c>
      <c r="I28" s="217">
        <v>43816</v>
      </c>
      <c r="J28" s="249" t="s">
        <v>3074</v>
      </c>
      <c r="K28" s="386">
        <v>33.51</v>
      </c>
      <c r="L28" s="386">
        <v>0.76600000000000001</v>
      </c>
      <c r="N28" s="4" t="s">
        <v>3076</v>
      </c>
      <c r="O28" t="s">
        <v>3109</v>
      </c>
      <c r="P28" t="s">
        <v>3319</v>
      </c>
      <c r="Q28" t="s">
        <v>2443</v>
      </c>
      <c r="R28">
        <v>7</v>
      </c>
    </row>
    <row r="29" spans="1:18">
      <c r="A29" s="134" t="s">
        <v>3264</v>
      </c>
      <c r="B29" s="134">
        <v>17.2</v>
      </c>
      <c r="C29">
        <v>1.6</v>
      </c>
      <c r="D29">
        <v>7.1</v>
      </c>
      <c r="E29">
        <v>24.38</v>
      </c>
      <c r="F29" s="176" t="s">
        <v>3344</v>
      </c>
      <c r="G29" s="456">
        <v>35</v>
      </c>
      <c r="H29" s="456">
        <v>74.8</v>
      </c>
      <c r="I29" s="217">
        <v>43984</v>
      </c>
      <c r="J29" s="249" t="s">
        <v>3074</v>
      </c>
      <c r="K29" s="386">
        <v>33.51</v>
      </c>
      <c r="L29" s="386">
        <v>0.21</v>
      </c>
      <c r="N29" s="4" t="s">
        <v>3076</v>
      </c>
      <c r="O29" t="s">
        <v>3109</v>
      </c>
      <c r="P29" t="s">
        <v>3346</v>
      </c>
      <c r="Q29" t="s">
        <v>3345</v>
      </c>
      <c r="R29">
        <v>2</v>
      </c>
    </row>
    <row r="30" spans="1:18">
      <c r="A30" s="134" t="s">
        <v>3332</v>
      </c>
      <c r="B30" s="134">
        <v>17.2</v>
      </c>
      <c r="C30">
        <v>1.61</v>
      </c>
      <c r="D30">
        <v>7.12</v>
      </c>
      <c r="E30">
        <v>24.4</v>
      </c>
      <c r="F30" s="19" t="s">
        <v>3349</v>
      </c>
      <c r="G30" s="249">
        <v>46</v>
      </c>
      <c r="H30" s="249">
        <v>73.8</v>
      </c>
      <c r="I30" s="217">
        <v>44005</v>
      </c>
      <c r="J30" s="249" t="s">
        <v>3074</v>
      </c>
      <c r="K30" s="386">
        <v>33.6</v>
      </c>
      <c r="L30" s="386">
        <v>0.44900000000000001</v>
      </c>
      <c r="N30" s="4" t="s">
        <v>3076</v>
      </c>
      <c r="O30" t="s">
        <v>3109</v>
      </c>
      <c r="P30" t="s">
        <v>3380</v>
      </c>
      <c r="Q30" t="s">
        <v>2900</v>
      </c>
      <c r="R30">
        <v>3</v>
      </c>
    </row>
    <row r="31" spans="1:18">
      <c r="A31" s="134" t="s">
        <v>3333</v>
      </c>
      <c r="B31" s="134">
        <v>16.8</v>
      </c>
      <c r="C31">
        <v>1.62</v>
      </c>
      <c r="D31">
        <v>7.15</v>
      </c>
      <c r="E31">
        <v>24.35</v>
      </c>
      <c r="F31" s="19" t="s">
        <v>3352</v>
      </c>
      <c r="G31" s="249">
        <v>46</v>
      </c>
      <c r="H31" s="249">
        <v>73.8</v>
      </c>
      <c r="I31" s="217">
        <v>44005</v>
      </c>
      <c r="J31" s="249" t="s">
        <v>3074</v>
      </c>
      <c r="K31" s="386">
        <v>33.6</v>
      </c>
      <c r="L31" s="386">
        <v>0.39500000000000002</v>
      </c>
      <c r="N31" s="4" t="s">
        <v>3076</v>
      </c>
      <c r="O31" t="s">
        <v>3443</v>
      </c>
      <c r="P31" t="s">
        <v>3353</v>
      </c>
      <c r="Q31" t="s">
        <v>2292</v>
      </c>
      <c r="R31">
        <v>2</v>
      </c>
    </row>
    <row r="32" spans="1:18" ht="36" customHeight="1">
      <c r="A32" s="134" t="s">
        <v>3335</v>
      </c>
      <c r="B32" s="134">
        <v>18.399999999999999</v>
      </c>
      <c r="C32">
        <v>1.6</v>
      </c>
      <c r="D32">
        <v>7.07</v>
      </c>
      <c r="E32">
        <v>24.37</v>
      </c>
      <c r="F32" s="176" t="s">
        <v>3424</v>
      </c>
      <c r="G32">
        <v>74</v>
      </c>
      <c r="H32">
        <v>47.1</v>
      </c>
      <c r="I32" s="217">
        <v>44057</v>
      </c>
      <c r="J32" t="s">
        <v>3074</v>
      </c>
      <c r="K32" s="465"/>
      <c r="L32" s="465"/>
      <c r="N32" s="4" t="s">
        <v>3076</v>
      </c>
    </row>
    <row r="33" spans="1:18" ht="18" customHeight="1">
      <c r="A33" s="134" t="s">
        <v>3335</v>
      </c>
      <c r="B33" s="134">
        <v>18.399999999999999</v>
      </c>
      <c r="C33">
        <v>1.6</v>
      </c>
      <c r="D33">
        <v>7.07</v>
      </c>
      <c r="E33">
        <v>24.37</v>
      </c>
      <c r="F33" s="249" t="s">
        <v>3425</v>
      </c>
      <c r="G33">
        <v>71.599999999999994</v>
      </c>
      <c r="H33">
        <v>54</v>
      </c>
      <c r="I33" s="217">
        <v>44060</v>
      </c>
      <c r="J33" t="s">
        <v>3074</v>
      </c>
      <c r="K33">
        <v>33.520000000000003</v>
      </c>
      <c r="L33">
        <v>0.68200000000000005</v>
      </c>
      <c r="M33"/>
      <c r="N33" s="4" t="s">
        <v>3076</v>
      </c>
      <c r="O33" t="s">
        <v>3444</v>
      </c>
      <c r="P33" t="s">
        <v>3426</v>
      </c>
      <c r="Q33" t="s">
        <v>2904</v>
      </c>
      <c r="R33">
        <v>3</v>
      </c>
    </row>
    <row r="34" spans="1:18">
      <c r="A34" s="134" t="s">
        <v>3416</v>
      </c>
      <c r="B34" s="134">
        <v>18</v>
      </c>
      <c r="C34">
        <v>1.6</v>
      </c>
      <c r="D34">
        <v>7.19</v>
      </c>
      <c r="E34">
        <v>24.42</v>
      </c>
      <c r="F34" s="19" t="s">
        <v>3427</v>
      </c>
      <c r="G34">
        <v>71.599999999999994</v>
      </c>
      <c r="H34">
        <v>54</v>
      </c>
      <c r="I34" s="217">
        <v>44060</v>
      </c>
      <c r="J34" t="s">
        <v>3074</v>
      </c>
      <c r="K34" s="386">
        <v>33.700000000000003</v>
      </c>
      <c r="L34" s="386">
        <v>0.56999999999999995</v>
      </c>
      <c r="N34" s="4" t="s">
        <v>3076</v>
      </c>
      <c r="O34" t="s">
        <v>3442</v>
      </c>
      <c r="P34" t="s">
        <v>3428</v>
      </c>
      <c r="Q34" t="s">
        <v>2897</v>
      </c>
      <c r="R34">
        <v>5</v>
      </c>
    </row>
    <row r="36" spans="1:18">
      <c r="A36" s="134" t="s">
        <v>3334</v>
      </c>
      <c r="B36">
        <v>11.6</v>
      </c>
      <c r="C36">
        <v>1.5</v>
      </c>
      <c r="D36">
        <v>7.2</v>
      </c>
      <c r="E36">
        <v>24.42</v>
      </c>
      <c r="F36" s="393" t="s">
        <v>3388</v>
      </c>
      <c r="G36">
        <v>46</v>
      </c>
      <c r="H36">
        <v>75.400000000000006</v>
      </c>
      <c r="I36" s="217">
        <v>44014</v>
      </c>
      <c r="J36" t="s">
        <v>3074</v>
      </c>
      <c r="N36" s="4" t="s">
        <v>3076</v>
      </c>
      <c r="O36" t="s">
        <v>3109</v>
      </c>
      <c r="P36" t="s">
        <v>3391</v>
      </c>
    </row>
    <row r="37" spans="1:18" ht="24" customHeight="1">
      <c r="A37" s="134" t="s">
        <v>4017</v>
      </c>
      <c r="B37" s="134">
        <v>18</v>
      </c>
      <c r="C37" s="478">
        <v>1.6</v>
      </c>
      <c r="D37" s="478">
        <v>7.07</v>
      </c>
      <c r="E37" s="478">
        <v>24.42</v>
      </c>
      <c r="F37" s="19" t="s">
        <v>4024</v>
      </c>
      <c r="G37" s="521">
        <v>27</v>
      </c>
      <c r="H37" s="521">
        <v>73.900000000000006</v>
      </c>
      <c r="I37" s="217">
        <v>44699</v>
      </c>
      <c r="J37" s="521" t="s">
        <v>3074</v>
      </c>
      <c r="K37" s="521">
        <v>33.57</v>
      </c>
      <c r="L37" s="521">
        <v>0.52300000000000002</v>
      </c>
      <c r="N37" s="4" t="s">
        <v>3076</v>
      </c>
      <c r="O37" s="478" t="s">
        <v>3612</v>
      </c>
      <c r="P37" s="478" t="s">
        <v>4066</v>
      </c>
      <c r="Q37" s="478" t="s">
        <v>3090</v>
      </c>
      <c r="R37" s="478"/>
    </row>
    <row r="38" spans="1:18">
      <c r="A38" s="134" t="s">
        <v>4018</v>
      </c>
      <c r="B38" s="134">
        <v>16.8</v>
      </c>
      <c r="C38" s="478">
        <v>1.6</v>
      </c>
      <c r="D38" s="478">
        <v>7.12</v>
      </c>
      <c r="E38" s="478">
        <v>24.41</v>
      </c>
      <c r="F38" s="538" t="s">
        <v>4025</v>
      </c>
      <c r="G38" s="521">
        <v>27</v>
      </c>
      <c r="H38" s="521">
        <v>73.900000000000006</v>
      </c>
      <c r="I38" s="217">
        <v>44699</v>
      </c>
      <c r="J38" s="521" t="s">
        <v>4026</v>
      </c>
      <c r="K38" s="521">
        <v>33.57</v>
      </c>
      <c r="L38" s="521">
        <v>0.51700000000000002</v>
      </c>
      <c r="N38" s="4" t="s">
        <v>3076</v>
      </c>
      <c r="O38" s="478" t="s">
        <v>3612</v>
      </c>
      <c r="P38" s="520" t="s">
        <v>4116</v>
      </c>
      <c r="Q38" s="478" t="s">
        <v>4027</v>
      </c>
      <c r="R38" s="478"/>
    </row>
    <row r="39" spans="1:18">
      <c r="A39" s="134" t="s">
        <v>4019</v>
      </c>
      <c r="B39" s="134">
        <v>17.2</v>
      </c>
      <c r="C39" s="478">
        <v>1.64</v>
      </c>
      <c r="D39" s="478">
        <v>7.12</v>
      </c>
      <c r="E39" s="478">
        <v>24.41</v>
      </c>
      <c r="F39" s="19" t="s">
        <v>4054</v>
      </c>
      <c r="G39" s="521">
        <v>55</v>
      </c>
      <c r="H39" s="521">
        <v>76.8</v>
      </c>
      <c r="I39" s="217">
        <v>44734</v>
      </c>
      <c r="J39" s="521" t="s">
        <v>4026</v>
      </c>
      <c r="K39" s="521">
        <v>33.57</v>
      </c>
      <c r="L39" s="521">
        <v>0.442</v>
      </c>
      <c r="N39" s="4" t="s">
        <v>3076</v>
      </c>
      <c r="O39" s="478" t="s">
        <v>3612</v>
      </c>
      <c r="P39" s="478" t="s">
        <v>4114</v>
      </c>
      <c r="Q39" s="478" t="s">
        <v>3090</v>
      </c>
      <c r="R39" s="478"/>
    </row>
    <row r="40" spans="1:18">
      <c r="A40" s="134" t="s">
        <v>4020</v>
      </c>
      <c r="B40" s="134">
        <v>18.399999999999999</v>
      </c>
      <c r="C40" s="478">
        <v>1.59</v>
      </c>
      <c r="D40" s="478">
        <v>7.09</v>
      </c>
      <c r="E40" s="478">
        <v>24.42</v>
      </c>
      <c r="F40" s="522" t="s">
        <v>4055</v>
      </c>
      <c r="G40" s="521">
        <v>52</v>
      </c>
      <c r="H40" s="521">
        <v>77</v>
      </c>
      <c r="I40" s="217">
        <v>44734</v>
      </c>
      <c r="J40" s="521" t="s">
        <v>4026</v>
      </c>
      <c r="K40" s="521">
        <v>33.46</v>
      </c>
      <c r="L40" s="521">
        <v>0.48599999999999999</v>
      </c>
      <c r="N40" s="4" t="s">
        <v>3076</v>
      </c>
      <c r="O40" s="478" t="s">
        <v>3612</v>
      </c>
      <c r="P40" s="478" t="s">
        <v>4056</v>
      </c>
      <c r="Q40" s="478" t="s">
        <v>3466</v>
      </c>
      <c r="R40" s="478"/>
    </row>
    <row r="41" spans="1:18">
      <c r="A41" s="134" t="s">
        <v>4020</v>
      </c>
      <c r="B41" s="134">
        <v>18</v>
      </c>
      <c r="C41" s="478">
        <v>1.58</v>
      </c>
      <c r="D41" s="478">
        <v>7.09</v>
      </c>
      <c r="E41" s="478">
        <v>24.42</v>
      </c>
      <c r="F41" s="539" t="s">
        <v>4055</v>
      </c>
      <c r="G41" s="521">
        <v>44</v>
      </c>
      <c r="H41" s="521">
        <v>74</v>
      </c>
      <c r="I41" s="217">
        <v>44740</v>
      </c>
      <c r="J41" s="521" t="s">
        <v>4026</v>
      </c>
      <c r="K41" s="521">
        <v>33.409999999999997</v>
      </c>
      <c r="L41" s="521">
        <v>0.46500000000000002</v>
      </c>
      <c r="N41" s="4" t="s">
        <v>3076</v>
      </c>
      <c r="O41" s="478" t="s">
        <v>3612</v>
      </c>
      <c r="P41" s="478" t="s">
        <v>4115</v>
      </c>
      <c r="Q41" t="s">
        <v>3134</v>
      </c>
      <c r="R41" s="478"/>
    </row>
    <row r="42" spans="1:18">
      <c r="A42" s="134" t="s">
        <v>4021</v>
      </c>
      <c r="B42" s="134">
        <v>18.8</v>
      </c>
      <c r="C42" s="478">
        <v>1.61</v>
      </c>
      <c r="D42" s="478">
        <v>7.1</v>
      </c>
      <c r="E42" s="478">
        <v>24.42</v>
      </c>
      <c r="F42" s="523"/>
      <c r="G42" s="521"/>
      <c r="H42" s="521"/>
      <c r="I42" s="217"/>
      <c r="J42" s="521"/>
      <c r="K42" s="521"/>
      <c r="L42" s="521"/>
      <c r="N42" s="4"/>
      <c r="O42" s="478"/>
      <c r="P42" s="478"/>
      <c r="Q42" s="478"/>
      <c r="R42" s="478"/>
    </row>
    <row r="43" spans="1:18">
      <c r="A43" s="134" t="s">
        <v>4022</v>
      </c>
      <c r="B43" s="134">
        <v>18.399999999999999</v>
      </c>
      <c r="C43" s="478">
        <v>1.59</v>
      </c>
      <c r="D43" s="478">
        <v>7.08</v>
      </c>
      <c r="E43" s="478">
        <v>24.43</v>
      </c>
      <c r="F43" s="540" t="s">
        <v>4058</v>
      </c>
      <c r="G43" s="521">
        <v>44</v>
      </c>
      <c r="H43" s="521">
        <v>74</v>
      </c>
      <c r="I43" s="217">
        <v>44740</v>
      </c>
      <c r="J43" s="525" t="s">
        <v>4026</v>
      </c>
      <c r="K43" s="521">
        <v>33.520000000000003</v>
      </c>
      <c r="L43" s="521">
        <v>0.22</v>
      </c>
      <c r="N43" s="4" t="s">
        <v>3076</v>
      </c>
      <c r="O43" s="478" t="s">
        <v>3612</v>
      </c>
      <c r="P43" s="478" t="s">
        <v>4117</v>
      </c>
      <c r="Q43" s="478" t="s">
        <v>3027</v>
      </c>
      <c r="R43" s="478"/>
    </row>
    <row r="44" spans="1:18">
      <c r="A44" s="134" t="s">
        <v>4023</v>
      </c>
      <c r="B44" s="134">
        <v>18.8</v>
      </c>
      <c r="C44" s="478">
        <v>1.58</v>
      </c>
      <c r="D44" s="478">
        <v>7.11</v>
      </c>
      <c r="E44" s="478">
        <v>24.42</v>
      </c>
      <c r="F44" s="527" t="s">
        <v>4057</v>
      </c>
      <c r="G44" s="521">
        <v>50</v>
      </c>
      <c r="H44" s="521">
        <v>76.5</v>
      </c>
      <c r="I44" s="217">
        <v>44736</v>
      </c>
      <c r="J44" s="521" t="s">
        <v>4026</v>
      </c>
      <c r="K44" s="521">
        <v>33.549999999999997</v>
      </c>
      <c r="L44" s="521">
        <v>0.55900000000000005</v>
      </c>
      <c r="N44" s="4" t="s">
        <v>3076</v>
      </c>
      <c r="O44" s="478" t="s">
        <v>3612</v>
      </c>
      <c r="P44" s="478" t="s">
        <v>4059</v>
      </c>
      <c r="Q44" s="478" t="s">
        <v>3024</v>
      </c>
      <c r="R44" s="478"/>
    </row>
    <row r="45" spans="1:18">
      <c r="A45" s="134" t="s">
        <v>4023</v>
      </c>
      <c r="B45" s="134">
        <v>18.8</v>
      </c>
      <c r="C45" s="478">
        <v>1.58</v>
      </c>
      <c r="D45" s="478">
        <v>7.11</v>
      </c>
      <c r="E45" s="478">
        <v>24.42</v>
      </c>
      <c r="F45" s="524" t="s">
        <v>4057</v>
      </c>
      <c r="G45" s="386">
        <v>54</v>
      </c>
      <c r="H45" s="386">
        <v>73.5</v>
      </c>
      <c r="I45" s="217">
        <v>44742</v>
      </c>
      <c r="J45" s="526" t="s">
        <v>4026</v>
      </c>
      <c r="K45" s="386">
        <v>33.56</v>
      </c>
      <c r="L45" s="386">
        <v>0.41799999999999998</v>
      </c>
      <c r="N45" s="4" t="s">
        <v>3076</v>
      </c>
      <c r="O45" s="478" t="s">
        <v>3612</v>
      </c>
      <c r="P45" s="478" t="s">
        <v>4059</v>
      </c>
      <c r="Q45" t="s">
        <v>3012</v>
      </c>
    </row>
    <row r="46" spans="1:18">
      <c r="A46" s="134" t="s">
        <v>4023</v>
      </c>
      <c r="B46" s="134">
        <v>18.8</v>
      </c>
      <c r="C46" s="478">
        <v>1.58</v>
      </c>
      <c r="D46" s="478">
        <v>7.11</v>
      </c>
      <c r="E46" s="478">
        <v>24.42</v>
      </c>
      <c r="F46" s="270" t="s">
        <v>4147</v>
      </c>
      <c r="G46" s="386">
        <v>55</v>
      </c>
      <c r="H46" s="386">
        <v>72.8</v>
      </c>
      <c r="I46" s="217">
        <v>44825</v>
      </c>
      <c r="J46" s="386" t="s">
        <v>3074</v>
      </c>
      <c r="K46" s="386">
        <v>33.549999999999997</v>
      </c>
      <c r="L46" s="386">
        <v>0.68799999999999994</v>
      </c>
      <c r="N46" s="4" t="s">
        <v>3076</v>
      </c>
      <c r="O46" s="478" t="s">
        <v>4067</v>
      </c>
      <c r="P46" t="s">
        <v>4174</v>
      </c>
      <c r="Q46" t="s">
        <v>3277</v>
      </c>
    </row>
    <row r="47" spans="1:18" s="478" customFormat="1">
      <c r="A47" s="134" t="s">
        <v>4020</v>
      </c>
      <c r="B47" s="134">
        <v>18</v>
      </c>
      <c r="C47" s="134">
        <v>1.58</v>
      </c>
      <c r="D47" s="134">
        <v>7.09</v>
      </c>
      <c r="E47" s="134">
        <v>24.42</v>
      </c>
      <c r="F47" s="176" t="s">
        <v>4149</v>
      </c>
      <c r="G47" s="548">
        <v>55</v>
      </c>
      <c r="H47" s="548">
        <v>72.8</v>
      </c>
      <c r="I47" s="217">
        <v>44825</v>
      </c>
      <c r="J47" s="548" t="s">
        <v>3074</v>
      </c>
      <c r="K47" s="548"/>
      <c r="L47" s="548"/>
      <c r="M47" s="134"/>
      <c r="N47" s="4"/>
    </row>
    <row r="48" spans="1:18">
      <c r="A48" s="134" t="s">
        <v>4020</v>
      </c>
      <c r="B48" s="134">
        <v>18</v>
      </c>
      <c r="C48" s="134">
        <v>1.58</v>
      </c>
      <c r="D48" s="134">
        <v>7.09</v>
      </c>
      <c r="E48" s="134">
        <v>24.42</v>
      </c>
      <c r="F48" s="19" t="s">
        <v>4148</v>
      </c>
      <c r="G48" s="548">
        <v>55</v>
      </c>
      <c r="H48" s="548">
        <v>72.8</v>
      </c>
      <c r="I48" s="217">
        <v>44825</v>
      </c>
      <c r="J48" s="548" t="s">
        <v>3074</v>
      </c>
      <c r="K48" s="386">
        <v>33.46</v>
      </c>
      <c r="L48" s="386">
        <v>0.80600000000000005</v>
      </c>
      <c r="N48" s="4" t="s">
        <v>3076</v>
      </c>
      <c r="O48" s="478" t="s">
        <v>4067</v>
      </c>
      <c r="P48" t="s">
        <v>4150</v>
      </c>
      <c r="Q48" t="s">
        <v>3208</v>
      </c>
    </row>
    <row r="49" spans="1:18" s="478" customFormat="1">
      <c r="A49" s="134" t="s">
        <v>4018</v>
      </c>
      <c r="B49" s="134">
        <v>17.600000000000001</v>
      </c>
      <c r="C49" s="478">
        <v>1.56</v>
      </c>
      <c r="D49" s="478">
        <v>7.12</v>
      </c>
      <c r="E49" s="478">
        <v>24.41</v>
      </c>
      <c r="F49" s="176" t="s">
        <v>4152</v>
      </c>
      <c r="G49" s="548">
        <v>55</v>
      </c>
      <c r="H49" s="548">
        <v>72.8</v>
      </c>
      <c r="I49" s="217">
        <v>44825</v>
      </c>
      <c r="J49" s="548" t="s">
        <v>3074</v>
      </c>
      <c r="K49" s="548"/>
      <c r="L49" s="548"/>
      <c r="M49" s="134"/>
      <c r="N49" s="4"/>
    </row>
    <row r="50" spans="1:18">
      <c r="A50" s="134" t="s">
        <v>4018</v>
      </c>
      <c r="B50" s="134">
        <v>17.600000000000001</v>
      </c>
      <c r="C50" s="478">
        <v>1.56</v>
      </c>
      <c r="D50" s="478">
        <v>7.12</v>
      </c>
      <c r="E50" s="478">
        <v>24.41</v>
      </c>
      <c r="F50" s="176" t="s">
        <v>4151</v>
      </c>
      <c r="G50" s="548">
        <v>55</v>
      </c>
      <c r="H50" s="548">
        <v>72.8</v>
      </c>
      <c r="I50" s="217">
        <v>44825</v>
      </c>
      <c r="J50" s="548" t="s">
        <v>3074</v>
      </c>
      <c r="K50" s="386">
        <v>33.49</v>
      </c>
      <c r="L50" s="386">
        <v>0.38100000000000001</v>
      </c>
      <c r="N50" s="4" t="s">
        <v>3076</v>
      </c>
      <c r="O50" s="478" t="s">
        <v>4067</v>
      </c>
      <c r="P50" t="s">
        <v>4153</v>
      </c>
      <c r="Q50" t="s">
        <v>3277</v>
      </c>
    </row>
    <row r="51" spans="1:18">
      <c r="A51" s="134" t="s">
        <v>4018</v>
      </c>
      <c r="B51" s="134">
        <v>17.600000000000001</v>
      </c>
      <c r="C51" s="478">
        <v>1.56</v>
      </c>
      <c r="D51" s="478">
        <v>7.12</v>
      </c>
      <c r="E51" s="478">
        <v>24.41</v>
      </c>
      <c r="F51" s="19" t="s">
        <v>4151</v>
      </c>
      <c r="G51" s="386">
        <v>47</v>
      </c>
      <c r="H51" s="386">
        <v>72.400000000000006</v>
      </c>
      <c r="I51" s="217">
        <v>44826</v>
      </c>
      <c r="J51" s="549" t="s">
        <v>3074</v>
      </c>
      <c r="K51" s="549">
        <v>33.49</v>
      </c>
      <c r="L51" s="386">
        <v>0.5</v>
      </c>
      <c r="N51" s="4" t="s">
        <v>3076</v>
      </c>
      <c r="O51" s="478" t="s">
        <v>4067</v>
      </c>
      <c r="P51" s="478" t="s">
        <v>4153</v>
      </c>
      <c r="Q51" t="s">
        <v>3053</v>
      </c>
    </row>
    <row r="52" spans="1:18">
      <c r="A52" s="134" t="s">
        <v>4210</v>
      </c>
      <c r="B52" s="134">
        <v>18</v>
      </c>
      <c r="C52">
        <v>1.52</v>
      </c>
      <c r="D52">
        <v>7.1</v>
      </c>
      <c r="E52">
        <v>24.41</v>
      </c>
      <c r="F52" s="19" t="s">
        <v>4215</v>
      </c>
      <c r="G52" s="386">
        <v>20</v>
      </c>
      <c r="H52" s="386">
        <v>76</v>
      </c>
      <c r="I52" s="555">
        <v>44893</v>
      </c>
      <c r="J52" s="386" t="s">
        <v>4026</v>
      </c>
      <c r="K52" s="386">
        <v>33.409999999999997</v>
      </c>
      <c r="L52" s="386">
        <v>0.19</v>
      </c>
      <c r="N52" s="4" t="s">
        <v>3076</v>
      </c>
      <c r="O52" s="478" t="s">
        <v>4067</v>
      </c>
      <c r="P52" t="s">
        <v>4221</v>
      </c>
      <c r="Q52" t="s">
        <v>3081</v>
      </c>
    </row>
    <row r="53" spans="1:18">
      <c r="A53" s="134" t="s">
        <v>4211</v>
      </c>
      <c r="B53" s="134">
        <v>17.600000000000001</v>
      </c>
      <c r="C53">
        <v>1.5</v>
      </c>
      <c r="D53">
        <v>7.07</v>
      </c>
      <c r="E53">
        <v>24.41</v>
      </c>
      <c r="F53" s="19" t="s">
        <v>4216</v>
      </c>
      <c r="G53" s="554">
        <v>20</v>
      </c>
      <c r="H53" s="554">
        <v>76</v>
      </c>
      <c r="I53" s="555">
        <v>44893</v>
      </c>
      <c r="J53" s="554" t="s">
        <v>4026</v>
      </c>
      <c r="K53" s="386">
        <v>33.39</v>
      </c>
      <c r="L53" s="386">
        <v>0.64500000000000002</v>
      </c>
      <c r="N53" s="4" t="s">
        <v>3076</v>
      </c>
      <c r="O53" s="478" t="s">
        <v>4067</v>
      </c>
      <c r="P53" t="s">
        <v>4222</v>
      </c>
      <c r="Q53" t="s">
        <v>4213</v>
      </c>
    </row>
    <row r="54" spans="1:18">
      <c r="A54" s="134" t="s">
        <v>4212</v>
      </c>
      <c r="B54" s="134">
        <v>17.2</v>
      </c>
      <c r="C54">
        <v>1.55</v>
      </c>
      <c r="D54">
        <v>7.11</v>
      </c>
      <c r="E54">
        <v>24.41</v>
      </c>
      <c r="F54" s="346" t="s">
        <v>4218</v>
      </c>
      <c r="G54" s="554">
        <v>20</v>
      </c>
      <c r="H54" s="554">
        <v>76</v>
      </c>
      <c r="I54" s="555">
        <v>44893</v>
      </c>
      <c r="J54" s="554" t="s">
        <v>4026</v>
      </c>
      <c r="K54" s="386">
        <v>33.46</v>
      </c>
      <c r="L54" s="386">
        <v>0.58599999999999997</v>
      </c>
      <c r="N54" s="34" t="s">
        <v>3076</v>
      </c>
      <c r="O54" s="478" t="s">
        <v>4067</v>
      </c>
      <c r="P54" t="s">
        <v>4214</v>
      </c>
      <c r="Q54" t="s">
        <v>3027</v>
      </c>
    </row>
    <row r="56" spans="1:18">
      <c r="A56" s="134" t="s">
        <v>4267</v>
      </c>
      <c r="B56" s="478">
        <v>18</v>
      </c>
      <c r="C56" s="478">
        <v>1.58</v>
      </c>
      <c r="D56" s="478">
        <v>7.1</v>
      </c>
      <c r="E56" s="478">
        <v>24.41</v>
      </c>
      <c r="F56" s="176" t="s">
        <v>4268</v>
      </c>
      <c r="G56" s="386">
        <v>20</v>
      </c>
      <c r="H56" s="386">
        <v>73.400000000000006</v>
      </c>
      <c r="I56" s="217">
        <v>44641</v>
      </c>
      <c r="J56" s="386" t="s">
        <v>4026</v>
      </c>
      <c r="O56" s="478" t="s">
        <v>4067</v>
      </c>
    </row>
    <row r="57" spans="1:18">
      <c r="A57" s="134" t="s">
        <v>4267</v>
      </c>
      <c r="B57" s="478">
        <v>18</v>
      </c>
      <c r="C57" s="478">
        <v>1.58</v>
      </c>
      <c r="D57" s="478">
        <v>7.1</v>
      </c>
      <c r="E57" s="478">
        <v>24.41</v>
      </c>
      <c r="F57" s="176" t="s">
        <v>4269</v>
      </c>
      <c r="G57" s="561">
        <v>20</v>
      </c>
      <c r="H57" s="561">
        <v>73.400000000000006</v>
      </c>
      <c r="I57" s="217">
        <v>44641</v>
      </c>
      <c r="J57" s="561" t="s">
        <v>4026</v>
      </c>
      <c r="O57" s="478" t="s">
        <v>4067</v>
      </c>
    </row>
    <row r="58" spans="1:18">
      <c r="A58" s="134" t="s">
        <v>4267</v>
      </c>
      <c r="B58" s="478">
        <v>18</v>
      </c>
      <c r="C58" s="478">
        <v>1.58</v>
      </c>
      <c r="D58" s="478">
        <v>7.1</v>
      </c>
      <c r="E58" s="478">
        <v>24.41</v>
      </c>
      <c r="F58" s="176" t="s">
        <v>4270</v>
      </c>
      <c r="G58" s="561">
        <v>20</v>
      </c>
      <c r="H58" s="561">
        <v>73</v>
      </c>
      <c r="I58" s="217">
        <v>44641</v>
      </c>
      <c r="J58" s="561" t="s">
        <v>4026</v>
      </c>
      <c r="K58" s="386">
        <v>33.520000000000003</v>
      </c>
      <c r="L58" s="386">
        <v>0.22800000000000001</v>
      </c>
      <c r="N58" s="4" t="s">
        <v>3076</v>
      </c>
      <c r="O58" s="478" t="s">
        <v>4067</v>
      </c>
      <c r="P58" t="s">
        <v>4271</v>
      </c>
      <c r="Q58" s="478" t="s">
        <v>3081</v>
      </c>
      <c r="R58">
        <v>6</v>
      </c>
    </row>
    <row r="59" spans="1:18">
      <c r="A59" s="134" t="s">
        <v>4267</v>
      </c>
      <c r="B59" s="478">
        <v>18</v>
      </c>
      <c r="C59" s="478">
        <v>1.58</v>
      </c>
      <c r="D59" s="478">
        <v>7.1</v>
      </c>
      <c r="E59" s="478">
        <v>24.41</v>
      </c>
      <c r="F59" s="100" t="s">
        <v>4272</v>
      </c>
      <c r="G59" s="562">
        <v>20</v>
      </c>
      <c r="H59" s="562">
        <v>73</v>
      </c>
      <c r="I59" s="217">
        <v>44642</v>
      </c>
      <c r="J59" s="562" t="s">
        <v>4026</v>
      </c>
      <c r="K59" s="562">
        <v>33.92</v>
      </c>
      <c r="L59" s="562">
        <v>0.18099999999999999</v>
      </c>
      <c r="N59" s="4" t="s">
        <v>3076</v>
      </c>
      <c r="O59" s="478" t="s">
        <v>4067</v>
      </c>
      <c r="P59" t="s">
        <v>4303</v>
      </c>
      <c r="Q59" t="s">
        <v>3090</v>
      </c>
      <c r="R59">
        <v>2</v>
      </c>
    </row>
    <row r="60" spans="1:18">
      <c r="A60" s="134" t="s">
        <v>4273</v>
      </c>
      <c r="B60" s="478">
        <v>16.8</v>
      </c>
      <c r="C60" s="478">
        <v>1.6</v>
      </c>
      <c r="D60" s="478">
        <v>7.09</v>
      </c>
      <c r="E60" s="478">
        <v>24.42</v>
      </c>
      <c r="F60" s="100" t="s">
        <v>4274</v>
      </c>
      <c r="G60" s="562">
        <v>20</v>
      </c>
      <c r="H60" s="562">
        <v>73</v>
      </c>
      <c r="I60" s="217">
        <v>44642</v>
      </c>
      <c r="J60" s="562" t="s">
        <v>4026</v>
      </c>
      <c r="K60" s="386">
        <v>33.4</v>
      </c>
      <c r="L60" s="386">
        <v>0.122</v>
      </c>
      <c r="N60" s="4" t="s">
        <v>3076</v>
      </c>
      <c r="O60" s="478" t="s">
        <v>4067</v>
      </c>
      <c r="P60" t="s">
        <v>4307</v>
      </c>
      <c r="Q60" t="s">
        <v>3002</v>
      </c>
      <c r="R60">
        <v>2</v>
      </c>
    </row>
    <row r="61" spans="1:18">
      <c r="A61" s="134" t="s">
        <v>4276</v>
      </c>
      <c r="B61" s="478">
        <v>16.399999999999999</v>
      </c>
      <c r="C61" s="478">
        <v>1.6</v>
      </c>
      <c r="D61" s="478">
        <v>7.11</v>
      </c>
      <c r="E61" s="478">
        <v>24.42</v>
      </c>
      <c r="F61" s="569" t="s">
        <v>4275</v>
      </c>
      <c r="G61" s="562">
        <v>20</v>
      </c>
      <c r="H61" s="562">
        <v>73</v>
      </c>
      <c r="I61" s="217">
        <v>44642</v>
      </c>
      <c r="J61" s="562" t="s">
        <v>4026</v>
      </c>
      <c r="K61" s="386">
        <v>33.58</v>
      </c>
      <c r="L61" s="386">
        <v>0.48099999999999998</v>
      </c>
      <c r="N61" s="4" t="s">
        <v>3076</v>
      </c>
      <c r="O61" s="478" t="s">
        <v>4067</v>
      </c>
      <c r="P61" t="s">
        <v>4304</v>
      </c>
      <c r="Q61" t="s">
        <v>4277</v>
      </c>
      <c r="R61">
        <v>2</v>
      </c>
    </row>
    <row r="62" spans="1:18">
      <c r="A62" s="134" t="s">
        <v>4278</v>
      </c>
      <c r="B62" s="478">
        <v>16.8</v>
      </c>
      <c r="C62" s="478">
        <v>1.6</v>
      </c>
      <c r="D62" s="478">
        <v>7.13</v>
      </c>
      <c r="E62" s="478">
        <v>24.43</v>
      </c>
      <c r="F62" s="517" t="s">
        <v>4279</v>
      </c>
      <c r="G62" s="386">
        <v>28</v>
      </c>
      <c r="H62" s="386">
        <v>79.3</v>
      </c>
      <c r="I62" s="217">
        <v>44643</v>
      </c>
      <c r="J62" s="563" t="s">
        <v>4026</v>
      </c>
      <c r="O62" s="478" t="s">
        <v>4067</v>
      </c>
    </row>
    <row r="63" spans="1:18">
      <c r="A63" s="134" t="s">
        <v>4280</v>
      </c>
      <c r="B63" s="478">
        <v>16.399999999999999</v>
      </c>
      <c r="C63" s="478">
        <v>1.61</v>
      </c>
      <c r="D63" s="478">
        <v>7.11</v>
      </c>
      <c r="E63" s="478">
        <v>24.41</v>
      </c>
      <c r="F63" s="100" t="s">
        <v>4281</v>
      </c>
      <c r="G63" s="563">
        <v>28</v>
      </c>
      <c r="H63" s="563">
        <v>79.3</v>
      </c>
      <c r="I63" s="217">
        <v>44643</v>
      </c>
      <c r="J63" s="563" t="s">
        <v>4026</v>
      </c>
      <c r="K63" s="386">
        <v>33.619999999999997</v>
      </c>
      <c r="L63" s="386">
        <v>0.61099999999999999</v>
      </c>
      <c r="N63" s="4" t="s">
        <v>3076</v>
      </c>
      <c r="O63" s="478" t="s">
        <v>4067</v>
      </c>
      <c r="P63" t="s">
        <v>4306</v>
      </c>
      <c r="Q63" t="s">
        <v>4282</v>
      </c>
      <c r="R63">
        <v>4</v>
      </c>
    </row>
    <row r="64" spans="1:18">
      <c r="A64" s="134" t="s">
        <v>4283</v>
      </c>
      <c r="B64" s="478">
        <v>17.2</v>
      </c>
      <c r="C64" s="478">
        <v>1.62</v>
      </c>
      <c r="D64" s="478">
        <v>7.12</v>
      </c>
      <c r="E64" s="478">
        <v>24.41</v>
      </c>
      <c r="F64" s="565" t="s">
        <v>4284</v>
      </c>
      <c r="G64" s="563">
        <v>28</v>
      </c>
      <c r="H64" s="386">
        <v>81</v>
      </c>
      <c r="I64" s="217">
        <v>44643</v>
      </c>
      <c r="J64" s="563" t="s">
        <v>4026</v>
      </c>
      <c r="K64" s="386">
        <v>33.57</v>
      </c>
      <c r="L64" s="386">
        <v>0.378</v>
      </c>
      <c r="N64" s="4" t="s">
        <v>3076</v>
      </c>
      <c r="O64" s="478" t="s">
        <v>4067</v>
      </c>
      <c r="P64" s="478" t="s">
        <v>3901</v>
      </c>
      <c r="Q64" t="s">
        <v>4285</v>
      </c>
      <c r="R64">
        <v>5</v>
      </c>
    </row>
    <row r="65" spans="1:18">
      <c r="A65" s="134" t="s">
        <v>4286</v>
      </c>
      <c r="B65" s="478">
        <v>17.8</v>
      </c>
      <c r="C65" s="478">
        <v>1.61</v>
      </c>
      <c r="D65" s="478">
        <v>7.1</v>
      </c>
      <c r="E65" s="478">
        <v>24.4</v>
      </c>
      <c r="F65" s="565" t="s">
        <v>4288</v>
      </c>
      <c r="G65" s="563">
        <v>28</v>
      </c>
      <c r="H65" s="563">
        <v>81</v>
      </c>
      <c r="I65" s="217">
        <v>44643</v>
      </c>
      <c r="J65" s="563" t="s">
        <v>4026</v>
      </c>
      <c r="K65" s="386">
        <v>33.57</v>
      </c>
      <c r="L65" s="386">
        <v>0.70299999999999996</v>
      </c>
      <c r="N65" s="4" t="s">
        <v>3076</v>
      </c>
      <c r="O65" s="478" t="s">
        <v>4067</v>
      </c>
      <c r="P65" s="478" t="s">
        <v>3901</v>
      </c>
      <c r="Q65" t="s">
        <v>3026</v>
      </c>
      <c r="R65">
        <v>9</v>
      </c>
    </row>
    <row r="66" spans="1:18" ht="12.75" customHeight="1">
      <c r="A66" s="134" t="s">
        <v>4287</v>
      </c>
      <c r="B66" s="478">
        <v>19.2</v>
      </c>
      <c r="C66" s="478">
        <v>1.6</v>
      </c>
      <c r="D66" s="478">
        <v>7.13</v>
      </c>
      <c r="E66" s="478">
        <v>24.4</v>
      </c>
      <c r="F66" s="45" t="s">
        <v>4289</v>
      </c>
      <c r="G66" s="563">
        <v>28</v>
      </c>
      <c r="H66" s="563">
        <v>81</v>
      </c>
      <c r="I66" s="217">
        <v>44643</v>
      </c>
      <c r="J66" s="563" t="s">
        <v>4026</v>
      </c>
      <c r="K66" s="386">
        <v>33.590000000000003</v>
      </c>
      <c r="L66" s="386">
        <v>0.36099999999999999</v>
      </c>
      <c r="N66" s="4" t="s">
        <v>3076</v>
      </c>
      <c r="O66" s="478" t="s">
        <v>4067</v>
      </c>
      <c r="P66" s="564" t="s">
        <v>4290</v>
      </c>
      <c r="Q66" t="s">
        <v>3166</v>
      </c>
      <c r="R66">
        <v>4</v>
      </c>
    </row>
    <row r="67" spans="1:18">
      <c r="A67" s="134" t="s">
        <v>4292</v>
      </c>
      <c r="B67">
        <v>18.399999999999999</v>
      </c>
      <c r="C67">
        <v>1.59</v>
      </c>
      <c r="D67">
        <v>7.13</v>
      </c>
      <c r="E67">
        <v>24.44</v>
      </c>
      <c r="F67" s="19" t="s">
        <v>4291</v>
      </c>
      <c r="G67" s="386">
        <v>20</v>
      </c>
      <c r="H67" s="386">
        <v>72.3</v>
      </c>
      <c r="I67" s="217">
        <v>45009</v>
      </c>
      <c r="J67" s="386" t="s">
        <v>3074</v>
      </c>
      <c r="K67" s="386">
        <v>33.630000000000003</v>
      </c>
      <c r="L67" s="386">
        <v>0.34499999999999997</v>
      </c>
      <c r="N67" s="4" t="s">
        <v>3076</v>
      </c>
      <c r="O67" s="478" t="s">
        <v>4067</v>
      </c>
      <c r="P67" s="63" t="s">
        <v>4302</v>
      </c>
      <c r="Q67" t="s">
        <v>3025</v>
      </c>
      <c r="R67">
        <v>3</v>
      </c>
    </row>
    <row r="68" spans="1:18">
      <c r="A68" s="134" t="s">
        <v>4293</v>
      </c>
      <c r="B68">
        <v>17.2</v>
      </c>
      <c r="C68">
        <v>1.6</v>
      </c>
      <c r="D68">
        <v>7.09</v>
      </c>
      <c r="E68">
        <v>24.37</v>
      </c>
      <c r="F68" s="19" t="s">
        <v>4294</v>
      </c>
      <c r="G68" s="566">
        <v>20</v>
      </c>
      <c r="H68" s="566">
        <v>72.3</v>
      </c>
      <c r="I68" s="217">
        <v>45009</v>
      </c>
      <c r="J68" s="566" t="s">
        <v>3074</v>
      </c>
      <c r="K68" s="386">
        <v>33.6</v>
      </c>
      <c r="L68" s="386">
        <v>0.83499999999999996</v>
      </c>
      <c r="N68" s="4" t="s">
        <v>3076</v>
      </c>
      <c r="O68" s="478" t="s">
        <v>4067</v>
      </c>
      <c r="P68" s="63" t="s">
        <v>4301</v>
      </c>
      <c r="Q68" t="s">
        <v>3025</v>
      </c>
      <c r="R68">
        <v>2</v>
      </c>
    </row>
    <row r="69" spans="1:18">
      <c r="A69" s="134" t="s">
        <v>4295</v>
      </c>
      <c r="B69" s="478">
        <v>17.2</v>
      </c>
      <c r="C69" s="478">
        <v>1.6</v>
      </c>
      <c r="D69" s="478">
        <v>7.11</v>
      </c>
      <c r="E69" s="478">
        <v>24.41</v>
      </c>
      <c r="F69" s="19" t="s">
        <v>4296</v>
      </c>
      <c r="G69" s="386">
        <v>19</v>
      </c>
      <c r="H69" s="386">
        <v>80</v>
      </c>
      <c r="I69" s="217">
        <v>45009</v>
      </c>
      <c r="J69" s="567" t="s">
        <v>4026</v>
      </c>
      <c r="K69" s="386">
        <v>33.5</v>
      </c>
      <c r="L69" s="386">
        <v>0.10100000000000001</v>
      </c>
      <c r="N69" s="34" t="s">
        <v>3076</v>
      </c>
      <c r="O69" s="478" t="s">
        <v>4067</v>
      </c>
      <c r="P69" s="63" t="s">
        <v>4305</v>
      </c>
      <c r="Q69" s="321">
        <v>115100</v>
      </c>
      <c r="R69">
        <v>5</v>
      </c>
    </row>
    <row r="70" spans="1:18">
      <c r="A70" s="134" t="s">
        <v>4278</v>
      </c>
      <c r="B70" s="478">
        <v>16.8</v>
      </c>
      <c r="C70" s="478">
        <v>1.6</v>
      </c>
      <c r="D70" s="478">
        <v>7.13</v>
      </c>
      <c r="E70" s="478">
        <v>24.43</v>
      </c>
      <c r="F70" s="45" t="s">
        <v>4298</v>
      </c>
      <c r="G70" s="567">
        <v>19</v>
      </c>
      <c r="H70" s="567">
        <v>80</v>
      </c>
      <c r="I70" s="217">
        <v>45009</v>
      </c>
      <c r="J70" s="567" t="s">
        <v>4026</v>
      </c>
      <c r="K70" s="386">
        <v>33.49</v>
      </c>
      <c r="L70" s="386">
        <v>0.57299999999999995</v>
      </c>
      <c r="N70" s="34" t="s">
        <v>3076</v>
      </c>
      <c r="O70" s="478" t="s">
        <v>4067</v>
      </c>
      <c r="P70" s="63" t="s">
        <v>4300</v>
      </c>
      <c r="Q70" t="s">
        <v>4299</v>
      </c>
      <c r="R70">
        <v>4</v>
      </c>
    </row>
    <row r="71" spans="1:18">
      <c r="A71" s="393"/>
    </row>
    <row r="73" spans="1:18">
      <c r="B73" t="s">
        <v>4297</v>
      </c>
    </row>
  </sheetData>
  <mergeCells count="2">
    <mergeCell ref="B2:C2"/>
    <mergeCell ref="A24:J24"/>
  </mergeCells>
  <hyperlinks>
    <hyperlink ref="N25" r:id="rId1" xr:uid="{00000000-0004-0000-0600-000000000000}"/>
    <hyperlink ref="N27" r:id="rId2" xr:uid="{00000000-0004-0000-0600-000001000000}"/>
    <hyperlink ref="N26" r:id="rId3" xr:uid="{00000000-0004-0000-0600-000002000000}"/>
    <hyperlink ref="N28" r:id="rId4" xr:uid="{00000000-0004-0000-0600-000003000000}"/>
    <hyperlink ref="N29" r:id="rId5" xr:uid="{00000000-0004-0000-0600-000004000000}"/>
    <hyperlink ref="N30" r:id="rId6" xr:uid="{00000000-0004-0000-0600-000005000000}"/>
    <hyperlink ref="N31" r:id="rId7" xr:uid="{00000000-0004-0000-0600-000006000000}"/>
    <hyperlink ref="N36" r:id="rId8" xr:uid="{00000000-0004-0000-0600-000007000000}"/>
    <hyperlink ref="N33" r:id="rId9" xr:uid="{00000000-0004-0000-0600-000008000000}"/>
    <hyperlink ref="N34" r:id="rId10" xr:uid="{00000000-0004-0000-0600-000009000000}"/>
    <hyperlink ref="N32" r:id="rId11" xr:uid="{00000000-0004-0000-0600-00000A000000}"/>
    <hyperlink ref="N37" r:id="rId12" xr:uid="{3A2AFE59-6CA4-4D1A-BA00-6BEDDB856CFC}"/>
    <hyperlink ref="N38" r:id="rId13" xr:uid="{AA9FE031-47B4-4C17-8FC5-5A968AF107E8}"/>
    <hyperlink ref="N39" r:id="rId14" xr:uid="{59BF6E22-5DE2-40C0-9846-CB2E38801561}"/>
    <hyperlink ref="N40" r:id="rId15" xr:uid="{9FA50543-4E39-4D48-A3FB-98A1AA72277C}"/>
    <hyperlink ref="N44" r:id="rId16" xr:uid="{809E339C-31BE-44C3-ABE0-78E6E204A718}"/>
    <hyperlink ref="N41" r:id="rId17" xr:uid="{7437C407-3C87-404C-B14B-F5BB917507D1}"/>
    <hyperlink ref="N43" r:id="rId18" xr:uid="{D977CA41-C8A8-43FF-9752-2DEAC1456809}"/>
    <hyperlink ref="N45" r:id="rId19" xr:uid="{FABB7421-3B1E-4515-B3BB-89ED598412A5}"/>
    <hyperlink ref="N46" r:id="rId20" xr:uid="{F733059D-066C-40D1-9570-B74537CE3ECC}"/>
    <hyperlink ref="N48" r:id="rId21" xr:uid="{B7D76CB7-A307-48EB-B04A-84E9CCA04990}"/>
    <hyperlink ref="N50" r:id="rId22" xr:uid="{50631506-B16B-4515-9AB4-A5A54505E6FD}"/>
    <hyperlink ref="N51" r:id="rId23" xr:uid="{6A169069-F05A-4FB0-8BCA-ECE8EA9F0CF9}"/>
    <hyperlink ref="N52" r:id="rId24" xr:uid="{A8A69967-0AFB-4728-ACA8-966CBC103B50}"/>
    <hyperlink ref="N53" r:id="rId25" xr:uid="{5C31BC0C-96CE-4B52-8190-73A2B8092B86}"/>
    <hyperlink ref="N54" r:id="rId26" xr:uid="{20967951-5724-4170-97E9-56023FEF3E88}"/>
    <hyperlink ref="N58" r:id="rId27" xr:uid="{4018C587-0562-43C2-9052-6A2A3B9816F3}"/>
    <hyperlink ref="N59" r:id="rId28" xr:uid="{9E80E9E5-80B0-4B60-AA33-AD03F0822B4D}"/>
    <hyperlink ref="N60" r:id="rId29" xr:uid="{C0DADF63-B601-4561-80B2-462A1487B555}"/>
    <hyperlink ref="N61" r:id="rId30" xr:uid="{1BD7250E-272D-4654-BED0-276A8EED48BA}"/>
    <hyperlink ref="N63" r:id="rId31" xr:uid="{1897EF13-B36F-4465-BF5C-57C1D0AEE944}"/>
    <hyperlink ref="N64" r:id="rId32" xr:uid="{70D680BA-0DC4-44B2-A52C-220CDFE1ABA4}"/>
    <hyperlink ref="N65" r:id="rId33" xr:uid="{64A7B2E1-4BF4-40A3-949D-7DF669D22215}"/>
    <hyperlink ref="N66" r:id="rId34" xr:uid="{AEBAF19A-4747-47B2-B644-909EF1D4EB0C}"/>
    <hyperlink ref="N67" r:id="rId35" xr:uid="{FEEE75F2-CDDC-4B71-9196-CEC029586EF5}"/>
    <hyperlink ref="N68" r:id="rId36" xr:uid="{1D9F8734-A280-4952-B37B-C9FF96A0AB9C}"/>
    <hyperlink ref="N69" r:id="rId37" xr:uid="{311A0002-1143-4252-93E3-B633F74611CE}"/>
    <hyperlink ref="N70" r:id="rId38" xr:uid="{49310CD6-7F00-4BF7-8C52-2908987DC344}"/>
  </hyperlinks>
  <printOptions gridLines="1"/>
  <pageMargins left="0.7" right="0.7" top="0.75" bottom="0.75" header="0.3" footer="0.3"/>
  <pageSetup scale="91" orientation="landscape" r:id="rId39"/>
  <legacyDrawing r:id="rId4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7"/>
  <sheetViews>
    <sheetView workbookViewId="0">
      <selection activeCell="F18" sqref="F18"/>
    </sheetView>
  </sheetViews>
  <sheetFormatPr defaultRowHeight="15"/>
  <cols>
    <col min="1" max="1" width="7.42578125" bestFit="1" customWidth="1"/>
    <col min="2" max="2" width="10" bestFit="1" customWidth="1"/>
    <col min="3" max="3" width="8.42578125" bestFit="1" customWidth="1"/>
    <col min="4" max="4" width="12.42578125" customWidth="1"/>
    <col min="5" max="5" width="14.7109375" customWidth="1"/>
    <col min="6" max="6" width="16.85546875" customWidth="1"/>
    <col min="7" max="7" width="10.7109375" customWidth="1"/>
    <col min="8" max="8" width="8" bestFit="1" customWidth="1"/>
    <col min="9" max="9" width="10" bestFit="1" customWidth="1"/>
    <col min="10" max="10" width="10.85546875" bestFit="1" customWidth="1"/>
    <col min="11" max="11" width="9" bestFit="1" customWidth="1"/>
    <col min="12" max="12" width="8.140625" bestFit="1" customWidth="1"/>
    <col min="13" max="13" width="10.7109375" bestFit="1" customWidth="1"/>
    <col min="14" max="14" width="11" bestFit="1" customWidth="1"/>
    <col min="15" max="15" width="37.140625" bestFit="1" customWidth="1"/>
    <col min="16" max="16" width="11.28515625" customWidth="1"/>
    <col min="18" max="18" width="7.5703125" bestFit="1" customWidth="1"/>
    <col min="19" max="19" width="7.7109375" bestFit="1" customWidth="1"/>
    <col min="20" max="20" width="8.140625" bestFit="1" customWidth="1"/>
    <col min="21" max="21" width="28.7109375" bestFit="1" customWidth="1"/>
  </cols>
  <sheetData>
    <row r="1" spans="1:23">
      <c r="A1" s="303"/>
      <c r="B1" s="275"/>
      <c r="C1" s="478"/>
      <c r="D1" s="478"/>
      <c r="E1" s="478"/>
      <c r="F1" s="489"/>
      <c r="G1" s="478"/>
      <c r="H1" s="478"/>
      <c r="I1" s="489">
        <f>COUNTIF(J:J, "DW")</f>
        <v>4</v>
      </c>
      <c r="J1" s="478"/>
      <c r="K1" s="478"/>
      <c r="L1" s="478"/>
      <c r="M1" s="478"/>
      <c r="N1" s="478"/>
      <c r="O1" s="478"/>
      <c r="P1" s="478"/>
      <c r="Q1" s="489"/>
      <c r="R1" s="478"/>
      <c r="S1" s="478"/>
      <c r="T1" s="478">
        <f>SUM(T4:T20)</f>
        <v>0</v>
      </c>
      <c r="U1" s="478" t="s">
        <v>665</v>
      </c>
      <c r="V1" s="478"/>
      <c r="W1" s="478"/>
    </row>
    <row r="2" spans="1:23" ht="60">
      <c r="A2" s="134"/>
      <c r="B2" s="604" t="s">
        <v>5</v>
      </c>
      <c r="C2" s="604"/>
      <c r="D2" s="101" t="s">
        <v>3607</v>
      </c>
      <c r="E2" s="29" t="s">
        <v>1201</v>
      </c>
      <c r="F2" s="489"/>
      <c r="G2" s="478"/>
      <c r="H2" s="478"/>
      <c r="I2" s="489">
        <f>COUNTIF(J:J, "DT")</f>
        <v>0</v>
      </c>
      <c r="J2" s="478"/>
      <c r="K2" s="478"/>
      <c r="L2" s="478"/>
      <c r="M2" s="478"/>
      <c r="N2" s="478"/>
      <c r="O2" s="478"/>
      <c r="P2" s="478"/>
      <c r="Q2" s="489"/>
      <c r="R2" s="478"/>
      <c r="S2" s="478"/>
      <c r="T2" s="478"/>
      <c r="U2" s="478"/>
      <c r="V2" s="478"/>
      <c r="W2" s="478"/>
    </row>
    <row r="3" spans="1:23" ht="75">
      <c r="A3" s="362" t="s">
        <v>4</v>
      </c>
      <c r="B3" s="22" t="s">
        <v>3604</v>
      </c>
      <c r="C3" s="23" t="s">
        <v>402</v>
      </c>
      <c r="D3" s="23" t="s">
        <v>403</v>
      </c>
      <c r="E3" s="23" t="s">
        <v>416</v>
      </c>
      <c r="F3" s="22" t="s">
        <v>135</v>
      </c>
      <c r="G3" s="22" t="s">
        <v>131</v>
      </c>
      <c r="H3" s="22" t="s">
        <v>132</v>
      </c>
      <c r="I3" s="22" t="s">
        <v>133</v>
      </c>
      <c r="J3" s="22" t="s">
        <v>1250</v>
      </c>
      <c r="K3" s="22" t="s">
        <v>105</v>
      </c>
      <c r="L3" s="22" t="s">
        <v>3605</v>
      </c>
      <c r="M3" s="490" t="s">
        <v>3606</v>
      </c>
      <c r="N3" s="18" t="s">
        <v>239</v>
      </c>
      <c r="O3" s="18" t="s">
        <v>145</v>
      </c>
      <c r="P3" s="18" t="s">
        <v>183</v>
      </c>
      <c r="Q3" s="22" t="s">
        <v>3523</v>
      </c>
      <c r="R3" s="22" t="s">
        <v>2189</v>
      </c>
      <c r="S3" s="22" t="s">
        <v>3463</v>
      </c>
      <c r="T3" s="22" t="s">
        <v>666</v>
      </c>
      <c r="U3" s="56" t="s">
        <v>667</v>
      </c>
      <c r="V3" s="478"/>
      <c r="W3" s="478"/>
    </row>
    <row r="4" spans="1:23">
      <c r="A4">
        <v>2423</v>
      </c>
      <c r="B4">
        <v>81.2</v>
      </c>
      <c r="C4">
        <v>1.5</v>
      </c>
      <c r="D4">
        <v>7.08</v>
      </c>
      <c r="E4">
        <v>24.48</v>
      </c>
      <c r="F4" t="s">
        <v>3608</v>
      </c>
      <c r="G4">
        <v>10</v>
      </c>
      <c r="H4">
        <v>74.3</v>
      </c>
      <c r="I4" s="162">
        <v>44258</v>
      </c>
      <c r="J4" t="s">
        <v>3074</v>
      </c>
      <c r="K4">
        <v>33.54</v>
      </c>
      <c r="L4">
        <v>1.034</v>
      </c>
      <c r="M4">
        <v>1.034</v>
      </c>
      <c r="N4" s="4" t="s">
        <v>3076</v>
      </c>
      <c r="O4" s="478" t="s">
        <v>3603</v>
      </c>
      <c r="P4">
        <f>AVERAGE(L4:M4)</f>
        <v>1.034</v>
      </c>
      <c r="Q4" s="321">
        <v>121116</v>
      </c>
    </row>
    <row r="5" spans="1:23">
      <c r="A5">
        <v>2428</v>
      </c>
      <c r="B5">
        <v>82.4</v>
      </c>
      <c r="C5">
        <v>1.48</v>
      </c>
      <c r="D5">
        <v>7.07</v>
      </c>
      <c r="E5">
        <v>24.32</v>
      </c>
      <c r="F5" s="478" t="s">
        <v>3609</v>
      </c>
      <c r="G5" s="478">
        <v>10</v>
      </c>
      <c r="H5" s="478">
        <v>74.3</v>
      </c>
      <c r="I5" s="162">
        <v>44258</v>
      </c>
      <c r="J5" s="478" t="s">
        <v>3074</v>
      </c>
      <c r="K5" s="478">
        <v>33.4</v>
      </c>
      <c r="L5" s="478">
        <v>1.002</v>
      </c>
      <c r="M5" s="478">
        <v>0.999</v>
      </c>
      <c r="N5" s="4" t="s">
        <v>3076</v>
      </c>
      <c r="O5" s="478" t="s">
        <v>3603</v>
      </c>
      <c r="P5" s="478">
        <f t="shared" ref="P5:P7" si="0">AVERAGE(L5:M5)</f>
        <v>1.0004999999999999</v>
      </c>
      <c r="Q5" s="321">
        <v>96101</v>
      </c>
    </row>
    <row r="6" spans="1:23">
      <c r="A6">
        <v>2424</v>
      </c>
      <c r="B6">
        <v>82</v>
      </c>
      <c r="C6">
        <v>1.49</v>
      </c>
      <c r="D6">
        <v>7.1</v>
      </c>
      <c r="E6">
        <v>24.39</v>
      </c>
      <c r="F6" s="478" t="s">
        <v>3610</v>
      </c>
      <c r="G6" s="478">
        <v>10</v>
      </c>
      <c r="H6" s="478">
        <v>70</v>
      </c>
      <c r="I6" s="162">
        <v>44259</v>
      </c>
      <c r="J6" s="478" t="s">
        <v>3074</v>
      </c>
      <c r="K6" s="478">
        <v>33.520000000000003</v>
      </c>
      <c r="L6" s="478">
        <v>1.0109999999999999</v>
      </c>
      <c r="M6" s="478">
        <v>1.008</v>
      </c>
      <c r="N6" s="4" t="s">
        <v>3076</v>
      </c>
      <c r="O6" s="478" t="s">
        <v>3603</v>
      </c>
      <c r="P6" s="478">
        <f t="shared" si="0"/>
        <v>1.0095000000000001</v>
      </c>
      <c r="Q6" s="321">
        <v>129122</v>
      </c>
    </row>
    <row r="7" spans="1:23">
      <c r="A7">
        <v>2427</v>
      </c>
      <c r="B7">
        <v>81.2</v>
      </c>
      <c r="C7">
        <v>1.53</v>
      </c>
      <c r="D7">
        <v>7.07</v>
      </c>
      <c r="E7">
        <v>24.36</v>
      </c>
      <c r="F7" s="478" t="s">
        <v>3611</v>
      </c>
      <c r="G7" s="478">
        <v>10</v>
      </c>
      <c r="H7" s="478">
        <v>70</v>
      </c>
      <c r="I7" s="162">
        <v>44260</v>
      </c>
      <c r="J7" s="478" t="s">
        <v>3074</v>
      </c>
      <c r="K7" s="478">
        <v>33.479999999999997</v>
      </c>
      <c r="L7" s="478">
        <v>1.0309999999999999</v>
      </c>
      <c r="M7" s="478">
        <v>1.0329999999999999</v>
      </c>
      <c r="N7" s="4" t="s">
        <v>3076</v>
      </c>
      <c r="O7" s="478" t="s">
        <v>3603</v>
      </c>
      <c r="P7" s="478">
        <f t="shared" si="0"/>
        <v>1.032</v>
      </c>
      <c r="Q7" s="321">
        <v>137137</v>
      </c>
    </row>
  </sheetData>
  <mergeCells count="1">
    <mergeCell ref="B2:C2"/>
  </mergeCells>
  <hyperlinks>
    <hyperlink ref="N4" r:id="rId1" xr:uid="{00000000-0004-0000-0500-000000000000}"/>
    <hyperlink ref="N5" r:id="rId2" xr:uid="{00000000-0004-0000-0500-000001000000}"/>
    <hyperlink ref="N6" r:id="rId3" xr:uid="{00000000-0004-0000-0500-000002000000}"/>
    <hyperlink ref="N7" r:id="rId4" xr:uid="{00000000-0004-0000-0500-000003000000}"/>
  </hyperlinks>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
  <sheetViews>
    <sheetView workbookViewId="0">
      <selection sqref="A1:XFD3"/>
    </sheetView>
  </sheetViews>
  <sheetFormatPr defaultRowHeight="15"/>
  <cols>
    <col min="1" max="1" width="9.140625" style="398"/>
    <col min="2" max="2" width="15.28515625" style="400" bestFit="1" customWidth="1"/>
    <col min="3" max="3" width="16.85546875" style="399" customWidth="1"/>
    <col min="4" max="4" width="10.42578125" style="400" customWidth="1"/>
    <col min="5" max="5" width="7.7109375" style="402" customWidth="1"/>
    <col min="6" max="6" width="12.85546875" style="400" customWidth="1"/>
    <col min="7" max="7" width="8" style="398" customWidth="1"/>
    <col min="8" max="8" width="8.5703125" style="398" customWidth="1"/>
    <col min="9" max="9" width="9.7109375" style="398" bestFit="1" customWidth="1"/>
    <col min="10" max="10" width="8.5703125" style="398" customWidth="1"/>
    <col min="11" max="11" width="13.42578125" style="399" bestFit="1" customWidth="1"/>
    <col min="12" max="12" width="12.85546875" style="399" customWidth="1"/>
    <col min="13" max="13" width="36.7109375" customWidth="1"/>
    <col min="14" max="14" width="10.28515625" style="399" customWidth="1"/>
    <col min="15" max="15" width="12.28515625" customWidth="1"/>
    <col min="16" max="16" width="11.42578125" style="399" customWidth="1"/>
  </cols>
  <sheetData>
    <row r="1" spans="1:16">
      <c r="A1" s="401" t="s">
        <v>2613</v>
      </c>
      <c r="C1" s="401" t="s">
        <v>2614</v>
      </c>
      <c r="D1" s="401"/>
    </row>
    <row r="3" spans="1:16" ht="76.5" customHeight="1">
      <c r="A3" s="23" t="s">
        <v>4</v>
      </c>
      <c r="B3" s="22" t="s">
        <v>135</v>
      </c>
      <c r="C3" s="23" t="s">
        <v>2621</v>
      </c>
      <c r="D3" s="22" t="s">
        <v>2623</v>
      </c>
      <c r="E3" s="22" t="s">
        <v>105</v>
      </c>
      <c r="F3" s="22" t="s">
        <v>2618</v>
      </c>
      <c r="G3" s="22" t="s">
        <v>131</v>
      </c>
      <c r="H3" s="22" t="s">
        <v>132</v>
      </c>
      <c r="I3" s="22" t="s">
        <v>133</v>
      </c>
      <c r="J3" s="22" t="s">
        <v>1250</v>
      </c>
      <c r="K3" s="22" t="s">
        <v>2622</v>
      </c>
      <c r="L3" s="18" t="s">
        <v>239</v>
      </c>
      <c r="M3" s="18" t="s">
        <v>145</v>
      </c>
      <c r="O3" s="18" t="s">
        <v>2189</v>
      </c>
      <c r="P3" s="18" t="s">
        <v>2619</v>
      </c>
    </row>
    <row r="4" spans="1:16">
      <c r="A4" s="398">
        <v>2157</v>
      </c>
      <c r="B4" s="400" t="s">
        <v>2615</v>
      </c>
      <c r="C4" s="399">
        <v>22</v>
      </c>
      <c r="D4" s="399">
        <v>37.6</v>
      </c>
      <c r="E4" s="402">
        <v>33.9</v>
      </c>
      <c r="F4" s="19">
        <v>0.73</v>
      </c>
      <c r="G4" s="398">
        <v>56.6</v>
      </c>
      <c r="H4" s="398">
        <v>66.599999999999994</v>
      </c>
      <c r="I4" s="217">
        <v>43213</v>
      </c>
      <c r="J4" s="398" t="s">
        <v>130</v>
      </c>
      <c r="K4" s="399">
        <v>272</v>
      </c>
      <c r="L4" s="5" t="str">
        <f>HYPERLINK("\\hopi-fs\shares\users\dhar\Stalk mount testing\Type 19\CRYO-2085-2617  2157","folder")</f>
        <v>folder</v>
      </c>
      <c r="M4" t="s">
        <v>2337</v>
      </c>
      <c r="N4" s="29" t="s">
        <v>2628</v>
      </c>
      <c r="P4" s="399" t="s">
        <v>2620</v>
      </c>
    </row>
    <row r="5" spans="1:16">
      <c r="A5" s="398">
        <v>2158</v>
      </c>
      <c r="B5" s="400" t="s">
        <v>2616</v>
      </c>
      <c r="C5" s="399">
        <v>28.4</v>
      </c>
      <c r="D5" s="399">
        <v>40.799999999999997</v>
      </c>
      <c r="E5" s="402">
        <v>33.299999999999997</v>
      </c>
      <c r="F5" s="19">
        <v>1.1399999999999999</v>
      </c>
      <c r="G5" s="398">
        <v>56.6</v>
      </c>
      <c r="H5" s="398">
        <v>66.599999999999994</v>
      </c>
      <c r="I5" s="217">
        <v>43214</v>
      </c>
      <c r="J5" s="398" t="s">
        <v>130</v>
      </c>
      <c r="K5" s="399">
        <v>52</v>
      </c>
      <c r="L5" s="5" t="str">
        <f>HYPERLINK("\\hopi-fs\shares\users\dhar\Stalk mount testing\Type 19\CRYO-2087-2618  2158","folder")</f>
        <v>folder</v>
      </c>
      <c r="M5" t="s">
        <v>2337</v>
      </c>
      <c r="N5" s="29" t="s">
        <v>2628</v>
      </c>
      <c r="P5" s="399" t="s">
        <v>2620</v>
      </c>
    </row>
    <row r="6" spans="1:16">
      <c r="A6" s="398">
        <v>2159</v>
      </c>
      <c r="B6" s="19" t="s">
        <v>2617</v>
      </c>
      <c r="C6" s="399">
        <v>22</v>
      </c>
      <c r="D6" s="399">
        <v>50</v>
      </c>
      <c r="E6" s="402">
        <v>33.6</v>
      </c>
      <c r="F6" s="19">
        <v>1.49</v>
      </c>
      <c r="G6" s="398">
        <v>56.6</v>
      </c>
      <c r="H6" s="398">
        <v>66.599999999999994</v>
      </c>
      <c r="I6" s="217">
        <v>43214</v>
      </c>
      <c r="J6" s="398" t="s">
        <v>130</v>
      </c>
      <c r="K6" s="399">
        <v>46</v>
      </c>
      <c r="L6" s="5" t="str">
        <f>HYPERLINK("\\hopi-fs\shares\users\dhar\Stalk mount testing\Type 19\CRYO-2085-2620  2159","folder")</f>
        <v>folder</v>
      </c>
      <c r="M6" t="s">
        <v>2337</v>
      </c>
      <c r="N6" s="507" t="s">
        <v>3846</v>
      </c>
      <c r="P6" s="399" t="s">
        <v>2620</v>
      </c>
    </row>
    <row r="7" spans="1:16">
      <c r="A7" s="398">
        <v>2160</v>
      </c>
      <c r="B7" s="400" t="s">
        <v>2625</v>
      </c>
      <c r="C7" s="399">
        <v>25.6</v>
      </c>
      <c r="D7" s="400">
        <v>32.799999999999997</v>
      </c>
      <c r="E7" s="402">
        <v>33.700000000000003</v>
      </c>
      <c r="F7" s="19">
        <v>1.19</v>
      </c>
      <c r="G7" s="398">
        <v>54.6</v>
      </c>
      <c r="H7" s="398">
        <v>68.599999999999994</v>
      </c>
      <c r="I7" s="217">
        <v>43215</v>
      </c>
      <c r="J7" s="398" t="s">
        <v>130</v>
      </c>
      <c r="K7" s="399">
        <v>113</v>
      </c>
      <c r="L7" s="5" t="str">
        <f>HYPERLINK("\\hopi-fs\shares\users\dhar\Stalk mount testing\Type 19\CRYO-2087-2597  2160","folder")</f>
        <v>folder</v>
      </c>
      <c r="M7" t="s">
        <v>2337</v>
      </c>
      <c r="N7" s="29" t="s">
        <v>2628</v>
      </c>
      <c r="P7" s="402" t="s">
        <v>2620</v>
      </c>
    </row>
    <row r="8" spans="1:16">
      <c r="F8" s="1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54"/>
  <sheetViews>
    <sheetView zoomScale="110" zoomScaleNormal="110" workbookViewId="0">
      <pane ySplit="2" topLeftCell="A20" activePane="bottomLeft" state="frozen"/>
      <selection pane="bottomLeft" activeCell="P34" sqref="P34"/>
    </sheetView>
  </sheetViews>
  <sheetFormatPr defaultRowHeight="15"/>
  <cols>
    <col min="1" max="1" width="7.5703125" customWidth="1"/>
    <col min="2" max="2" width="9.42578125" customWidth="1"/>
    <col min="3" max="3" width="8.7109375" customWidth="1"/>
    <col min="4" max="4" width="10.42578125" customWidth="1"/>
    <col min="5" max="5" width="13" customWidth="1"/>
    <col min="6" max="6" width="18.85546875" customWidth="1"/>
    <col min="7" max="8" width="6.7109375" customWidth="1"/>
    <col min="9" max="9" width="13.5703125" customWidth="1"/>
    <col min="10" max="10" width="6.7109375" customWidth="1"/>
    <col min="11" max="11" width="5.7109375" customWidth="1"/>
    <col min="12" max="12" width="5.5703125" customWidth="1"/>
    <col min="14" max="14" width="4.28515625" customWidth="1"/>
    <col min="15" max="15" width="5.28515625" customWidth="1"/>
    <col min="16" max="16" width="10.42578125" customWidth="1"/>
    <col min="17" max="17" width="7.42578125" customWidth="1"/>
    <col min="19" max="19" width="42.42578125" customWidth="1"/>
  </cols>
  <sheetData>
    <row r="1" spans="1:20" ht="60">
      <c r="A1" s="297"/>
      <c r="B1" s="604" t="s">
        <v>5</v>
      </c>
      <c r="C1" s="604"/>
      <c r="D1" s="101" t="s">
        <v>1543</v>
      </c>
      <c r="E1" s="297" t="s">
        <v>8</v>
      </c>
    </row>
    <row r="2" spans="1:20" ht="27.75" customHeight="1">
      <c r="A2" s="23" t="s">
        <v>4</v>
      </c>
      <c r="B2" s="23" t="s">
        <v>11</v>
      </c>
      <c r="C2" s="23" t="s">
        <v>62</v>
      </c>
      <c r="D2" s="23" t="s">
        <v>1544</v>
      </c>
      <c r="E2" s="23" t="s">
        <v>1545</v>
      </c>
      <c r="F2" s="22" t="s">
        <v>135</v>
      </c>
      <c r="G2" s="22" t="s">
        <v>131</v>
      </c>
      <c r="H2" s="22" t="s">
        <v>132</v>
      </c>
      <c r="I2" s="22" t="s">
        <v>133</v>
      </c>
      <c r="J2" s="22" t="s">
        <v>134</v>
      </c>
      <c r="K2" s="22" t="s">
        <v>105</v>
      </c>
      <c r="L2" s="22" t="s">
        <v>157</v>
      </c>
      <c r="M2" s="22" t="s">
        <v>163</v>
      </c>
      <c r="N2" s="22" t="s">
        <v>226</v>
      </c>
      <c r="O2" s="18" t="s">
        <v>141</v>
      </c>
      <c r="P2" s="18" t="s">
        <v>239</v>
      </c>
      <c r="Q2" s="18" t="s">
        <v>210</v>
      </c>
      <c r="R2" s="18" t="s">
        <v>146</v>
      </c>
      <c r="S2" s="18" t="s">
        <v>145</v>
      </c>
      <c r="T2" s="18" t="s">
        <v>183</v>
      </c>
    </row>
    <row r="3" spans="1:20">
      <c r="A3">
        <v>1504</v>
      </c>
      <c r="B3">
        <v>18.399999999999999</v>
      </c>
      <c r="C3">
        <v>1.5</v>
      </c>
      <c r="D3">
        <v>11.65</v>
      </c>
      <c r="E3">
        <v>20</v>
      </c>
      <c r="F3" t="s">
        <v>1550</v>
      </c>
      <c r="G3">
        <v>62</v>
      </c>
      <c r="H3">
        <v>69</v>
      </c>
      <c r="I3" s="162">
        <v>41801</v>
      </c>
      <c r="J3" t="s">
        <v>130</v>
      </c>
      <c r="K3">
        <v>33.619999999999997</v>
      </c>
      <c r="L3">
        <v>0.64300000000000002</v>
      </c>
      <c r="M3" t="s">
        <v>1548</v>
      </c>
      <c r="P3" s="4" t="str">
        <f>HYPERLINK("\\HOPI-FS\shares\users\dhar\Stalk mount testing\Type 1G\CRYO-ISE-3Q04-04-52  1504","folder")</f>
        <v>folder</v>
      </c>
      <c r="S3" t="s">
        <v>1498</v>
      </c>
      <c r="T3" t="s">
        <v>1560</v>
      </c>
    </row>
    <row r="4" spans="1:20">
      <c r="A4">
        <v>1506</v>
      </c>
      <c r="B4">
        <v>16</v>
      </c>
      <c r="C4">
        <v>1.52</v>
      </c>
      <c r="D4">
        <v>11.73</v>
      </c>
      <c r="E4">
        <v>19.97</v>
      </c>
      <c r="F4" t="s">
        <v>1551</v>
      </c>
      <c r="G4">
        <v>62</v>
      </c>
      <c r="H4">
        <v>69</v>
      </c>
      <c r="I4" s="162">
        <v>41801</v>
      </c>
      <c r="J4" t="s">
        <v>130</v>
      </c>
      <c r="K4">
        <v>33.67</v>
      </c>
      <c r="L4">
        <v>0.5</v>
      </c>
      <c r="M4" t="s">
        <v>1549</v>
      </c>
      <c r="P4" s="4" t="str">
        <f>HYPERLINK("\\HOPI-FS\shares\users\dhar\Stalk mount testing\Type 1G\CRYO-ISE-3Q04-04-51  1506","folder")</f>
        <v>folder</v>
      </c>
      <c r="S4" t="s">
        <v>1498</v>
      </c>
      <c r="T4" t="s">
        <v>1560</v>
      </c>
    </row>
    <row r="5" spans="1:20" ht="24.75" customHeight="1">
      <c r="A5">
        <v>1507</v>
      </c>
      <c r="B5">
        <v>16.399999999999999</v>
      </c>
      <c r="C5">
        <v>1.55</v>
      </c>
      <c r="D5">
        <v>11.67</v>
      </c>
      <c r="E5">
        <v>19.989999999999998</v>
      </c>
      <c r="F5" s="239" t="s">
        <v>1554</v>
      </c>
      <c r="G5">
        <v>62</v>
      </c>
      <c r="H5">
        <v>69</v>
      </c>
      <c r="I5" s="162">
        <v>41807</v>
      </c>
      <c r="J5" t="s">
        <v>130</v>
      </c>
      <c r="K5">
        <v>33.700000000000003</v>
      </c>
      <c r="L5">
        <v>0.6</v>
      </c>
      <c r="M5">
        <v>220</v>
      </c>
      <c r="P5" s="4" t="str">
        <f>HYPERLINK("\\HOPI-FS\shares\users\dhar\Stalk mount testing\Type 1G\CRYO-2071-2399  1507","folder")</f>
        <v>folder</v>
      </c>
      <c r="S5" t="s">
        <v>1498</v>
      </c>
      <c r="T5" t="s">
        <v>1570</v>
      </c>
    </row>
    <row r="6" spans="1:20">
      <c r="A6">
        <v>1509</v>
      </c>
      <c r="B6">
        <v>19.600000000000001</v>
      </c>
      <c r="C6">
        <v>1.52</v>
      </c>
      <c r="D6">
        <v>11.54</v>
      </c>
      <c r="E6">
        <v>19.97</v>
      </c>
      <c r="F6" s="239" t="s">
        <v>1555</v>
      </c>
      <c r="G6">
        <v>62</v>
      </c>
      <c r="H6">
        <v>69</v>
      </c>
      <c r="I6" s="162">
        <v>41807</v>
      </c>
      <c r="J6" t="s">
        <v>130</v>
      </c>
      <c r="K6">
        <v>33.549999999999997</v>
      </c>
      <c r="L6">
        <v>0.63500000000000001</v>
      </c>
      <c r="M6">
        <v>219</v>
      </c>
      <c r="P6" s="4" t="str">
        <f>HYPERLINK("\\HOPI-FS\shares\users\dhar\Stalk mount testing\Type 1G\CRYO-2071-2400  1509","folder")</f>
        <v>folder</v>
      </c>
      <c r="S6" t="s">
        <v>1498</v>
      </c>
      <c r="T6" t="s">
        <v>1570</v>
      </c>
    </row>
    <row r="7" spans="1:20">
      <c r="A7">
        <v>1521</v>
      </c>
      <c r="B7">
        <v>18.8</v>
      </c>
      <c r="C7">
        <v>1.52</v>
      </c>
      <c r="D7">
        <v>11.62</v>
      </c>
      <c r="E7">
        <v>20.25</v>
      </c>
      <c r="F7" s="239" t="s">
        <v>1562</v>
      </c>
      <c r="G7">
        <v>62</v>
      </c>
      <c r="H7">
        <v>69</v>
      </c>
      <c r="I7" s="162">
        <v>41809</v>
      </c>
      <c r="J7" t="s">
        <v>130</v>
      </c>
      <c r="K7">
        <v>33.39</v>
      </c>
      <c r="L7">
        <v>0.51500000000000001</v>
      </c>
      <c r="M7" t="s">
        <v>1566</v>
      </c>
      <c r="P7" s="4" t="str">
        <f>HYPERLINK("\\HOPI-FS\shares\users\dhar\Stalk mount testing\Type 1G\CRYO-2069-2407  1521","folder")</f>
        <v>folder</v>
      </c>
      <c r="S7" t="s">
        <v>1498</v>
      </c>
      <c r="T7" t="s">
        <v>2612</v>
      </c>
    </row>
    <row r="8" spans="1:20">
      <c r="A8">
        <v>1522</v>
      </c>
      <c r="B8">
        <v>16</v>
      </c>
      <c r="C8">
        <v>1.54</v>
      </c>
      <c r="D8">
        <v>11.51</v>
      </c>
      <c r="E8">
        <v>19.95</v>
      </c>
      <c r="F8" s="239" t="s">
        <v>1558</v>
      </c>
      <c r="G8">
        <v>62</v>
      </c>
      <c r="H8">
        <v>69</v>
      </c>
      <c r="I8" s="162">
        <v>41807</v>
      </c>
      <c r="J8" t="s">
        <v>130</v>
      </c>
      <c r="K8">
        <v>33.5</v>
      </c>
      <c r="L8">
        <v>0.20200000000000001</v>
      </c>
      <c r="M8">
        <v>217</v>
      </c>
      <c r="P8" s="4" t="str">
        <f>HYPERLINK("\\HOPI-FS\shares\users\dhar\Stalk mount testing\Type 1G\CRYO-2071-2405  1522","folder")</f>
        <v>folder</v>
      </c>
      <c r="S8" t="s">
        <v>1498</v>
      </c>
      <c r="T8" t="s">
        <v>1570</v>
      </c>
    </row>
    <row r="9" spans="1:20">
      <c r="A9">
        <v>1520</v>
      </c>
      <c r="B9">
        <v>17.2</v>
      </c>
      <c r="C9">
        <v>1.49</v>
      </c>
      <c r="D9">
        <v>11.6</v>
      </c>
      <c r="E9">
        <v>19.95</v>
      </c>
      <c r="F9" s="239" t="s">
        <v>1557</v>
      </c>
      <c r="G9">
        <v>63</v>
      </c>
      <c r="H9">
        <v>69</v>
      </c>
      <c r="I9" s="162">
        <v>41808</v>
      </c>
      <c r="J9" t="s">
        <v>130</v>
      </c>
      <c r="K9">
        <v>33.56</v>
      </c>
      <c r="L9">
        <v>0.52900000000000003</v>
      </c>
      <c r="M9">
        <v>220</v>
      </c>
      <c r="P9" s="4" t="str">
        <f>HYPERLINK("\\HOPI-FS\shares\users\dhar\Stalk mount testing\Type 1G\CRYO-2069-2404  1520","folder")</f>
        <v>folder</v>
      </c>
      <c r="S9" t="s">
        <v>1498</v>
      </c>
      <c r="T9" t="s">
        <v>1570</v>
      </c>
    </row>
    <row r="10" spans="1:20">
      <c r="F10" s="298" t="s">
        <v>1563</v>
      </c>
      <c r="G10" t="s">
        <v>1567</v>
      </c>
    </row>
    <row r="11" spans="1:20">
      <c r="F11" s="298" t="s">
        <v>1556</v>
      </c>
      <c r="G11" t="s">
        <v>1568</v>
      </c>
    </row>
    <row r="12" spans="1:20">
      <c r="F12" s="298" t="s">
        <v>1564</v>
      </c>
      <c r="G12" t="s">
        <v>1283</v>
      </c>
    </row>
    <row r="13" spans="1:20">
      <c r="F13" s="298" t="s">
        <v>1565</v>
      </c>
      <c r="G13" t="s">
        <v>1569</v>
      </c>
    </row>
    <row r="14" spans="1:20">
      <c r="A14">
        <v>1567</v>
      </c>
      <c r="B14">
        <v>16.399999999999999</v>
      </c>
      <c r="C14">
        <v>1.54</v>
      </c>
      <c r="D14">
        <v>11.47</v>
      </c>
      <c r="E14">
        <v>20</v>
      </c>
      <c r="F14" s="295" t="s">
        <v>1620</v>
      </c>
      <c r="G14">
        <v>59.6</v>
      </c>
      <c r="H14">
        <v>69.3</v>
      </c>
      <c r="I14" s="162">
        <v>41926</v>
      </c>
      <c r="J14" t="s">
        <v>130</v>
      </c>
      <c r="K14">
        <v>33.479999999999997</v>
      </c>
      <c r="L14">
        <v>0.78</v>
      </c>
      <c r="M14">
        <v>212</v>
      </c>
      <c r="P14" s="4" t="str">
        <f>HYPERLINK("\\hopi-fs\shares\users\dhar\Stalk mount testing\Type 1G\CRYO-2072-2463  1567 1G","folder")</f>
        <v>folder</v>
      </c>
      <c r="S14" t="s">
        <v>1498</v>
      </c>
      <c r="T14" t="s">
        <v>1636</v>
      </c>
    </row>
    <row r="15" spans="1:20">
      <c r="A15" s="246">
        <v>1568</v>
      </c>
      <c r="B15">
        <v>17.8</v>
      </c>
      <c r="C15">
        <v>1.49</v>
      </c>
      <c r="D15">
        <v>11.36</v>
      </c>
      <c r="E15">
        <v>20</v>
      </c>
      <c r="F15" s="307" t="s">
        <v>1621</v>
      </c>
      <c r="G15">
        <v>59.6</v>
      </c>
      <c r="H15">
        <v>69.3</v>
      </c>
      <c r="I15" s="162">
        <v>41926</v>
      </c>
      <c r="J15" t="s">
        <v>130</v>
      </c>
      <c r="K15">
        <v>33.32</v>
      </c>
      <c r="L15">
        <v>0.68</v>
      </c>
      <c r="P15" s="4" t="str">
        <f>HYPERLINK("\\HOPI-FS\shares\users\dhar\Stalk mount testing\Type 1G\CRYO-2071-2464  1568 1G","folder")</f>
        <v>folder</v>
      </c>
      <c r="S15" t="s">
        <v>1498</v>
      </c>
    </row>
    <row r="16" spans="1:20">
      <c r="A16">
        <v>1568</v>
      </c>
      <c r="B16">
        <v>16</v>
      </c>
      <c r="C16">
        <v>1.5</v>
      </c>
      <c r="D16">
        <v>11.17</v>
      </c>
      <c r="E16">
        <v>19.59</v>
      </c>
      <c r="F16" s="309" t="s">
        <v>1630</v>
      </c>
      <c r="G16">
        <v>59.6</v>
      </c>
      <c r="H16">
        <v>69.599999999999994</v>
      </c>
      <c r="I16" s="162">
        <v>41928</v>
      </c>
      <c r="J16" t="s">
        <v>130</v>
      </c>
      <c r="K16">
        <v>32.770000000000003</v>
      </c>
      <c r="L16">
        <v>0.52</v>
      </c>
      <c r="M16">
        <v>220</v>
      </c>
      <c r="P16" s="4" t="str">
        <f>HYPERLINK("\\HOPI-FS\shares\users\dhar\Stalk mount testing\Type 1G\CRYO-2072-2473  1568 1G","folder")</f>
        <v>folder</v>
      </c>
      <c r="S16" t="s">
        <v>1498</v>
      </c>
      <c r="T16" t="s">
        <v>1636</v>
      </c>
    </row>
    <row r="17" spans="1:21">
      <c r="A17" s="246">
        <v>1569</v>
      </c>
      <c r="B17">
        <v>18.8</v>
      </c>
      <c r="C17">
        <v>1.53</v>
      </c>
      <c r="D17">
        <v>11.54</v>
      </c>
      <c r="E17">
        <v>20</v>
      </c>
      <c r="F17" s="307" t="s">
        <v>1622</v>
      </c>
      <c r="G17">
        <v>59.6</v>
      </c>
      <c r="H17">
        <v>69.3</v>
      </c>
      <c r="I17" s="162">
        <v>41926</v>
      </c>
      <c r="J17" t="s">
        <v>130</v>
      </c>
      <c r="K17">
        <v>33.11</v>
      </c>
      <c r="L17">
        <v>0.69</v>
      </c>
      <c r="P17" s="4" t="str">
        <f>HYPERLINK("\\HOPI-FS\shares\users\dhar\Stalk mount testing\Type 1G\CRYO-2073-2465  1569 1G","folder")</f>
        <v>folder</v>
      </c>
      <c r="S17" t="s">
        <v>1498</v>
      </c>
    </row>
    <row r="18" spans="1:21">
      <c r="A18">
        <v>1569</v>
      </c>
      <c r="B18">
        <v>16</v>
      </c>
      <c r="C18">
        <v>1.49</v>
      </c>
      <c r="D18">
        <v>11.31</v>
      </c>
      <c r="E18">
        <v>19.649999999999999</v>
      </c>
      <c r="F18" s="295" t="s">
        <v>1628</v>
      </c>
      <c r="G18">
        <v>59.6</v>
      </c>
      <c r="H18">
        <v>69.599999999999994</v>
      </c>
      <c r="I18" s="162">
        <v>41928</v>
      </c>
      <c r="J18" t="s">
        <v>130</v>
      </c>
      <c r="K18">
        <v>32.950000000000003</v>
      </c>
      <c r="L18">
        <v>0.56000000000000005</v>
      </c>
      <c r="M18">
        <v>208</v>
      </c>
      <c r="P18" s="4" t="str">
        <f>HYPERLINK("\\HOPI-FS\shares\users\dhar\Stalk mount testing\Type 1G\CRYO-2071-2471  1569 1G","folder")</f>
        <v>folder</v>
      </c>
      <c r="S18" t="s">
        <v>1498</v>
      </c>
      <c r="T18" t="s">
        <v>1636</v>
      </c>
    </row>
    <row r="19" spans="1:21">
      <c r="A19" s="246">
        <v>1570</v>
      </c>
      <c r="B19">
        <v>17.2</v>
      </c>
      <c r="C19">
        <v>1.54</v>
      </c>
      <c r="D19">
        <v>11.55</v>
      </c>
      <c r="E19">
        <v>19.899999999999999</v>
      </c>
      <c r="F19" s="307" t="s">
        <v>1623</v>
      </c>
      <c r="G19">
        <v>59.6</v>
      </c>
      <c r="H19">
        <v>69.3</v>
      </c>
      <c r="I19" s="162">
        <v>41926</v>
      </c>
      <c r="J19" t="s">
        <v>130</v>
      </c>
      <c r="K19">
        <v>33.090000000000003</v>
      </c>
      <c r="L19">
        <v>0.30599999999999999</v>
      </c>
      <c r="M19">
        <v>215</v>
      </c>
      <c r="P19" s="4" t="str">
        <f>HYPERLINK("\\HOPI-FS\shares\users\dhar\Stalk mount testing\Type 1G\CRYO-2073-2466  1570 1G","folder")</f>
        <v>folder</v>
      </c>
      <c r="S19" t="s">
        <v>1498</v>
      </c>
    </row>
    <row r="20" spans="1:21">
      <c r="A20" s="246">
        <v>1570</v>
      </c>
      <c r="C20">
        <v>1.54</v>
      </c>
      <c r="D20">
        <v>11.55</v>
      </c>
      <c r="E20">
        <v>19.899999999999999</v>
      </c>
      <c r="F20" s="308" t="s">
        <v>1632</v>
      </c>
      <c r="G20">
        <v>50.5</v>
      </c>
      <c r="H20">
        <v>68</v>
      </c>
      <c r="I20" s="162">
        <v>41929</v>
      </c>
      <c r="J20" t="s">
        <v>130</v>
      </c>
      <c r="K20" t="s">
        <v>1633</v>
      </c>
      <c r="P20" s="4"/>
      <c r="S20" t="s">
        <v>1498</v>
      </c>
    </row>
    <row r="21" spans="1:21">
      <c r="A21">
        <v>1570</v>
      </c>
      <c r="B21">
        <v>17</v>
      </c>
      <c r="C21">
        <v>1.5</v>
      </c>
      <c r="D21">
        <v>11.55</v>
      </c>
      <c r="E21">
        <v>19.899999999999999</v>
      </c>
      <c r="F21" s="295" t="s">
        <v>1635</v>
      </c>
      <c r="G21">
        <v>50.5</v>
      </c>
      <c r="H21">
        <v>68</v>
      </c>
      <c r="I21" s="162">
        <v>41929</v>
      </c>
      <c r="J21" t="s">
        <v>130</v>
      </c>
      <c r="K21">
        <v>33.46</v>
      </c>
      <c r="L21">
        <v>0.71899999999999997</v>
      </c>
      <c r="M21" s="13">
        <v>211</v>
      </c>
      <c r="P21" s="4" t="str">
        <f>HYPERLINK("\\hopi-fs\shares\users\dhar\Stalk mount testing\Type 1G\CRYO-2071-2477  1570 1G","folder")</f>
        <v>folder</v>
      </c>
      <c r="S21" t="s">
        <v>1498</v>
      </c>
      <c r="T21" t="s">
        <v>1636</v>
      </c>
    </row>
    <row r="22" spans="1:21">
      <c r="A22">
        <v>1572</v>
      </c>
      <c r="B22">
        <v>17.8</v>
      </c>
      <c r="C22">
        <v>1.51</v>
      </c>
      <c r="D22">
        <v>11.54</v>
      </c>
      <c r="E22">
        <v>20</v>
      </c>
      <c r="F22" s="295" t="s">
        <v>1624</v>
      </c>
      <c r="G22">
        <v>59.6</v>
      </c>
      <c r="H22">
        <v>69.3</v>
      </c>
      <c r="I22" s="162">
        <v>41926</v>
      </c>
      <c r="J22" t="s">
        <v>130</v>
      </c>
      <c r="K22">
        <v>33.03</v>
      </c>
      <c r="L22">
        <v>0.61199999999999999</v>
      </c>
      <c r="M22">
        <v>217</v>
      </c>
      <c r="P22" s="4" t="str">
        <f>HYPERLINK("\\HOPI-FS\shares\users\dhar\Stalk mount testing\Type 1G\CRYO-2071-2467  1572 1G","folder")</f>
        <v>folder</v>
      </c>
      <c r="S22" t="s">
        <v>1498</v>
      </c>
      <c r="T22" t="s">
        <v>1636</v>
      </c>
    </row>
    <row r="23" spans="1:21">
      <c r="A23" s="246">
        <v>1575</v>
      </c>
      <c r="B23">
        <v>17</v>
      </c>
      <c r="C23">
        <v>1.56</v>
      </c>
      <c r="D23">
        <v>11.51</v>
      </c>
      <c r="E23">
        <v>19.97</v>
      </c>
      <c r="F23" s="307" t="s">
        <v>1625</v>
      </c>
      <c r="G23">
        <v>59.6</v>
      </c>
      <c r="H23">
        <v>69.3</v>
      </c>
      <c r="I23" s="162">
        <v>41926</v>
      </c>
      <c r="J23" t="s">
        <v>130</v>
      </c>
      <c r="K23">
        <v>32.9</v>
      </c>
      <c r="L23">
        <v>0.57999999999999996</v>
      </c>
      <c r="P23" s="4" t="str">
        <f>HYPERLINK("\\HOPI-FS\shares\users\dhar\Stalk mount testing\Type 1G\CRYO-2071-2468  1575 1G","folder")</f>
        <v>folder</v>
      </c>
      <c r="S23" t="s">
        <v>1498</v>
      </c>
    </row>
    <row r="24" spans="1:21">
      <c r="A24" s="300">
        <v>1575</v>
      </c>
      <c r="B24" s="26">
        <v>18.600000000000001</v>
      </c>
      <c r="C24">
        <v>1.49</v>
      </c>
      <c r="D24">
        <v>11.3</v>
      </c>
      <c r="E24">
        <v>19.600000000000001</v>
      </c>
      <c r="F24" s="307" t="s">
        <v>1629</v>
      </c>
      <c r="G24">
        <v>59.6</v>
      </c>
      <c r="H24">
        <v>69.599999999999994</v>
      </c>
      <c r="I24" s="162">
        <v>41928</v>
      </c>
      <c r="J24" t="s">
        <v>130</v>
      </c>
      <c r="K24">
        <v>32.9</v>
      </c>
      <c r="L24">
        <v>0.49</v>
      </c>
      <c r="M24" t="s">
        <v>1631</v>
      </c>
      <c r="P24" s="4" t="str">
        <f>HYPERLINK("\\HOPI-FS\shares\users\dhar\Stalk mount testing\Type 1G\CRYO-2072-2472  1575 1G","folder")</f>
        <v>folder</v>
      </c>
      <c r="S24" t="s">
        <v>1498</v>
      </c>
      <c r="T24" t="s">
        <v>2612</v>
      </c>
    </row>
    <row r="25" spans="1:21">
      <c r="A25" s="246">
        <v>1505</v>
      </c>
      <c r="B25">
        <v>16.8</v>
      </c>
      <c r="C25">
        <v>1.52</v>
      </c>
      <c r="D25">
        <v>11.7</v>
      </c>
      <c r="E25">
        <v>19.96</v>
      </c>
      <c r="F25" s="307" t="s">
        <v>1626</v>
      </c>
      <c r="G25">
        <v>59.6</v>
      </c>
      <c r="H25">
        <v>69.3</v>
      </c>
      <c r="I25" s="162">
        <v>41926</v>
      </c>
      <c r="J25" t="s">
        <v>130</v>
      </c>
      <c r="K25">
        <v>33.18</v>
      </c>
      <c r="L25">
        <v>0.52</v>
      </c>
      <c r="M25">
        <v>221</v>
      </c>
      <c r="P25" s="4" t="str">
        <f>HYPERLINK("\\HOPI-FS\shares\users\dhar\Stalk mount testing\Type 1G\CRYO-2071-2469  1505 1G","folder")</f>
        <v>folder</v>
      </c>
      <c r="S25" t="s">
        <v>1498</v>
      </c>
    </row>
    <row r="26" spans="1:21">
      <c r="A26">
        <v>1505</v>
      </c>
      <c r="B26">
        <v>16.8</v>
      </c>
      <c r="C26">
        <v>1.52</v>
      </c>
      <c r="D26">
        <v>11.7</v>
      </c>
      <c r="E26">
        <v>19.96</v>
      </c>
      <c r="F26" s="295" t="s">
        <v>1634</v>
      </c>
      <c r="G26">
        <v>50.5</v>
      </c>
      <c r="H26">
        <v>68</v>
      </c>
      <c r="I26" s="162">
        <v>41929</v>
      </c>
      <c r="J26" t="s">
        <v>130</v>
      </c>
      <c r="K26">
        <v>33.6</v>
      </c>
      <c r="L26">
        <v>0.41499999999999998</v>
      </c>
      <c r="M26" s="13">
        <v>221</v>
      </c>
      <c r="P26" s="4" t="str">
        <f>HYPERLINK("\\hopi-fs\shares\users\dhar\Stalk mount testing\Type 1G\CRYO-2071-2475 1505","FOLDER")</f>
        <v>FOLDER</v>
      </c>
      <c r="S26" t="s">
        <v>1498</v>
      </c>
      <c r="T26" t="s">
        <v>2611</v>
      </c>
    </row>
    <row r="27" spans="1:21">
      <c r="A27">
        <v>1510</v>
      </c>
      <c r="B27">
        <v>17.600000000000001</v>
      </c>
      <c r="C27">
        <v>1.48</v>
      </c>
      <c r="D27">
        <v>11.37</v>
      </c>
      <c r="E27">
        <v>19.97</v>
      </c>
      <c r="F27" s="309" t="s">
        <v>1627</v>
      </c>
      <c r="G27">
        <v>59.6</v>
      </c>
      <c r="H27">
        <v>69.3</v>
      </c>
      <c r="I27" s="162">
        <v>41926</v>
      </c>
      <c r="J27" t="s">
        <v>130</v>
      </c>
      <c r="K27">
        <v>32.700000000000003</v>
      </c>
      <c r="L27">
        <v>0.15</v>
      </c>
      <c r="M27">
        <v>235</v>
      </c>
      <c r="P27" s="4" t="str">
        <f>HYPERLINK("\\HOPI-FS\shares\users\dhar\Stalk mount testing\Type 1G\CRYO-2072-2470  1510 1G","folder")</f>
        <v>folder</v>
      </c>
      <c r="S27" t="s">
        <v>1498</v>
      </c>
      <c r="T27" t="s">
        <v>1636</v>
      </c>
    </row>
    <row r="28" spans="1:21" ht="36.75" customHeight="1">
      <c r="A28">
        <v>1628</v>
      </c>
      <c r="B28">
        <v>19</v>
      </c>
      <c r="C28">
        <v>1.52</v>
      </c>
      <c r="D28">
        <v>11.53</v>
      </c>
      <c r="E28">
        <v>20.010000000000002</v>
      </c>
      <c r="F28" s="309" t="s">
        <v>1651</v>
      </c>
      <c r="G28">
        <v>20.8</v>
      </c>
      <c r="H28">
        <v>67.900000000000006</v>
      </c>
      <c r="I28" s="162">
        <v>41964</v>
      </c>
      <c r="J28" t="s">
        <v>130</v>
      </c>
      <c r="K28">
        <v>33.56</v>
      </c>
      <c r="L28">
        <v>0.62</v>
      </c>
      <c r="M28">
        <v>157</v>
      </c>
      <c r="P28" s="4" t="str">
        <f>HYPERLINK("\\HOPI-FS\shares\users\dhar\Stalk mount testing\Type 1G\MEQ ISE-2Q15-08-2  1628 1G","folder")</f>
        <v>folder</v>
      </c>
      <c r="S28" t="s">
        <v>1498</v>
      </c>
      <c r="T28" t="s">
        <v>1653</v>
      </c>
    </row>
    <row r="29" spans="1:21" ht="17.25" customHeight="1">
      <c r="A29">
        <v>1629</v>
      </c>
      <c r="B29">
        <v>17</v>
      </c>
      <c r="C29">
        <v>1.53</v>
      </c>
      <c r="D29">
        <v>11.5</v>
      </c>
      <c r="E29">
        <v>19.97</v>
      </c>
      <c r="F29" s="19" t="s">
        <v>1652</v>
      </c>
      <c r="G29">
        <v>20.8</v>
      </c>
      <c r="H29">
        <v>67.900000000000006</v>
      </c>
      <c r="I29" s="162">
        <v>41964</v>
      </c>
      <c r="J29" t="s">
        <v>130</v>
      </c>
      <c r="K29">
        <v>33.49</v>
      </c>
      <c r="L29">
        <v>0.48</v>
      </c>
      <c r="M29">
        <v>161</v>
      </c>
      <c r="P29" s="4" t="str">
        <f>HYPERLINK("\\HOPI-FS\shares\users\dhar\Stalk mount testing\Type 1G\MEQ ISE-2Q15-08-4  1629 1G","folder")</f>
        <v>folder</v>
      </c>
      <c r="S29" t="s">
        <v>1498</v>
      </c>
      <c r="T29" t="s">
        <v>1669</v>
      </c>
    </row>
    <row r="30" spans="1:21" ht="38.25" customHeight="1">
      <c r="A30">
        <v>1630</v>
      </c>
      <c r="B30">
        <v>18.600000000000001</v>
      </c>
      <c r="C30">
        <v>1.53</v>
      </c>
      <c r="D30">
        <v>11.48</v>
      </c>
      <c r="E30">
        <v>20</v>
      </c>
      <c r="F30" s="239" t="s">
        <v>1672</v>
      </c>
      <c r="G30">
        <v>16.3</v>
      </c>
      <c r="H30">
        <v>69.099999999999994</v>
      </c>
      <c r="I30" s="162">
        <v>42032</v>
      </c>
      <c r="J30" t="s">
        <v>130</v>
      </c>
      <c r="K30">
        <v>33.53</v>
      </c>
      <c r="L30">
        <v>0.28000000000000003</v>
      </c>
      <c r="M30">
        <v>218</v>
      </c>
      <c r="P30" s="4" t="str">
        <f>HYPERLINK("\\HOPI-FS\shares\users\dhar\Stalk mount testing\Type 1G\CRYO-2086-2511  1630 1G","folder")</f>
        <v>folder</v>
      </c>
      <c r="S30" t="s">
        <v>1498</v>
      </c>
      <c r="T30" t="s">
        <v>1692</v>
      </c>
      <c r="U30">
        <v>0.14000000000000001</v>
      </c>
    </row>
    <row r="31" spans="1:21">
      <c r="A31">
        <v>1632</v>
      </c>
      <c r="B31">
        <v>17.399999999999999</v>
      </c>
      <c r="C31">
        <v>1.5</v>
      </c>
      <c r="D31">
        <v>11.43</v>
      </c>
      <c r="E31">
        <v>19.96</v>
      </c>
      <c r="F31" s="13" t="s">
        <v>1673</v>
      </c>
      <c r="G31">
        <v>16.3</v>
      </c>
      <c r="H31">
        <v>69.099999999999994</v>
      </c>
      <c r="I31" s="162">
        <v>42032</v>
      </c>
      <c r="J31" t="s">
        <v>130</v>
      </c>
      <c r="K31">
        <v>33.799999999999997</v>
      </c>
      <c r="L31">
        <v>0.61499999999999999</v>
      </c>
      <c r="M31">
        <v>229</v>
      </c>
      <c r="P31" s="4" t="str">
        <f>HYPERLINK("\\HOPI-FS\shares\users\dhar\Stalk mount testing\Type 1G\CRYO-2085-2512  1632 1G","folder")</f>
        <v>folder</v>
      </c>
      <c r="S31" t="s">
        <v>1498</v>
      </c>
      <c r="T31" t="s">
        <v>2611</v>
      </c>
      <c r="U31">
        <v>0.1157</v>
      </c>
    </row>
    <row r="32" spans="1:21">
      <c r="A32">
        <v>1633</v>
      </c>
      <c r="B32">
        <v>17.600000000000001</v>
      </c>
      <c r="C32">
        <v>1.54</v>
      </c>
      <c r="D32">
        <v>11.49</v>
      </c>
      <c r="E32">
        <v>20</v>
      </c>
      <c r="F32" s="13" t="s">
        <v>1681</v>
      </c>
      <c r="G32">
        <v>16.3</v>
      </c>
      <c r="H32">
        <v>68.900000000000006</v>
      </c>
      <c r="I32" s="162">
        <v>42033</v>
      </c>
      <c r="J32" t="s">
        <v>130</v>
      </c>
      <c r="K32">
        <v>33.54</v>
      </c>
      <c r="L32">
        <v>0.68</v>
      </c>
      <c r="M32">
        <v>228</v>
      </c>
      <c r="P32" s="4" t="str">
        <f>HYPERLINK("\\HOPI-FS\shares\users\dhar\Stalk mount testing\Type 1G\CRYO-2085-2520  1633 1G","folder")</f>
        <v>folder</v>
      </c>
      <c r="S32" t="s">
        <v>1498</v>
      </c>
      <c r="T32" t="s">
        <v>1692</v>
      </c>
      <c r="U32">
        <v>0.06</v>
      </c>
    </row>
    <row r="33" spans="1:21">
      <c r="A33" s="246">
        <v>1633</v>
      </c>
      <c r="B33">
        <v>17.8</v>
      </c>
      <c r="C33">
        <v>1.52</v>
      </c>
      <c r="D33">
        <v>11.5</v>
      </c>
      <c r="E33">
        <v>19.98</v>
      </c>
      <c r="F33" s="146" t="s">
        <v>1674</v>
      </c>
      <c r="G33">
        <v>16.3</v>
      </c>
      <c r="H33">
        <v>69.099999999999994</v>
      </c>
      <c r="I33" s="162">
        <v>42032</v>
      </c>
      <c r="J33" t="s">
        <v>130</v>
      </c>
      <c r="S33" t="s">
        <v>1498</v>
      </c>
    </row>
    <row r="34" spans="1:21">
      <c r="A34">
        <v>1634</v>
      </c>
      <c r="B34">
        <v>18.399999999999999</v>
      </c>
      <c r="C34">
        <v>1.53</v>
      </c>
      <c r="D34">
        <v>11.53</v>
      </c>
      <c r="E34">
        <v>20.420000000000002</v>
      </c>
      <c r="F34" s="239" t="s">
        <v>1682</v>
      </c>
      <c r="G34">
        <v>16.3</v>
      </c>
      <c r="H34">
        <v>68.900000000000006</v>
      </c>
      <c r="I34" s="162">
        <v>42032</v>
      </c>
      <c r="J34" t="s">
        <v>130</v>
      </c>
      <c r="K34">
        <v>33.950000000000003</v>
      </c>
      <c r="L34">
        <v>0.77</v>
      </c>
      <c r="M34">
        <v>220</v>
      </c>
      <c r="P34" s="4" t="str">
        <f>HYPERLINK("\\HOPI-FS\shares\users\dhar\Stalk mount testing\Type 1G\CRYO-2088-2521  1634 1G","folder")</f>
        <v>folder</v>
      </c>
      <c r="S34" t="s">
        <v>1498</v>
      </c>
      <c r="T34" t="s">
        <v>1692</v>
      </c>
      <c r="U34">
        <v>5.8999999999999997E-2</v>
      </c>
    </row>
    <row r="35" spans="1:21">
      <c r="A35" s="246">
        <v>1634</v>
      </c>
      <c r="B35">
        <v>17</v>
      </c>
      <c r="C35">
        <v>1.49</v>
      </c>
      <c r="D35">
        <v>11.52</v>
      </c>
      <c r="E35">
        <v>20.059999999999999</v>
      </c>
      <c r="F35" s="146" t="s">
        <v>1675</v>
      </c>
      <c r="G35">
        <v>16.3</v>
      </c>
      <c r="H35">
        <v>69.099999999999994</v>
      </c>
      <c r="I35" s="162">
        <v>42032</v>
      </c>
      <c r="J35" t="s">
        <v>130</v>
      </c>
      <c r="K35">
        <v>33.89</v>
      </c>
      <c r="L35">
        <v>0.82</v>
      </c>
      <c r="P35" s="4" t="str">
        <f>HYPERLINK("\\HOPI-FS\shares\users\dhar\Stalk mount testing\Type 1G\CRYO-2085-2515  1634 1G","folder")</f>
        <v>folder</v>
      </c>
      <c r="S35" t="s">
        <v>1498</v>
      </c>
    </row>
    <row r="36" spans="1:21">
      <c r="A36">
        <v>1635</v>
      </c>
      <c r="B36">
        <v>16.399999999999999</v>
      </c>
      <c r="C36">
        <v>1.53</v>
      </c>
      <c r="D36">
        <v>11.47</v>
      </c>
      <c r="E36">
        <v>19.97</v>
      </c>
      <c r="F36" s="13" t="s">
        <v>1683</v>
      </c>
      <c r="G36">
        <v>16.3</v>
      </c>
      <c r="H36">
        <v>68.900000000000006</v>
      </c>
      <c r="I36" s="162">
        <v>42032</v>
      </c>
      <c r="J36" t="s">
        <v>130</v>
      </c>
      <c r="K36">
        <v>33.47</v>
      </c>
      <c r="L36">
        <v>0.63800000000000001</v>
      </c>
      <c r="M36">
        <v>218</v>
      </c>
      <c r="P36" s="4" t="str">
        <f>HYPERLINK("\\HOPI-FS\shares\users\dhar\Stalk mount testing\Type 1G\CRYO-2086-2522  1635 1G","folder")</f>
        <v>folder</v>
      </c>
      <c r="S36" t="s">
        <v>1498</v>
      </c>
      <c r="T36" t="s">
        <v>1692</v>
      </c>
      <c r="U36">
        <v>0.11</v>
      </c>
    </row>
    <row r="37" spans="1:21">
      <c r="A37" s="246">
        <v>1635</v>
      </c>
      <c r="B37">
        <v>17.600000000000001</v>
      </c>
      <c r="C37">
        <v>1.53</v>
      </c>
      <c r="D37">
        <v>11.47</v>
      </c>
      <c r="E37">
        <v>19.96</v>
      </c>
      <c r="F37" s="146" t="s">
        <v>1676</v>
      </c>
      <c r="G37">
        <v>16.3</v>
      </c>
      <c r="H37">
        <v>69.099999999999994</v>
      </c>
      <c r="I37" s="162">
        <v>42032</v>
      </c>
      <c r="J37" t="s">
        <v>130</v>
      </c>
      <c r="P37" t="s">
        <v>1678</v>
      </c>
      <c r="S37" t="s">
        <v>1498</v>
      </c>
    </row>
    <row r="38" spans="1:21">
      <c r="A38">
        <v>1636</v>
      </c>
      <c r="B38">
        <v>16.8</v>
      </c>
      <c r="C38">
        <v>1.53</v>
      </c>
      <c r="D38">
        <v>11.53</v>
      </c>
      <c r="E38">
        <v>19.989999999999998</v>
      </c>
      <c r="F38" s="239" t="s">
        <v>1684</v>
      </c>
      <c r="G38">
        <v>21.9</v>
      </c>
      <c r="H38">
        <v>68.900000000000006</v>
      </c>
      <c r="I38" s="162">
        <v>42034</v>
      </c>
      <c r="J38" t="s">
        <v>130</v>
      </c>
      <c r="K38">
        <v>33.56</v>
      </c>
      <c r="L38">
        <v>0.48</v>
      </c>
      <c r="M38">
        <v>201</v>
      </c>
      <c r="P38" s="4" t="str">
        <f>HYPERLINK("\\HOPI-FS\shares\users\dhar\Stalk mount testing\Type 1G\CRYO-2086-2524  1636 1G","folder")</f>
        <v>folder</v>
      </c>
      <c r="S38" t="s">
        <v>1498</v>
      </c>
      <c r="T38" t="s">
        <v>1692</v>
      </c>
      <c r="U38">
        <v>8.8999999999999996E-2</v>
      </c>
    </row>
    <row r="39" spans="1:21">
      <c r="A39" s="246">
        <v>1636</v>
      </c>
      <c r="B39">
        <v>16</v>
      </c>
      <c r="C39">
        <v>1.51</v>
      </c>
      <c r="D39">
        <v>11.53</v>
      </c>
      <c r="E39">
        <v>19.96</v>
      </c>
      <c r="F39" s="146" t="s">
        <v>1677</v>
      </c>
      <c r="G39">
        <v>16.3</v>
      </c>
      <c r="H39">
        <v>69.099999999999994</v>
      </c>
      <c r="I39" s="162">
        <v>42032</v>
      </c>
      <c r="J39" t="s">
        <v>130</v>
      </c>
      <c r="S39" t="s">
        <v>1498</v>
      </c>
    </row>
    <row r="40" spans="1:21">
      <c r="A40">
        <v>1637</v>
      </c>
      <c r="B40">
        <v>16</v>
      </c>
      <c r="C40">
        <v>1.53</v>
      </c>
      <c r="D40">
        <v>11.41</v>
      </c>
      <c r="E40">
        <v>20</v>
      </c>
      <c r="F40" s="78" t="s">
        <v>1685</v>
      </c>
      <c r="G40">
        <v>16.3</v>
      </c>
      <c r="H40">
        <v>68</v>
      </c>
      <c r="I40" s="162">
        <v>42038</v>
      </c>
      <c r="J40" t="s">
        <v>130</v>
      </c>
      <c r="K40">
        <v>33.53</v>
      </c>
      <c r="L40">
        <v>0.53400000000000003</v>
      </c>
      <c r="M40">
        <v>218</v>
      </c>
      <c r="P40" s="4" t="str">
        <f>HYPERLINK("\\HOPI-FS\shares\users\dhar\Stalk mount testing\Type 1G\CRYO-2086-2525  1637 1G","folder")</f>
        <v>folder</v>
      </c>
      <c r="S40" t="s">
        <v>1498</v>
      </c>
      <c r="U40">
        <v>3.6999999999999998E-2</v>
      </c>
    </row>
    <row r="41" spans="1:21">
      <c r="A41" s="246">
        <v>1637</v>
      </c>
      <c r="B41">
        <v>17.8</v>
      </c>
      <c r="C41">
        <v>1.52</v>
      </c>
      <c r="D41">
        <v>11.43</v>
      </c>
      <c r="E41">
        <v>20.100000000000001</v>
      </c>
      <c r="F41" s="146" t="s">
        <v>1679</v>
      </c>
      <c r="G41">
        <v>16.3</v>
      </c>
      <c r="H41">
        <v>68.900000000000006</v>
      </c>
      <c r="I41" s="162">
        <v>42033</v>
      </c>
      <c r="J41" t="s">
        <v>130</v>
      </c>
      <c r="S41" t="s">
        <v>1498</v>
      </c>
    </row>
    <row r="42" spans="1:21">
      <c r="A42">
        <v>1641</v>
      </c>
      <c r="B42">
        <v>17.2</v>
      </c>
      <c r="C42">
        <v>1.52</v>
      </c>
      <c r="D42">
        <v>11.49</v>
      </c>
      <c r="E42">
        <v>20</v>
      </c>
      <c r="F42" s="13" t="s">
        <v>1691</v>
      </c>
      <c r="G42">
        <v>16.3</v>
      </c>
      <c r="H42">
        <v>68</v>
      </c>
      <c r="I42" s="162">
        <v>42038</v>
      </c>
      <c r="J42" t="s">
        <v>130</v>
      </c>
      <c r="K42">
        <v>33.53</v>
      </c>
      <c r="L42">
        <v>0.252</v>
      </c>
      <c r="M42">
        <v>213</v>
      </c>
      <c r="P42" s="4" t="str">
        <f>HYPERLINK("\\HOPI-FS\shares\users\dhar\Stalk mount testing\Type 1G\CRYO-2027-2526  1641 1G","folder")</f>
        <v>folder</v>
      </c>
      <c r="S42" t="s">
        <v>1498</v>
      </c>
      <c r="T42" t="s">
        <v>1692</v>
      </c>
      <c r="U42">
        <v>9.7000000000000003E-2</v>
      </c>
    </row>
    <row r="43" spans="1:21">
      <c r="A43" s="246">
        <v>1641</v>
      </c>
      <c r="B43">
        <v>18.600000000000001</v>
      </c>
      <c r="C43">
        <v>1.53</v>
      </c>
      <c r="D43">
        <v>11.49</v>
      </c>
      <c r="E43">
        <v>19.95</v>
      </c>
      <c r="F43" s="146" t="s">
        <v>1680</v>
      </c>
      <c r="G43">
        <v>16.3</v>
      </c>
      <c r="H43">
        <v>68.900000000000006</v>
      </c>
      <c r="I43" s="162">
        <v>42033</v>
      </c>
      <c r="J43" t="s">
        <v>130</v>
      </c>
      <c r="S43" t="s">
        <v>1498</v>
      </c>
    </row>
    <row r="44" spans="1:21" ht="54" customHeight="1">
      <c r="A44" s="300">
        <v>1652</v>
      </c>
      <c r="B44">
        <v>16.399999999999999</v>
      </c>
      <c r="C44">
        <v>1.5</v>
      </c>
      <c r="D44">
        <v>11.5</v>
      </c>
      <c r="E44">
        <v>20</v>
      </c>
      <c r="F44" s="170" t="s">
        <v>1718</v>
      </c>
      <c r="G44">
        <v>24.1</v>
      </c>
      <c r="H44">
        <v>68.7</v>
      </c>
      <c r="I44" s="162">
        <v>42072</v>
      </c>
      <c r="J44" t="s">
        <v>130</v>
      </c>
      <c r="K44">
        <v>33.5</v>
      </c>
      <c r="L44">
        <v>0.59</v>
      </c>
      <c r="M44">
        <v>214</v>
      </c>
      <c r="P44" s="4" t="str">
        <f>HYPERLINK("\\hopi-fs\shares\users\dhar\Stalk mount testing\Type 1G\CRYO-2089-2543  1652 1G Au","folder")</f>
        <v>folder</v>
      </c>
      <c r="S44" t="s">
        <v>1498</v>
      </c>
      <c r="T44" s="64" t="s">
        <v>3874</v>
      </c>
    </row>
    <row r="45" spans="1:21">
      <c r="A45" s="300">
        <v>1653</v>
      </c>
      <c r="B45">
        <v>18</v>
      </c>
      <c r="C45">
        <v>1.52</v>
      </c>
      <c r="D45">
        <v>11.5</v>
      </c>
      <c r="E45">
        <v>20</v>
      </c>
      <c r="F45" s="170" t="s">
        <v>1719</v>
      </c>
      <c r="G45">
        <v>24.1</v>
      </c>
      <c r="H45">
        <v>68.7</v>
      </c>
      <c r="I45" s="162">
        <v>42072</v>
      </c>
      <c r="J45" t="s">
        <v>130</v>
      </c>
      <c r="K45">
        <v>33.58</v>
      </c>
      <c r="L45">
        <v>0.11</v>
      </c>
      <c r="M45">
        <v>216</v>
      </c>
      <c r="P45" s="4" t="str">
        <f>HYPERLINK("\\hopi-fs\shares\users\dhar\Stalk mount testing\Type 1G\CRYO-2087-2544  1653 1G Au","folder")</f>
        <v>folder</v>
      </c>
      <c r="S45" t="s">
        <v>1498</v>
      </c>
      <c r="T45" s="64" t="s">
        <v>1729</v>
      </c>
      <c r="U45" t="s">
        <v>1731</v>
      </c>
    </row>
    <row r="46" spans="1:21">
      <c r="A46" s="300">
        <v>1657</v>
      </c>
      <c r="B46">
        <v>16.399999999999999</v>
      </c>
      <c r="C46">
        <v>1.5</v>
      </c>
      <c r="D46">
        <v>11.46</v>
      </c>
      <c r="E46">
        <v>19.97</v>
      </c>
      <c r="F46" s="273" t="s">
        <v>1720</v>
      </c>
      <c r="G46">
        <v>24.1</v>
      </c>
      <c r="H46">
        <v>68.7</v>
      </c>
      <c r="I46" s="162">
        <v>42072</v>
      </c>
      <c r="J46" t="s">
        <v>130</v>
      </c>
      <c r="K46">
        <v>33.46</v>
      </c>
      <c r="L46">
        <v>0.51</v>
      </c>
      <c r="M46">
        <v>201</v>
      </c>
      <c r="P46" s="4" t="str">
        <f>HYPERLINK("\\hopi-fs\shares\users\dhar\Stalk mount testing\Type 1G\CRYO-2089-2545  1657 1G Au","folder")</f>
        <v>folder</v>
      </c>
      <c r="S46" t="s">
        <v>1498</v>
      </c>
      <c r="T46" s="64" t="s">
        <v>1729</v>
      </c>
    </row>
    <row r="47" spans="1:21">
      <c r="A47" s="300">
        <v>1658</v>
      </c>
      <c r="B47">
        <v>17.600000000000001</v>
      </c>
      <c r="C47">
        <v>1.5</v>
      </c>
      <c r="D47">
        <v>11.5</v>
      </c>
      <c r="E47">
        <v>20</v>
      </c>
      <c r="F47" s="239" t="s">
        <v>1721</v>
      </c>
      <c r="G47">
        <v>24.1</v>
      </c>
      <c r="H47">
        <v>68.7</v>
      </c>
      <c r="I47" s="162">
        <v>42072</v>
      </c>
      <c r="J47" t="s">
        <v>130</v>
      </c>
      <c r="K47">
        <v>33.5</v>
      </c>
      <c r="L47">
        <v>0.51</v>
      </c>
      <c r="M47">
        <v>231</v>
      </c>
      <c r="P47" s="4" t="str">
        <f>HYPERLINK("\\HOPI-FS\shares\users\dhar\Stalk mount testing\Type 1G\CRYO-2088-2546  1658 1G","folder")</f>
        <v>folder</v>
      </c>
      <c r="S47" t="s">
        <v>1498</v>
      </c>
      <c r="U47" t="s">
        <v>1731</v>
      </c>
    </row>
    <row r="48" spans="1:21">
      <c r="A48" s="300">
        <v>1659</v>
      </c>
      <c r="B48">
        <v>17.399999999999999</v>
      </c>
      <c r="C48">
        <v>1.5</v>
      </c>
      <c r="D48">
        <v>11.49</v>
      </c>
      <c r="E48">
        <v>19.98</v>
      </c>
      <c r="F48" s="239" t="s">
        <v>1722</v>
      </c>
      <c r="G48">
        <v>24.1</v>
      </c>
      <c r="H48">
        <v>68.7</v>
      </c>
      <c r="I48" s="162">
        <v>42072</v>
      </c>
      <c r="J48" t="s">
        <v>130</v>
      </c>
      <c r="K48">
        <v>33.47</v>
      </c>
      <c r="L48">
        <v>0.66</v>
      </c>
      <c r="M48">
        <v>207</v>
      </c>
      <c r="P48" s="4" t="str">
        <f>HYPERLINK("\\HOPI-FS\shares\users\dhar\Stalk mount testing\Type 1G\CRYO-2089-2547  1659 1G","folder")</f>
        <v>folder</v>
      </c>
      <c r="S48" t="s">
        <v>1498</v>
      </c>
      <c r="U48" t="s">
        <v>1731</v>
      </c>
    </row>
    <row r="49" spans="1:21">
      <c r="A49" s="300">
        <v>1660</v>
      </c>
      <c r="B49">
        <v>18.600000000000001</v>
      </c>
      <c r="C49">
        <v>1.5</v>
      </c>
      <c r="D49">
        <v>11.5</v>
      </c>
      <c r="E49">
        <v>20</v>
      </c>
      <c r="F49" s="146" t="s">
        <v>1723</v>
      </c>
      <c r="G49">
        <v>24.1</v>
      </c>
      <c r="H49">
        <v>68.7</v>
      </c>
      <c r="I49" s="162">
        <v>42072</v>
      </c>
      <c r="J49" t="s">
        <v>130</v>
      </c>
      <c r="K49">
        <v>33.5</v>
      </c>
      <c r="L49">
        <v>0.21</v>
      </c>
      <c r="P49" s="4" t="str">
        <f>HYPERLINK("\\HOPI-FS\shares\users\dhar\Stalk mount testing\Type 1G\CRYO-2089-2548  1660 1G","folder")</f>
        <v>folder</v>
      </c>
      <c r="S49" t="s">
        <v>1498</v>
      </c>
    </row>
    <row r="50" spans="1:21">
      <c r="A50" s="300">
        <v>1660</v>
      </c>
      <c r="B50">
        <v>18.399999999999999</v>
      </c>
      <c r="C50">
        <v>1.51</v>
      </c>
      <c r="D50">
        <v>11.51</v>
      </c>
      <c r="E50">
        <v>20</v>
      </c>
      <c r="F50" s="146" t="s">
        <v>1727</v>
      </c>
      <c r="G50">
        <v>18.600000000000001</v>
      </c>
      <c r="H50">
        <v>68.400000000000006</v>
      </c>
      <c r="I50" s="162">
        <v>42076</v>
      </c>
      <c r="J50" t="s">
        <v>130</v>
      </c>
      <c r="K50">
        <v>33.549999999999997</v>
      </c>
      <c r="L50">
        <v>0.23400000000000001</v>
      </c>
      <c r="P50" s="4" t="str">
        <f>HYPERLINK("\\HOPI-FS\shares\users\dhar\Stalk mount testing\Type 1G\CRYO-2084-2555 1660 1G","folder")</f>
        <v>folder</v>
      </c>
      <c r="S50" t="s">
        <v>1498</v>
      </c>
    </row>
    <row r="51" spans="1:21">
      <c r="A51" s="300">
        <v>1660</v>
      </c>
      <c r="B51">
        <v>17.8</v>
      </c>
      <c r="C51">
        <v>1.49</v>
      </c>
      <c r="D51">
        <v>11.5</v>
      </c>
      <c r="E51">
        <v>20</v>
      </c>
      <c r="F51" s="170" t="s">
        <v>1728</v>
      </c>
      <c r="G51">
        <v>36</v>
      </c>
      <c r="H51">
        <v>68.8</v>
      </c>
      <c r="I51" s="162">
        <v>42080</v>
      </c>
      <c r="J51" t="s">
        <v>130</v>
      </c>
      <c r="K51">
        <v>33.5</v>
      </c>
      <c r="L51">
        <v>0.30099999999999999</v>
      </c>
      <c r="M51">
        <v>225</v>
      </c>
      <c r="P51" s="4" t="str">
        <f>HYPERLINK("\\HOPI-FS\shares\users\dhar\Stalk mount testing\Type 1G\CRYO-2085-2557  1660 1G","folder")</f>
        <v>folder</v>
      </c>
      <c r="S51" t="s">
        <v>1498</v>
      </c>
      <c r="U51" t="s">
        <v>1731</v>
      </c>
    </row>
    <row r="52" spans="1:21">
      <c r="A52" s="300">
        <v>1661</v>
      </c>
      <c r="B52">
        <v>17.2</v>
      </c>
      <c r="C52">
        <v>1.52</v>
      </c>
      <c r="D52">
        <v>11.49</v>
      </c>
      <c r="E52">
        <v>20</v>
      </c>
      <c r="F52" s="146" t="s">
        <v>1724</v>
      </c>
      <c r="G52">
        <v>24.1</v>
      </c>
      <c r="H52">
        <v>68.7</v>
      </c>
      <c r="I52" s="162">
        <v>42072</v>
      </c>
      <c r="J52" t="s">
        <v>130</v>
      </c>
      <c r="K52">
        <v>33.5</v>
      </c>
      <c r="L52">
        <v>0.25800000000000001</v>
      </c>
      <c r="P52" s="4" t="str">
        <f>HYPERLINK("\\HOPI-FS\shares\users\dhar\Stalk mount testing\Type 1G\CRYO-2088-2549  1661 1G","folder")</f>
        <v>folder</v>
      </c>
      <c r="S52" t="s">
        <v>1498</v>
      </c>
    </row>
    <row r="53" spans="1:21">
      <c r="A53" s="300">
        <v>1661</v>
      </c>
      <c r="B53">
        <v>17.2</v>
      </c>
      <c r="C53">
        <v>1.51</v>
      </c>
      <c r="D53">
        <v>11.5</v>
      </c>
      <c r="E53">
        <v>20</v>
      </c>
      <c r="F53" s="239" t="s">
        <v>1726</v>
      </c>
      <c r="G53">
        <v>33.9</v>
      </c>
      <c r="H53">
        <v>67.900000000000006</v>
      </c>
      <c r="I53" s="162">
        <v>42074</v>
      </c>
      <c r="J53" t="s">
        <v>130</v>
      </c>
      <c r="K53">
        <v>33.5</v>
      </c>
      <c r="L53">
        <v>0.433</v>
      </c>
      <c r="M53">
        <v>218</v>
      </c>
      <c r="P53" s="4" t="str">
        <f>HYPERLINK("\\hopi-fs\shares\users\dhar\Stalk mount testing\Type 1G\CRYO-2087-2553  1661 1G","folder")</f>
        <v>folder</v>
      </c>
      <c r="S53" t="s">
        <v>1498</v>
      </c>
      <c r="U53" t="s">
        <v>1731</v>
      </c>
    </row>
    <row r="54" spans="1:21">
      <c r="A54" s="300">
        <v>1662</v>
      </c>
      <c r="B54">
        <v>19</v>
      </c>
      <c r="C54">
        <v>1.54</v>
      </c>
      <c r="D54">
        <v>11.5</v>
      </c>
      <c r="E54">
        <v>19.989999999999998</v>
      </c>
      <c r="F54" s="170" t="s">
        <v>1725</v>
      </c>
      <c r="G54">
        <v>24.1</v>
      </c>
      <c r="H54">
        <v>68.7</v>
      </c>
      <c r="I54" s="162">
        <v>42072</v>
      </c>
      <c r="J54" t="s">
        <v>130</v>
      </c>
      <c r="K54">
        <v>33.54</v>
      </c>
      <c r="L54">
        <v>0.51700000000000002</v>
      </c>
      <c r="M54">
        <v>225</v>
      </c>
      <c r="P54" s="4" t="str">
        <f>HYPERLINK("\\HOPI-FS\shares\users\dhar\Stalk mount testing\Type 1G\CRYO-2088-2550  1662 1G","folder")</f>
        <v>folder</v>
      </c>
      <c r="S54" t="s">
        <v>1498</v>
      </c>
      <c r="U54" t="s">
        <v>1731</v>
      </c>
    </row>
  </sheetData>
  <mergeCells count="1">
    <mergeCell ref="B1:C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vt:i4>
      </vt:variant>
    </vt:vector>
  </HeadingPairs>
  <TitlesOfParts>
    <vt:vector size="35" baseType="lpstr">
      <vt:lpstr>Runout targets</vt:lpstr>
      <vt:lpstr>Type 1</vt:lpstr>
      <vt:lpstr>Type1c</vt:lpstr>
      <vt:lpstr>Type 1d</vt:lpstr>
      <vt:lpstr>Type1e</vt:lpstr>
      <vt:lpstr>Type18</vt:lpstr>
      <vt:lpstr>Type 22</vt:lpstr>
      <vt:lpstr>Type 19</vt:lpstr>
      <vt:lpstr>Type1G</vt:lpstr>
      <vt:lpstr>Type1F</vt:lpstr>
      <vt:lpstr>Type4</vt:lpstr>
      <vt:lpstr>Type5a</vt:lpstr>
      <vt:lpstr>Type5</vt:lpstr>
      <vt:lpstr>Type6a</vt:lpstr>
      <vt:lpstr>Type6</vt:lpstr>
      <vt:lpstr>Type6b</vt:lpstr>
      <vt:lpstr>Type6c</vt:lpstr>
      <vt:lpstr>Type8</vt:lpstr>
      <vt:lpstr>Type9</vt:lpstr>
      <vt:lpstr>Type 10</vt:lpstr>
      <vt:lpstr>Type 20</vt:lpstr>
      <vt:lpstr>Type 21</vt:lpstr>
      <vt:lpstr>Type 12</vt:lpstr>
      <vt:lpstr>Type 13</vt:lpstr>
      <vt:lpstr>Type 14</vt:lpstr>
      <vt:lpstr>Type15</vt:lpstr>
      <vt:lpstr>Type16</vt:lpstr>
      <vt:lpstr>development</vt:lpstr>
      <vt:lpstr>Statistics</vt:lpstr>
      <vt:lpstr>comparisons</vt:lpstr>
      <vt:lpstr>100Gbar</vt:lpstr>
      <vt:lpstr>Sheet2</vt:lpstr>
      <vt:lpstr>folder</vt:lpstr>
      <vt:lpstr>Type18!Print_Area</vt:lpstr>
      <vt:lpstr>Type1e!Print_Area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2023-10-23T19:57:52Z</dcterms:modified>
</cp:coreProperties>
</file>