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Doran Lab Data\TnSeq\"/>
    </mc:Choice>
  </mc:AlternateContent>
  <bookViews>
    <workbookView xWindow="0" yWindow="0" windowWidth="38400" windowHeight="17700" tabRatio="616"/>
  </bookViews>
  <sheets>
    <sheet name="Tn-seq runs" sheetId="1" r:id="rId1"/>
    <sheet name="DV-IDENTITY-0" sheetId="6" state="hidden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R4" i="6" l="1"/>
  <c r="IQ4" i="6"/>
  <c r="IP4" i="6"/>
  <c r="IO4" i="6"/>
  <c r="IN4" i="6"/>
  <c r="IM4" i="6"/>
  <c r="IL4" i="6"/>
  <c r="IK4" i="6"/>
  <c r="IJ4" i="6"/>
  <c r="II4" i="6"/>
  <c r="IH4" i="6"/>
  <c r="IG4" i="6"/>
  <c r="IF4" i="6"/>
  <c r="IE4" i="6"/>
  <c r="ID4" i="6"/>
  <c r="IC4" i="6"/>
  <c r="IB4" i="6"/>
  <c r="IA4" i="6"/>
  <c r="HZ4" i="6"/>
  <c r="HY4" i="6"/>
  <c r="HX4" i="6"/>
  <c r="HW4" i="6"/>
  <c r="HV4" i="6"/>
  <c r="HU4" i="6"/>
  <c r="HT4" i="6"/>
  <c r="HS4" i="6"/>
  <c r="HR4" i="6"/>
  <c r="HQ4" i="6"/>
  <c r="HP4" i="6"/>
  <c r="HO4" i="6"/>
  <c r="HN4" i="6"/>
  <c r="HM4" i="6"/>
  <c r="HL4" i="6"/>
  <c r="HK4" i="6"/>
  <c r="HJ4" i="6"/>
  <c r="HI4" i="6"/>
  <c r="HH4" i="6"/>
  <c r="HG4" i="6"/>
  <c r="HF4" i="6"/>
  <c r="HE4" i="6"/>
  <c r="HD4" i="6"/>
  <c r="HC4" i="6"/>
  <c r="HB4" i="6"/>
  <c r="HA4" i="6"/>
  <c r="GZ4" i="6"/>
  <c r="GY4" i="6"/>
  <c r="GX4" i="6"/>
  <c r="GW4" i="6"/>
  <c r="GV4" i="6"/>
  <c r="GU4" i="6"/>
  <c r="GT4" i="6"/>
  <c r="GS4" i="6"/>
  <c r="GR4" i="6"/>
  <c r="GQ4" i="6"/>
  <c r="GP4" i="6"/>
  <c r="GO4" i="6"/>
  <c r="GN4" i="6"/>
  <c r="GM4" i="6"/>
  <c r="GL4" i="6"/>
  <c r="GK4" i="6"/>
  <c r="GJ4" i="6"/>
  <c r="GI4" i="6"/>
  <c r="GH4" i="6"/>
  <c r="GG4" i="6"/>
  <c r="GF4" i="6"/>
  <c r="GE4" i="6"/>
  <c r="GD4" i="6"/>
  <c r="GC4" i="6"/>
  <c r="GB4" i="6"/>
  <c r="GA4" i="6"/>
  <c r="FZ4" i="6"/>
  <c r="FY4" i="6"/>
  <c r="FX4" i="6"/>
  <c r="FW4" i="6"/>
  <c r="FV4" i="6"/>
  <c r="FU4" i="6"/>
  <c r="FT4" i="6"/>
  <c r="FS4" i="6"/>
  <c r="FR4" i="6"/>
  <c r="FQ4" i="6"/>
  <c r="FP4" i="6"/>
  <c r="FO4" i="6"/>
  <c r="FN4" i="6"/>
  <c r="FM4" i="6"/>
  <c r="FL4" i="6"/>
  <c r="FK4" i="6"/>
  <c r="FJ4" i="6"/>
  <c r="FI4" i="6"/>
  <c r="FH4" i="6"/>
  <c r="FG4" i="6"/>
  <c r="FF4" i="6"/>
  <c r="FE4" i="6"/>
  <c r="FD4" i="6"/>
  <c r="FC4" i="6"/>
  <c r="FB4" i="6"/>
  <c r="FA4" i="6"/>
  <c r="EZ4" i="6"/>
  <c r="EY4" i="6"/>
  <c r="EX4" i="6"/>
  <c r="EW4" i="6"/>
  <c r="EV4" i="6"/>
  <c r="EU4" i="6"/>
  <c r="ET4" i="6"/>
  <c r="ES4" i="6"/>
  <c r="ER4" i="6"/>
  <c r="EQ4" i="6"/>
  <c r="EP4" i="6"/>
  <c r="EO4" i="6"/>
  <c r="EN4" i="6"/>
  <c r="EM4" i="6"/>
  <c r="EL4" i="6"/>
  <c r="EK4" i="6"/>
  <c r="EJ4" i="6"/>
  <c r="EI4" i="6"/>
  <c r="EH4" i="6"/>
  <c r="EG4" i="6"/>
  <c r="EF4" i="6"/>
  <c r="EE4" i="6"/>
  <c r="ED4" i="6"/>
  <c r="EC4" i="6"/>
  <c r="EB4" i="6"/>
  <c r="EA4" i="6"/>
  <c r="DZ4" i="6"/>
  <c r="DY4" i="6"/>
  <c r="DX4" i="6"/>
  <c r="DW4" i="6"/>
  <c r="DV4" i="6"/>
  <c r="DU4" i="6"/>
  <c r="DT4" i="6"/>
  <c r="DS4" i="6"/>
  <c r="DR4" i="6"/>
  <c r="DQ4" i="6"/>
  <c r="DP4" i="6"/>
  <c r="DO4" i="6"/>
  <c r="DN4" i="6"/>
  <c r="DM4" i="6"/>
  <c r="DL4" i="6"/>
  <c r="DK4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IV3" i="6"/>
  <c r="IU3" i="6"/>
  <c r="IT3" i="6"/>
  <c r="IS3" i="6"/>
  <c r="IR3" i="6"/>
  <c r="IQ3" i="6"/>
  <c r="IP3" i="6"/>
  <c r="IO3" i="6"/>
  <c r="IN3" i="6"/>
  <c r="IM3" i="6"/>
  <c r="IL3" i="6"/>
  <c r="IK3" i="6"/>
  <c r="IJ3" i="6"/>
  <c r="II3" i="6"/>
  <c r="IH3" i="6"/>
  <c r="IG3" i="6"/>
  <c r="IF3" i="6"/>
  <c r="IE3" i="6"/>
  <c r="ID3" i="6"/>
  <c r="IC3" i="6"/>
  <c r="IB3" i="6"/>
  <c r="IA3" i="6"/>
  <c r="HZ3" i="6"/>
  <c r="HY3" i="6"/>
  <c r="HX3" i="6"/>
  <c r="HW3" i="6"/>
  <c r="HV3" i="6"/>
  <c r="HU3" i="6"/>
  <c r="HT3" i="6"/>
  <c r="HS3" i="6"/>
  <c r="HR3" i="6"/>
  <c r="HQ3" i="6"/>
  <c r="HP3" i="6"/>
  <c r="HO3" i="6"/>
  <c r="HN3" i="6"/>
  <c r="HM3" i="6"/>
  <c r="HL3" i="6"/>
  <c r="HK3" i="6"/>
  <c r="HJ3" i="6"/>
  <c r="HI3" i="6"/>
  <c r="HH3" i="6"/>
  <c r="HG3" i="6"/>
  <c r="HF3" i="6"/>
  <c r="HE3" i="6"/>
  <c r="HD3" i="6"/>
  <c r="HC3" i="6"/>
  <c r="HB3" i="6"/>
  <c r="HA3" i="6"/>
  <c r="GZ3" i="6"/>
  <c r="GY3" i="6"/>
  <c r="GX3" i="6"/>
  <c r="GW3" i="6"/>
  <c r="GV3" i="6"/>
  <c r="GU3" i="6"/>
  <c r="GT3" i="6"/>
  <c r="GS3" i="6"/>
  <c r="GR3" i="6"/>
  <c r="GQ3" i="6"/>
  <c r="GP3" i="6"/>
  <c r="GO3" i="6"/>
  <c r="GN3" i="6"/>
  <c r="GM3" i="6"/>
  <c r="GL3" i="6"/>
  <c r="GK3" i="6"/>
  <c r="GJ3" i="6"/>
  <c r="GI3" i="6"/>
  <c r="GH3" i="6"/>
  <c r="GG3" i="6"/>
  <c r="GF3" i="6"/>
  <c r="GE3" i="6"/>
  <c r="GD3" i="6"/>
  <c r="GC3" i="6"/>
  <c r="GB3" i="6"/>
  <c r="GA3" i="6"/>
  <c r="FZ3" i="6"/>
  <c r="FY3" i="6"/>
  <c r="FX3" i="6"/>
  <c r="FW3" i="6"/>
  <c r="FV3" i="6"/>
  <c r="FU3" i="6"/>
  <c r="FT3" i="6"/>
  <c r="FS3" i="6"/>
  <c r="FR3" i="6"/>
  <c r="FQ3" i="6"/>
  <c r="FP3" i="6"/>
  <c r="FO3" i="6"/>
  <c r="FN3" i="6"/>
  <c r="FM3" i="6"/>
  <c r="FL3" i="6"/>
  <c r="FK3" i="6"/>
  <c r="FJ3" i="6"/>
  <c r="FI3" i="6"/>
  <c r="FH3" i="6"/>
  <c r="FG3" i="6"/>
  <c r="FF3" i="6"/>
  <c r="FE3" i="6"/>
  <c r="FD3" i="6"/>
  <c r="FC3" i="6"/>
  <c r="FB3" i="6"/>
  <c r="FA3" i="6"/>
  <c r="EZ3" i="6"/>
  <c r="EY3" i="6"/>
  <c r="EX3" i="6"/>
  <c r="EW3" i="6"/>
  <c r="EV3" i="6"/>
  <c r="EU3" i="6"/>
  <c r="ET3" i="6"/>
  <c r="ES3" i="6"/>
  <c r="ER3" i="6"/>
  <c r="EQ3" i="6"/>
  <c r="EP3" i="6"/>
  <c r="EO3" i="6"/>
  <c r="EN3" i="6"/>
  <c r="EM3" i="6"/>
  <c r="EL3" i="6"/>
  <c r="EK3" i="6"/>
  <c r="EJ3" i="6"/>
  <c r="EI3" i="6"/>
  <c r="EH3" i="6"/>
  <c r="EG3" i="6"/>
  <c r="EF3" i="6"/>
  <c r="EE3" i="6"/>
  <c r="ED3" i="6"/>
  <c r="EC3" i="6"/>
  <c r="EB3" i="6"/>
  <c r="EA3" i="6"/>
  <c r="DZ3" i="6"/>
  <c r="DY3" i="6"/>
  <c r="DX3" i="6"/>
  <c r="DW3" i="6"/>
  <c r="DV3" i="6"/>
  <c r="DU3" i="6"/>
  <c r="DT3" i="6"/>
  <c r="DS3" i="6"/>
  <c r="DR3" i="6"/>
  <c r="DQ3" i="6"/>
  <c r="DP3" i="6"/>
  <c r="DO3" i="6"/>
  <c r="DN3" i="6"/>
  <c r="DM3" i="6"/>
  <c r="DL3" i="6"/>
  <c r="DK3" i="6"/>
  <c r="DJ3" i="6"/>
  <c r="DI3" i="6"/>
  <c r="DH3" i="6"/>
  <c r="DG3" i="6"/>
  <c r="DF3" i="6"/>
  <c r="DE3" i="6"/>
  <c r="DD3" i="6"/>
  <c r="DC3" i="6"/>
  <c r="DB3" i="6"/>
  <c r="DA3" i="6"/>
  <c r="CZ3" i="6"/>
  <c r="CY3" i="6"/>
  <c r="CX3" i="6"/>
  <c r="CW3" i="6"/>
  <c r="CV3" i="6"/>
  <c r="CU3" i="6"/>
  <c r="CT3" i="6"/>
  <c r="CS3" i="6"/>
  <c r="CR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IV2" i="6"/>
  <c r="IU2" i="6"/>
  <c r="IT2" i="6"/>
  <c r="IS2" i="6"/>
  <c r="IR2" i="6"/>
  <c r="IQ2" i="6"/>
  <c r="IP2" i="6"/>
  <c r="IO2" i="6"/>
  <c r="IN2" i="6"/>
  <c r="IM2" i="6"/>
  <c r="IL2" i="6"/>
  <c r="IK2" i="6"/>
  <c r="IJ2" i="6"/>
  <c r="II2" i="6"/>
  <c r="IH2" i="6"/>
  <c r="IG2" i="6"/>
  <c r="IF2" i="6"/>
  <c r="IE2" i="6"/>
  <c r="ID2" i="6"/>
  <c r="IC2" i="6"/>
  <c r="IB2" i="6"/>
  <c r="IA2" i="6"/>
  <c r="HZ2" i="6"/>
  <c r="HY2" i="6"/>
  <c r="HX2" i="6"/>
  <c r="HW2" i="6"/>
  <c r="HV2" i="6"/>
  <c r="HU2" i="6"/>
  <c r="HT2" i="6"/>
  <c r="HS2" i="6"/>
  <c r="HR2" i="6"/>
  <c r="HQ2" i="6"/>
  <c r="HP2" i="6"/>
  <c r="HO2" i="6"/>
  <c r="HN2" i="6"/>
  <c r="HM2" i="6"/>
  <c r="HL2" i="6"/>
  <c r="HK2" i="6"/>
  <c r="HJ2" i="6"/>
  <c r="HI2" i="6"/>
  <c r="HH2" i="6"/>
  <c r="HG2" i="6"/>
  <c r="HF2" i="6"/>
  <c r="HE2" i="6"/>
  <c r="HD2" i="6"/>
  <c r="HC2" i="6"/>
  <c r="HB2" i="6"/>
  <c r="HA2" i="6"/>
  <c r="GZ2" i="6"/>
  <c r="GY2" i="6"/>
  <c r="GX2" i="6"/>
  <c r="GW2" i="6"/>
  <c r="GV2" i="6"/>
  <c r="GU2" i="6"/>
  <c r="GT2" i="6"/>
  <c r="GS2" i="6"/>
  <c r="GR2" i="6"/>
  <c r="GQ2" i="6"/>
  <c r="GP2" i="6"/>
  <c r="GO2" i="6"/>
  <c r="GN2" i="6"/>
  <c r="GM2" i="6"/>
  <c r="GL2" i="6"/>
  <c r="GK2" i="6"/>
  <c r="GJ2" i="6"/>
  <c r="GI2" i="6"/>
  <c r="GH2" i="6"/>
  <c r="GG2" i="6"/>
  <c r="GF2" i="6"/>
  <c r="GE2" i="6"/>
  <c r="GD2" i="6"/>
  <c r="GC2" i="6"/>
  <c r="GB2" i="6"/>
  <c r="GA2" i="6"/>
  <c r="FZ2" i="6"/>
  <c r="FY2" i="6"/>
  <c r="FX2" i="6"/>
  <c r="FW2" i="6"/>
  <c r="FV2" i="6"/>
  <c r="FU2" i="6"/>
  <c r="FT2" i="6"/>
  <c r="FS2" i="6"/>
  <c r="FR2" i="6"/>
  <c r="FQ2" i="6"/>
  <c r="FP2" i="6"/>
  <c r="FO2" i="6"/>
  <c r="FN2" i="6"/>
  <c r="FM2" i="6"/>
  <c r="FL2" i="6"/>
  <c r="FK2" i="6"/>
  <c r="FJ2" i="6"/>
  <c r="FI2" i="6"/>
  <c r="FH2" i="6"/>
  <c r="FG2" i="6"/>
  <c r="FF2" i="6"/>
  <c r="FE2" i="6"/>
  <c r="FD2" i="6"/>
  <c r="FC2" i="6"/>
  <c r="FB2" i="6"/>
  <c r="FA2" i="6"/>
  <c r="EZ2" i="6"/>
  <c r="EY2" i="6"/>
  <c r="EX2" i="6"/>
  <c r="EW2" i="6"/>
  <c r="EV2" i="6"/>
  <c r="EU2" i="6"/>
  <c r="ET2" i="6"/>
  <c r="ES2" i="6"/>
  <c r="ER2" i="6"/>
  <c r="EQ2" i="6"/>
  <c r="EP2" i="6"/>
  <c r="EO2" i="6"/>
  <c r="EN2" i="6"/>
  <c r="EM2" i="6"/>
  <c r="EL2" i="6"/>
  <c r="EK2" i="6"/>
  <c r="EJ2" i="6"/>
  <c r="EI2" i="6"/>
  <c r="EH2" i="6"/>
  <c r="EG2" i="6"/>
  <c r="EF2" i="6"/>
  <c r="EE2" i="6"/>
  <c r="ED2" i="6"/>
  <c r="EC2" i="6"/>
  <c r="EB2" i="6"/>
  <c r="EA2" i="6"/>
  <c r="DZ2" i="6"/>
  <c r="DY2" i="6"/>
  <c r="DX2" i="6"/>
  <c r="DW2" i="6"/>
  <c r="DV2" i="6"/>
  <c r="DU2" i="6"/>
  <c r="DT2" i="6"/>
  <c r="DS2" i="6"/>
  <c r="DR2" i="6"/>
  <c r="DQ2" i="6"/>
  <c r="DP2" i="6"/>
  <c r="DO2" i="6"/>
  <c r="DN2" i="6"/>
  <c r="DM2" i="6"/>
  <c r="DL2" i="6"/>
  <c r="DK2" i="6"/>
  <c r="DJ2" i="6"/>
  <c r="DI2" i="6"/>
  <c r="DH2" i="6"/>
  <c r="DG2" i="6"/>
  <c r="DF2" i="6"/>
  <c r="DE2" i="6"/>
  <c r="DD2" i="6"/>
  <c r="DC2" i="6"/>
  <c r="DB2" i="6"/>
  <c r="DA2" i="6"/>
  <c r="CZ2" i="6"/>
  <c r="CY2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IV1" i="6"/>
  <c r="IU1" i="6"/>
  <c r="IT1" i="6"/>
  <c r="IS1" i="6"/>
  <c r="IR1" i="6"/>
  <c r="IQ1" i="6"/>
  <c r="IP1" i="6"/>
  <c r="IO1" i="6"/>
  <c r="IN1" i="6"/>
  <c r="IM1" i="6"/>
  <c r="IL1" i="6"/>
  <c r="IK1" i="6"/>
  <c r="IJ1" i="6"/>
  <c r="II1" i="6"/>
  <c r="IH1" i="6"/>
  <c r="IG1" i="6"/>
  <c r="IF1" i="6"/>
  <c r="IE1" i="6"/>
  <c r="ID1" i="6"/>
  <c r="IC1" i="6"/>
  <c r="IB1" i="6"/>
  <c r="IA1" i="6"/>
  <c r="HZ1" i="6"/>
  <c r="HY1" i="6"/>
  <c r="HX1" i="6"/>
  <c r="HW1" i="6"/>
  <c r="HV1" i="6"/>
  <c r="HU1" i="6"/>
  <c r="HT1" i="6"/>
  <c r="HS1" i="6"/>
  <c r="HR1" i="6"/>
  <c r="HQ1" i="6"/>
  <c r="HP1" i="6"/>
  <c r="HO1" i="6"/>
  <c r="HN1" i="6"/>
  <c r="HM1" i="6"/>
  <c r="HL1" i="6"/>
  <c r="HK1" i="6"/>
  <c r="HJ1" i="6"/>
  <c r="HI1" i="6"/>
  <c r="HH1" i="6"/>
  <c r="HG1" i="6"/>
  <c r="HF1" i="6"/>
  <c r="HE1" i="6"/>
  <c r="HD1" i="6"/>
  <c r="HC1" i="6"/>
  <c r="HB1" i="6"/>
  <c r="HA1" i="6"/>
  <c r="GZ1" i="6"/>
  <c r="GY1" i="6"/>
  <c r="GX1" i="6"/>
  <c r="GW1" i="6"/>
  <c r="GV1" i="6"/>
  <c r="GU1" i="6"/>
  <c r="GT1" i="6"/>
  <c r="GS1" i="6"/>
  <c r="GR1" i="6"/>
  <c r="GQ1" i="6"/>
  <c r="GP1" i="6"/>
  <c r="GO1" i="6"/>
  <c r="GN1" i="6"/>
  <c r="GM1" i="6"/>
  <c r="GL1" i="6"/>
  <c r="GK1" i="6"/>
  <c r="GJ1" i="6"/>
  <c r="GI1" i="6"/>
  <c r="GH1" i="6"/>
  <c r="GG1" i="6"/>
  <c r="GF1" i="6"/>
  <c r="GE1" i="6"/>
  <c r="GD1" i="6"/>
  <c r="GC1" i="6"/>
  <c r="GB1" i="6"/>
  <c r="GA1" i="6"/>
  <c r="FZ1" i="6"/>
  <c r="FY1" i="6"/>
  <c r="FX1" i="6"/>
  <c r="FW1" i="6"/>
  <c r="FV1" i="6"/>
  <c r="FU1" i="6"/>
  <c r="FT1" i="6"/>
  <c r="FS1" i="6"/>
  <c r="FR1" i="6"/>
  <c r="FQ1" i="6"/>
  <c r="FP1" i="6"/>
  <c r="FO1" i="6"/>
  <c r="FN1" i="6"/>
  <c r="FM1" i="6"/>
  <c r="FL1" i="6"/>
  <c r="FK1" i="6"/>
  <c r="FJ1" i="6"/>
  <c r="FI1" i="6"/>
  <c r="FH1" i="6"/>
  <c r="FG1" i="6"/>
  <c r="FF1" i="6"/>
  <c r="FE1" i="6"/>
  <c r="FD1" i="6"/>
  <c r="FC1" i="6"/>
  <c r="FB1" i="6"/>
  <c r="FA1" i="6"/>
  <c r="EZ1" i="6"/>
  <c r="EY1" i="6"/>
  <c r="EX1" i="6"/>
  <c r="EW1" i="6"/>
  <c r="EV1" i="6"/>
  <c r="EU1" i="6"/>
  <c r="ET1" i="6"/>
  <c r="ES1" i="6"/>
  <c r="ER1" i="6"/>
  <c r="EQ1" i="6"/>
  <c r="EP1" i="6"/>
  <c r="EO1" i="6"/>
  <c r="EN1" i="6"/>
  <c r="EM1" i="6"/>
  <c r="EL1" i="6"/>
  <c r="EK1" i="6"/>
  <c r="EJ1" i="6"/>
  <c r="EI1" i="6"/>
  <c r="EH1" i="6"/>
  <c r="EG1" i="6"/>
  <c r="EF1" i="6"/>
  <c r="EE1" i="6"/>
  <c r="ED1" i="6"/>
  <c r="EC1" i="6"/>
  <c r="EB1" i="6"/>
  <c r="EA1" i="6"/>
  <c r="DZ1" i="6"/>
  <c r="DY1" i="6"/>
  <c r="DX1" i="6"/>
  <c r="DW1" i="6"/>
  <c r="DV1" i="6"/>
  <c r="DU1" i="6"/>
  <c r="DT1" i="6"/>
  <c r="DS1" i="6"/>
  <c r="DR1" i="6"/>
  <c r="DQ1" i="6"/>
  <c r="DP1" i="6"/>
  <c r="DO1" i="6"/>
  <c r="DN1" i="6"/>
  <c r="DM1" i="6"/>
  <c r="DL1" i="6"/>
  <c r="DK1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</calcChain>
</file>

<file path=xl/sharedStrings.xml><?xml version="1.0" encoding="utf-8"?>
<sst xmlns="http://schemas.openxmlformats.org/spreadsheetml/2006/main" count="1696" uniqueCount="744">
  <si>
    <t>HPGL</t>
  </si>
  <si>
    <t>Experiment</t>
  </si>
  <si>
    <t>Start Date</t>
  </si>
  <si>
    <t>Pathogen</t>
  </si>
  <si>
    <t>HPGL0259</t>
  </si>
  <si>
    <t>YLB_tnseq01</t>
  </si>
  <si>
    <t>S.pyogenes</t>
  </si>
  <si>
    <t>Input Library</t>
  </si>
  <si>
    <t>HPGL0260</t>
  </si>
  <si>
    <t>YLB_tnseq02</t>
  </si>
  <si>
    <t>Passage 1</t>
  </si>
  <si>
    <t>HPGL0261</t>
  </si>
  <si>
    <t>YLB_tnseq03</t>
  </si>
  <si>
    <t>Passage 2</t>
  </si>
  <si>
    <t>HPGL0262</t>
  </si>
  <si>
    <t>YLB_tnseq04</t>
  </si>
  <si>
    <t>Passage 3</t>
  </si>
  <si>
    <t>CGATGT</t>
  </si>
  <si>
    <t>HPGL0263</t>
  </si>
  <si>
    <t>YLB_tnseq05</t>
  </si>
  <si>
    <t>TGACCA</t>
  </si>
  <si>
    <t>HPGL0264</t>
  </si>
  <si>
    <t>YLB_tnseq06</t>
  </si>
  <si>
    <t>ACAGTG</t>
  </si>
  <si>
    <t>HPGL0265</t>
  </si>
  <si>
    <t>YLB_tnseq07</t>
  </si>
  <si>
    <t>GCCAAT</t>
  </si>
  <si>
    <t>HPGL0266</t>
  </si>
  <si>
    <t>YLB_tnseq08</t>
  </si>
  <si>
    <t>CAGATC</t>
  </si>
  <si>
    <t>HPGL0267</t>
  </si>
  <si>
    <t>YLB_tnseq09</t>
  </si>
  <si>
    <t>CCGTCC</t>
  </si>
  <si>
    <t>HPGL0268</t>
  </si>
  <si>
    <t>YLB_tnseq10</t>
  </si>
  <si>
    <t>HPGL0269</t>
  </si>
  <si>
    <t>YLB_tnseq11</t>
  </si>
  <si>
    <t>HPGL0270</t>
  </si>
  <si>
    <t>YLB_tnseq12</t>
  </si>
  <si>
    <t>HPGL0271</t>
  </si>
  <si>
    <t>YLB_tnseq13</t>
  </si>
  <si>
    <t>HPGL0272</t>
  </si>
  <si>
    <t>YLB_tnseq14</t>
  </si>
  <si>
    <t>HPGL0273</t>
  </si>
  <si>
    <t>YLB_tnseq15</t>
  </si>
  <si>
    <t>HPGL0274</t>
  </si>
  <si>
    <t>YLB_tnseq16</t>
  </si>
  <si>
    <t>HPGL0426</t>
  </si>
  <si>
    <t>2013-12</t>
  </si>
  <si>
    <t>NZ131</t>
  </si>
  <si>
    <t>HPGL0427</t>
  </si>
  <si>
    <t>HPGL0428</t>
  </si>
  <si>
    <t>HPGL0429</t>
  </si>
  <si>
    <t>HPGL0430</t>
  </si>
  <si>
    <t>Alabama</t>
  </si>
  <si>
    <t>HPGL0431</t>
  </si>
  <si>
    <t>HPGL0432</t>
  </si>
  <si>
    <t>HPGL0433</t>
  </si>
  <si>
    <t>AAAAAF/1vPw=</t>
  </si>
  <si>
    <t>YLB_tnseq17</t>
  </si>
  <si>
    <t>YLB_tnseq18</t>
  </si>
  <si>
    <t>YLB_tnseq19</t>
  </si>
  <si>
    <t>YLB_tnseq20</t>
  </si>
  <si>
    <t>YLB_tnseq21</t>
  </si>
  <si>
    <t>YLB_tnseq22</t>
  </si>
  <si>
    <t>YLB_tnseq23</t>
  </si>
  <si>
    <t>YLB_tnseq24</t>
  </si>
  <si>
    <t>5448 Library#9 input in THY</t>
  </si>
  <si>
    <t>5448 Library#9 passage1 in THY</t>
  </si>
  <si>
    <t>5448 Library#9 passage2 in THY</t>
  </si>
  <si>
    <t>5448 Library#9 passage3 in THY</t>
  </si>
  <si>
    <t>5448 Library#11 input in THY</t>
  </si>
  <si>
    <t>5448 Library#11 passage1 in THY</t>
  </si>
  <si>
    <t>5448 Library#11 passage2 in THY</t>
  </si>
  <si>
    <t>5448 Library#11 passage3 in THY</t>
  </si>
  <si>
    <t>5448 Library#12 input in THY</t>
  </si>
  <si>
    <t>5448 Library#12 passage1 in THY</t>
  </si>
  <si>
    <t>5448 Library#12 passage2 in THY</t>
  </si>
  <si>
    <t>5448 Library#12 passage3 in THY</t>
  </si>
  <si>
    <t>5448 Library#34 input in THY</t>
  </si>
  <si>
    <t>5448 Library#34 passage1 in THY</t>
  </si>
  <si>
    <t>5448 Library#34 passage2 in THY</t>
  </si>
  <si>
    <t>5448 Library#34 passage3 in THY</t>
  </si>
  <si>
    <t>NZ131 Library#1, t0</t>
  </si>
  <si>
    <t>NZ131 Library#1, t1</t>
  </si>
  <si>
    <t>NZ131 Library#1, t2</t>
  </si>
  <si>
    <t>NZ131 Library#1, t3</t>
  </si>
  <si>
    <t>Alab49 Library#1, t0</t>
  </si>
  <si>
    <t>Alab49 Library#1, t1</t>
  </si>
  <si>
    <t>Alab49 Library#1, t2</t>
  </si>
  <si>
    <t>Alab49 Library#1, t3</t>
  </si>
  <si>
    <t>In vitro THY</t>
  </si>
  <si>
    <t>HPGL0596</t>
  </si>
  <si>
    <t>HPGL0597</t>
  </si>
  <si>
    <t>HPGL0598</t>
  </si>
  <si>
    <t>HPGL0599</t>
  </si>
  <si>
    <t>HPGL0600</t>
  </si>
  <si>
    <t>HPGL0601</t>
  </si>
  <si>
    <t>HPGL0602</t>
  </si>
  <si>
    <t>HPGL0603</t>
  </si>
  <si>
    <t>HPGL0604</t>
  </si>
  <si>
    <t>HPGL0605</t>
  </si>
  <si>
    <t>HPGL0606</t>
  </si>
  <si>
    <t>HPGL0607</t>
  </si>
  <si>
    <t>HPGL0608</t>
  </si>
  <si>
    <t>HPGL0609</t>
  </si>
  <si>
    <t>HPGL0610</t>
  </si>
  <si>
    <t>HPGL0611</t>
  </si>
  <si>
    <t>In vivo mouse</t>
  </si>
  <si>
    <t>in vitro biofilm</t>
  </si>
  <si>
    <t>PMN Donor YLB</t>
  </si>
  <si>
    <t>PMN Donor LAV</t>
  </si>
  <si>
    <t>5448 master library, time 0, replicate 1</t>
  </si>
  <si>
    <t>5448 master library, time 0, replicate 2</t>
  </si>
  <si>
    <t>5448 master library, time 12h, replicate 1</t>
  </si>
  <si>
    <t>5448 master library, time 48h, replicate 2</t>
  </si>
  <si>
    <t>5448 master library, time 12h, replicate 2</t>
  </si>
  <si>
    <t>5448 master library, time 24h, replicate 1</t>
  </si>
  <si>
    <t>5448 master library, time 24h, replicate 2</t>
  </si>
  <si>
    <t>5448 master library, time 48h, replicate 1</t>
  </si>
  <si>
    <t>5448 master library, biofilm 1, day 0</t>
  </si>
  <si>
    <t>5448 master library, biofilm 1, day 1</t>
  </si>
  <si>
    <t>5448 master library, biofilm 1, day 6</t>
  </si>
  <si>
    <t>5448 master library, biofilm 1, day 10</t>
  </si>
  <si>
    <t>5448 master library, PMN YLB, time 0</t>
  </si>
  <si>
    <t>5448 master library, PMN LAV, time 0</t>
  </si>
  <si>
    <t>5448 master library, PMN LAV, overnight</t>
  </si>
  <si>
    <t>5448 master library, PMN YLB, overnight</t>
  </si>
  <si>
    <t>2015-07</t>
  </si>
  <si>
    <t>T0, replicate 1</t>
  </si>
  <si>
    <t>T0, replicate 2</t>
  </si>
  <si>
    <t>12h, replicate 1</t>
  </si>
  <si>
    <t>48h, replicate 2</t>
  </si>
  <si>
    <t>12h, replicate 2</t>
  </si>
  <si>
    <t>24h, replicate 1</t>
  </si>
  <si>
    <t>24h, replicate 2</t>
  </si>
  <si>
    <t>48h, replicate 1</t>
  </si>
  <si>
    <t>biofilm, T0</t>
  </si>
  <si>
    <t>biofilm, Day 1</t>
  </si>
  <si>
    <t>biofilm, Day 6</t>
  </si>
  <si>
    <t>biofilm, Day 10</t>
  </si>
  <si>
    <t>PMN YLB, T0</t>
  </si>
  <si>
    <t>PMN YLB, overnight</t>
  </si>
  <si>
    <t>PMN LAV, T0</t>
  </si>
  <si>
    <t>PMN LAV, overnight</t>
  </si>
  <si>
    <t>Sample name</t>
  </si>
  <si>
    <t>Description</t>
  </si>
  <si>
    <t>Strain</t>
  </si>
  <si>
    <t>501A</t>
  </si>
  <si>
    <t>502A</t>
  </si>
  <si>
    <t>503A</t>
  </si>
  <si>
    <t>504A</t>
  </si>
  <si>
    <t>505A</t>
  </si>
  <si>
    <t>506A</t>
  </si>
  <si>
    <t>507A</t>
  </si>
  <si>
    <t>508A</t>
  </si>
  <si>
    <t>501B</t>
  </si>
  <si>
    <t>502B</t>
  </si>
  <si>
    <t>503B</t>
  </si>
  <si>
    <t>504B</t>
  </si>
  <si>
    <t>505B</t>
  </si>
  <si>
    <t>506B</t>
  </si>
  <si>
    <t>507B</t>
  </si>
  <si>
    <t>508B</t>
  </si>
  <si>
    <t>barcode</t>
  </si>
  <si>
    <t>lane 1</t>
  </si>
  <si>
    <t>lane 2</t>
  </si>
  <si>
    <t>701A</t>
  </si>
  <si>
    <t>702A</t>
  </si>
  <si>
    <t>701B</t>
  </si>
  <si>
    <t>702B</t>
  </si>
  <si>
    <t>T0, replicate 3</t>
  </si>
  <si>
    <t>12h, replicate 3</t>
  </si>
  <si>
    <t>24h, replicate 3</t>
  </si>
  <si>
    <t>24h, replicate 4</t>
  </si>
  <si>
    <t>48h, replicate 3</t>
  </si>
  <si>
    <t>48h, replicate 4</t>
  </si>
  <si>
    <t>plasma LAV</t>
  </si>
  <si>
    <t>LAV PMN#1</t>
  </si>
  <si>
    <t>LAV PMN#2</t>
  </si>
  <si>
    <t>Rabbit abscess, T0</t>
  </si>
  <si>
    <t>Rabbit abscess, 24A3</t>
  </si>
  <si>
    <t>Rabbit abscess, 24B2</t>
  </si>
  <si>
    <t>Rabbit abscess, 48A3</t>
  </si>
  <si>
    <t>Rabbit abscess, 48B2</t>
  </si>
  <si>
    <t>Rabbit abscess, 72A2</t>
  </si>
  <si>
    <t>Rabbit abscess, 72B1</t>
  </si>
  <si>
    <t>YLB-T0</t>
  </si>
  <si>
    <t>YLB-plasma</t>
  </si>
  <si>
    <t>YLB-PMNs</t>
  </si>
  <si>
    <t>5448 master library, time 0, replicate 3</t>
  </si>
  <si>
    <t>5448 master library, time 12h, replicate 3</t>
  </si>
  <si>
    <t>5448 master library, time 24h, replicate 3</t>
  </si>
  <si>
    <t>5448 master library, time 24h, replicate 4</t>
  </si>
  <si>
    <t>5448 master library, time 48h, replicate 3</t>
  </si>
  <si>
    <t>5449 master library, time 48h, replicate 4</t>
  </si>
  <si>
    <t>5448 master library, PMN LAV, time 0, experiment 2</t>
  </si>
  <si>
    <t>5448 master library, plasma LAV, experiment 2</t>
  </si>
  <si>
    <t>5448 master library, PMN LAV #1, experiment 2</t>
  </si>
  <si>
    <t>5448 master library, PMN LAV #2, experiment 2</t>
  </si>
  <si>
    <t>In vivo rabbit</t>
  </si>
  <si>
    <t>5448 master library, PMN YLB, time 0, experiment 2</t>
  </si>
  <si>
    <t>5448 master library, plasma YLB, experiment 2</t>
  </si>
  <si>
    <t>5448 master library, PMN YLB #1, experiment 2</t>
  </si>
  <si>
    <t>5448 master library, rabbit abscess T0</t>
  </si>
  <si>
    <t>5448 master library, rabbit abscess 24h</t>
  </si>
  <si>
    <t>5448 master library, rabbit abscess 48h</t>
  </si>
  <si>
    <t>5448 master library, rabbit abscess 72h</t>
  </si>
  <si>
    <t>2016-06</t>
  </si>
  <si>
    <t>PMN, experiment 3</t>
  </si>
  <si>
    <t>5448 master library, PMN donor A, replicate 1</t>
  </si>
  <si>
    <t>5448 master library, PMN donor A, replicate 2</t>
  </si>
  <si>
    <t>5448 master library, PMN donor A, replicate 3</t>
  </si>
  <si>
    <t>5448 master library, PMN donor B, replicate 1</t>
  </si>
  <si>
    <t>5449 master library, PMN donor B, replicate 2</t>
  </si>
  <si>
    <t>5450 master library, PMN donor B, replicate 3</t>
  </si>
  <si>
    <t>5448 master library, PMN donor C, replicate 1</t>
  </si>
  <si>
    <t>5448 master library, PMN donor C, replicate 2</t>
  </si>
  <si>
    <t>5448 master library, PMN donor C, replicate 3</t>
  </si>
  <si>
    <t>5448 master library, PMN T0, replicate 1</t>
  </si>
  <si>
    <t>5448 master library, PMN T0, replicate 2</t>
  </si>
  <si>
    <t>5448 master library, PMN T0, replicate 3</t>
  </si>
  <si>
    <t>703A</t>
  </si>
  <si>
    <t>704A</t>
  </si>
  <si>
    <t>703B</t>
  </si>
  <si>
    <t>704B</t>
  </si>
  <si>
    <t>A1-PMN</t>
  </si>
  <si>
    <t>A2-PMN</t>
  </si>
  <si>
    <t>A3-PMN</t>
  </si>
  <si>
    <t>B1-PMN</t>
  </si>
  <si>
    <t>B2-PMN</t>
  </si>
  <si>
    <t>B3-PMN</t>
  </si>
  <si>
    <t>C1-PMN</t>
  </si>
  <si>
    <t>C2-PMN</t>
  </si>
  <si>
    <t>C3-PMN</t>
  </si>
  <si>
    <t>T0-A</t>
  </si>
  <si>
    <t>T0-B</t>
  </si>
  <si>
    <t>T0-C</t>
  </si>
  <si>
    <t>5448 master library, plasma donor A, replicate 1</t>
  </si>
  <si>
    <t>5448 master library, plasma donor A, replicate 2</t>
  </si>
  <si>
    <t>5448 master library, plasma donor A, replicate 3</t>
  </si>
  <si>
    <t>5448 master library, plasma donor B, replicate 1</t>
  </si>
  <si>
    <t>5449 master library, plasma donor B, replicate 2</t>
  </si>
  <si>
    <t>5450 master library, plasma donor B, replicate 3</t>
  </si>
  <si>
    <t>5448 master library, plasma donor C, replicate 1</t>
  </si>
  <si>
    <t>5448 master library, plasma donor C, replicate 2</t>
  </si>
  <si>
    <t>5448 master library, plasma donor C, replicate 3</t>
  </si>
  <si>
    <t>5005 Krmit library #83</t>
  </si>
  <si>
    <t>5005 Krmit library #87</t>
  </si>
  <si>
    <t>5005 Krmit library #93</t>
  </si>
  <si>
    <t>Krmit in 5005</t>
  </si>
  <si>
    <t>A1-plasma</t>
  </si>
  <si>
    <t>A2-plasma</t>
  </si>
  <si>
    <t>A3-plasma</t>
  </si>
  <si>
    <t>B1-plasma</t>
  </si>
  <si>
    <t>B2-plasma</t>
  </si>
  <si>
    <t>B3-plasma</t>
  </si>
  <si>
    <t>C1-plasma</t>
  </si>
  <si>
    <t>C2-plasma</t>
  </si>
  <si>
    <t>C3-plasma</t>
  </si>
  <si>
    <t>Krmit in 5005, 83</t>
  </si>
  <si>
    <t>Krmit in 5005, 87</t>
  </si>
  <si>
    <t>Krmit in 5005, 93</t>
  </si>
  <si>
    <t>2017-03</t>
  </si>
  <si>
    <t>TATAGCCT</t>
  </si>
  <si>
    <t>ATAGAGGC</t>
  </si>
  <si>
    <t>CCTATCCT</t>
  </si>
  <si>
    <t>GGCTCTGA</t>
  </si>
  <si>
    <t>AGGCGAAG</t>
  </si>
  <si>
    <t>TAATCTTA</t>
  </si>
  <si>
    <t>CAGGACGT</t>
  </si>
  <si>
    <t>GTACTGAC</t>
  </si>
  <si>
    <t>ATTACTCGG</t>
  </si>
  <si>
    <t>TCCGGAGA</t>
  </si>
  <si>
    <t>CGCTCATT</t>
  </si>
  <si>
    <t>GAGATTCC</t>
  </si>
  <si>
    <t>barcode sequence</t>
  </si>
  <si>
    <t>Experiment description</t>
  </si>
  <si>
    <t>Lane 1, 501A</t>
  </si>
  <si>
    <t>Lane 1, 502A</t>
  </si>
  <si>
    <t>Lane 1, 503A</t>
  </si>
  <si>
    <t>Lane 1, 504A</t>
  </si>
  <si>
    <t>Lane 1, 505A</t>
  </si>
  <si>
    <t>Lane 1, 506A</t>
  </si>
  <si>
    <t>Lane 1, 507A</t>
  </si>
  <si>
    <t>Lane 1, 508A</t>
  </si>
  <si>
    <t>Lane 1, 701A</t>
  </si>
  <si>
    <t>Lane 1, 702A</t>
  </si>
  <si>
    <t>Lane 1, 703A</t>
  </si>
  <si>
    <t>Lane 1, 704A</t>
  </si>
  <si>
    <t>Lane 2, 501B</t>
  </si>
  <si>
    <t>Lane 2, 502B</t>
  </si>
  <si>
    <t>Lane 2, 503B</t>
  </si>
  <si>
    <t>Lane 2, 504B</t>
  </si>
  <si>
    <t>Lane 2, 505B</t>
  </si>
  <si>
    <t>Lane 2, 506B</t>
  </si>
  <si>
    <t>Lane 2, 507B</t>
  </si>
  <si>
    <t>Lane 2, 508B</t>
  </si>
  <si>
    <t>Lane 2, 701B</t>
  </si>
  <si>
    <t>Lane 2, 702B</t>
  </si>
  <si>
    <t>Lane 2, 703B</t>
  </si>
  <si>
    <t>Lane 2, 704B</t>
  </si>
  <si>
    <t>HPGL0796</t>
  </si>
  <si>
    <t>HPGL0797</t>
  </si>
  <si>
    <t>HPGL0798</t>
  </si>
  <si>
    <t>HPGL0799</t>
  </si>
  <si>
    <t>HPGL0800</t>
  </si>
  <si>
    <t>HPGL0801</t>
  </si>
  <si>
    <t>HPGL0802</t>
  </si>
  <si>
    <t>HPGL0803</t>
  </si>
  <si>
    <t>HPGL0804</t>
  </si>
  <si>
    <t>HPGL0805</t>
  </si>
  <si>
    <t>HPGL0806</t>
  </si>
  <si>
    <t>HPGL0807</t>
  </si>
  <si>
    <t>HPGL0808</t>
  </si>
  <si>
    <t>HPGL0809</t>
  </si>
  <si>
    <t>HPGL0810</t>
  </si>
  <si>
    <t>HPGL0811</t>
  </si>
  <si>
    <t>HPGL0812</t>
  </si>
  <si>
    <t>HPGL0813</t>
  </si>
  <si>
    <t>HPGL0814</t>
  </si>
  <si>
    <t>HPGL0815</t>
  </si>
  <si>
    <t>HPGL0816</t>
  </si>
  <si>
    <t>HPGL0817</t>
  </si>
  <si>
    <t>HPGL0818</t>
  </si>
  <si>
    <t>HPGL0819</t>
  </si>
  <si>
    <t>HPGL0820</t>
  </si>
  <si>
    <t>HPGL0821</t>
  </si>
  <si>
    <t>HPGL0822</t>
  </si>
  <si>
    <t>HPGL0823</t>
  </si>
  <si>
    <t>HPGL0824</t>
  </si>
  <si>
    <t>HPGL0825</t>
  </si>
  <si>
    <t>HPGL0826</t>
  </si>
  <si>
    <t>HPGL0827</t>
  </si>
  <si>
    <t>HPGL0828</t>
  </si>
  <si>
    <t>HPGL0829</t>
  </si>
  <si>
    <t>HPGL0830</t>
  </si>
  <si>
    <t>HPGL0831</t>
  </si>
  <si>
    <t>HPGL0832</t>
  </si>
  <si>
    <t>HPGL0833</t>
  </si>
  <si>
    <t>HPGL0834</t>
  </si>
  <si>
    <t>HPGL0835</t>
  </si>
  <si>
    <t>HPGL0836</t>
  </si>
  <si>
    <t>HPGL0837</t>
  </si>
  <si>
    <t>HPGL0838</t>
  </si>
  <si>
    <t>HPGL0839</t>
  </si>
  <si>
    <t>HPGL0866</t>
  </si>
  <si>
    <t>HPGL0870</t>
  </si>
  <si>
    <t>HPGL0874</t>
  </si>
  <si>
    <t>HPGL0878</t>
  </si>
  <si>
    <t>HPGL0882</t>
  </si>
  <si>
    <t>HPGL0867</t>
  </si>
  <si>
    <t>HPGL0871</t>
  </si>
  <si>
    <t>HPGL0875</t>
  </si>
  <si>
    <t>HPGL0879</t>
  </si>
  <si>
    <t>HPGL0883</t>
  </si>
  <si>
    <t>HPGL0868</t>
  </si>
  <si>
    <t>HPGL0872</t>
  </si>
  <si>
    <t>HPGL0876</t>
  </si>
  <si>
    <t>HPGL0880</t>
  </si>
  <si>
    <t>HPGL0884</t>
  </si>
  <si>
    <t>HPGL0869</t>
  </si>
  <si>
    <t>Lane 1, Index 501 (TATAGCCT)</t>
  </si>
  <si>
    <t>Lane 1, Index 502 ( ATAGAGGC)</t>
  </si>
  <si>
    <t>Lane 1, Index 503 (CCTATCCT)</t>
  </si>
  <si>
    <t>Lane 1, Index 504 (GGCTCTGA)</t>
  </si>
  <si>
    <t>Lane 1, Index 505 (AGGCGAAG)</t>
  </si>
  <si>
    <t>Lane 1, Index506 (TAATCTTA)</t>
  </si>
  <si>
    <t>Lane 1, Index 507 (CAGGACGT)</t>
  </si>
  <si>
    <t>Lane 1, Index 508 (GTACTGAC)</t>
  </si>
  <si>
    <t>Lane 2, Index 701 (ATTACTCG)</t>
  </si>
  <si>
    <t>Lane 2, Index 702 (TCCGGAGA)</t>
  </si>
  <si>
    <t>Lane 2, Index 703 (CGCTCATT)</t>
  </si>
  <si>
    <t>Lane 2, Index 704 (GAGATTCC)</t>
  </si>
  <si>
    <t>Lane 2, Index 501 (TATAGCCT)</t>
  </si>
  <si>
    <t>Lane 2, Index 502 (ATAGAGGC)</t>
  </si>
  <si>
    <t>Lane 2, Index 503 (CCTATCCT)</t>
  </si>
  <si>
    <t>Lane 2, Index 504 (GGCTCTGA)</t>
  </si>
  <si>
    <t>AGT1_mRPMI_T2_replicate1</t>
  </si>
  <si>
    <t>AGT2_mRPMI_T2_lowCu_replicate1</t>
  </si>
  <si>
    <t>AGT3_mRPMI_T2_highCu_replicate1</t>
  </si>
  <si>
    <t>AGT4_mRPMI_T2_lowZn_replicate1</t>
  </si>
  <si>
    <t>AGT5_mRPMI_T2_highZn_replicate1</t>
  </si>
  <si>
    <t>AGT6_mRPMI_T2_replicate2</t>
  </si>
  <si>
    <t>AGT7_mRPMI_T2_lowCu_replicate2</t>
  </si>
  <si>
    <t>AGT8_mRPMI_T2_highCu_replicate2</t>
  </si>
  <si>
    <t>AGT9_mRPMI_T2_lowZn_replicate2</t>
  </si>
  <si>
    <t>AGT10_mRPMI_T2_highZn_replicate2</t>
  </si>
  <si>
    <t>AGT11_mRPMI_T2_replicate3</t>
  </si>
  <si>
    <t>AGT12_mRPMI_T2_lowCu_replicate3</t>
  </si>
  <si>
    <t>AGT13_mRPMI_T2_highCu_replicate3</t>
  </si>
  <si>
    <t>AGT14_mRPMI_T2_lowZn_replicate3</t>
  </si>
  <si>
    <t>AGT15_mRPMI_T2_highZn_replicate3</t>
  </si>
  <si>
    <t>AGT16_mRPMI_T2_replicate4</t>
  </si>
  <si>
    <t>2017-05</t>
  </si>
  <si>
    <t>Krmit in 5448, T2, sample 1</t>
  </si>
  <si>
    <t>Krmit in 5448, T2, lowCu, sample 1</t>
  </si>
  <si>
    <t>Krmit in 5448, T2, highCu, sample 1</t>
  </si>
  <si>
    <t>Krmit in 5448, T2, lowZn, sample 1</t>
  </si>
  <si>
    <t>Krmit in 5448, T2, highZn, sample 1</t>
  </si>
  <si>
    <t>Krmit in 5448, T2, sample 2</t>
  </si>
  <si>
    <t>Krmit in 5448, T2, lowCu, sample 2</t>
  </si>
  <si>
    <t>Krmit in 5448, T2, highCu, sample 2</t>
  </si>
  <si>
    <t>Krmit in 5448, T2, lowZn, sample 2</t>
  </si>
  <si>
    <t>Krmit in 5448, T2, highZn, sample 2</t>
  </si>
  <si>
    <t>Krmit in 5448, T2, sample 3</t>
  </si>
  <si>
    <t>Krmit in 5448, T2, lowCu, sample 3</t>
  </si>
  <si>
    <t>Krmit in 5448, T2, highCu, sample 3</t>
  </si>
  <si>
    <t>Krmit in 5448, T2, lowZn, sample 3</t>
  </si>
  <si>
    <t>Krmit in 5448, T2, highZn, sample 3</t>
  </si>
  <si>
    <t>AGT17_mRPMI_T2_lowCu_replicate4</t>
  </si>
  <si>
    <t>AGT18_mRPMI_T2_highCu_replicate4</t>
  </si>
  <si>
    <t>AGT19_mRPMI_T2_lowZn_replicate4</t>
  </si>
  <si>
    <t>AGT20_mRPMI_T2_highZn_replicate4</t>
  </si>
  <si>
    <t>AGT21_mRPMI_T3_replicate1</t>
  </si>
  <si>
    <t>AGT22_mRPMI_T3_lowCu_replicate1</t>
  </si>
  <si>
    <t>AGT23_mRPMI_T3_highCu_replicate1</t>
  </si>
  <si>
    <t>AGT24_mRPMI_T3_lowZn_replicate1</t>
  </si>
  <si>
    <t>AGT25_mRPMI_T3_highZn_replicate1</t>
  </si>
  <si>
    <t>AGT26_mRPMI_T3_replicate2</t>
  </si>
  <si>
    <t>AGT27_mRPMI_T3_lowCu_replicate2</t>
  </si>
  <si>
    <t>AGT28_mRPMI_T3_highCu_replicate2</t>
  </si>
  <si>
    <t>AGT29_mRPMI_T3_lowZn_replicate2</t>
  </si>
  <si>
    <t>AGT30_mRPMI_T3_highZn_replicate2</t>
  </si>
  <si>
    <t>AGT31_mRPMI_T3_replicate3</t>
  </si>
  <si>
    <t>AGT32_mRPMI_T3_lowCu_replicate3</t>
  </si>
  <si>
    <t>HPGL0896</t>
  </si>
  <si>
    <t>HPGL0900</t>
  </si>
  <si>
    <t>HPGL0904</t>
  </si>
  <si>
    <t>HPGL0889</t>
  </si>
  <si>
    <t>HPGL0893</t>
  </si>
  <si>
    <t>HPGL0897</t>
  </si>
  <si>
    <t>HPGL0901</t>
  </si>
  <si>
    <t>HPGL0905</t>
  </si>
  <si>
    <t>HPGL0864</t>
  </si>
  <si>
    <t>HPGL0865</t>
  </si>
  <si>
    <t>HPGL0906</t>
  </si>
  <si>
    <t>HPGL0907</t>
  </si>
  <si>
    <t>HPGL0908</t>
  </si>
  <si>
    <t>HPGL0909</t>
  </si>
  <si>
    <t>HPGL0910</t>
  </si>
  <si>
    <t>HPGL0911</t>
  </si>
  <si>
    <t>HPGL0873</t>
  </si>
  <si>
    <t>HPGL0877</t>
  </si>
  <si>
    <t>HPGL0881</t>
  </si>
  <si>
    <t>HPGL0885</t>
  </si>
  <si>
    <t>HPGL0886</t>
  </si>
  <si>
    <t>HPGL0890</t>
  </si>
  <si>
    <t>HPGL0894</t>
  </si>
  <si>
    <t>HPGL0898</t>
  </si>
  <si>
    <t>HPGL0902</t>
  </si>
  <si>
    <t>HPGL0887</t>
  </si>
  <si>
    <t>HPGL0891</t>
  </si>
  <si>
    <t>HPGL0895</t>
  </si>
  <si>
    <t>HPGL0899</t>
  </si>
  <si>
    <t>HPGL0903</t>
  </si>
  <si>
    <t>HPGL0888</t>
  </si>
  <si>
    <t>HPGL0892</t>
  </si>
  <si>
    <t>Lane 3, Index 505 (AGGCGAAG)</t>
  </si>
  <si>
    <t>Lane 3, Index506 (TAATCTTA)</t>
  </si>
  <si>
    <t>Lane 3, Index 507 (CAGGACGT)</t>
  </si>
  <si>
    <t>Lane 3, Index 508 (GTACTGAC)</t>
  </si>
  <si>
    <t>Lane 3, Index 701 (ATTACTCG)</t>
  </si>
  <si>
    <t>Lane 3, Index 702 (TCCGGAGA)</t>
  </si>
  <si>
    <t>Lane 3, Index 703 (CGCTCATT)</t>
  </si>
  <si>
    <t>Lane 3, Index 704 (GAGATTCC)</t>
  </si>
  <si>
    <t>Krmit in 5448, T2, sample 4</t>
  </si>
  <si>
    <t>Krmit in 5448, T2, lowCu, sample 4</t>
  </si>
  <si>
    <t>Krmit in 5448, T2, highCu, sample 4</t>
  </si>
  <si>
    <t>Krmit in 5448, T2, lowZn, sample 4</t>
  </si>
  <si>
    <t>Krmit in 5448, T2, highZn, sample 4</t>
  </si>
  <si>
    <t>Lane 4, Index 501 (TATAGCCT)</t>
  </si>
  <si>
    <t>Lane 4, Index 502 (ATAGAGGC)</t>
  </si>
  <si>
    <t>Lane 4, Index 503 (CCTATCCT)</t>
  </si>
  <si>
    <t>Lane 4, Index 504 (GGCTCTGA)</t>
  </si>
  <si>
    <t>Lane 4, Index 505 (AGGCGAAG)</t>
  </si>
  <si>
    <t>Lane 4, Index506 (TAATCTTA)</t>
  </si>
  <si>
    <t>Lane 4, Index 507 (CAGGACGT)</t>
  </si>
  <si>
    <t>Lane 4, Index 508 (GTACTGAC)</t>
  </si>
  <si>
    <t>AGT33_mRPMI_T3_highCu_replicate3</t>
  </si>
  <si>
    <t>AGT34_mRPMI_T3_lowZn_replicate3</t>
  </si>
  <si>
    <t>AGT35_mRPMI_T3_highZn_replicate3</t>
  </si>
  <si>
    <t>AGT36_mRPMI_T3_replicate4</t>
  </si>
  <si>
    <t>AGT37_mRPMI_T3_lowCu_replicate4</t>
  </si>
  <si>
    <t>AGT38_mRPMI_T3_highCu_replicate4</t>
  </si>
  <si>
    <t>AGT39_mRPMI_T3_lowZn_replicate4</t>
  </si>
  <si>
    <t>AGT40_mRPMI_T3_highZn_replicate4</t>
  </si>
  <si>
    <t>AGT41_THY_T1_replicate1</t>
  </si>
  <si>
    <t>AGT42_THY_T1_replicate2</t>
  </si>
  <si>
    <t>YLB1_Library5448AP_2_T1</t>
  </si>
  <si>
    <t>YLB2_Library5448AP_10_T1</t>
  </si>
  <si>
    <t>YLB3_Library5448AP_12_T1</t>
  </si>
  <si>
    <t>YLB4_Library5448AP_2_T2</t>
  </si>
  <si>
    <t>YLB5_Library5448AP_10_T2</t>
  </si>
  <si>
    <t>YLB6_Library5448AP_12_T2</t>
  </si>
  <si>
    <t>Lane 5, Index 701 (ATTACTCG)</t>
  </si>
  <si>
    <t>Lane 5, Index 702 (TCCGGAGA)</t>
  </si>
  <si>
    <t>Lane 5, Index 703 (CGCTCATT)</t>
  </si>
  <si>
    <t>Lane 5, Index 704 (GAGATTCC)</t>
  </si>
  <si>
    <t>Lane 5, Index 501 (TATAGCCT)</t>
  </si>
  <si>
    <t>Lane 5, Index 502 (ATAGAGGC)</t>
  </si>
  <si>
    <t>Lane 5, Index 503 (CCTATCCT)</t>
  </si>
  <si>
    <t>Lane 5, Index 504 (GGCTCTGA)</t>
  </si>
  <si>
    <t>Lane 6, Index 505 (AGGCGAAG)</t>
  </si>
  <si>
    <t>Lane 6, Index506 (TAATCTTA)</t>
  </si>
  <si>
    <t>Lane 6, Index 507 (CAGGACGT)</t>
  </si>
  <si>
    <t>Lane 6, Index 508 (GTACTGAC)</t>
  </si>
  <si>
    <t>Lane 6, Index 701 (ATTACTCG)</t>
  </si>
  <si>
    <t>Lane 6, Index 702 (TCCGGAGA)</t>
  </si>
  <si>
    <t>Lane 6, Index 703 (CGCTCATT)</t>
  </si>
  <si>
    <t>Lane 6, Index 704 (GAGATTCC)</t>
  </si>
  <si>
    <t>Krmit in 5448, T3, sample 1</t>
  </si>
  <si>
    <t>Krmit in 5448, T3, lowCu, sample 1</t>
  </si>
  <si>
    <t>Krmit in 5448, T3, highCu, sample 1</t>
  </si>
  <si>
    <t>Krmit in 5448, T3, lowZn, sample 1</t>
  </si>
  <si>
    <t>Krmit in 5448, T3, highZn, sample 1</t>
  </si>
  <si>
    <t>Krmit in 5448, T3, sample 2</t>
  </si>
  <si>
    <t>Krmit in 5448, T3, lowCu, sample 2</t>
  </si>
  <si>
    <t>Krmit in 5448, T3, highCu, sample 2</t>
  </si>
  <si>
    <t>Krmit in 5448, T3, lowZn, sample 2</t>
  </si>
  <si>
    <t>Krmit in 5448, T3, highZn, sample 2</t>
  </si>
  <si>
    <t>Krmit in 5448, T3, sample 3</t>
  </si>
  <si>
    <t>Krmit in 5448, T3, lowCu, sample 3</t>
  </si>
  <si>
    <t>Krmit in 5448, T3, highCu, sample 3</t>
  </si>
  <si>
    <t>Krmit in 5448, T3, lowZn, sample 3</t>
  </si>
  <si>
    <t>Krmit in 5448, T3, highZn, sample 3</t>
  </si>
  <si>
    <t>Krmit in 5448, T3, sample 4</t>
  </si>
  <si>
    <t>Krmit in 5448, T3, lowCu, sample 4</t>
  </si>
  <si>
    <t>Krmit in 5448, T3, highCu, sample 4</t>
  </si>
  <si>
    <t>Krmit in 5448, T3, lowZn, sample 4</t>
  </si>
  <si>
    <t>Krmit in 5448, T3, highZn, sample 4</t>
  </si>
  <si>
    <t>Krmit in 5448, T1, sample 1</t>
  </si>
  <si>
    <t>Krmit in 5448, T1, sample 2</t>
  </si>
  <si>
    <t>lane 3</t>
  </si>
  <si>
    <t>lane 4</t>
  </si>
  <si>
    <t>lane 5</t>
  </si>
  <si>
    <t>lane 6</t>
  </si>
  <si>
    <t>Krmit in 5448AP, Library 2, T1</t>
  </si>
  <si>
    <t>Krmit in 5448AP, Library 10, T1</t>
  </si>
  <si>
    <t>Krmit in 5448AP, Library 2, T2</t>
  </si>
  <si>
    <t>Krmit in 5448AP, Library 10, T2</t>
  </si>
  <si>
    <t>Krmit in 5448AP, Library 12, T1</t>
  </si>
  <si>
    <t>Krmit in 5448AP, Library 12, T2</t>
  </si>
  <si>
    <t>Krmit in 5448AP</t>
  </si>
  <si>
    <t>Krmit#2 (SC-mga1, library2, passage1),</t>
  </si>
  <si>
    <t>Krmit#3 (SC-mga1, library3, passage1),</t>
  </si>
  <si>
    <t>Krmit#4 (SC-mga1, library4, passage1),</t>
  </si>
  <si>
    <t>Krmit#5 (SC-mga2, library2, passage1),</t>
  </si>
  <si>
    <t>Krmit#6 (SC-mga2, library4, passage1),</t>
  </si>
  <si>
    <t>Krmit#7 (SC-rofA1, library1, passage1),</t>
  </si>
  <si>
    <t>Krmit#8 (SC-rofA1, library21, passage1),</t>
  </si>
  <si>
    <t>Krmit#9 (SC-rofA2, library4, passage1),</t>
  </si>
  <si>
    <t>Krmit#10 (SC-rofA2, library9, passage1),</t>
  </si>
  <si>
    <t>Krmit#11 (SC-mga1, library1, passage2),</t>
  </si>
  <si>
    <t>Krmit#12 (SC-mga1, library2, passage2),</t>
  </si>
  <si>
    <t>Krmit#13 (SC-mga1, library3, passage2),</t>
  </si>
  <si>
    <t>Krmit#14 (SC-mga1, library4, passage2),</t>
  </si>
  <si>
    <t>Krmit#15 (SC-mga2, library2, passage2),</t>
  </si>
  <si>
    <t>Krmit#16 (SC-mga2, library4, passage2),</t>
  </si>
  <si>
    <t>Krmit#17 (SC-rofA1, library1, passage2),</t>
  </si>
  <si>
    <t>Krmit#18 (SC-rofA1, library21, passage2),</t>
  </si>
  <si>
    <t>Krmit#19 (SC-rofA2, library4, passage2),</t>
  </si>
  <si>
    <t>Krmit#20 (SC-rofA2, library9, passage2).</t>
  </si>
  <si>
    <t>Krmit#1 (SC-mga1, library1, passage1)</t>
  </si>
  <si>
    <t>5448 mga1 mutant</t>
  </si>
  <si>
    <t>5448 mga2 mutant</t>
  </si>
  <si>
    <t>5448 rofA1 mutant</t>
  </si>
  <si>
    <t>5448 rofA2 mutant</t>
  </si>
  <si>
    <t>Tn-seq with Andrew</t>
  </si>
  <si>
    <t>Tn-seq genetic interaction for mga (5448)</t>
  </si>
  <si>
    <t>Tn-seq genetic interaction for rofA (5448)</t>
  </si>
  <si>
    <t>Lane 1, 501A (TATAGCCT)</t>
  </si>
  <si>
    <t>Lane 1, 502A (ATAGAGGC)</t>
  </si>
  <si>
    <t>Lane 1, 503A (CCTATCCT)</t>
  </si>
  <si>
    <t>Lane 1, 504A (GGCTCTGA)</t>
  </si>
  <si>
    <t>Lane 1, 505A (AGGCGAAG)</t>
  </si>
  <si>
    <t>Lane 1, 506A (TAATCTTA)</t>
  </si>
  <si>
    <t>Lane 1, 507A (CAGGACGT)</t>
  </si>
  <si>
    <t>Lane 1, 508A (GTACTGAC)</t>
  </si>
  <si>
    <t>Lane 1, 701A (ATTACTCG)</t>
  </si>
  <si>
    <t>Lane 1, 702A (TCCGGAGA)</t>
  </si>
  <si>
    <t>Lane 2, 501A (TATAGCCT)</t>
  </si>
  <si>
    <t>Lane 2, 502A (ATAGAGGC)</t>
  </si>
  <si>
    <t>Lane 2, 503A (CCTATCCT)</t>
  </si>
  <si>
    <t>Lane 2, 504A (GGCTCTGA)</t>
  </si>
  <si>
    <t>Lane 2, 505A (AGGCGAAG)</t>
  </si>
  <si>
    <t>Lane 2, 506A (TAATCTTA)</t>
  </si>
  <si>
    <t>Lane 2, 507A (CAGGACGT)</t>
  </si>
  <si>
    <t>Lane 2, 508A (GTACTGAC)</t>
  </si>
  <si>
    <t>Lane 2, 701A (ATTACTCG)</t>
  </si>
  <si>
    <t>Lane 2, 702A (TCCGGAGA)</t>
  </si>
  <si>
    <t>Krmit library #1 in Stop-Codon-mga#1, passage in THY #1</t>
  </si>
  <si>
    <t>Krmit library #2 in Stop-Codon-mga#1, passage in THY #1</t>
  </si>
  <si>
    <t>Krmit library #3 in Stop-Codon-mga#1, passage in THY #1</t>
  </si>
  <si>
    <t>Krmit library #4 in Stop-Codon-mga#1, passage in THY #1</t>
  </si>
  <si>
    <t>Krmit library #2 in Stop-Codon-mga#2, passage in THY #1</t>
  </si>
  <si>
    <t>Krmit library #4 in Stop-Codon-mga#2, passage in THY #1</t>
  </si>
  <si>
    <t>Krmit library #1 in Stop-Codon-rofA#1, passage in THY #1</t>
  </si>
  <si>
    <t>Krmit library #21 in Stop-Codon-rofA#1, passage in THY #1</t>
  </si>
  <si>
    <t>Krmit library #4 in Stop-Codon-rofA#2, passage in THY #1</t>
  </si>
  <si>
    <t>Krmit library #9 in Stop-Codon-rofA#2, passage in THY #1</t>
  </si>
  <si>
    <t>Krmit library #1 in Stop-Codon-mga#1, passage in THY #2</t>
  </si>
  <si>
    <t>Krmit library #2 in Stop-Codon-mga#1, passage in THY #2</t>
  </si>
  <si>
    <t>Krmit library #3 in Stop-Codon-mga#1, passage in THY #2</t>
  </si>
  <si>
    <t>Krmit library #4 in Stop-Codon-mga#1, passage in THY #2</t>
  </si>
  <si>
    <t>Krmit library #2 in Stop-Codon-mga#2, passage in THY #2</t>
  </si>
  <si>
    <t>Krmit library #4 in Stop-Codon-mga#2, passage in THY #2</t>
  </si>
  <si>
    <t>Krmit library #1 in Stop-Codon-rofA#1, passage in THY #2</t>
  </si>
  <si>
    <t>Krmit library #21 in Stop-Codon-rofA#1, passage in THY #2</t>
  </si>
  <si>
    <t>Krmit library #4 in Stop-Codon-rofA#2, passage in THY #2</t>
  </si>
  <si>
    <t>Krmit library #9 in Stop-Codon-rofA#2, passage in THY #2</t>
  </si>
  <si>
    <t>2018-01</t>
  </si>
  <si>
    <t>HPGL1045</t>
  </si>
  <si>
    <t>HPGL1046</t>
  </si>
  <si>
    <t>HPGL1047</t>
  </si>
  <si>
    <t>HPGL1048</t>
  </si>
  <si>
    <t>HPGL1049</t>
  </si>
  <si>
    <t>HPGL1050</t>
  </si>
  <si>
    <t>HPGL1051</t>
  </si>
  <si>
    <t>HPGL1052</t>
  </si>
  <si>
    <t>HPGL1053</t>
  </si>
  <si>
    <t>HPGL1054</t>
  </si>
  <si>
    <t>HPGL1055</t>
  </si>
  <si>
    <t>HPGL1056</t>
  </si>
  <si>
    <t>HPGL1057</t>
  </si>
  <si>
    <t>HPGL1058</t>
  </si>
  <si>
    <t>HPGL1059</t>
  </si>
  <si>
    <t>HPGL1060</t>
  </si>
  <si>
    <t>HPGL1061</t>
  </si>
  <si>
    <t>HPGL1062</t>
  </si>
  <si>
    <t>HPGL1063</t>
  </si>
  <si>
    <t>HPGL1064</t>
  </si>
  <si>
    <t>Krmit mutagenesis in GBS CJB111, library 3</t>
  </si>
  <si>
    <t>Tnseq YLB#20: Krmit library #3 in GBS CJB111</t>
  </si>
  <si>
    <t>2018-03</t>
  </si>
  <si>
    <t>S. agalactiae</t>
  </si>
  <si>
    <t>CJB111</t>
  </si>
  <si>
    <t>Krmit mutagenesis in GBS CJB111, library 8</t>
  </si>
  <si>
    <t>Tnseq YLB#21: Krmit library #8 in GBS CJB111</t>
  </si>
  <si>
    <t>Krmit mutagenesis in GBS CJB111, library 11</t>
  </si>
  <si>
    <t>Tnseq YLB#22: Krmit library #11 in GBS CJB111</t>
  </si>
  <si>
    <t>Krmit mutagenesis in GBS A909, library 3</t>
  </si>
  <si>
    <t>Tnseq YLB#23: Krmit library #3 in GBS A909</t>
  </si>
  <si>
    <t>A909</t>
  </si>
  <si>
    <t>Krmit mutagenesis in GBS A909, library 16</t>
  </si>
  <si>
    <t>Tnseq YLB#24: Krmit library #16 in GBS A909</t>
  </si>
  <si>
    <t>Krmit mutagenesis in GBS A909, library 17</t>
  </si>
  <si>
    <t>Tnseq YLB#25: Krmit library #17 in GBS A909</t>
  </si>
  <si>
    <t>Krmit mutagenesis in GBS A909, library 18</t>
  </si>
  <si>
    <t>Tnseq YLB#26: Krmit library #18 in GBS A909</t>
  </si>
  <si>
    <t>Krmit mutagenesis in GAS SF370, library 9, passage 1</t>
  </si>
  <si>
    <t>Tnseq YLB#27: Krmit library #9 in GAS SF370, passage #1</t>
  </si>
  <si>
    <t>SF370</t>
  </si>
  <si>
    <t>Krmit mutagenesis in GAS SF370, library 10, passage 1</t>
  </si>
  <si>
    <t>Tnseq YLB#28: Krmit library #10 in GAS SF370, passage #1</t>
  </si>
  <si>
    <t>Krmit mutagenesis in GAS SF370, library 11, passage 1</t>
  </si>
  <si>
    <t>Tnseq YLB#29: Krmit library #11 in GAS SF370, passage #1</t>
  </si>
  <si>
    <t>Krmit mutagenesis in GAS AP1, library 5, passage 1</t>
  </si>
  <si>
    <t>Tnseq YLB#30: Krmit library #5 in GAS AP1, passage #1</t>
  </si>
  <si>
    <t>AP1</t>
  </si>
  <si>
    <t>Krmit mutagenesis in GAS AP1, library 10, passage 1</t>
  </si>
  <si>
    <t>Tnseq YLB#31: Krmit library #10 in GAS AP1, passage #1</t>
  </si>
  <si>
    <t>Krmit mutagenesis in GAS STAB902, library 13, passage 1</t>
  </si>
  <si>
    <t>Tnseq YLB#32: Krmit library #13 in STAB902, passage #1</t>
  </si>
  <si>
    <t>STAB902</t>
  </si>
  <si>
    <t>Krmit mutagenesis in GAS SF370, library 9, passage 2</t>
  </si>
  <si>
    <t>Tnseq YLB#33: Krmit library #9 in GAS SF370, passage #2</t>
  </si>
  <si>
    <t>Krmit mutagenesis in GAS SF370, library 10, passage 2</t>
  </si>
  <si>
    <t>Tnseq YLB#34: Krmit library #10 in GAS SF370, passage #2</t>
  </si>
  <si>
    <t>Krmit mutagenesis in GAS SF370, library 11, passage 2</t>
  </si>
  <si>
    <t>Tnseq YLB#35: Krmit library #11 in GAS SF370, passage #2</t>
  </si>
  <si>
    <t>Krmit mutagenesis in GAS AP1, library 5, passage 2</t>
  </si>
  <si>
    <t>Tnseq YLB#36: Krmit library #5 in GAS AP1, passage #2</t>
  </si>
  <si>
    <t>Krmit mutagenesis in GAS AP1, library 10, passage 2</t>
  </si>
  <si>
    <t>Tnseq YLB#37: Krmit library #10 in GAS AP1, passage #2</t>
  </si>
  <si>
    <t>Krmit mutagenesis in GAS STAB902, library 13, passage 2</t>
  </si>
  <si>
    <t>Tnseq YLB#38: Krmit library #13 in STAB902, passage #2</t>
  </si>
  <si>
    <t>HPGL1089</t>
  </si>
  <si>
    <t>HPGL1090</t>
  </si>
  <si>
    <t>HPGL1091</t>
  </si>
  <si>
    <t>HPGL1092</t>
  </si>
  <si>
    <t>HPGL1093</t>
  </si>
  <si>
    <t>HPGL1094</t>
  </si>
  <si>
    <t>HPGL1095</t>
  </si>
  <si>
    <t>HPGL1096</t>
  </si>
  <si>
    <t>HPGL1097</t>
  </si>
  <si>
    <t>HPGL1098</t>
  </si>
  <si>
    <t>HPGL1099</t>
  </si>
  <si>
    <t>HPGL1100</t>
  </si>
  <si>
    <t>HPGL1101</t>
  </si>
  <si>
    <t>HPGL1102</t>
  </si>
  <si>
    <t>HPGL1103</t>
  </si>
  <si>
    <t>HPGL1104</t>
  </si>
  <si>
    <t>HPGL1105</t>
  </si>
  <si>
    <t>HPGL1106</t>
  </si>
  <si>
    <t>HPGL1107</t>
  </si>
  <si>
    <t>ATTACTCG</t>
  </si>
  <si>
    <t>Lanes 2&amp;6, 502A (ATAGAGGC)</t>
  </si>
  <si>
    <t>Lanes 2&amp;6, 501A (TATAGCCT)</t>
  </si>
  <si>
    <t>Lanes 2&amp;6, 503A (CCTATCCT)</t>
  </si>
  <si>
    <t>Lanes 2&amp;6, 504A (GGCTCTGA)</t>
  </si>
  <si>
    <t>Lanes 2&amp;6, 505A (AGGCGAAG)</t>
  </si>
  <si>
    <t>Lanes 2&amp;6, 506A (TAATCTTA)</t>
  </si>
  <si>
    <t>Lanes 2&amp;6, 507A (CAGGACGT)</t>
  </si>
  <si>
    <t>Lanes 2&amp;6, 508A (GTACTGAC)</t>
  </si>
  <si>
    <t>Lanes 2&amp;6, 701A (ATTACTCG)</t>
  </si>
  <si>
    <t>Lanes 2&amp;6, 702A (TCCGGAGA)</t>
  </si>
  <si>
    <t>Lanes 3&amp;7, 501A (TATAGCCT)</t>
  </si>
  <si>
    <t>Lanes 3&amp;7, 502A (ATAGAGGC)</t>
  </si>
  <si>
    <t>Lanes 3&amp;7, 503A (CCTATCCT)</t>
  </si>
  <si>
    <t>Lanes 3&amp;7, 504A (GGCTCTGA)</t>
  </si>
  <si>
    <t>Lanes 3&amp;7, 505A (AGGCGAAG)</t>
  </si>
  <si>
    <t>Lanes 3&amp;7, 506A (TAATCTTA)</t>
  </si>
  <si>
    <t>Lanes 3&amp;7, 507A (CAGGACGT)</t>
  </si>
  <si>
    <t>Lanes 3&amp;7, 508A (GTACTGAC)</t>
  </si>
  <si>
    <t>Lanes 3&amp;7, 701A (ATTACTCG)</t>
  </si>
  <si>
    <t>2019-10</t>
  </si>
  <si>
    <t>LRB_01</t>
  </si>
  <si>
    <t>LRB_02</t>
  </si>
  <si>
    <t>LRB_03</t>
  </si>
  <si>
    <t>LRB_04</t>
  </si>
  <si>
    <t>LRB_05</t>
  </si>
  <si>
    <t>LRB_06</t>
  </si>
  <si>
    <t>LRB_07</t>
  </si>
  <si>
    <t>LRB_08</t>
  </si>
  <si>
    <t>LRB_09</t>
  </si>
  <si>
    <t>Krmit mutagenesis in GBS CJB111, control 1</t>
  </si>
  <si>
    <t>Krmit mutagenesis in GBS CJB111, control 2</t>
  </si>
  <si>
    <t>Krmit mutagenesis in GBS CJB111, control 3</t>
  </si>
  <si>
    <t>Krmit mutagenesis in GBS CJB111, CP60-1</t>
  </si>
  <si>
    <t>Krmit mutagenesis in GBS CJB111, CP60-2</t>
  </si>
  <si>
    <t>Krmit mutagenesis in GBS CJB111, CP60-3</t>
  </si>
  <si>
    <t>Krmit mutagenesis in GBS CJB111, CP480-1</t>
  </si>
  <si>
    <t>Krmit mutagenesis in GBS CJB111, CP480-2</t>
  </si>
  <si>
    <t>Krmit mutagenesis in GBS CJB111, CP480-3</t>
  </si>
  <si>
    <t>TAACGTCG</t>
  </si>
  <si>
    <t>CGCAACTA</t>
  </si>
  <si>
    <t>AACACTGG</t>
  </si>
  <si>
    <t>CCTGTCAA</t>
  </si>
  <si>
    <t>TCCTGGTA</t>
  </si>
  <si>
    <t>CATCAACC</t>
  </si>
  <si>
    <t>AGCAGACA</t>
  </si>
  <si>
    <t>GAAGACTG</t>
  </si>
  <si>
    <t>TCTAGTCC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</si>
</sst>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8" x14ac:knownFonts="1">
    <font>
      <sz val="11"/>
      <color rgb="FF000000"/>
      <name val="Calibri"/>
      <family val="2"/>
      <charset val="1"/>
    </font>
    <font>
      <sz val="14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4"/>
      <name val="Arial"/>
      <family val="2"/>
    </font>
    <font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8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0" fillId="0" borderId="0" xfId="0" applyFill="1"/>
    <xf numFmtId="0" fontId="7" fillId="0" borderId="0" xfId="0" applyFont="1"/>
  </cellXfs>
  <cellStyles count="3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200"/>
  <sheetViews>
    <sheetView tabSelected="1" zoomScale="80" zoomScaleNormal="80" zoomScalePageLayoutView="80" workbookViewId="0">
      <pane ySplit="1" topLeftCell="A143" activePane="bottomLeft" state="frozen"/>
      <selection pane="bottomLeft" activeCell="Q171" sqref="Q171"/>
    </sheetView>
  </sheetViews>
  <sheetFormatPr defaultColWidth="8.85546875" defaultRowHeight="18" x14ac:dyDescent="0.25"/>
  <cols>
    <col min="1" max="1" width="8.85546875" style="1"/>
    <col min="2" max="2" width="13.140625" style="1" bestFit="1" customWidth="1"/>
    <col min="3" max="3" width="35.85546875" style="1" bestFit="1" customWidth="1"/>
    <col min="4" max="4" width="55" style="1" customWidth="1"/>
    <col min="5" max="5" width="55" style="1" bestFit="1" customWidth="1"/>
    <col min="6" max="6" width="14.140625" style="1" bestFit="1" customWidth="1"/>
    <col min="7" max="7" width="16.42578125" style="1" customWidth="1"/>
    <col min="8" max="8" width="20.85546875" style="1" bestFit="1" customWidth="1"/>
    <col min="9" max="9" width="62.42578125" style="1" bestFit="1" customWidth="1"/>
    <col min="10" max="10" width="11.140625" style="1" bestFit="1" customWidth="1"/>
    <col min="11" max="11" width="8.85546875" style="1"/>
    <col min="12" max="12" width="23.28515625" style="1" bestFit="1" customWidth="1"/>
    <col min="13" max="1025" width="8.85546875" style="1"/>
  </cols>
  <sheetData>
    <row r="1" spans="1:1025" s="6" customFormat="1" ht="29.1" customHeight="1" x14ac:dyDescent="0.25">
      <c r="A1" s="14"/>
      <c r="B1" s="14" t="s">
        <v>0</v>
      </c>
      <c r="C1" s="14" t="s">
        <v>145</v>
      </c>
      <c r="D1" s="14" t="s">
        <v>1</v>
      </c>
      <c r="E1" s="14" t="s">
        <v>146</v>
      </c>
      <c r="F1" s="14" t="s">
        <v>2</v>
      </c>
      <c r="G1" s="14" t="s">
        <v>3</v>
      </c>
      <c r="H1" s="14" t="s">
        <v>147</v>
      </c>
      <c r="I1" s="14" t="s">
        <v>277</v>
      </c>
      <c r="J1" s="15"/>
      <c r="K1" s="14" t="s">
        <v>164</v>
      </c>
      <c r="L1" s="14" t="s">
        <v>276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</row>
    <row r="2" spans="1:1025" x14ac:dyDescent="0.25">
      <c r="B2" s="13" t="s">
        <v>4</v>
      </c>
      <c r="C2" s="1" t="s">
        <v>5</v>
      </c>
      <c r="D2" s="1" t="s">
        <v>91</v>
      </c>
      <c r="E2" s="4" t="s">
        <v>67</v>
      </c>
      <c r="F2" s="2">
        <v>41431</v>
      </c>
      <c r="G2" s="1" t="s">
        <v>6</v>
      </c>
      <c r="H2" s="1">
        <v>5448</v>
      </c>
      <c r="I2" s="1" t="s">
        <v>7</v>
      </c>
      <c r="J2" s="1" t="s">
        <v>165</v>
      </c>
      <c r="K2" s="1" t="s">
        <v>148</v>
      </c>
      <c r="L2" s="1" t="s">
        <v>264</v>
      </c>
      <c r="T2"/>
      <c r="U2"/>
      <c r="V2"/>
    </row>
    <row r="3" spans="1:1025" x14ac:dyDescent="0.25">
      <c r="B3" s="13" t="s">
        <v>8</v>
      </c>
      <c r="C3" s="1" t="s">
        <v>9</v>
      </c>
      <c r="D3" s="1" t="s">
        <v>91</v>
      </c>
      <c r="E3" s="4" t="s">
        <v>68</v>
      </c>
      <c r="F3" s="2">
        <v>41431</v>
      </c>
      <c r="G3" s="1" t="s">
        <v>6</v>
      </c>
      <c r="H3" s="1">
        <v>5448</v>
      </c>
      <c r="I3" s="1" t="s">
        <v>10</v>
      </c>
      <c r="J3" s="1" t="s">
        <v>165</v>
      </c>
      <c r="K3" s="1" t="s">
        <v>149</v>
      </c>
      <c r="L3" s="1" t="s">
        <v>265</v>
      </c>
      <c r="T3"/>
      <c r="U3"/>
      <c r="V3"/>
    </row>
    <row r="4" spans="1:1025" x14ac:dyDescent="0.25">
      <c r="B4" s="13" t="s">
        <v>11</v>
      </c>
      <c r="C4" s="1" t="s">
        <v>12</v>
      </c>
      <c r="D4" s="1" t="s">
        <v>91</v>
      </c>
      <c r="E4" s="4" t="s">
        <v>69</v>
      </c>
      <c r="F4" s="2">
        <v>41431</v>
      </c>
      <c r="G4" s="1" t="s">
        <v>6</v>
      </c>
      <c r="H4" s="1">
        <v>5448</v>
      </c>
      <c r="I4" s="1" t="s">
        <v>13</v>
      </c>
      <c r="J4" s="1" t="s">
        <v>165</v>
      </c>
      <c r="K4" s="1" t="s">
        <v>150</v>
      </c>
      <c r="L4" s="1" t="s">
        <v>266</v>
      </c>
      <c r="T4"/>
      <c r="U4"/>
      <c r="V4"/>
    </row>
    <row r="5" spans="1:1025" x14ac:dyDescent="0.25">
      <c r="B5" s="13" t="s">
        <v>14</v>
      </c>
      <c r="C5" s="1" t="s">
        <v>15</v>
      </c>
      <c r="D5" s="1" t="s">
        <v>91</v>
      </c>
      <c r="E5" s="4" t="s">
        <v>70</v>
      </c>
      <c r="F5" s="2">
        <v>41431</v>
      </c>
      <c r="G5" s="1" t="s">
        <v>6</v>
      </c>
      <c r="H5" s="1">
        <v>5448</v>
      </c>
      <c r="I5" s="1" t="s">
        <v>16</v>
      </c>
      <c r="J5" s="1" t="s">
        <v>165</v>
      </c>
      <c r="K5" s="1" t="s">
        <v>151</v>
      </c>
      <c r="L5" s="1" t="s">
        <v>267</v>
      </c>
      <c r="T5" s="1">
        <v>2</v>
      </c>
      <c r="U5" s="3" t="s">
        <v>17</v>
      </c>
      <c r="V5" s="3"/>
    </row>
    <row r="6" spans="1:1025" x14ac:dyDescent="0.25">
      <c r="B6" s="13" t="s">
        <v>18</v>
      </c>
      <c r="C6" s="1" t="s">
        <v>19</v>
      </c>
      <c r="D6" s="1" t="s">
        <v>91</v>
      </c>
      <c r="E6" s="4" t="s">
        <v>71</v>
      </c>
      <c r="F6" s="2">
        <v>41431</v>
      </c>
      <c r="G6" s="1" t="s">
        <v>6</v>
      </c>
      <c r="H6" s="1">
        <v>5448</v>
      </c>
      <c r="I6" s="1" t="s">
        <v>7</v>
      </c>
      <c r="J6" s="1" t="s">
        <v>165</v>
      </c>
      <c r="K6" s="1" t="s">
        <v>152</v>
      </c>
      <c r="L6" s="1" t="s">
        <v>268</v>
      </c>
      <c r="T6" s="1">
        <v>4</v>
      </c>
      <c r="U6" s="3" t="s">
        <v>20</v>
      </c>
      <c r="V6" s="3"/>
    </row>
    <row r="7" spans="1:1025" x14ac:dyDescent="0.25">
      <c r="B7" s="13" t="s">
        <v>21</v>
      </c>
      <c r="C7" s="1" t="s">
        <v>22</v>
      </c>
      <c r="D7" s="1" t="s">
        <v>91</v>
      </c>
      <c r="E7" s="4" t="s">
        <v>72</v>
      </c>
      <c r="F7" s="2">
        <v>41431</v>
      </c>
      <c r="G7" s="1" t="s">
        <v>6</v>
      </c>
      <c r="H7" s="1">
        <v>5448</v>
      </c>
      <c r="I7" s="1" t="s">
        <v>10</v>
      </c>
      <c r="J7" s="1" t="s">
        <v>165</v>
      </c>
      <c r="K7" s="1" t="s">
        <v>153</v>
      </c>
      <c r="L7" s="1" t="s">
        <v>269</v>
      </c>
      <c r="T7" s="1">
        <v>5</v>
      </c>
      <c r="U7" s="3" t="s">
        <v>23</v>
      </c>
      <c r="V7" s="3"/>
    </row>
    <row r="8" spans="1:1025" x14ac:dyDescent="0.25">
      <c r="B8" s="13" t="s">
        <v>24</v>
      </c>
      <c r="C8" s="1" t="s">
        <v>25</v>
      </c>
      <c r="D8" s="1" t="s">
        <v>91</v>
      </c>
      <c r="E8" s="4" t="s">
        <v>73</v>
      </c>
      <c r="F8" s="2">
        <v>41431</v>
      </c>
      <c r="G8" s="1" t="s">
        <v>6</v>
      </c>
      <c r="H8" s="1">
        <v>5448</v>
      </c>
      <c r="I8" s="1" t="s">
        <v>13</v>
      </c>
      <c r="J8" s="1" t="s">
        <v>165</v>
      </c>
      <c r="K8" s="1" t="s">
        <v>154</v>
      </c>
      <c r="L8" s="1" t="s">
        <v>270</v>
      </c>
      <c r="T8" s="1">
        <v>6</v>
      </c>
      <c r="U8" s="3" t="s">
        <v>26</v>
      </c>
      <c r="V8" s="3"/>
    </row>
    <row r="9" spans="1:1025" x14ac:dyDescent="0.25">
      <c r="B9" s="13" t="s">
        <v>27</v>
      </c>
      <c r="C9" s="1" t="s">
        <v>28</v>
      </c>
      <c r="D9" s="1" t="s">
        <v>91</v>
      </c>
      <c r="E9" s="4" t="s">
        <v>74</v>
      </c>
      <c r="F9" s="2">
        <v>41431</v>
      </c>
      <c r="G9" s="1" t="s">
        <v>6</v>
      </c>
      <c r="H9" s="1">
        <v>5448</v>
      </c>
      <c r="I9" s="1" t="s">
        <v>16</v>
      </c>
      <c r="J9" s="1" t="s">
        <v>165</v>
      </c>
      <c r="K9" s="1" t="s">
        <v>155</v>
      </c>
      <c r="L9" s="1" t="s">
        <v>271</v>
      </c>
      <c r="T9" s="1">
        <v>7</v>
      </c>
      <c r="U9" s="3" t="s">
        <v>29</v>
      </c>
      <c r="V9" s="3"/>
    </row>
    <row r="10" spans="1:1025" x14ac:dyDescent="0.25">
      <c r="B10" s="13" t="s">
        <v>30</v>
      </c>
      <c r="C10" s="1" t="s">
        <v>31</v>
      </c>
      <c r="D10" s="1" t="s">
        <v>91</v>
      </c>
      <c r="E10" s="4" t="s">
        <v>75</v>
      </c>
      <c r="F10" s="2">
        <v>41431</v>
      </c>
      <c r="G10" s="1" t="s">
        <v>6</v>
      </c>
      <c r="H10" s="1">
        <v>5448</v>
      </c>
      <c r="I10" s="1" t="s">
        <v>7</v>
      </c>
      <c r="J10" s="1" t="s">
        <v>166</v>
      </c>
      <c r="K10" s="1" t="s">
        <v>156</v>
      </c>
      <c r="L10" s="1" t="s">
        <v>264</v>
      </c>
      <c r="T10" s="1">
        <v>16</v>
      </c>
      <c r="U10" s="3" t="s">
        <v>32</v>
      </c>
      <c r="V10" s="3"/>
    </row>
    <row r="11" spans="1:1025" x14ac:dyDescent="0.25">
      <c r="B11" s="13" t="s">
        <v>33</v>
      </c>
      <c r="C11" s="1" t="s">
        <v>34</v>
      </c>
      <c r="D11" s="1" t="s">
        <v>91</v>
      </c>
      <c r="E11" s="4" t="s">
        <v>76</v>
      </c>
      <c r="F11" s="2">
        <v>41431</v>
      </c>
      <c r="G11" s="1" t="s">
        <v>6</v>
      </c>
      <c r="H11" s="1">
        <v>5448</v>
      </c>
      <c r="I11" s="1" t="s">
        <v>10</v>
      </c>
      <c r="J11" s="1" t="s">
        <v>166</v>
      </c>
      <c r="K11" s="1" t="s">
        <v>157</v>
      </c>
      <c r="L11" s="1" t="s">
        <v>265</v>
      </c>
      <c r="T11"/>
      <c r="U11"/>
      <c r="V11"/>
    </row>
    <row r="12" spans="1:1025" x14ac:dyDescent="0.25">
      <c r="B12" s="13" t="s">
        <v>35</v>
      </c>
      <c r="C12" s="1" t="s">
        <v>36</v>
      </c>
      <c r="D12" s="1" t="s">
        <v>91</v>
      </c>
      <c r="E12" s="4" t="s">
        <v>77</v>
      </c>
      <c r="F12" s="2">
        <v>41431</v>
      </c>
      <c r="G12" s="1" t="s">
        <v>6</v>
      </c>
      <c r="H12" s="1">
        <v>5448</v>
      </c>
      <c r="I12" s="1" t="s">
        <v>13</v>
      </c>
      <c r="J12" s="1" t="s">
        <v>166</v>
      </c>
      <c r="K12" s="1" t="s">
        <v>158</v>
      </c>
      <c r="L12" s="1" t="s">
        <v>266</v>
      </c>
      <c r="T12" s="1">
        <v>2</v>
      </c>
      <c r="U12" s="3" t="s">
        <v>17</v>
      </c>
      <c r="V12" s="3"/>
    </row>
    <row r="13" spans="1:1025" x14ac:dyDescent="0.25">
      <c r="B13" s="13" t="s">
        <v>37</v>
      </c>
      <c r="C13" s="1" t="s">
        <v>38</v>
      </c>
      <c r="D13" s="1" t="s">
        <v>91</v>
      </c>
      <c r="E13" s="4" t="s">
        <v>78</v>
      </c>
      <c r="F13" s="2">
        <v>41431</v>
      </c>
      <c r="G13" s="1" t="s">
        <v>6</v>
      </c>
      <c r="H13" s="1">
        <v>5448</v>
      </c>
      <c r="I13" s="1" t="s">
        <v>16</v>
      </c>
      <c r="J13" s="1" t="s">
        <v>166</v>
      </c>
      <c r="K13" s="1" t="s">
        <v>159</v>
      </c>
      <c r="L13" s="1" t="s">
        <v>267</v>
      </c>
      <c r="T13" s="1">
        <v>4</v>
      </c>
      <c r="U13" s="3" t="s">
        <v>20</v>
      </c>
      <c r="V13" s="3"/>
    </row>
    <row r="14" spans="1:1025" x14ac:dyDescent="0.25">
      <c r="B14" s="13" t="s">
        <v>39</v>
      </c>
      <c r="C14" s="1" t="s">
        <v>40</v>
      </c>
      <c r="D14" s="1" t="s">
        <v>91</v>
      </c>
      <c r="E14" s="4" t="s">
        <v>79</v>
      </c>
      <c r="F14" s="2">
        <v>41431</v>
      </c>
      <c r="G14" s="1" t="s">
        <v>6</v>
      </c>
      <c r="H14" s="1">
        <v>5448</v>
      </c>
      <c r="I14" s="1" t="s">
        <v>7</v>
      </c>
      <c r="J14" s="1" t="s">
        <v>166</v>
      </c>
      <c r="K14" s="1" t="s">
        <v>160</v>
      </c>
      <c r="L14" s="1" t="s">
        <v>268</v>
      </c>
      <c r="T14" s="1">
        <v>5</v>
      </c>
      <c r="U14" s="3" t="s">
        <v>23</v>
      </c>
      <c r="V14" s="3"/>
    </row>
    <row r="15" spans="1:1025" x14ac:dyDescent="0.25">
      <c r="B15" s="13" t="s">
        <v>41</v>
      </c>
      <c r="C15" s="1" t="s">
        <v>42</v>
      </c>
      <c r="D15" s="1" t="s">
        <v>91</v>
      </c>
      <c r="E15" s="4" t="s">
        <v>80</v>
      </c>
      <c r="F15" s="2">
        <v>41431</v>
      </c>
      <c r="G15" s="1" t="s">
        <v>6</v>
      </c>
      <c r="H15" s="1">
        <v>5448</v>
      </c>
      <c r="I15" s="1" t="s">
        <v>10</v>
      </c>
      <c r="J15" s="1" t="s">
        <v>166</v>
      </c>
      <c r="K15" s="1" t="s">
        <v>161</v>
      </c>
      <c r="L15" s="1" t="s">
        <v>269</v>
      </c>
      <c r="T15" s="1">
        <v>6</v>
      </c>
      <c r="U15" s="3" t="s">
        <v>26</v>
      </c>
      <c r="V15" s="3"/>
    </row>
    <row r="16" spans="1:1025" x14ac:dyDescent="0.25">
      <c r="B16" s="13" t="s">
        <v>43</v>
      </c>
      <c r="C16" s="1" t="s">
        <v>44</v>
      </c>
      <c r="D16" s="1" t="s">
        <v>91</v>
      </c>
      <c r="E16" s="4" t="s">
        <v>81</v>
      </c>
      <c r="F16" s="2">
        <v>41431</v>
      </c>
      <c r="G16" s="1" t="s">
        <v>6</v>
      </c>
      <c r="H16" s="1">
        <v>5448</v>
      </c>
      <c r="I16" s="1" t="s">
        <v>13</v>
      </c>
      <c r="J16" s="1" t="s">
        <v>166</v>
      </c>
      <c r="K16" s="1" t="s">
        <v>162</v>
      </c>
      <c r="L16" s="1" t="s">
        <v>270</v>
      </c>
      <c r="T16" s="1">
        <v>7</v>
      </c>
      <c r="U16" s="3" t="s">
        <v>29</v>
      </c>
      <c r="V16" s="3"/>
    </row>
    <row r="17" spans="2:22" customFormat="1" x14ac:dyDescent="0.25">
      <c r="B17" s="13" t="s">
        <v>45</v>
      </c>
      <c r="C17" s="1" t="s">
        <v>46</v>
      </c>
      <c r="D17" s="1" t="s">
        <v>91</v>
      </c>
      <c r="E17" s="4" t="s">
        <v>82</v>
      </c>
      <c r="F17" s="2">
        <v>41431</v>
      </c>
      <c r="G17" s="1" t="s">
        <v>6</v>
      </c>
      <c r="H17" s="1">
        <v>5448</v>
      </c>
      <c r="I17" s="1" t="s">
        <v>16</v>
      </c>
      <c r="J17" s="1" t="s">
        <v>166</v>
      </c>
      <c r="K17" s="1" t="s">
        <v>163</v>
      </c>
      <c r="L17" s="1" t="s">
        <v>271</v>
      </c>
      <c r="M17" s="1"/>
      <c r="N17" s="1"/>
      <c r="O17" s="1"/>
      <c r="P17" s="1"/>
      <c r="Q17" s="1"/>
      <c r="R17" s="1"/>
      <c r="S17" s="1"/>
      <c r="T17" s="1">
        <v>16</v>
      </c>
      <c r="U17" s="3" t="s">
        <v>32</v>
      </c>
      <c r="V17" s="3"/>
    </row>
    <row r="18" spans="2:22" customFormat="1" x14ac:dyDescent="0.25">
      <c r="B18" s="1" t="s">
        <v>47</v>
      </c>
      <c r="C18" s="1" t="s">
        <v>59</v>
      </c>
      <c r="D18" s="1" t="s">
        <v>91</v>
      </c>
      <c r="E18" s="4" t="s">
        <v>83</v>
      </c>
      <c r="F18" s="1" t="s">
        <v>48</v>
      </c>
      <c r="G18" s="1" t="s">
        <v>6</v>
      </c>
      <c r="H18" s="1" t="s">
        <v>49</v>
      </c>
      <c r="I18" s="1" t="s">
        <v>7</v>
      </c>
      <c r="J18" s="1" t="s">
        <v>165</v>
      </c>
      <c r="K18" s="1">
        <v>501</v>
      </c>
      <c r="L18" s="1" t="s">
        <v>264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2:22" customFormat="1" x14ac:dyDescent="0.25">
      <c r="B19" s="1" t="s">
        <v>50</v>
      </c>
      <c r="C19" s="1" t="s">
        <v>60</v>
      </c>
      <c r="D19" s="1" t="s">
        <v>91</v>
      </c>
      <c r="E19" s="4" t="s">
        <v>84</v>
      </c>
      <c r="F19" s="1" t="s">
        <v>48</v>
      </c>
      <c r="G19" s="1" t="s">
        <v>6</v>
      </c>
      <c r="H19" s="1" t="s">
        <v>49</v>
      </c>
      <c r="I19" s="1" t="s">
        <v>10</v>
      </c>
      <c r="J19" s="1" t="s">
        <v>165</v>
      </c>
      <c r="K19" s="1">
        <v>502</v>
      </c>
      <c r="L19" s="1" t="s">
        <v>265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2:22" customFormat="1" x14ac:dyDescent="0.25">
      <c r="B20" s="1" t="s">
        <v>51</v>
      </c>
      <c r="C20" s="1" t="s">
        <v>61</v>
      </c>
      <c r="D20" s="1" t="s">
        <v>91</v>
      </c>
      <c r="E20" s="4" t="s">
        <v>85</v>
      </c>
      <c r="F20" s="1" t="s">
        <v>48</v>
      </c>
      <c r="G20" s="1" t="s">
        <v>6</v>
      </c>
      <c r="H20" s="1" t="s">
        <v>49</v>
      </c>
      <c r="I20" s="1" t="s">
        <v>13</v>
      </c>
      <c r="J20" s="1" t="s">
        <v>165</v>
      </c>
      <c r="K20" s="1">
        <v>503</v>
      </c>
      <c r="L20" s="1" t="s">
        <v>266</v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2:22" customFormat="1" x14ac:dyDescent="0.25">
      <c r="B21" s="1" t="s">
        <v>52</v>
      </c>
      <c r="C21" s="1" t="s">
        <v>62</v>
      </c>
      <c r="D21" s="1" t="s">
        <v>91</v>
      </c>
      <c r="E21" s="4" t="s">
        <v>86</v>
      </c>
      <c r="F21" s="1" t="s">
        <v>48</v>
      </c>
      <c r="G21" s="1" t="s">
        <v>6</v>
      </c>
      <c r="H21" s="1" t="s">
        <v>49</v>
      </c>
      <c r="I21" s="1" t="s">
        <v>16</v>
      </c>
      <c r="J21" s="1" t="s">
        <v>165</v>
      </c>
      <c r="K21" s="1">
        <v>504</v>
      </c>
      <c r="L21" s="1" t="s">
        <v>267</v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2:22" customFormat="1" x14ac:dyDescent="0.25">
      <c r="B22" s="1" t="s">
        <v>53</v>
      </c>
      <c r="C22" s="1" t="s">
        <v>63</v>
      </c>
      <c r="D22" s="1" t="s">
        <v>91</v>
      </c>
      <c r="E22" s="4" t="s">
        <v>87</v>
      </c>
      <c r="F22" s="1" t="s">
        <v>48</v>
      </c>
      <c r="G22" s="1" t="s">
        <v>6</v>
      </c>
      <c r="H22" s="1" t="s">
        <v>54</v>
      </c>
      <c r="I22" s="1" t="s">
        <v>7</v>
      </c>
      <c r="J22" s="1" t="s">
        <v>165</v>
      </c>
      <c r="K22" s="1">
        <v>505</v>
      </c>
      <c r="L22" s="1" t="s">
        <v>268</v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2:22" customFormat="1" x14ac:dyDescent="0.25">
      <c r="B23" s="1" t="s">
        <v>55</v>
      </c>
      <c r="C23" s="1" t="s">
        <v>64</v>
      </c>
      <c r="D23" s="1" t="s">
        <v>91</v>
      </c>
      <c r="E23" s="4" t="s">
        <v>88</v>
      </c>
      <c r="F23" s="1" t="s">
        <v>48</v>
      </c>
      <c r="G23" s="1" t="s">
        <v>6</v>
      </c>
      <c r="H23" s="1" t="s">
        <v>54</v>
      </c>
      <c r="I23" s="1" t="s">
        <v>10</v>
      </c>
      <c r="J23" s="1" t="s">
        <v>165</v>
      </c>
      <c r="K23" s="1">
        <v>506</v>
      </c>
      <c r="L23" s="1" t="s">
        <v>269</v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2:22" customFormat="1" x14ac:dyDescent="0.25">
      <c r="B24" s="1" t="s">
        <v>56</v>
      </c>
      <c r="C24" s="1" t="s">
        <v>65</v>
      </c>
      <c r="D24" s="1" t="s">
        <v>91</v>
      </c>
      <c r="E24" s="4" t="s">
        <v>89</v>
      </c>
      <c r="F24" s="1" t="s">
        <v>48</v>
      </c>
      <c r="G24" s="1" t="s">
        <v>6</v>
      </c>
      <c r="H24" s="1" t="s">
        <v>54</v>
      </c>
      <c r="I24" s="1" t="s">
        <v>13</v>
      </c>
      <c r="J24" s="1" t="s">
        <v>165</v>
      </c>
      <c r="K24" s="1">
        <v>507</v>
      </c>
      <c r="L24" s="1" t="s">
        <v>270</v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customFormat="1" x14ac:dyDescent="0.25">
      <c r="B25" s="4" t="s">
        <v>57</v>
      </c>
      <c r="C25" s="1" t="s">
        <v>66</v>
      </c>
      <c r="D25" s="1" t="s">
        <v>91</v>
      </c>
      <c r="E25" s="4" t="s">
        <v>90</v>
      </c>
      <c r="F25" s="1" t="s">
        <v>48</v>
      </c>
      <c r="G25" s="1" t="s">
        <v>6</v>
      </c>
      <c r="H25" s="1" t="s">
        <v>54</v>
      </c>
      <c r="I25" s="1" t="s">
        <v>16</v>
      </c>
      <c r="J25" s="1" t="s">
        <v>165</v>
      </c>
      <c r="K25" s="1">
        <v>508</v>
      </c>
      <c r="L25" s="1" t="s">
        <v>271</v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r="27" spans="2:22" customFormat="1" x14ac:dyDescent="0.25">
      <c r="B27" s="1" t="s">
        <v>92</v>
      </c>
      <c r="C27" s="1"/>
      <c r="D27" s="1" t="s">
        <v>108</v>
      </c>
      <c r="E27" s="1" t="s">
        <v>112</v>
      </c>
      <c r="F27" s="1" t="s">
        <v>128</v>
      </c>
      <c r="G27" s="1" t="s">
        <v>6</v>
      </c>
      <c r="H27" s="1">
        <v>5448</v>
      </c>
      <c r="I27" s="1" t="s">
        <v>129</v>
      </c>
      <c r="J27" s="1" t="s">
        <v>165</v>
      </c>
      <c r="K27" s="1" t="s">
        <v>148</v>
      </c>
      <c r="L27" s="1" t="s">
        <v>264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2:22" customFormat="1" x14ac:dyDescent="0.25">
      <c r="B28" s="1" t="s">
        <v>93</v>
      </c>
      <c r="C28" s="1"/>
      <c r="D28" s="1" t="s">
        <v>108</v>
      </c>
      <c r="E28" s="1" t="s">
        <v>113</v>
      </c>
      <c r="F28" s="1" t="s">
        <v>128</v>
      </c>
      <c r="G28" s="1" t="s">
        <v>6</v>
      </c>
      <c r="H28" s="1">
        <v>5448</v>
      </c>
      <c r="I28" s="1" t="s">
        <v>130</v>
      </c>
      <c r="J28" s="1" t="s">
        <v>165</v>
      </c>
      <c r="K28" s="1" t="s">
        <v>149</v>
      </c>
      <c r="L28" s="1" t="s">
        <v>265</v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2:22" customFormat="1" x14ac:dyDescent="0.25">
      <c r="B29" s="1" t="s">
        <v>94</v>
      </c>
      <c r="C29" s="1"/>
      <c r="D29" s="1" t="s">
        <v>108</v>
      </c>
      <c r="E29" s="1" t="s">
        <v>114</v>
      </c>
      <c r="F29" s="1" t="s">
        <v>128</v>
      </c>
      <c r="G29" s="1" t="s">
        <v>6</v>
      </c>
      <c r="H29" s="1">
        <v>5448</v>
      </c>
      <c r="I29" s="1" t="s">
        <v>131</v>
      </c>
      <c r="J29" s="1" t="s">
        <v>165</v>
      </c>
      <c r="K29" s="1" t="s">
        <v>150</v>
      </c>
      <c r="L29" s="1" t="s">
        <v>266</v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2:22" customFormat="1" x14ac:dyDescent="0.25">
      <c r="B30" s="1" t="s">
        <v>95</v>
      </c>
      <c r="C30" s="1"/>
      <c r="D30" s="1" t="s">
        <v>108</v>
      </c>
      <c r="E30" s="1" t="s">
        <v>115</v>
      </c>
      <c r="F30" s="1" t="s">
        <v>128</v>
      </c>
      <c r="G30" s="1" t="s">
        <v>6</v>
      </c>
      <c r="H30" s="1">
        <v>5448</v>
      </c>
      <c r="I30" s="1" t="s">
        <v>132</v>
      </c>
      <c r="J30" s="1" t="s">
        <v>165</v>
      </c>
      <c r="K30" s="1" t="s">
        <v>151</v>
      </c>
      <c r="L30" s="1" t="s">
        <v>267</v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2:22" customFormat="1" x14ac:dyDescent="0.25">
      <c r="B31" s="1" t="s">
        <v>96</v>
      </c>
      <c r="C31" s="1"/>
      <c r="D31" s="1" t="s">
        <v>108</v>
      </c>
      <c r="E31" s="1" t="s">
        <v>116</v>
      </c>
      <c r="F31" s="1" t="s">
        <v>128</v>
      </c>
      <c r="G31" s="1" t="s">
        <v>6</v>
      </c>
      <c r="H31" s="1">
        <v>5448</v>
      </c>
      <c r="I31" s="1" t="s">
        <v>133</v>
      </c>
      <c r="J31" s="1" t="s">
        <v>165</v>
      </c>
      <c r="K31" s="1" t="s">
        <v>152</v>
      </c>
      <c r="L31" s="1" t="s">
        <v>268</v>
      </c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2:22" customFormat="1" x14ac:dyDescent="0.25">
      <c r="B32" s="1" t="s">
        <v>97</v>
      </c>
      <c r="C32" s="1"/>
      <c r="D32" s="1" t="s">
        <v>108</v>
      </c>
      <c r="E32" s="1" t="s">
        <v>117</v>
      </c>
      <c r="F32" s="1" t="s">
        <v>128</v>
      </c>
      <c r="G32" s="1" t="s">
        <v>6</v>
      </c>
      <c r="H32" s="1">
        <v>5448</v>
      </c>
      <c r="I32" s="1" t="s">
        <v>134</v>
      </c>
      <c r="J32" s="1" t="s">
        <v>165</v>
      </c>
      <c r="K32" s="1" t="s">
        <v>153</v>
      </c>
      <c r="L32" s="1" t="s">
        <v>269</v>
      </c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2:12" customFormat="1" x14ac:dyDescent="0.25">
      <c r="B33" s="1" t="s">
        <v>98</v>
      </c>
      <c r="C33" s="1"/>
      <c r="D33" s="1" t="s">
        <v>108</v>
      </c>
      <c r="E33" s="1" t="s">
        <v>118</v>
      </c>
      <c r="F33" s="1" t="s">
        <v>128</v>
      </c>
      <c r="G33" s="1" t="s">
        <v>6</v>
      </c>
      <c r="H33" s="1">
        <v>5448</v>
      </c>
      <c r="I33" s="1" t="s">
        <v>135</v>
      </c>
      <c r="J33" s="1" t="s">
        <v>165</v>
      </c>
      <c r="K33" s="1" t="s">
        <v>154</v>
      </c>
      <c r="L33" s="1" t="s">
        <v>270</v>
      </c>
    </row>
    <row r="34" spans="2:12" customFormat="1" x14ac:dyDescent="0.25">
      <c r="B34" s="1" t="s">
        <v>99</v>
      </c>
      <c r="C34" s="1"/>
      <c r="D34" s="1" t="s">
        <v>108</v>
      </c>
      <c r="E34" s="1" t="s">
        <v>119</v>
      </c>
      <c r="F34" s="1" t="s">
        <v>128</v>
      </c>
      <c r="G34" s="1" t="s">
        <v>6</v>
      </c>
      <c r="H34" s="1">
        <v>5448</v>
      </c>
      <c r="I34" s="1" t="s">
        <v>136</v>
      </c>
      <c r="J34" s="1" t="s">
        <v>165</v>
      </c>
      <c r="K34" s="1" t="s">
        <v>155</v>
      </c>
      <c r="L34" s="1" t="s">
        <v>271</v>
      </c>
    </row>
    <row r="35" spans="2:12" customFormat="1" x14ac:dyDescent="0.25">
      <c r="B35" s="1" t="s">
        <v>100</v>
      </c>
      <c r="C35" s="1"/>
      <c r="D35" s="1" t="s">
        <v>109</v>
      </c>
      <c r="E35" s="1" t="s">
        <v>120</v>
      </c>
      <c r="F35" s="1" t="s">
        <v>128</v>
      </c>
      <c r="G35" s="1" t="s">
        <v>6</v>
      </c>
      <c r="H35" s="1">
        <v>5448</v>
      </c>
      <c r="I35" s="1" t="s">
        <v>137</v>
      </c>
      <c r="J35" s="1" t="s">
        <v>166</v>
      </c>
      <c r="K35" s="1" t="s">
        <v>156</v>
      </c>
      <c r="L35" s="1" t="s">
        <v>264</v>
      </c>
    </row>
    <row r="36" spans="2:12" customFormat="1" x14ac:dyDescent="0.25">
      <c r="B36" s="1" t="s">
        <v>101</v>
      </c>
      <c r="C36" s="1"/>
      <c r="D36" s="1" t="s">
        <v>109</v>
      </c>
      <c r="E36" s="1" t="s">
        <v>121</v>
      </c>
      <c r="F36" s="1" t="s">
        <v>128</v>
      </c>
      <c r="G36" s="1" t="s">
        <v>6</v>
      </c>
      <c r="H36" s="1">
        <v>5448</v>
      </c>
      <c r="I36" s="1" t="s">
        <v>138</v>
      </c>
      <c r="J36" s="1" t="s">
        <v>166</v>
      </c>
      <c r="K36" s="1" t="s">
        <v>157</v>
      </c>
      <c r="L36" s="1" t="s">
        <v>265</v>
      </c>
    </row>
    <row r="37" spans="2:12" customFormat="1" x14ac:dyDescent="0.25">
      <c r="B37" s="1" t="s">
        <v>102</v>
      </c>
      <c r="C37" s="1"/>
      <c r="D37" s="1" t="s">
        <v>109</v>
      </c>
      <c r="E37" s="1" t="s">
        <v>122</v>
      </c>
      <c r="F37" s="1" t="s">
        <v>128</v>
      </c>
      <c r="G37" s="1" t="s">
        <v>6</v>
      </c>
      <c r="H37" s="1">
        <v>5448</v>
      </c>
      <c r="I37" s="1" t="s">
        <v>139</v>
      </c>
      <c r="J37" s="1" t="s">
        <v>166</v>
      </c>
      <c r="K37" s="1" t="s">
        <v>158</v>
      </c>
      <c r="L37" s="1" t="s">
        <v>266</v>
      </c>
    </row>
    <row r="38" spans="2:12" customFormat="1" x14ac:dyDescent="0.25">
      <c r="B38" s="1" t="s">
        <v>103</v>
      </c>
      <c r="C38" s="1"/>
      <c r="D38" s="1" t="s">
        <v>109</v>
      </c>
      <c r="E38" s="1" t="s">
        <v>123</v>
      </c>
      <c r="F38" s="1" t="s">
        <v>128</v>
      </c>
      <c r="G38" s="1" t="s">
        <v>6</v>
      </c>
      <c r="H38" s="1">
        <v>5448</v>
      </c>
      <c r="I38" s="1" t="s">
        <v>140</v>
      </c>
      <c r="J38" s="1" t="s">
        <v>166</v>
      </c>
      <c r="K38" s="1" t="s">
        <v>159</v>
      </c>
      <c r="L38" s="1" t="s">
        <v>267</v>
      </c>
    </row>
    <row r="39" spans="2:12" customFormat="1" x14ac:dyDescent="0.25">
      <c r="B39" s="1" t="s">
        <v>104</v>
      </c>
      <c r="C39" s="1"/>
      <c r="D39" s="1" t="s">
        <v>110</v>
      </c>
      <c r="E39" s="1" t="s">
        <v>124</v>
      </c>
      <c r="F39" s="1" t="s">
        <v>128</v>
      </c>
      <c r="G39" s="1" t="s">
        <v>6</v>
      </c>
      <c r="H39" s="1">
        <v>5448</v>
      </c>
      <c r="I39" s="1" t="s">
        <v>141</v>
      </c>
      <c r="J39" s="1" t="s">
        <v>166</v>
      </c>
      <c r="K39" s="1" t="s">
        <v>160</v>
      </c>
      <c r="L39" s="1" t="s">
        <v>268</v>
      </c>
    </row>
    <row r="40" spans="2:12" customFormat="1" x14ac:dyDescent="0.25">
      <c r="B40" s="1" t="s">
        <v>105</v>
      </c>
      <c r="C40" s="1"/>
      <c r="D40" s="1" t="s">
        <v>111</v>
      </c>
      <c r="E40" s="1" t="s">
        <v>125</v>
      </c>
      <c r="F40" s="1" t="s">
        <v>128</v>
      </c>
      <c r="G40" s="1" t="s">
        <v>6</v>
      </c>
      <c r="H40" s="1">
        <v>5448</v>
      </c>
      <c r="I40" s="1" t="s">
        <v>143</v>
      </c>
      <c r="J40" s="1" t="s">
        <v>166</v>
      </c>
      <c r="K40" s="1" t="s">
        <v>161</v>
      </c>
      <c r="L40" s="1" t="s">
        <v>269</v>
      </c>
    </row>
    <row r="41" spans="2:12" customFormat="1" x14ac:dyDescent="0.25">
      <c r="B41" s="1" t="s">
        <v>106</v>
      </c>
      <c r="C41" s="1"/>
      <c r="D41" s="1" t="s">
        <v>111</v>
      </c>
      <c r="E41" s="1" t="s">
        <v>126</v>
      </c>
      <c r="F41" s="1" t="s">
        <v>128</v>
      </c>
      <c r="G41" s="1" t="s">
        <v>6</v>
      </c>
      <c r="H41" s="1">
        <v>5448</v>
      </c>
      <c r="I41" s="1" t="s">
        <v>144</v>
      </c>
      <c r="J41" s="1" t="s">
        <v>166</v>
      </c>
      <c r="K41" s="1" t="s">
        <v>162</v>
      </c>
      <c r="L41" s="1" t="s">
        <v>270</v>
      </c>
    </row>
    <row r="42" spans="2:12" customFormat="1" x14ac:dyDescent="0.25">
      <c r="B42" s="1" t="s">
        <v>107</v>
      </c>
      <c r="C42" s="1"/>
      <c r="D42" s="1" t="s">
        <v>110</v>
      </c>
      <c r="E42" s="1" t="s">
        <v>127</v>
      </c>
      <c r="F42" s="1" t="s">
        <v>128</v>
      </c>
      <c r="G42" s="1" t="s">
        <v>6</v>
      </c>
      <c r="H42" s="1">
        <v>5448</v>
      </c>
      <c r="I42" s="1" t="s">
        <v>142</v>
      </c>
      <c r="J42" s="1" t="s">
        <v>166</v>
      </c>
      <c r="K42" s="1" t="s">
        <v>163</v>
      </c>
      <c r="L42" s="1" t="s">
        <v>271</v>
      </c>
    </row>
    <row r="44" spans="2:12" customFormat="1" x14ac:dyDescent="0.25">
      <c r="B44" s="9" t="s">
        <v>302</v>
      </c>
      <c r="C44" s="1"/>
      <c r="D44" s="1" t="s">
        <v>108</v>
      </c>
      <c r="E44" s="1" t="s">
        <v>190</v>
      </c>
      <c r="F44" s="1" t="s">
        <v>208</v>
      </c>
      <c r="G44" s="1" t="s">
        <v>6</v>
      </c>
      <c r="H44" s="1">
        <v>5448</v>
      </c>
      <c r="I44" s="1" t="s">
        <v>171</v>
      </c>
      <c r="J44" s="1" t="s">
        <v>165</v>
      </c>
      <c r="K44" s="1" t="s">
        <v>148</v>
      </c>
      <c r="L44" s="1" t="s">
        <v>264</v>
      </c>
    </row>
    <row r="45" spans="2:12" customFormat="1" x14ac:dyDescent="0.25">
      <c r="B45" s="9" t="s">
        <v>303</v>
      </c>
      <c r="C45" s="1"/>
      <c r="D45" s="1" t="s">
        <v>108</v>
      </c>
      <c r="E45" s="1" t="s">
        <v>191</v>
      </c>
      <c r="F45" s="1" t="s">
        <v>208</v>
      </c>
      <c r="G45" s="1" t="s">
        <v>6</v>
      </c>
      <c r="H45" s="1">
        <v>5448</v>
      </c>
      <c r="I45" s="1" t="s">
        <v>172</v>
      </c>
      <c r="J45" s="1" t="s">
        <v>165</v>
      </c>
      <c r="K45" s="1" t="s">
        <v>149</v>
      </c>
      <c r="L45" s="1" t="s">
        <v>265</v>
      </c>
    </row>
    <row r="46" spans="2:12" customFormat="1" x14ac:dyDescent="0.25">
      <c r="B46" s="9" t="s">
        <v>304</v>
      </c>
      <c r="C46" s="1"/>
      <c r="D46" s="1" t="s">
        <v>108</v>
      </c>
      <c r="E46" s="1" t="s">
        <v>192</v>
      </c>
      <c r="F46" s="1" t="s">
        <v>208</v>
      </c>
      <c r="G46" s="1" t="s">
        <v>6</v>
      </c>
      <c r="H46" s="1">
        <v>5448</v>
      </c>
      <c r="I46" s="1" t="s">
        <v>173</v>
      </c>
      <c r="J46" s="1" t="s">
        <v>165</v>
      </c>
      <c r="K46" s="1" t="s">
        <v>150</v>
      </c>
      <c r="L46" s="1" t="s">
        <v>266</v>
      </c>
    </row>
    <row r="47" spans="2:12" customFormat="1" x14ac:dyDescent="0.25">
      <c r="B47" s="9" t="s">
        <v>305</v>
      </c>
      <c r="C47" s="1"/>
      <c r="D47" s="1" t="s">
        <v>108</v>
      </c>
      <c r="E47" s="1" t="s">
        <v>193</v>
      </c>
      <c r="F47" s="1" t="s">
        <v>208</v>
      </c>
      <c r="G47" s="1" t="s">
        <v>6</v>
      </c>
      <c r="H47" s="1">
        <v>5448</v>
      </c>
      <c r="I47" s="1" t="s">
        <v>174</v>
      </c>
      <c r="J47" s="1" t="s">
        <v>165</v>
      </c>
      <c r="K47" s="1" t="s">
        <v>151</v>
      </c>
      <c r="L47" s="1" t="s">
        <v>267</v>
      </c>
    </row>
    <row r="48" spans="2:12" customFormat="1" x14ac:dyDescent="0.25">
      <c r="B48" s="9" t="s">
        <v>306</v>
      </c>
      <c r="C48" s="1"/>
      <c r="D48" s="1" t="s">
        <v>108</v>
      </c>
      <c r="E48" s="1" t="s">
        <v>194</v>
      </c>
      <c r="F48" s="1" t="s">
        <v>208</v>
      </c>
      <c r="G48" s="1" t="s">
        <v>6</v>
      </c>
      <c r="H48" s="1">
        <v>5448</v>
      </c>
      <c r="I48" s="1" t="s">
        <v>175</v>
      </c>
      <c r="J48" s="1" t="s">
        <v>165</v>
      </c>
      <c r="K48" s="1" t="s">
        <v>152</v>
      </c>
      <c r="L48" s="1" t="s">
        <v>268</v>
      </c>
    </row>
    <row r="49" spans="2:12" customFormat="1" x14ac:dyDescent="0.25">
      <c r="B49" s="9" t="s">
        <v>307</v>
      </c>
      <c r="C49" s="1"/>
      <c r="D49" s="1" t="s">
        <v>108</v>
      </c>
      <c r="E49" s="1" t="s">
        <v>195</v>
      </c>
      <c r="F49" s="1" t="s">
        <v>208</v>
      </c>
      <c r="G49" s="1" t="s">
        <v>6</v>
      </c>
      <c r="H49" s="1">
        <v>5448</v>
      </c>
      <c r="I49" s="1" t="s">
        <v>176</v>
      </c>
      <c r="J49" s="1" t="s">
        <v>165</v>
      </c>
      <c r="K49" s="1" t="s">
        <v>153</v>
      </c>
      <c r="L49" s="1" t="s">
        <v>269</v>
      </c>
    </row>
    <row r="50" spans="2:12" customFormat="1" x14ac:dyDescent="0.25">
      <c r="B50" s="9" t="s">
        <v>308</v>
      </c>
      <c r="C50" s="1"/>
      <c r="D50" s="1" t="s">
        <v>111</v>
      </c>
      <c r="E50" s="1" t="s">
        <v>196</v>
      </c>
      <c r="F50" s="1" t="s">
        <v>208</v>
      </c>
      <c r="G50" s="1" t="s">
        <v>6</v>
      </c>
      <c r="H50" s="1">
        <v>5448</v>
      </c>
      <c r="I50" s="1" t="s">
        <v>143</v>
      </c>
      <c r="J50" s="1" t="s">
        <v>165</v>
      </c>
      <c r="K50" s="1" t="s">
        <v>154</v>
      </c>
      <c r="L50" s="1" t="s">
        <v>270</v>
      </c>
    </row>
    <row r="51" spans="2:12" customFormat="1" x14ac:dyDescent="0.25">
      <c r="B51" s="9" t="s">
        <v>309</v>
      </c>
      <c r="C51" s="1"/>
      <c r="D51" s="1" t="s">
        <v>111</v>
      </c>
      <c r="E51" s="1" t="s">
        <v>197</v>
      </c>
      <c r="F51" s="1" t="s">
        <v>208</v>
      </c>
      <c r="G51" s="1" t="s">
        <v>6</v>
      </c>
      <c r="H51" s="1">
        <v>5448</v>
      </c>
      <c r="I51" s="1" t="s">
        <v>177</v>
      </c>
      <c r="J51" s="1" t="s">
        <v>165</v>
      </c>
      <c r="K51" s="1" t="s">
        <v>155</v>
      </c>
      <c r="L51" s="1" t="s">
        <v>271</v>
      </c>
    </row>
    <row r="52" spans="2:12" customFormat="1" x14ac:dyDescent="0.25">
      <c r="B52" s="9" t="s">
        <v>310</v>
      </c>
      <c r="C52" s="1"/>
      <c r="D52" s="1" t="s">
        <v>111</v>
      </c>
      <c r="E52" s="1" t="s">
        <v>198</v>
      </c>
      <c r="F52" s="1" t="s">
        <v>208</v>
      </c>
      <c r="G52" s="1" t="s">
        <v>6</v>
      </c>
      <c r="H52" s="1">
        <v>5448</v>
      </c>
      <c r="I52" s="1" t="s">
        <v>178</v>
      </c>
      <c r="J52" s="1" t="s">
        <v>165</v>
      </c>
      <c r="K52" s="1" t="s">
        <v>167</v>
      </c>
      <c r="L52" s="1" t="s">
        <v>272</v>
      </c>
    </row>
    <row r="53" spans="2:12" customFormat="1" x14ac:dyDescent="0.25">
      <c r="B53" s="9" t="s">
        <v>311</v>
      </c>
      <c r="C53" s="1"/>
      <c r="D53" s="1" t="s">
        <v>111</v>
      </c>
      <c r="E53" s="1" t="s">
        <v>199</v>
      </c>
      <c r="F53" s="1" t="s">
        <v>208</v>
      </c>
      <c r="G53" s="1" t="s">
        <v>6</v>
      </c>
      <c r="H53" s="1">
        <v>5448</v>
      </c>
      <c r="I53" s="1" t="s">
        <v>179</v>
      </c>
      <c r="J53" s="1" t="s">
        <v>165</v>
      </c>
      <c r="K53" s="1" t="s">
        <v>168</v>
      </c>
      <c r="L53" s="1" t="s">
        <v>273</v>
      </c>
    </row>
    <row r="54" spans="2:12" customFormat="1" x14ac:dyDescent="0.25">
      <c r="B54" s="9" t="s">
        <v>312</v>
      </c>
      <c r="C54" s="1"/>
      <c r="D54" s="1" t="s">
        <v>200</v>
      </c>
      <c r="E54" s="1" t="s">
        <v>204</v>
      </c>
      <c r="F54" s="1" t="s">
        <v>208</v>
      </c>
      <c r="G54" s="1" t="s">
        <v>6</v>
      </c>
      <c r="H54" s="1">
        <v>5448</v>
      </c>
      <c r="I54" s="1" t="s">
        <v>180</v>
      </c>
      <c r="J54" s="1" t="s">
        <v>166</v>
      </c>
      <c r="K54" s="1" t="s">
        <v>156</v>
      </c>
      <c r="L54" s="1" t="s">
        <v>264</v>
      </c>
    </row>
    <row r="55" spans="2:12" customFormat="1" x14ac:dyDescent="0.25">
      <c r="B55" s="9" t="s">
        <v>313</v>
      </c>
      <c r="C55" s="1"/>
      <c r="D55" s="1" t="s">
        <v>200</v>
      </c>
      <c r="E55" s="1" t="s">
        <v>205</v>
      </c>
      <c r="F55" s="1" t="s">
        <v>208</v>
      </c>
      <c r="G55" s="1" t="s">
        <v>6</v>
      </c>
      <c r="H55" s="1">
        <v>5448</v>
      </c>
      <c r="I55" s="1" t="s">
        <v>181</v>
      </c>
      <c r="J55" s="1" t="s">
        <v>166</v>
      </c>
      <c r="K55" s="1" t="s">
        <v>157</v>
      </c>
      <c r="L55" s="1" t="s">
        <v>265</v>
      </c>
    </row>
    <row r="56" spans="2:12" customFormat="1" x14ac:dyDescent="0.25">
      <c r="B56" s="9" t="s">
        <v>314</v>
      </c>
      <c r="C56" s="1"/>
      <c r="D56" s="1" t="s">
        <v>200</v>
      </c>
      <c r="E56" s="1" t="s">
        <v>205</v>
      </c>
      <c r="F56" s="1" t="s">
        <v>208</v>
      </c>
      <c r="G56" s="1" t="s">
        <v>6</v>
      </c>
      <c r="H56" s="1">
        <v>5448</v>
      </c>
      <c r="I56" s="1" t="s">
        <v>182</v>
      </c>
      <c r="J56" s="1" t="s">
        <v>166</v>
      </c>
      <c r="K56" s="1" t="s">
        <v>158</v>
      </c>
      <c r="L56" s="1" t="s">
        <v>266</v>
      </c>
    </row>
    <row r="57" spans="2:12" customFormat="1" x14ac:dyDescent="0.25">
      <c r="B57" s="9" t="s">
        <v>315</v>
      </c>
      <c r="C57" s="1"/>
      <c r="D57" s="1" t="s">
        <v>200</v>
      </c>
      <c r="E57" s="1" t="s">
        <v>206</v>
      </c>
      <c r="F57" s="1" t="s">
        <v>208</v>
      </c>
      <c r="G57" s="1" t="s">
        <v>6</v>
      </c>
      <c r="H57" s="1">
        <v>5448</v>
      </c>
      <c r="I57" s="1" t="s">
        <v>183</v>
      </c>
      <c r="J57" s="1" t="s">
        <v>166</v>
      </c>
      <c r="K57" s="1" t="s">
        <v>159</v>
      </c>
      <c r="L57" s="1" t="s">
        <v>267</v>
      </c>
    </row>
    <row r="58" spans="2:12" customFormat="1" x14ac:dyDescent="0.25">
      <c r="B58" s="9" t="s">
        <v>316</v>
      </c>
      <c r="C58" s="1"/>
      <c r="D58" s="1" t="s">
        <v>200</v>
      </c>
      <c r="E58" s="1" t="s">
        <v>206</v>
      </c>
      <c r="F58" s="1" t="s">
        <v>208</v>
      </c>
      <c r="G58" s="1" t="s">
        <v>6</v>
      </c>
      <c r="H58" s="1">
        <v>5448</v>
      </c>
      <c r="I58" s="1" t="s">
        <v>184</v>
      </c>
      <c r="J58" s="1" t="s">
        <v>166</v>
      </c>
      <c r="K58" s="1" t="s">
        <v>160</v>
      </c>
      <c r="L58" s="1" t="s">
        <v>268</v>
      </c>
    </row>
    <row r="59" spans="2:12" customFormat="1" x14ac:dyDescent="0.25">
      <c r="B59" s="9" t="s">
        <v>317</v>
      </c>
      <c r="C59" s="1"/>
      <c r="D59" s="1" t="s">
        <v>200</v>
      </c>
      <c r="E59" s="1" t="s">
        <v>207</v>
      </c>
      <c r="F59" s="1" t="s">
        <v>208</v>
      </c>
      <c r="G59" s="1" t="s">
        <v>6</v>
      </c>
      <c r="H59" s="1">
        <v>5448</v>
      </c>
      <c r="I59" s="1" t="s">
        <v>185</v>
      </c>
      <c r="J59" s="1" t="s">
        <v>166</v>
      </c>
      <c r="K59" s="1" t="s">
        <v>161</v>
      </c>
      <c r="L59" s="1" t="s">
        <v>269</v>
      </c>
    </row>
    <row r="60" spans="2:12" customFormat="1" x14ac:dyDescent="0.25">
      <c r="B60" s="9" t="s">
        <v>318</v>
      </c>
      <c r="C60" s="1"/>
      <c r="D60" s="1" t="s">
        <v>200</v>
      </c>
      <c r="E60" s="1" t="s">
        <v>207</v>
      </c>
      <c r="F60" s="1" t="s">
        <v>208</v>
      </c>
      <c r="G60" s="1" t="s">
        <v>6</v>
      </c>
      <c r="H60" s="1">
        <v>5448</v>
      </c>
      <c r="I60" s="1" t="s">
        <v>186</v>
      </c>
      <c r="J60" s="1" t="s">
        <v>166</v>
      </c>
      <c r="K60" s="1" t="s">
        <v>162</v>
      </c>
      <c r="L60" s="1" t="s">
        <v>270</v>
      </c>
    </row>
    <row r="61" spans="2:12" customFormat="1" x14ac:dyDescent="0.25">
      <c r="B61" s="9" t="s">
        <v>319</v>
      </c>
      <c r="C61" s="1"/>
      <c r="D61" s="1" t="s">
        <v>110</v>
      </c>
      <c r="E61" s="1" t="s">
        <v>201</v>
      </c>
      <c r="F61" s="1" t="s">
        <v>208</v>
      </c>
      <c r="G61" s="1" t="s">
        <v>6</v>
      </c>
      <c r="H61" s="1">
        <v>5448</v>
      </c>
      <c r="I61" s="1" t="s">
        <v>187</v>
      </c>
      <c r="J61" s="1" t="s">
        <v>166</v>
      </c>
      <c r="K61" s="1" t="s">
        <v>163</v>
      </c>
      <c r="L61" s="1" t="s">
        <v>271</v>
      </c>
    </row>
    <row r="62" spans="2:12" customFormat="1" x14ac:dyDescent="0.25">
      <c r="B62" s="9" t="s">
        <v>320</v>
      </c>
      <c r="C62" s="1"/>
      <c r="D62" s="1" t="s">
        <v>110</v>
      </c>
      <c r="E62" s="1" t="s">
        <v>202</v>
      </c>
      <c r="F62" s="1" t="s">
        <v>208</v>
      </c>
      <c r="G62" s="1" t="s">
        <v>6</v>
      </c>
      <c r="H62" s="1">
        <v>5448</v>
      </c>
      <c r="I62" s="1" t="s">
        <v>188</v>
      </c>
      <c r="J62" s="1" t="s">
        <v>166</v>
      </c>
      <c r="K62" s="1" t="s">
        <v>169</v>
      </c>
      <c r="L62" s="1" t="s">
        <v>272</v>
      </c>
    </row>
    <row r="63" spans="2:12" customFormat="1" x14ac:dyDescent="0.25">
      <c r="B63" s="9" t="s">
        <v>321</v>
      </c>
      <c r="C63" s="1"/>
      <c r="D63" s="1" t="s">
        <v>110</v>
      </c>
      <c r="E63" s="1" t="s">
        <v>203</v>
      </c>
      <c r="F63" s="1" t="s">
        <v>208</v>
      </c>
      <c r="G63" s="1" t="s">
        <v>6</v>
      </c>
      <c r="H63" s="1">
        <v>5448</v>
      </c>
      <c r="I63" s="1" t="s">
        <v>189</v>
      </c>
      <c r="J63" s="1" t="s">
        <v>166</v>
      </c>
      <c r="K63" s="1" t="s">
        <v>170</v>
      </c>
      <c r="L63" s="1" t="s">
        <v>273</v>
      </c>
    </row>
    <row r="64" spans="2:12" customFormat="1" x14ac:dyDescent="0.25">
      <c r="B64" s="9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2:12" customFormat="1" x14ac:dyDescent="0.25">
      <c r="B65" s="9" t="s">
        <v>322</v>
      </c>
      <c r="C65" s="1" t="s">
        <v>278</v>
      </c>
      <c r="D65" s="1" t="s">
        <v>209</v>
      </c>
      <c r="E65" s="1" t="s">
        <v>210</v>
      </c>
      <c r="F65" s="1" t="s">
        <v>263</v>
      </c>
      <c r="G65" s="1" t="s">
        <v>6</v>
      </c>
      <c r="H65" s="1">
        <v>5448</v>
      </c>
      <c r="I65" s="1" t="s">
        <v>226</v>
      </c>
      <c r="J65" s="1" t="s">
        <v>165</v>
      </c>
      <c r="K65" s="1" t="s">
        <v>148</v>
      </c>
      <c r="L65" s="1" t="s">
        <v>264</v>
      </c>
    </row>
    <row r="66" spans="2:12" customFormat="1" x14ac:dyDescent="0.25">
      <c r="B66" s="9" t="s">
        <v>323</v>
      </c>
      <c r="C66" s="1" t="s">
        <v>279</v>
      </c>
      <c r="D66" s="1" t="s">
        <v>209</v>
      </c>
      <c r="E66" s="1" t="s">
        <v>211</v>
      </c>
      <c r="F66" s="1" t="s">
        <v>263</v>
      </c>
      <c r="G66" s="1" t="s">
        <v>6</v>
      </c>
      <c r="H66" s="1">
        <v>5448</v>
      </c>
      <c r="I66" s="1" t="s">
        <v>227</v>
      </c>
      <c r="J66" s="1" t="s">
        <v>165</v>
      </c>
      <c r="K66" s="1" t="s">
        <v>149</v>
      </c>
      <c r="L66" s="1" t="s">
        <v>265</v>
      </c>
    </row>
    <row r="67" spans="2:12" customFormat="1" x14ac:dyDescent="0.25">
      <c r="B67" s="9" t="s">
        <v>324</v>
      </c>
      <c r="C67" s="1" t="s">
        <v>280</v>
      </c>
      <c r="D67" s="1" t="s">
        <v>209</v>
      </c>
      <c r="E67" s="1" t="s">
        <v>212</v>
      </c>
      <c r="F67" s="1" t="s">
        <v>263</v>
      </c>
      <c r="G67" s="1" t="s">
        <v>6</v>
      </c>
      <c r="H67" s="1">
        <v>5448</v>
      </c>
      <c r="I67" s="1" t="s">
        <v>228</v>
      </c>
      <c r="J67" s="1" t="s">
        <v>165</v>
      </c>
      <c r="K67" s="1" t="s">
        <v>150</v>
      </c>
      <c r="L67" s="1" t="s">
        <v>266</v>
      </c>
    </row>
    <row r="68" spans="2:12" customFormat="1" x14ac:dyDescent="0.25">
      <c r="B68" s="9" t="s">
        <v>325</v>
      </c>
      <c r="C68" s="1" t="s">
        <v>281</v>
      </c>
      <c r="D68" s="1" t="s">
        <v>209</v>
      </c>
      <c r="E68" s="1" t="s">
        <v>213</v>
      </c>
      <c r="F68" s="1" t="s">
        <v>263</v>
      </c>
      <c r="G68" s="1" t="s">
        <v>6</v>
      </c>
      <c r="H68" s="1">
        <v>5448</v>
      </c>
      <c r="I68" s="1" t="s">
        <v>229</v>
      </c>
      <c r="J68" s="1" t="s">
        <v>165</v>
      </c>
      <c r="K68" s="1" t="s">
        <v>151</v>
      </c>
      <c r="L68" s="1" t="s">
        <v>267</v>
      </c>
    </row>
    <row r="69" spans="2:12" customFormat="1" x14ac:dyDescent="0.25">
      <c r="B69" s="9" t="s">
        <v>326</v>
      </c>
      <c r="C69" s="1" t="s">
        <v>282</v>
      </c>
      <c r="D69" s="1" t="s">
        <v>209</v>
      </c>
      <c r="E69" s="1" t="s">
        <v>214</v>
      </c>
      <c r="F69" s="1" t="s">
        <v>263</v>
      </c>
      <c r="G69" s="1" t="s">
        <v>6</v>
      </c>
      <c r="H69" s="1">
        <v>5448</v>
      </c>
      <c r="I69" s="1" t="s">
        <v>230</v>
      </c>
      <c r="J69" s="1" t="s">
        <v>165</v>
      </c>
      <c r="K69" s="1" t="s">
        <v>152</v>
      </c>
      <c r="L69" s="1" t="s">
        <v>268</v>
      </c>
    </row>
    <row r="70" spans="2:12" customFormat="1" x14ac:dyDescent="0.25">
      <c r="B70" s="9" t="s">
        <v>327</v>
      </c>
      <c r="C70" s="1" t="s">
        <v>283</v>
      </c>
      <c r="D70" s="1" t="s">
        <v>209</v>
      </c>
      <c r="E70" s="1" t="s">
        <v>215</v>
      </c>
      <c r="F70" s="1" t="s">
        <v>263</v>
      </c>
      <c r="G70" s="1" t="s">
        <v>6</v>
      </c>
      <c r="H70" s="1">
        <v>5448</v>
      </c>
      <c r="I70" s="1" t="s">
        <v>231</v>
      </c>
      <c r="J70" s="1" t="s">
        <v>165</v>
      </c>
      <c r="K70" s="1" t="s">
        <v>153</v>
      </c>
      <c r="L70" s="1" t="s">
        <v>269</v>
      </c>
    </row>
    <row r="71" spans="2:12" customFormat="1" x14ac:dyDescent="0.25">
      <c r="B71" s="9" t="s">
        <v>328</v>
      </c>
      <c r="C71" s="1" t="s">
        <v>284</v>
      </c>
      <c r="D71" s="1" t="s">
        <v>209</v>
      </c>
      <c r="E71" s="1" t="s">
        <v>216</v>
      </c>
      <c r="F71" s="1" t="s">
        <v>263</v>
      </c>
      <c r="G71" s="1" t="s">
        <v>6</v>
      </c>
      <c r="H71" s="1">
        <v>5448</v>
      </c>
      <c r="I71" s="1" t="s">
        <v>232</v>
      </c>
      <c r="J71" s="1" t="s">
        <v>165</v>
      </c>
      <c r="K71" s="1" t="s">
        <v>154</v>
      </c>
      <c r="L71" s="1" t="s">
        <v>270</v>
      </c>
    </row>
    <row r="72" spans="2:12" customFormat="1" x14ac:dyDescent="0.25">
      <c r="B72" s="9" t="s">
        <v>329</v>
      </c>
      <c r="C72" s="1" t="s">
        <v>285</v>
      </c>
      <c r="D72" s="1" t="s">
        <v>209</v>
      </c>
      <c r="E72" s="1" t="s">
        <v>217</v>
      </c>
      <c r="F72" s="1" t="s">
        <v>263</v>
      </c>
      <c r="G72" s="1" t="s">
        <v>6</v>
      </c>
      <c r="H72" s="1">
        <v>5448</v>
      </c>
      <c r="I72" s="1" t="s">
        <v>233</v>
      </c>
      <c r="J72" s="1" t="s">
        <v>165</v>
      </c>
      <c r="K72" s="1" t="s">
        <v>155</v>
      </c>
      <c r="L72" s="1" t="s">
        <v>271</v>
      </c>
    </row>
    <row r="73" spans="2:12" customFormat="1" x14ac:dyDescent="0.25">
      <c r="B73" s="9" t="s">
        <v>330</v>
      </c>
      <c r="C73" s="1" t="s">
        <v>286</v>
      </c>
      <c r="D73" s="1" t="s">
        <v>209</v>
      </c>
      <c r="E73" s="1" t="s">
        <v>218</v>
      </c>
      <c r="F73" s="1" t="s">
        <v>263</v>
      </c>
      <c r="G73" s="1" t="s">
        <v>6</v>
      </c>
      <c r="H73" s="1">
        <v>5448</v>
      </c>
      <c r="I73" s="1" t="s">
        <v>234</v>
      </c>
      <c r="J73" s="1" t="s">
        <v>165</v>
      </c>
      <c r="K73" s="1" t="s">
        <v>167</v>
      </c>
      <c r="L73" s="1" t="s">
        <v>272</v>
      </c>
    </row>
    <row r="74" spans="2:12" customFormat="1" x14ac:dyDescent="0.25">
      <c r="B74" s="9" t="s">
        <v>331</v>
      </c>
      <c r="C74" s="1" t="s">
        <v>287</v>
      </c>
      <c r="D74" s="1" t="s">
        <v>209</v>
      </c>
      <c r="E74" s="1" t="s">
        <v>219</v>
      </c>
      <c r="F74" s="1" t="s">
        <v>263</v>
      </c>
      <c r="G74" s="1" t="s">
        <v>6</v>
      </c>
      <c r="H74" s="1">
        <v>5448</v>
      </c>
      <c r="I74" s="1" t="s">
        <v>235</v>
      </c>
      <c r="J74" s="1" t="s">
        <v>165</v>
      </c>
      <c r="K74" s="1" t="s">
        <v>168</v>
      </c>
      <c r="L74" s="1" t="s">
        <v>273</v>
      </c>
    </row>
    <row r="75" spans="2:12" customFormat="1" x14ac:dyDescent="0.25">
      <c r="B75" s="9" t="s">
        <v>332</v>
      </c>
      <c r="C75" s="1" t="s">
        <v>288</v>
      </c>
      <c r="D75" s="1" t="s">
        <v>209</v>
      </c>
      <c r="E75" s="1" t="s">
        <v>220</v>
      </c>
      <c r="F75" s="1" t="s">
        <v>263</v>
      </c>
      <c r="G75" s="1" t="s">
        <v>6</v>
      </c>
      <c r="H75" s="1">
        <v>5448</v>
      </c>
      <c r="I75" s="1" t="s">
        <v>236</v>
      </c>
      <c r="J75" s="1" t="s">
        <v>165</v>
      </c>
      <c r="K75" s="1" t="s">
        <v>222</v>
      </c>
      <c r="L75" s="1" t="s">
        <v>274</v>
      </c>
    </row>
    <row r="76" spans="2:12" customFormat="1" x14ac:dyDescent="0.25">
      <c r="B76" s="9" t="s">
        <v>333</v>
      </c>
      <c r="C76" s="1" t="s">
        <v>289</v>
      </c>
      <c r="D76" s="1" t="s">
        <v>209</v>
      </c>
      <c r="E76" s="1" t="s">
        <v>221</v>
      </c>
      <c r="F76" s="1" t="s">
        <v>263</v>
      </c>
      <c r="G76" s="1" t="s">
        <v>6</v>
      </c>
      <c r="H76" s="1">
        <v>5448</v>
      </c>
      <c r="I76" s="1" t="s">
        <v>237</v>
      </c>
      <c r="J76" s="1" t="s">
        <v>165</v>
      </c>
      <c r="K76" s="1" t="s">
        <v>223</v>
      </c>
      <c r="L76" s="1" t="s">
        <v>275</v>
      </c>
    </row>
    <row r="77" spans="2:12" customFormat="1" x14ac:dyDescent="0.25">
      <c r="B77" s="9" t="s">
        <v>334</v>
      </c>
      <c r="C77" s="1" t="s">
        <v>290</v>
      </c>
      <c r="D77" s="1" t="s">
        <v>209</v>
      </c>
      <c r="E77" s="1" t="s">
        <v>238</v>
      </c>
      <c r="F77" s="1" t="s">
        <v>263</v>
      </c>
      <c r="G77" s="1" t="s">
        <v>6</v>
      </c>
      <c r="H77" s="1">
        <v>5448</v>
      </c>
      <c r="I77" s="1" t="s">
        <v>251</v>
      </c>
      <c r="J77" s="1" t="s">
        <v>166</v>
      </c>
      <c r="K77" s="1" t="s">
        <v>156</v>
      </c>
      <c r="L77" s="1" t="s">
        <v>264</v>
      </c>
    </row>
    <row r="78" spans="2:12" customFormat="1" x14ac:dyDescent="0.25">
      <c r="B78" s="9" t="s">
        <v>335</v>
      </c>
      <c r="C78" s="1" t="s">
        <v>291</v>
      </c>
      <c r="D78" s="1" t="s">
        <v>209</v>
      </c>
      <c r="E78" s="1" t="s">
        <v>239</v>
      </c>
      <c r="F78" s="1" t="s">
        <v>263</v>
      </c>
      <c r="G78" s="1" t="s">
        <v>6</v>
      </c>
      <c r="H78" s="1">
        <v>5448</v>
      </c>
      <c r="I78" s="1" t="s">
        <v>252</v>
      </c>
      <c r="J78" s="1" t="s">
        <v>166</v>
      </c>
      <c r="K78" s="1" t="s">
        <v>157</v>
      </c>
      <c r="L78" s="1" t="s">
        <v>265</v>
      </c>
    </row>
    <row r="79" spans="2:12" customFormat="1" x14ac:dyDescent="0.25">
      <c r="B79" s="9" t="s">
        <v>336</v>
      </c>
      <c r="C79" s="1" t="s">
        <v>292</v>
      </c>
      <c r="D79" s="1" t="s">
        <v>209</v>
      </c>
      <c r="E79" s="1" t="s">
        <v>240</v>
      </c>
      <c r="F79" s="1" t="s">
        <v>263</v>
      </c>
      <c r="G79" s="1" t="s">
        <v>6</v>
      </c>
      <c r="H79" s="1">
        <v>5448</v>
      </c>
      <c r="I79" s="1" t="s">
        <v>253</v>
      </c>
      <c r="J79" s="1" t="s">
        <v>166</v>
      </c>
      <c r="K79" s="1" t="s">
        <v>158</v>
      </c>
      <c r="L79" s="1" t="s">
        <v>266</v>
      </c>
    </row>
    <row r="80" spans="2:12" customFormat="1" x14ac:dyDescent="0.25">
      <c r="B80" s="9" t="s">
        <v>337</v>
      </c>
      <c r="C80" s="1" t="s">
        <v>293</v>
      </c>
      <c r="D80" s="1" t="s">
        <v>209</v>
      </c>
      <c r="E80" s="1" t="s">
        <v>241</v>
      </c>
      <c r="F80" s="1" t="s">
        <v>263</v>
      </c>
      <c r="G80" s="1" t="s">
        <v>6</v>
      </c>
      <c r="H80" s="1">
        <v>5448</v>
      </c>
      <c r="I80" s="1" t="s">
        <v>254</v>
      </c>
      <c r="J80" s="1" t="s">
        <v>166</v>
      </c>
      <c r="K80" s="1" t="s">
        <v>159</v>
      </c>
      <c r="L80" s="1" t="s">
        <v>267</v>
      </c>
    </row>
    <row r="81" spans="2:12" customFormat="1" x14ac:dyDescent="0.25">
      <c r="B81" s="9" t="s">
        <v>338</v>
      </c>
      <c r="C81" s="1" t="s">
        <v>294</v>
      </c>
      <c r="D81" s="1" t="s">
        <v>209</v>
      </c>
      <c r="E81" s="1" t="s">
        <v>242</v>
      </c>
      <c r="F81" s="1" t="s">
        <v>263</v>
      </c>
      <c r="G81" s="1" t="s">
        <v>6</v>
      </c>
      <c r="H81" s="1">
        <v>5448</v>
      </c>
      <c r="I81" s="1" t="s">
        <v>255</v>
      </c>
      <c r="J81" s="1" t="s">
        <v>166</v>
      </c>
      <c r="K81" s="1" t="s">
        <v>160</v>
      </c>
      <c r="L81" s="1" t="s">
        <v>268</v>
      </c>
    </row>
    <row r="82" spans="2:12" customFormat="1" x14ac:dyDescent="0.25">
      <c r="B82" s="9" t="s">
        <v>339</v>
      </c>
      <c r="C82" s="1" t="s">
        <v>295</v>
      </c>
      <c r="D82" s="1" t="s">
        <v>209</v>
      </c>
      <c r="E82" s="1" t="s">
        <v>243</v>
      </c>
      <c r="F82" s="1" t="s">
        <v>263</v>
      </c>
      <c r="G82" s="1" t="s">
        <v>6</v>
      </c>
      <c r="H82" s="1">
        <v>5448</v>
      </c>
      <c r="I82" s="1" t="s">
        <v>256</v>
      </c>
      <c r="J82" s="1" t="s">
        <v>166</v>
      </c>
      <c r="K82" s="1" t="s">
        <v>161</v>
      </c>
      <c r="L82" s="1" t="s">
        <v>269</v>
      </c>
    </row>
    <row r="83" spans="2:12" customFormat="1" x14ac:dyDescent="0.25">
      <c r="B83" s="9" t="s">
        <v>340</v>
      </c>
      <c r="C83" s="1" t="s">
        <v>296</v>
      </c>
      <c r="D83" s="1" t="s">
        <v>209</v>
      </c>
      <c r="E83" s="1" t="s">
        <v>244</v>
      </c>
      <c r="F83" s="1" t="s">
        <v>263</v>
      </c>
      <c r="G83" s="1" t="s">
        <v>6</v>
      </c>
      <c r="H83" s="1">
        <v>5448</v>
      </c>
      <c r="I83" s="1" t="s">
        <v>257</v>
      </c>
      <c r="J83" s="1" t="s">
        <v>166</v>
      </c>
      <c r="K83" s="1" t="s">
        <v>162</v>
      </c>
      <c r="L83" s="1" t="s">
        <v>270</v>
      </c>
    </row>
    <row r="84" spans="2:12" customFormat="1" x14ac:dyDescent="0.25">
      <c r="B84" s="9" t="s">
        <v>341</v>
      </c>
      <c r="C84" s="1" t="s">
        <v>297</v>
      </c>
      <c r="D84" s="1" t="s">
        <v>209</v>
      </c>
      <c r="E84" s="1" t="s">
        <v>245</v>
      </c>
      <c r="F84" s="1" t="s">
        <v>263</v>
      </c>
      <c r="G84" s="1" t="s">
        <v>6</v>
      </c>
      <c r="H84" s="1">
        <v>5448</v>
      </c>
      <c r="I84" s="1" t="s">
        <v>258</v>
      </c>
      <c r="J84" s="1" t="s">
        <v>166</v>
      </c>
      <c r="K84" s="1" t="s">
        <v>163</v>
      </c>
      <c r="L84" s="1" t="s">
        <v>271</v>
      </c>
    </row>
    <row r="85" spans="2:12" customFormat="1" x14ac:dyDescent="0.25">
      <c r="B85" s="9" t="s">
        <v>342</v>
      </c>
      <c r="C85" s="1" t="s">
        <v>298</v>
      </c>
      <c r="D85" s="1" t="s">
        <v>209</v>
      </c>
      <c r="E85" s="1" t="s">
        <v>246</v>
      </c>
      <c r="F85" s="1" t="s">
        <v>263</v>
      </c>
      <c r="G85" s="1" t="s">
        <v>6</v>
      </c>
      <c r="H85" s="1">
        <v>5448</v>
      </c>
      <c r="I85" s="1" t="s">
        <v>259</v>
      </c>
      <c r="J85" s="1" t="s">
        <v>166</v>
      </c>
      <c r="K85" s="1" t="s">
        <v>169</v>
      </c>
      <c r="L85" s="1" t="s">
        <v>272</v>
      </c>
    </row>
    <row r="86" spans="2:12" customFormat="1" x14ac:dyDescent="0.25">
      <c r="B86" s="9" t="s">
        <v>343</v>
      </c>
      <c r="C86" s="1" t="s">
        <v>299</v>
      </c>
      <c r="D86" s="1" t="s">
        <v>250</v>
      </c>
      <c r="E86" s="1" t="s">
        <v>247</v>
      </c>
      <c r="F86" s="1" t="s">
        <v>263</v>
      </c>
      <c r="G86" s="1" t="s">
        <v>6</v>
      </c>
      <c r="H86" s="1">
        <v>5005</v>
      </c>
      <c r="I86" s="1" t="s">
        <v>260</v>
      </c>
      <c r="J86" s="1" t="s">
        <v>166</v>
      </c>
      <c r="K86" s="1" t="s">
        <v>170</v>
      </c>
      <c r="L86" s="1" t="s">
        <v>273</v>
      </c>
    </row>
    <row r="87" spans="2:12" customFormat="1" x14ac:dyDescent="0.25">
      <c r="B87" s="9" t="s">
        <v>344</v>
      </c>
      <c r="C87" s="1" t="s">
        <v>300</v>
      </c>
      <c r="D87" s="1" t="s">
        <v>250</v>
      </c>
      <c r="E87" s="1" t="s">
        <v>248</v>
      </c>
      <c r="F87" s="1" t="s">
        <v>263</v>
      </c>
      <c r="G87" s="1" t="s">
        <v>6</v>
      </c>
      <c r="H87" s="1">
        <v>5005</v>
      </c>
      <c r="I87" s="1" t="s">
        <v>261</v>
      </c>
      <c r="J87" s="1" t="s">
        <v>166</v>
      </c>
      <c r="K87" s="1" t="s">
        <v>224</v>
      </c>
      <c r="L87" s="1" t="s">
        <v>274</v>
      </c>
    </row>
    <row r="88" spans="2:12" customFormat="1" x14ac:dyDescent="0.25">
      <c r="B88" s="9" t="s">
        <v>345</v>
      </c>
      <c r="C88" s="1" t="s">
        <v>301</v>
      </c>
      <c r="D88" s="1" t="s">
        <v>250</v>
      </c>
      <c r="E88" s="1" t="s">
        <v>249</v>
      </c>
      <c r="F88" s="1" t="s">
        <v>263</v>
      </c>
      <c r="G88" s="1" t="s">
        <v>6</v>
      </c>
      <c r="H88" s="1">
        <v>5005</v>
      </c>
      <c r="I88" s="1" t="s">
        <v>262</v>
      </c>
      <c r="J88" s="1" t="s">
        <v>166</v>
      </c>
      <c r="K88" s="1" t="s">
        <v>225</v>
      </c>
      <c r="L88" s="1" t="s">
        <v>275</v>
      </c>
    </row>
    <row r="89" spans="2:12" customFormat="1" x14ac:dyDescent="0.25">
      <c r="B89" s="9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2:12" customFormat="1" x14ac:dyDescent="0.25">
      <c r="B90" s="9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2:12" customFormat="1" x14ac:dyDescent="0.25">
      <c r="B91" s="12" t="s">
        <v>346</v>
      </c>
      <c r="C91" s="8" t="s">
        <v>362</v>
      </c>
      <c r="D91" s="1" t="s">
        <v>568</v>
      </c>
      <c r="E91" s="7" t="s">
        <v>378</v>
      </c>
      <c r="F91" s="1" t="s">
        <v>394</v>
      </c>
      <c r="G91" s="1" t="s">
        <v>6</v>
      </c>
      <c r="H91" s="1">
        <v>5448</v>
      </c>
      <c r="I91" s="1" t="s">
        <v>395</v>
      </c>
      <c r="J91" s="1" t="s">
        <v>165</v>
      </c>
      <c r="K91" s="1">
        <v>501</v>
      </c>
      <c r="L91" s="1" t="s">
        <v>264</v>
      </c>
    </row>
    <row r="92" spans="2:12" customFormat="1" x14ac:dyDescent="0.25">
      <c r="B92" s="12" t="s">
        <v>347</v>
      </c>
      <c r="C92" s="8" t="s">
        <v>363</v>
      </c>
      <c r="D92" s="1" t="s">
        <v>568</v>
      </c>
      <c r="E92" s="7" t="s">
        <v>379</v>
      </c>
      <c r="F92" s="1" t="s">
        <v>394</v>
      </c>
      <c r="G92" s="1" t="s">
        <v>6</v>
      </c>
      <c r="H92" s="1">
        <v>5448</v>
      </c>
      <c r="I92" s="1" t="s">
        <v>396</v>
      </c>
      <c r="J92" s="1" t="s">
        <v>165</v>
      </c>
      <c r="K92" s="1">
        <v>502</v>
      </c>
      <c r="L92" s="1" t="s">
        <v>265</v>
      </c>
    </row>
    <row r="93" spans="2:12" customFormat="1" x14ac:dyDescent="0.25">
      <c r="B93" s="12" t="s">
        <v>348</v>
      </c>
      <c r="C93" s="8" t="s">
        <v>364</v>
      </c>
      <c r="D93" s="1" t="s">
        <v>568</v>
      </c>
      <c r="E93" s="7" t="s">
        <v>380</v>
      </c>
      <c r="F93" s="1" t="s">
        <v>394</v>
      </c>
      <c r="G93" s="1" t="s">
        <v>6</v>
      </c>
      <c r="H93" s="1">
        <v>5448</v>
      </c>
      <c r="I93" s="1" t="s">
        <v>397</v>
      </c>
      <c r="J93" s="1" t="s">
        <v>165</v>
      </c>
      <c r="K93" s="1">
        <v>503</v>
      </c>
      <c r="L93" s="1" t="s">
        <v>266</v>
      </c>
    </row>
    <row r="94" spans="2:12" customFormat="1" x14ac:dyDescent="0.25">
      <c r="B94" s="12" t="s">
        <v>349</v>
      </c>
      <c r="C94" s="8" t="s">
        <v>365</v>
      </c>
      <c r="D94" s="1" t="s">
        <v>568</v>
      </c>
      <c r="E94" s="7" t="s">
        <v>381</v>
      </c>
      <c r="F94" s="1" t="s">
        <v>394</v>
      </c>
      <c r="G94" s="1" t="s">
        <v>6</v>
      </c>
      <c r="H94" s="1">
        <v>5448</v>
      </c>
      <c r="I94" s="1" t="s">
        <v>398</v>
      </c>
      <c r="J94" s="1" t="s">
        <v>165</v>
      </c>
      <c r="K94" s="1">
        <v>504</v>
      </c>
      <c r="L94" s="1" t="s">
        <v>267</v>
      </c>
    </row>
    <row r="95" spans="2:12" customFormat="1" x14ac:dyDescent="0.25">
      <c r="B95" s="12" t="s">
        <v>350</v>
      </c>
      <c r="C95" s="7" t="s">
        <v>366</v>
      </c>
      <c r="D95" s="1" t="s">
        <v>568</v>
      </c>
      <c r="E95" s="7" t="s">
        <v>382</v>
      </c>
      <c r="F95" s="1" t="s">
        <v>394</v>
      </c>
      <c r="G95" s="1" t="s">
        <v>6</v>
      </c>
      <c r="H95" s="1">
        <v>5448</v>
      </c>
      <c r="I95" s="1" t="s">
        <v>399</v>
      </c>
      <c r="J95" s="1" t="s">
        <v>165</v>
      </c>
      <c r="K95" s="1">
        <v>505</v>
      </c>
      <c r="L95" s="1" t="s">
        <v>268</v>
      </c>
    </row>
    <row r="96" spans="2:12" customFormat="1" x14ac:dyDescent="0.25">
      <c r="B96" s="12" t="s">
        <v>351</v>
      </c>
      <c r="C96" s="7" t="s">
        <v>367</v>
      </c>
      <c r="D96" s="1" t="s">
        <v>568</v>
      </c>
      <c r="E96" s="7" t="s">
        <v>383</v>
      </c>
      <c r="F96" s="1" t="s">
        <v>394</v>
      </c>
      <c r="G96" s="1" t="s">
        <v>6</v>
      </c>
      <c r="H96" s="1">
        <v>5448</v>
      </c>
      <c r="I96" s="1" t="s">
        <v>400</v>
      </c>
      <c r="J96" s="1" t="s">
        <v>165</v>
      </c>
      <c r="K96" s="1">
        <v>506</v>
      </c>
      <c r="L96" s="1" t="s">
        <v>269</v>
      </c>
    </row>
    <row r="97" spans="2:12" customFormat="1" x14ac:dyDescent="0.25">
      <c r="B97" s="12" t="s">
        <v>352</v>
      </c>
      <c r="C97" s="8" t="s">
        <v>368</v>
      </c>
      <c r="D97" s="1" t="s">
        <v>568</v>
      </c>
      <c r="E97" s="7" t="s">
        <v>384</v>
      </c>
      <c r="F97" s="1" t="s">
        <v>394</v>
      </c>
      <c r="G97" s="1" t="s">
        <v>6</v>
      </c>
      <c r="H97" s="1">
        <v>5448</v>
      </c>
      <c r="I97" s="1" t="s">
        <v>401</v>
      </c>
      <c r="J97" s="1" t="s">
        <v>165</v>
      </c>
      <c r="K97" s="1">
        <v>507</v>
      </c>
      <c r="L97" s="1" t="s">
        <v>270</v>
      </c>
    </row>
    <row r="98" spans="2:12" customFormat="1" x14ac:dyDescent="0.25">
      <c r="B98" s="12" t="s">
        <v>353</v>
      </c>
      <c r="C98" s="8" t="s">
        <v>369</v>
      </c>
      <c r="D98" s="1" t="s">
        <v>568</v>
      </c>
      <c r="E98" s="7" t="s">
        <v>385</v>
      </c>
      <c r="F98" s="1" t="s">
        <v>394</v>
      </c>
      <c r="G98" s="1" t="s">
        <v>6</v>
      </c>
      <c r="H98" s="1">
        <v>5448</v>
      </c>
      <c r="I98" s="1" t="s">
        <v>402</v>
      </c>
      <c r="J98" s="1" t="s">
        <v>165</v>
      </c>
      <c r="K98" s="1">
        <v>508</v>
      </c>
      <c r="L98" s="1" t="s">
        <v>271</v>
      </c>
    </row>
    <row r="99" spans="2:12" customFormat="1" x14ac:dyDescent="0.25">
      <c r="B99" s="12" t="s">
        <v>354</v>
      </c>
      <c r="C99" s="8" t="s">
        <v>370</v>
      </c>
      <c r="D99" s="1" t="s">
        <v>568</v>
      </c>
      <c r="E99" s="7" t="s">
        <v>386</v>
      </c>
      <c r="F99" s="1" t="s">
        <v>394</v>
      </c>
      <c r="G99" s="1" t="s">
        <v>6</v>
      </c>
      <c r="H99" s="1">
        <v>5448</v>
      </c>
      <c r="I99" s="1" t="s">
        <v>403</v>
      </c>
      <c r="J99" s="1" t="s">
        <v>166</v>
      </c>
      <c r="K99" s="1">
        <v>701</v>
      </c>
      <c r="L99" s="1" t="s">
        <v>272</v>
      </c>
    </row>
    <row r="100" spans="2:12" customFormat="1" x14ac:dyDescent="0.25">
      <c r="B100" s="12" t="s">
        <v>355</v>
      </c>
      <c r="C100" s="8" t="s">
        <v>371</v>
      </c>
      <c r="D100" s="1" t="s">
        <v>568</v>
      </c>
      <c r="E100" s="7" t="s">
        <v>387</v>
      </c>
      <c r="F100" s="1" t="s">
        <v>394</v>
      </c>
      <c r="G100" s="1" t="s">
        <v>6</v>
      </c>
      <c r="H100" s="1">
        <v>5448</v>
      </c>
      <c r="I100" s="1" t="s">
        <v>404</v>
      </c>
      <c r="J100" s="1" t="s">
        <v>166</v>
      </c>
      <c r="K100" s="1">
        <v>702</v>
      </c>
      <c r="L100" s="1" t="s">
        <v>273</v>
      </c>
    </row>
    <row r="101" spans="2:12" customFormat="1" x14ac:dyDescent="0.25">
      <c r="B101" s="12" t="s">
        <v>356</v>
      </c>
      <c r="C101" s="8" t="s">
        <v>372</v>
      </c>
      <c r="D101" s="1" t="s">
        <v>568</v>
      </c>
      <c r="E101" s="7" t="s">
        <v>388</v>
      </c>
      <c r="F101" s="1" t="s">
        <v>394</v>
      </c>
      <c r="G101" s="1" t="s">
        <v>6</v>
      </c>
      <c r="H101" s="1">
        <v>5448</v>
      </c>
      <c r="I101" s="1" t="s">
        <v>405</v>
      </c>
      <c r="J101" s="1" t="s">
        <v>166</v>
      </c>
      <c r="K101" s="1">
        <v>703</v>
      </c>
      <c r="L101" s="1" t="s">
        <v>274</v>
      </c>
    </row>
    <row r="102" spans="2:12" customFormat="1" x14ac:dyDescent="0.25">
      <c r="B102" s="12" t="s">
        <v>357</v>
      </c>
      <c r="C102" s="8" t="s">
        <v>373</v>
      </c>
      <c r="D102" s="1" t="s">
        <v>568</v>
      </c>
      <c r="E102" s="7" t="s">
        <v>389</v>
      </c>
      <c r="F102" s="1" t="s">
        <v>394</v>
      </c>
      <c r="G102" s="1" t="s">
        <v>6</v>
      </c>
      <c r="H102" s="1">
        <v>5448</v>
      </c>
      <c r="I102" s="1" t="s">
        <v>406</v>
      </c>
      <c r="J102" s="1" t="s">
        <v>166</v>
      </c>
      <c r="K102" s="1">
        <v>704</v>
      </c>
      <c r="L102" s="1" t="s">
        <v>275</v>
      </c>
    </row>
    <row r="103" spans="2:12" customFormat="1" x14ac:dyDescent="0.25">
      <c r="B103" s="12" t="s">
        <v>358</v>
      </c>
      <c r="C103" s="8" t="s">
        <v>374</v>
      </c>
      <c r="D103" s="1" t="s">
        <v>568</v>
      </c>
      <c r="E103" s="7" t="s">
        <v>390</v>
      </c>
      <c r="F103" s="1" t="s">
        <v>394</v>
      </c>
      <c r="G103" s="1" t="s">
        <v>6</v>
      </c>
      <c r="H103" s="1">
        <v>5448</v>
      </c>
      <c r="I103" s="1" t="s">
        <v>407</v>
      </c>
      <c r="J103" s="1" t="s">
        <v>166</v>
      </c>
      <c r="K103" s="1">
        <v>501</v>
      </c>
      <c r="L103" s="1" t="s">
        <v>264</v>
      </c>
    </row>
    <row r="104" spans="2:12" customFormat="1" x14ac:dyDescent="0.25">
      <c r="B104" s="12" t="s">
        <v>359</v>
      </c>
      <c r="C104" s="8" t="s">
        <v>375</v>
      </c>
      <c r="D104" s="1" t="s">
        <v>568</v>
      </c>
      <c r="E104" s="7" t="s">
        <v>391</v>
      </c>
      <c r="F104" s="1" t="s">
        <v>394</v>
      </c>
      <c r="G104" s="1" t="s">
        <v>6</v>
      </c>
      <c r="H104" s="1">
        <v>5448</v>
      </c>
      <c r="I104" s="1" t="s">
        <v>408</v>
      </c>
      <c r="J104" s="1" t="s">
        <v>166</v>
      </c>
      <c r="K104" s="1">
        <v>502</v>
      </c>
      <c r="L104" s="1" t="s">
        <v>265</v>
      </c>
    </row>
    <row r="105" spans="2:12" customFormat="1" x14ac:dyDescent="0.25">
      <c r="B105" s="12" t="s">
        <v>360</v>
      </c>
      <c r="C105" s="8" t="s">
        <v>376</v>
      </c>
      <c r="D105" s="1" t="s">
        <v>568</v>
      </c>
      <c r="E105" s="7" t="s">
        <v>392</v>
      </c>
      <c r="F105" s="1" t="s">
        <v>394</v>
      </c>
      <c r="G105" s="1" t="s">
        <v>6</v>
      </c>
      <c r="H105" s="1">
        <v>5448</v>
      </c>
      <c r="I105" s="1" t="s">
        <v>409</v>
      </c>
      <c r="J105" s="1" t="s">
        <v>166</v>
      </c>
      <c r="K105" s="1">
        <v>503</v>
      </c>
      <c r="L105" s="1" t="s">
        <v>266</v>
      </c>
    </row>
    <row r="106" spans="2:12" customFormat="1" x14ac:dyDescent="0.25">
      <c r="B106" s="12" t="s">
        <v>361</v>
      </c>
      <c r="C106" s="8" t="s">
        <v>377</v>
      </c>
      <c r="D106" s="1" t="s">
        <v>568</v>
      </c>
      <c r="E106" s="7" t="s">
        <v>393</v>
      </c>
      <c r="F106" s="1" t="s">
        <v>394</v>
      </c>
      <c r="G106" s="1" t="s">
        <v>6</v>
      </c>
      <c r="H106" s="1">
        <v>5448</v>
      </c>
      <c r="I106" s="1" t="s">
        <v>466</v>
      </c>
      <c r="J106" s="1" t="s">
        <v>166</v>
      </c>
      <c r="K106" s="1">
        <v>504</v>
      </c>
      <c r="L106" s="1" t="s">
        <v>267</v>
      </c>
    </row>
    <row r="107" spans="2:12" x14ac:dyDescent="0.25">
      <c r="B107" s="13"/>
      <c r="E107" s="13"/>
    </row>
    <row r="108" spans="2:12" customFormat="1" x14ac:dyDescent="0.25">
      <c r="B108" s="12" t="s">
        <v>442</v>
      </c>
      <c r="C108" s="7" t="s">
        <v>458</v>
      </c>
      <c r="D108" s="1" t="s">
        <v>568</v>
      </c>
      <c r="E108" s="12" t="s">
        <v>410</v>
      </c>
      <c r="F108" s="1" t="s">
        <v>394</v>
      </c>
      <c r="G108" s="1" t="s">
        <v>6</v>
      </c>
      <c r="H108" s="1">
        <v>5448</v>
      </c>
      <c r="I108" s="1" t="s">
        <v>467</v>
      </c>
      <c r="J108" s="1" t="s">
        <v>533</v>
      </c>
      <c r="K108" s="1">
        <v>505</v>
      </c>
      <c r="L108" s="1" t="s">
        <v>268</v>
      </c>
    </row>
    <row r="109" spans="2:12" customFormat="1" x14ac:dyDescent="0.25">
      <c r="B109" s="12" t="s">
        <v>443</v>
      </c>
      <c r="C109" s="7" t="s">
        <v>459</v>
      </c>
      <c r="D109" s="1" t="s">
        <v>568</v>
      </c>
      <c r="E109" s="12" t="s">
        <v>411</v>
      </c>
      <c r="F109" s="1" t="s">
        <v>394</v>
      </c>
      <c r="G109" s="1" t="s">
        <v>6</v>
      </c>
      <c r="H109" s="1">
        <v>5448</v>
      </c>
      <c r="I109" s="1" t="s">
        <v>468</v>
      </c>
      <c r="J109" s="1" t="s">
        <v>533</v>
      </c>
      <c r="K109" s="1">
        <v>506</v>
      </c>
      <c r="L109" s="1" t="s">
        <v>269</v>
      </c>
    </row>
    <row r="110" spans="2:12" customFormat="1" x14ac:dyDescent="0.25">
      <c r="B110" s="12" t="s">
        <v>444</v>
      </c>
      <c r="C110" s="8" t="s">
        <v>460</v>
      </c>
      <c r="D110" s="1" t="s">
        <v>568</v>
      </c>
      <c r="E110" s="12" t="s">
        <v>412</v>
      </c>
      <c r="F110" s="1" t="s">
        <v>394</v>
      </c>
      <c r="G110" s="1" t="s">
        <v>6</v>
      </c>
      <c r="H110" s="1">
        <v>5448</v>
      </c>
      <c r="I110" s="1" t="s">
        <v>469</v>
      </c>
      <c r="J110" s="1" t="s">
        <v>533</v>
      </c>
      <c r="K110" s="1">
        <v>507</v>
      </c>
      <c r="L110" s="1" t="s">
        <v>270</v>
      </c>
    </row>
    <row r="111" spans="2:12" customFormat="1" x14ac:dyDescent="0.25">
      <c r="B111" s="12" t="s">
        <v>445</v>
      </c>
      <c r="C111" s="8" t="s">
        <v>461</v>
      </c>
      <c r="D111" s="1" t="s">
        <v>568</v>
      </c>
      <c r="E111" s="12" t="s">
        <v>413</v>
      </c>
      <c r="F111" s="1" t="s">
        <v>394</v>
      </c>
      <c r="G111" s="1" t="s">
        <v>6</v>
      </c>
      <c r="H111" s="1">
        <v>5448</v>
      </c>
      <c r="I111" s="1" t="s">
        <v>470</v>
      </c>
      <c r="J111" s="1" t="s">
        <v>533</v>
      </c>
      <c r="K111" s="1">
        <v>508</v>
      </c>
      <c r="L111" s="1" t="s">
        <v>271</v>
      </c>
    </row>
    <row r="112" spans="2:12" customFormat="1" x14ac:dyDescent="0.25">
      <c r="B112" s="12" t="s">
        <v>446</v>
      </c>
      <c r="C112" s="8" t="s">
        <v>462</v>
      </c>
      <c r="D112" s="1" t="s">
        <v>568</v>
      </c>
      <c r="E112" s="12" t="s">
        <v>414</v>
      </c>
      <c r="F112" s="1" t="s">
        <v>394</v>
      </c>
      <c r="G112" s="1" t="s">
        <v>6</v>
      </c>
      <c r="H112" s="1">
        <v>5448</v>
      </c>
      <c r="I112" s="1" t="s">
        <v>511</v>
      </c>
      <c r="J112" s="1" t="s">
        <v>533</v>
      </c>
      <c r="K112" s="1">
        <v>701</v>
      </c>
      <c r="L112" s="1" t="s">
        <v>272</v>
      </c>
    </row>
    <row r="113" spans="2:12" customFormat="1" x14ac:dyDescent="0.25">
      <c r="B113" s="12" t="s">
        <v>447</v>
      </c>
      <c r="C113" s="8" t="s">
        <v>463</v>
      </c>
      <c r="D113" s="1" t="s">
        <v>568</v>
      </c>
      <c r="E113" s="12" t="s">
        <v>415</v>
      </c>
      <c r="F113" s="1" t="s">
        <v>394</v>
      </c>
      <c r="G113" s="1" t="s">
        <v>6</v>
      </c>
      <c r="H113" s="1">
        <v>5448</v>
      </c>
      <c r="I113" s="1" t="s">
        <v>512</v>
      </c>
      <c r="J113" s="1" t="s">
        <v>533</v>
      </c>
      <c r="K113" s="1">
        <v>702</v>
      </c>
      <c r="L113" s="1" t="s">
        <v>273</v>
      </c>
    </row>
    <row r="114" spans="2:12" customFormat="1" x14ac:dyDescent="0.25">
      <c r="B114" s="12" t="s">
        <v>448</v>
      </c>
      <c r="C114" s="8" t="s">
        <v>464</v>
      </c>
      <c r="D114" s="1" t="s">
        <v>568</v>
      </c>
      <c r="E114" s="12" t="s">
        <v>416</v>
      </c>
      <c r="F114" s="1" t="s">
        <v>394</v>
      </c>
      <c r="G114" s="1" t="s">
        <v>6</v>
      </c>
      <c r="H114" s="1">
        <v>5448</v>
      </c>
      <c r="I114" s="1" t="s">
        <v>513</v>
      </c>
      <c r="J114" s="1" t="s">
        <v>533</v>
      </c>
      <c r="K114" s="1">
        <v>703</v>
      </c>
      <c r="L114" s="1" t="s">
        <v>274</v>
      </c>
    </row>
    <row r="115" spans="2:12" customFormat="1" x14ac:dyDescent="0.25">
      <c r="B115" s="12" t="s">
        <v>449</v>
      </c>
      <c r="C115" s="8" t="s">
        <v>465</v>
      </c>
      <c r="D115" s="1" t="s">
        <v>568</v>
      </c>
      <c r="E115" s="12" t="s">
        <v>417</v>
      </c>
      <c r="F115" s="1" t="s">
        <v>394</v>
      </c>
      <c r="G115" s="1" t="s">
        <v>6</v>
      </c>
      <c r="H115" s="1">
        <v>5448</v>
      </c>
      <c r="I115" s="1" t="s">
        <v>514</v>
      </c>
      <c r="J115" s="1" t="s">
        <v>533</v>
      </c>
      <c r="K115" s="1">
        <v>704</v>
      </c>
      <c r="L115" s="1" t="s">
        <v>275</v>
      </c>
    </row>
    <row r="116" spans="2:12" customFormat="1" x14ac:dyDescent="0.25">
      <c r="B116" s="12" t="s">
        <v>450</v>
      </c>
      <c r="C116" s="8" t="s">
        <v>471</v>
      </c>
      <c r="D116" s="1" t="s">
        <v>568</v>
      </c>
      <c r="E116" s="12" t="s">
        <v>418</v>
      </c>
      <c r="F116" s="1" t="s">
        <v>394</v>
      </c>
      <c r="G116" s="1" t="s">
        <v>6</v>
      </c>
      <c r="H116" s="1">
        <v>5448</v>
      </c>
      <c r="I116" s="1" t="s">
        <v>515</v>
      </c>
      <c r="J116" s="1" t="s">
        <v>534</v>
      </c>
      <c r="K116" s="1">
        <v>501</v>
      </c>
      <c r="L116" s="1" t="s">
        <v>264</v>
      </c>
    </row>
    <row r="117" spans="2:12" customFormat="1" x14ac:dyDescent="0.25">
      <c r="B117" s="12" t="s">
        <v>451</v>
      </c>
      <c r="C117" s="8" t="s">
        <v>472</v>
      </c>
      <c r="D117" s="1" t="s">
        <v>568</v>
      </c>
      <c r="E117" s="12" t="s">
        <v>419</v>
      </c>
      <c r="F117" s="1" t="s">
        <v>394</v>
      </c>
      <c r="G117" s="1" t="s">
        <v>6</v>
      </c>
      <c r="H117" s="1">
        <v>5448</v>
      </c>
      <c r="I117" s="1" t="s">
        <v>516</v>
      </c>
      <c r="J117" s="1" t="s">
        <v>534</v>
      </c>
      <c r="K117" s="1">
        <v>502</v>
      </c>
      <c r="L117" s="1" t="s">
        <v>265</v>
      </c>
    </row>
    <row r="118" spans="2:12" customFormat="1" x14ac:dyDescent="0.25">
      <c r="B118" s="12" t="s">
        <v>452</v>
      </c>
      <c r="C118" s="8" t="s">
        <v>473</v>
      </c>
      <c r="D118" s="1" t="s">
        <v>568</v>
      </c>
      <c r="E118" s="12" t="s">
        <v>420</v>
      </c>
      <c r="F118" s="1" t="s">
        <v>394</v>
      </c>
      <c r="G118" s="1" t="s">
        <v>6</v>
      </c>
      <c r="H118" s="1">
        <v>5448</v>
      </c>
      <c r="I118" s="1" t="s">
        <v>517</v>
      </c>
      <c r="J118" s="1" t="s">
        <v>534</v>
      </c>
      <c r="K118" s="1">
        <v>503</v>
      </c>
      <c r="L118" s="1" t="s">
        <v>266</v>
      </c>
    </row>
    <row r="119" spans="2:12" customFormat="1" x14ac:dyDescent="0.25">
      <c r="B119" s="12" t="s">
        <v>453</v>
      </c>
      <c r="C119" s="8" t="s">
        <v>474</v>
      </c>
      <c r="D119" s="1" t="s">
        <v>568</v>
      </c>
      <c r="E119" s="12" t="s">
        <v>421</v>
      </c>
      <c r="F119" s="1" t="s">
        <v>394</v>
      </c>
      <c r="G119" s="1" t="s">
        <v>6</v>
      </c>
      <c r="H119" s="1">
        <v>5448</v>
      </c>
      <c r="I119" s="1" t="s">
        <v>518</v>
      </c>
      <c r="J119" s="1" t="s">
        <v>534</v>
      </c>
      <c r="K119" s="1">
        <v>504</v>
      </c>
      <c r="L119" s="1" t="s">
        <v>267</v>
      </c>
    </row>
    <row r="120" spans="2:12" customFormat="1" x14ac:dyDescent="0.25">
      <c r="B120" s="12" t="s">
        <v>454</v>
      </c>
      <c r="C120" s="7" t="s">
        <v>475</v>
      </c>
      <c r="D120" s="1" t="s">
        <v>568</v>
      </c>
      <c r="E120" s="12" t="s">
        <v>422</v>
      </c>
      <c r="F120" s="1" t="s">
        <v>394</v>
      </c>
      <c r="G120" s="1" t="s">
        <v>6</v>
      </c>
      <c r="H120" s="1">
        <v>5448</v>
      </c>
      <c r="I120" s="1" t="s">
        <v>519</v>
      </c>
      <c r="J120" s="1" t="s">
        <v>534</v>
      </c>
      <c r="K120" s="1">
        <v>505</v>
      </c>
      <c r="L120" s="1" t="s">
        <v>268</v>
      </c>
    </row>
    <row r="121" spans="2:12" customFormat="1" x14ac:dyDescent="0.25">
      <c r="B121" s="12" t="s">
        <v>455</v>
      </c>
      <c r="C121" s="7" t="s">
        <v>476</v>
      </c>
      <c r="D121" s="1" t="s">
        <v>568</v>
      </c>
      <c r="E121" s="12" t="s">
        <v>423</v>
      </c>
      <c r="F121" s="1" t="s">
        <v>394</v>
      </c>
      <c r="G121" s="1" t="s">
        <v>6</v>
      </c>
      <c r="H121" s="1">
        <v>5448</v>
      </c>
      <c r="I121" s="1" t="s">
        <v>520</v>
      </c>
      <c r="J121" s="1" t="s">
        <v>534</v>
      </c>
      <c r="K121" s="1">
        <v>506</v>
      </c>
      <c r="L121" s="1" t="s">
        <v>269</v>
      </c>
    </row>
    <row r="122" spans="2:12" customFormat="1" x14ac:dyDescent="0.25">
      <c r="B122" s="12" t="s">
        <v>456</v>
      </c>
      <c r="C122" s="8" t="s">
        <v>477</v>
      </c>
      <c r="D122" s="1" t="s">
        <v>568</v>
      </c>
      <c r="E122" s="12" t="s">
        <v>424</v>
      </c>
      <c r="F122" s="1" t="s">
        <v>394</v>
      </c>
      <c r="G122" s="1" t="s">
        <v>6</v>
      </c>
      <c r="H122" s="1">
        <v>5448</v>
      </c>
      <c r="I122" s="1" t="s">
        <v>521</v>
      </c>
      <c r="J122" s="1" t="s">
        <v>534</v>
      </c>
      <c r="K122" s="1">
        <v>507</v>
      </c>
      <c r="L122" s="1" t="s">
        <v>270</v>
      </c>
    </row>
    <row r="123" spans="2:12" customFormat="1" x14ac:dyDescent="0.25">
      <c r="B123" s="12" t="s">
        <v>457</v>
      </c>
      <c r="C123" s="8" t="s">
        <v>478</v>
      </c>
      <c r="D123" s="1" t="s">
        <v>568</v>
      </c>
      <c r="E123" s="12" t="s">
        <v>425</v>
      </c>
      <c r="F123" s="1" t="s">
        <v>394</v>
      </c>
      <c r="G123" s="1" t="s">
        <v>6</v>
      </c>
      <c r="H123" s="1">
        <v>5448</v>
      </c>
      <c r="I123" s="1" t="s">
        <v>522</v>
      </c>
      <c r="J123" s="1" t="s">
        <v>534</v>
      </c>
      <c r="K123" s="1">
        <v>508</v>
      </c>
      <c r="L123" s="1" t="s">
        <v>271</v>
      </c>
    </row>
    <row r="124" spans="2:12" customFormat="1" x14ac:dyDescent="0.25">
      <c r="B124" s="13"/>
      <c r="C124" s="8"/>
      <c r="D124" s="1"/>
      <c r="E124" s="13"/>
      <c r="F124" s="1"/>
      <c r="G124" s="1"/>
      <c r="H124" s="1"/>
      <c r="I124" s="1"/>
      <c r="J124" s="1"/>
      <c r="K124" s="1"/>
      <c r="L124" s="1"/>
    </row>
    <row r="125" spans="2:12" customFormat="1" x14ac:dyDescent="0.25">
      <c r="B125" s="12" t="s">
        <v>426</v>
      </c>
      <c r="C125" s="8" t="s">
        <v>495</v>
      </c>
      <c r="D125" s="1" t="s">
        <v>568</v>
      </c>
      <c r="E125" s="7" t="s">
        <v>479</v>
      </c>
      <c r="F125" s="1" t="s">
        <v>394</v>
      </c>
      <c r="G125" s="1" t="s">
        <v>6</v>
      </c>
      <c r="H125" s="1">
        <v>5448</v>
      </c>
      <c r="I125" s="1" t="s">
        <v>523</v>
      </c>
      <c r="J125" s="1" t="s">
        <v>535</v>
      </c>
      <c r="K125" s="1">
        <v>701</v>
      </c>
      <c r="L125" s="1" t="s">
        <v>272</v>
      </c>
    </row>
    <row r="126" spans="2:12" customFormat="1" x14ac:dyDescent="0.25">
      <c r="B126" s="12" t="s">
        <v>427</v>
      </c>
      <c r="C126" s="8" t="s">
        <v>496</v>
      </c>
      <c r="D126" s="1" t="s">
        <v>568</v>
      </c>
      <c r="E126" s="7" t="s">
        <v>480</v>
      </c>
      <c r="F126" s="1" t="s">
        <v>394</v>
      </c>
      <c r="G126" s="1" t="s">
        <v>6</v>
      </c>
      <c r="H126" s="1">
        <v>5448</v>
      </c>
      <c r="I126" s="1" t="s">
        <v>524</v>
      </c>
      <c r="J126" s="1" t="s">
        <v>535</v>
      </c>
      <c r="K126" s="1">
        <v>702</v>
      </c>
      <c r="L126" s="1" t="s">
        <v>273</v>
      </c>
    </row>
    <row r="127" spans="2:12" customFormat="1" x14ac:dyDescent="0.25">
      <c r="B127" s="12" t="s">
        <v>428</v>
      </c>
      <c r="C127" s="8" t="s">
        <v>497</v>
      </c>
      <c r="D127" s="1" t="s">
        <v>568</v>
      </c>
      <c r="E127" s="7" t="s">
        <v>481</v>
      </c>
      <c r="F127" s="1" t="s">
        <v>394</v>
      </c>
      <c r="G127" s="1" t="s">
        <v>6</v>
      </c>
      <c r="H127" s="1">
        <v>5448</v>
      </c>
      <c r="I127" s="1" t="s">
        <v>525</v>
      </c>
      <c r="J127" s="1" t="s">
        <v>535</v>
      </c>
      <c r="K127" s="1">
        <v>703</v>
      </c>
      <c r="L127" s="1" t="s">
        <v>274</v>
      </c>
    </row>
    <row r="128" spans="2:12" customFormat="1" x14ac:dyDescent="0.25">
      <c r="B128" s="12" t="s">
        <v>429</v>
      </c>
      <c r="C128" s="8" t="s">
        <v>498</v>
      </c>
      <c r="D128" s="1" t="s">
        <v>568</v>
      </c>
      <c r="E128" s="7" t="s">
        <v>482</v>
      </c>
      <c r="F128" s="1" t="s">
        <v>394</v>
      </c>
      <c r="G128" s="1" t="s">
        <v>6</v>
      </c>
      <c r="H128" s="1">
        <v>5448</v>
      </c>
      <c r="I128" s="1" t="s">
        <v>526</v>
      </c>
      <c r="J128" s="1" t="s">
        <v>535</v>
      </c>
      <c r="K128" s="1">
        <v>704</v>
      </c>
      <c r="L128" s="1" t="s">
        <v>275</v>
      </c>
    </row>
    <row r="129" spans="2:12" customFormat="1" x14ac:dyDescent="0.25">
      <c r="B129" s="12" t="s">
        <v>430</v>
      </c>
      <c r="C129" s="8" t="s">
        <v>499</v>
      </c>
      <c r="D129" s="1" t="s">
        <v>568</v>
      </c>
      <c r="E129" s="7" t="s">
        <v>483</v>
      </c>
      <c r="F129" s="1" t="s">
        <v>394</v>
      </c>
      <c r="G129" s="1" t="s">
        <v>6</v>
      </c>
      <c r="H129" s="1">
        <v>5448</v>
      </c>
      <c r="I129" s="1" t="s">
        <v>527</v>
      </c>
      <c r="J129" s="1" t="s">
        <v>535</v>
      </c>
      <c r="K129" s="1">
        <v>501</v>
      </c>
      <c r="L129" s="1" t="s">
        <v>264</v>
      </c>
    </row>
    <row r="130" spans="2:12" customFormat="1" x14ac:dyDescent="0.25">
      <c r="B130" s="12" t="s">
        <v>431</v>
      </c>
      <c r="C130" s="8" t="s">
        <v>500</v>
      </c>
      <c r="D130" s="1" t="s">
        <v>568</v>
      </c>
      <c r="E130" s="7" t="s">
        <v>484</v>
      </c>
      <c r="F130" s="1" t="s">
        <v>394</v>
      </c>
      <c r="G130" s="1" t="s">
        <v>6</v>
      </c>
      <c r="H130" s="1">
        <v>5448</v>
      </c>
      <c r="I130" s="1" t="s">
        <v>528</v>
      </c>
      <c r="J130" s="1" t="s">
        <v>535</v>
      </c>
      <c r="K130" s="1">
        <v>502</v>
      </c>
      <c r="L130" s="1" t="s">
        <v>265</v>
      </c>
    </row>
    <row r="131" spans="2:12" customFormat="1" x14ac:dyDescent="0.25">
      <c r="B131" s="12" t="s">
        <v>432</v>
      </c>
      <c r="C131" s="8" t="s">
        <v>501</v>
      </c>
      <c r="D131" s="1" t="s">
        <v>568</v>
      </c>
      <c r="E131" s="7" t="s">
        <v>485</v>
      </c>
      <c r="F131" s="1" t="s">
        <v>394</v>
      </c>
      <c r="G131" s="1" t="s">
        <v>6</v>
      </c>
      <c r="H131" s="1">
        <v>5448</v>
      </c>
      <c r="I131" s="1" t="s">
        <v>529</v>
      </c>
      <c r="J131" s="1" t="s">
        <v>535</v>
      </c>
      <c r="K131" s="1">
        <v>503</v>
      </c>
      <c r="L131" s="1" t="s">
        <v>266</v>
      </c>
    </row>
    <row r="132" spans="2:12" customFormat="1" x14ac:dyDescent="0.25">
      <c r="B132" s="12" t="s">
        <v>433</v>
      </c>
      <c r="C132" s="8" t="s">
        <v>502</v>
      </c>
      <c r="D132" s="1" t="s">
        <v>568</v>
      </c>
      <c r="E132" s="7" t="s">
        <v>486</v>
      </c>
      <c r="F132" s="1" t="s">
        <v>394</v>
      </c>
      <c r="G132" s="1" t="s">
        <v>6</v>
      </c>
      <c r="H132" s="1">
        <v>5448</v>
      </c>
      <c r="I132" s="1" t="s">
        <v>530</v>
      </c>
      <c r="J132" s="1" t="s">
        <v>535</v>
      </c>
      <c r="K132" s="1">
        <v>504</v>
      </c>
      <c r="L132" s="1" t="s">
        <v>267</v>
      </c>
    </row>
    <row r="133" spans="2:12" customFormat="1" x14ac:dyDescent="0.25">
      <c r="B133" s="12" t="s">
        <v>434</v>
      </c>
      <c r="C133" s="7" t="s">
        <v>503</v>
      </c>
      <c r="D133" s="1" t="s">
        <v>568</v>
      </c>
      <c r="E133" s="7" t="s">
        <v>487</v>
      </c>
      <c r="F133" s="1" t="s">
        <v>394</v>
      </c>
      <c r="G133" s="1" t="s">
        <v>6</v>
      </c>
      <c r="H133" s="1">
        <v>5448</v>
      </c>
      <c r="I133" s="1" t="s">
        <v>531</v>
      </c>
      <c r="J133" s="1" t="s">
        <v>536</v>
      </c>
      <c r="K133" s="1">
        <v>505</v>
      </c>
      <c r="L133" s="1" t="s">
        <v>268</v>
      </c>
    </row>
    <row r="134" spans="2:12" customFormat="1" x14ac:dyDescent="0.25">
      <c r="B134" s="12" t="s">
        <v>435</v>
      </c>
      <c r="C134" s="7" t="s">
        <v>504</v>
      </c>
      <c r="D134" s="1" t="s">
        <v>568</v>
      </c>
      <c r="E134" s="7" t="s">
        <v>488</v>
      </c>
      <c r="F134" s="1" t="s">
        <v>394</v>
      </c>
      <c r="G134" s="1" t="s">
        <v>6</v>
      </c>
      <c r="H134" s="1">
        <v>5448</v>
      </c>
      <c r="I134" s="1" t="s">
        <v>532</v>
      </c>
      <c r="J134" s="1" t="s">
        <v>536</v>
      </c>
      <c r="K134" s="1">
        <v>506</v>
      </c>
      <c r="L134" s="1" t="s">
        <v>269</v>
      </c>
    </row>
    <row r="135" spans="2:12" customFormat="1" x14ac:dyDescent="0.25">
      <c r="B135" s="12" t="s">
        <v>436</v>
      </c>
      <c r="C135" s="8" t="s">
        <v>505</v>
      </c>
      <c r="D135" s="1" t="s">
        <v>543</v>
      </c>
      <c r="E135" s="7" t="s">
        <v>489</v>
      </c>
      <c r="F135" s="1" t="s">
        <v>394</v>
      </c>
      <c r="G135" s="1" t="s">
        <v>6</v>
      </c>
      <c r="H135" s="1">
        <v>5448</v>
      </c>
      <c r="I135" s="1" t="s">
        <v>537</v>
      </c>
      <c r="J135" s="1" t="s">
        <v>536</v>
      </c>
      <c r="K135" s="1">
        <v>507</v>
      </c>
      <c r="L135" s="1" t="s">
        <v>270</v>
      </c>
    </row>
    <row r="136" spans="2:12" customFormat="1" x14ac:dyDescent="0.25">
      <c r="B136" s="12" t="s">
        <v>437</v>
      </c>
      <c r="C136" s="8" t="s">
        <v>506</v>
      </c>
      <c r="D136" s="1" t="s">
        <v>543</v>
      </c>
      <c r="E136" s="7" t="s">
        <v>490</v>
      </c>
      <c r="F136" s="1" t="s">
        <v>394</v>
      </c>
      <c r="G136" s="1" t="s">
        <v>6</v>
      </c>
      <c r="H136" s="1">
        <v>5448</v>
      </c>
      <c r="I136" s="1" t="s">
        <v>538</v>
      </c>
      <c r="J136" s="1" t="s">
        <v>536</v>
      </c>
      <c r="K136" s="1">
        <v>508</v>
      </c>
      <c r="L136" s="1" t="s">
        <v>271</v>
      </c>
    </row>
    <row r="137" spans="2:12" customFormat="1" x14ac:dyDescent="0.25">
      <c r="B137" s="12" t="s">
        <v>438</v>
      </c>
      <c r="C137" s="8" t="s">
        <v>507</v>
      </c>
      <c r="D137" s="1" t="s">
        <v>543</v>
      </c>
      <c r="E137" s="7" t="s">
        <v>491</v>
      </c>
      <c r="F137" s="1" t="s">
        <v>394</v>
      </c>
      <c r="G137" s="1" t="s">
        <v>6</v>
      </c>
      <c r="H137" s="1">
        <v>5448</v>
      </c>
      <c r="I137" s="1" t="s">
        <v>541</v>
      </c>
      <c r="J137" s="1" t="s">
        <v>536</v>
      </c>
      <c r="K137" s="1">
        <v>701</v>
      </c>
      <c r="L137" s="1" t="s">
        <v>272</v>
      </c>
    </row>
    <row r="138" spans="2:12" customFormat="1" x14ac:dyDescent="0.25">
      <c r="B138" s="12" t="s">
        <v>439</v>
      </c>
      <c r="C138" s="8" t="s">
        <v>508</v>
      </c>
      <c r="D138" s="1" t="s">
        <v>543</v>
      </c>
      <c r="E138" s="7" t="s">
        <v>492</v>
      </c>
      <c r="F138" s="1" t="s">
        <v>394</v>
      </c>
      <c r="G138" s="1" t="s">
        <v>6</v>
      </c>
      <c r="H138" s="1">
        <v>5448</v>
      </c>
      <c r="I138" s="1" t="s">
        <v>539</v>
      </c>
      <c r="J138" s="1" t="s">
        <v>536</v>
      </c>
      <c r="K138" s="1">
        <v>702</v>
      </c>
      <c r="L138" s="1" t="s">
        <v>273</v>
      </c>
    </row>
    <row r="139" spans="2:12" customFormat="1" x14ac:dyDescent="0.25">
      <c r="B139" s="12" t="s">
        <v>440</v>
      </c>
      <c r="C139" s="8" t="s">
        <v>509</v>
      </c>
      <c r="D139" s="1" t="s">
        <v>543</v>
      </c>
      <c r="E139" s="7" t="s">
        <v>493</v>
      </c>
      <c r="F139" s="1" t="s">
        <v>394</v>
      </c>
      <c r="G139" s="1" t="s">
        <v>6</v>
      </c>
      <c r="H139" s="1">
        <v>5448</v>
      </c>
      <c r="I139" s="1" t="s">
        <v>540</v>
      </c>
      <c r="J139" s="1" t="s">
        <v>536</v>
      </c>
      <c r="K139" s="1">
        <v>703</v>
      </c>
      <c r="L139" s="1" t="s">
        <v>274</v>
      </c>
    </row>
    <row r="140" spans="2:12" customFormat="1" x14ac:dyDescent="0.25">
      <c r="B140" s="12" t="s">
        <v>441</v>
      </c>
      <c r="C140" s="8" t="s">
        <v>510</v>
      </c>
      <c r="D140" s="1" t="s">
        <v>543</v>
      </c>
      <c r="E140" s="7" t="s">
        <v>494</v>
      </c>
      <c r="F140" s="1" t="s">
        <v>394</v>
      </c>
      <c r="G140" s="1" t="s">
        <v>6</v>
      </c>
      <c r="H140" s="1">
        <v>5448</v>
      </c>
      <c r="I140" s="1" t="s">
        <v>542</v>
      </c>
      <c r="J140" s="1" t="s">
        <v>536</v>
      </c>
      <c r="K140" s="1">
        <v>704</v>
      </c>
      <c r="L140" s="1" t="s">
        <v>275</v>
      </c>
    </row>
    <row r="141" spans="2:12" x14ac:dyDescent="0.25">
      <c r="B141" s="13"/>
    </row>
    <row r="142" spans="2:12" x14ac:dyDescent="0.25">
      <c r="B142" s="13"/>
    </row>
    <row r="143" spans="2:12" x14ac:dyDescent="0.25">
      <c r="B143" s="12" t="s">
        <v>612</v>
      </c>
      <c r="C143" s="1" t="s">
        <v>571</v>
      </c>
      <c r="D143" s="4" t="s">
        <v>569</v>
      </c>
      <c r="E143" s="11" t="s">
        <v>563</v>
      </c>
      <c r="F143" s="1" t="s">
        <v>611</v>
      </c>
      <c r="G143" s="1" t="s">
        <v>6</v>
      </c>
      <c r="H143" s="13" t="s">
        <v>564</v>
      </c>
      <c r="I143" s="1" t="s">
        <v>591</v>
      </c>
      <c r="J143" s="1" t="s">
        <v>165</v>
      </c>
      <c r="K143" s="1">
        <v>501</v>
      </c>
      <c r="L143" s="1" t="s">
        <v>264</v>
      </c>
    </row>
    <row r="144" spans="2:12" x14ac:dyDescent="0.25">
      <c r="B144" s="12" t="s">
        <v>613</v>
      </c>
      <c r="C144" s="1" t="s">
        <v>572</v>
      </c>
      <c r="D144" s="4" t="s">
        <v>569</v>
      </c>
      <c r="E144" s="11" t="s">
        <v>544</v>
      </c>
      <c r="F144" s="1" t="s">
        <v>611</v>
      </c>
      <c r="G144" s="1" t="s">
        <v>6</v>
      </c>
      <c r="H144" s="13" t="s">
        <v>564</v>
      </c>
      <c r="I144" s="1" t="s">
        <v>592</v>
      </c>
      <c r="J144" s="1" t="s">
        <v>165</v>
      </c>
      <c r="K144" s="1">
        <v>502</v>
      </c>
      <c r="L144" s="1" t="s">
        <v>265</v>
      </c>
    </row>
    <row r="145" spans="2:12" x14ac:dyDescent="0.25">
      <c r="B145" s="12" t="s">
        <v>614</v>
      </c>
      <c r="C145" s="1" t="s">
        <v>573</v>
      </c>
      <c r="D145" s="4" t="s">
        <v>569</v>
      </c>
      <c r="E145" s="11" t="s">
        <v>545</v>
      </c>
      <c r="F145" s="1" t="s">
        <v>611</v>
      </c>
      <c r="G145" s="1" t="s">
        <v>6</v>
      </c>
      <c r="H145" s="13" t="s">
        <v>564</v>
      </c>
      <c r="I145" s="1" t="s">
        <v>593</v>
      </c>
      <c r="J145" s="1" t="s">
        <v>165</v>
      </c>
      <c r="K145" s="1">
        <v>503</v>
      </c>
      <c r="L145" s="1" t="s">
        <v>266</v>
      </c>
    </row>
    <row r="146" spans="2:12" x14ac:dyDescent="0.25">
      <c r="B146" s="12" t="s">
        <v>615</v>
      </c>
      <c r="C146" s="1" t="s">
        <v>574</v>
      </c>
      <c r="D146" s="4" t="s">
        <v>569</v>
      </c>
      <c r="E146" s="11" t="s">
        <v>546</v>
      </c>
      <c r="F146" s="1" t="s">
        <v>611</v>
      </c>
      <c r="G146" s="1" t="s">
        <v>6</v>
      </c>
      <c r="H146" s="13" t="s">
        <v>564</v>
      </c>
      <c r="I146" s="1" t="s">
        <v>594</v>
      </c>
      <c r="J146" s="1" t="s">
        <v>165</v>
      </c>
      <c r="K146" s="1">
        <v>504</v>
      </c>
      <c r="L146" s="1" t="s">
        <v>267</v>
      </c>
    </row>
    <row r="147" spans="2:12" x14ac:dyDescent="0.25">
      <c r="B147" s="12" t="s">
        <v>616</v>
      </c>
      <c r="C147" s="1" t="s">
        <v>575</v>
      </c>
      <c r="D147" s="4" t="s">
        <v>569</v>
      </c>
      <c r="E147" s="11" t="s">
        <v>547</v>
      </c>
      <c r="F147" s="1" t="s">
        <v>611</v>
      </c>
      <c r="G147" s="1" t="s">
        <v>6</v>
      </c>
      <c r="H147" s="13" t="s">
        <v>565</v>
      </c>
      <c r="I147" s="1" t="s">
        <v>595</v>
      </c>
      <c r="J147" s="1" t="s">
        <v>165</v>
      </c>
      <c r="K147" s="1">
        <v>505</v>
      </c>
      <c r="L147" s="1" t="s">
        <v>268</v>
      </c>
    </row>
    <row r="148" spans="2:12" x14ac:dyDescent="0.25">
      <c r="B148" s="12" t="s">
        <v>617</v>
      </c>
      <c r="C148" s="1" t="s">
        <v>576</v>
      </c>
      <c r="D148" s="4" t="s">
        <v>569</v>
      </c>
      <c r="E148" s="11" t="s">
        <v>548</v>
      </c>
      <c r="F148" s="1" t="s">
        <v>611</v>
      </c>
      <c r="G148" s="1" t="s">
        <v>6</v>
      </c>
      <c r="H148" s="13" t="s">
        <v>565</v>
      </c>
      <c r="I148" s="1" t="s">
        <v>596</v>
      </c>
      <c r="J148" s="1" t="s">
        <v>165</v>
      </c>
      <c r="K148" s="1">
        <v>506</v>
      </c>
      <c r="L148" s="1" t="s">
        <v>269</v>
      </c>
    </row>
    <row r="149" spans="2:12" x14ac:dyDescent="0.25">
      <c r="B149" s="12" t="s">
        <v>618</v>
      </c>
      <c r="C149" s="1" t="s">
        <v>577</v>
      </c>
      <c r="D149" s="4" t="s">
        <v>570</v>
      </c>
      <c r="E149" s="11" t="s">
        <v>549</v>
      </c>
      <c r="F149" s="1" t="s">
        <v>611</v>
      </c>
      <c r="G149" s="1" t="s">
        <v>6</v>
      </c>
      <c r="H149" s="13" t="s">
        <v>566</v>
      </c>
      <c r="I149" s="1" t="s">
        <v>597</v>
      </c>
      <c r="J149" s="1" t="s">
        <v>165</v>
      </c>
      <c r="K149" s="1">
        <v>507</v>
      </c>
      <c r="L149" s="1" t="s">
        <v>270</v>
      </c>
    </row>
    <row r="150" spans="2:12" x14ac:dyDescent="0.25">
      <c r="B150" s="12" t="s">
        <v>619</v>
      </c>
      <c r="C150" s="1" t="s">
        <v>578</v>
      </c>
      <c r="D150" s="4" t="s">
        <v>570</v>
      </c>
      <c r="E150" s="11" t="s">
        <v>550</v>
      </c>
      <c r="F150" s="1" t="s">
        <v>611</v>
      </c>
      <c r="G150" s="1" t="s">
        <v>6</v>
      </c>
      <c r="H150" s="13" t="s">
        <v>566</v>
      </c>
      <c r="I150" s="1" t="s">
        <v>598</v>
      </c>
      <c r="J150" s="1" t="s">
        <v>165</v>
      </c>
      <c r="K150" s="1">
        <v>508</v>
      </c>
      <c r="L150" s="1" t="s">
        <v>271</v>
      </c>
    </row>
    <row r="151" spans="2:12" x14ac:dyDescent="0.25">
      <c r="B151" s="12" t="s">
        <v>620</v>
      </c>
      <c r="C151" s="1" t="s">
        <v>579</v>
      </c>
      <c r="D151" s="4" t="s">
        <v>570</v>
      </c>
      <c r="E151" s="11" t="s">
        <v>551</v>
      </c>
      <c r="F151" s="1" t="s">
        <v>611</v>
      </c>
      <c r="G151" s="1" t="s">
        <v>6</v>
      </c>
      <c r="H151" s="13" t="s">
        <v>567</v>
      </c>
      <c r="I151" s="1" t="s">
        <v>599</v>
      </c>
      <c r="J151" s="1" t="s">
        <v>165</v>
      </c>
      <c r="K151" s="1">
        <v>701</v>
      </c>
      <c r="L151" s="1" t="s">
        <v>272</v>
      </c>
    </row>
    <row r="152" spans="2:12" x14ac:dyDescent="0.25">
      <c r="B152" s="12" t="s">
        <v>621</v>
      </c>
      <c r="C152" s="1" t="s">
        <v>580</v>
      </c>
      <c r="D152" s="4" t="s">
        <v>570</v>
      </c>
      <c r="E152" s="11" t="s">
        <v>552</v>
      </c>
      <c r="F152" s="1" t="s">
        <v>611</v>
      </c>
      <c r="G152" s="1" t="s">
        <v>6</v>
      </c>
      <c r="H152" s="13" t="s">
        <v>567</v>
      </c>
      <c r="I152" s="1" t="s">
        <v>600</v>
      </c>
      <c r="J152" s="1" t="s">
        <v>165</v>
      </c>
      <c r="K152" s="1">
        <v>702</v>
      </c>
      <c r="L152" s="1" t="s">
        <v>273</v>
      </c>
    </row>
    <row r="153" spans="2:12" x14ac:dyDescent="0.25">
      <c r="B153" s="13"/>
      <c r="D153" s="4"/>
      <c r="H153" s="13"/>
      <c r="I153"/>
    </row>
    <row r="154" spans="2:12" x14ac:dyDescent="0.25">
      <c r="B154" s="12" t="s">
        <v>622</v>
      </c>
      <c r="C154" s="1" t="s">
        <v>581</v>
      </c>
      <c r="D154" s="4" t="s">
        <v>569</v>
      </c>
      <c r="E154" s="11" t="s">
        <v>553</v>
      </c>
      <c r="F154" s="1" t="s">
        <v>611</v>
      </c>
      <c r="G154" s="1" t="s">
        <v>6</v>
      </c>
      <c r="H154" s="13" t="s">
        <v>564</v>
      </c>
      <c r="I154" s="1" t="s">
        <v>601</v>
      </c>
      <c r="J154" s="1" t="s">
        <v>166</v>
      </c>
      <c r="K154" s="1">
        <v>501</v>
      </c>
      <c r="L154" s="1" t="s">
        <v>264</v>
      </c>
    </row>
    <row r="155" spans="2:12" x14ac:dyDescent="0.25">
      <c r="B155" s="12" t="s">
        <v>623</v>
      </c>
      <c r="C155" s="1" t="s">
        <v>582</v>
      </c>
      <c r="D155" s="4" t="s">
        <v>569</v>
      </c>
      <c r="E155" s="11" t="s">
        <v>554</v>
      </c>
      <c r="F155" s="1" t="s">
        <v>611</v>
      </c>
      <c r="G155" s="1" t="s">
        <v>6</v>
      </c>
      <c r="H155" s="13" t="s">
        <v>564</v>
      </c>
      <c r="I155" s="1" t="s">
        <v>602</v>
      </c>
      <c r="J155" s="1" t="s">
        <v>166</v>
      </c>
      <c r="K155" s="1">
        <v>502</v>
      </c>
      <c r="L155" s="1" t="s">
        <v>265</v>
      </c>
    </row>
    <row r="156" spans="2:12" x14ac:dyDescent="0.25">
      <c r="B156" s="12" t="s">
        <v>624</v>
      </c>
      <c r="C156" s="1" t="s">
        <v>583</v>
      </c>
      <c r="D156" s="4" t="s">
        <v>569</v>
      </c>
      <c r="E156" s="11" t="s">
        <v>555</v>
      </c>
      <c r="F156" s="1" t="s">
        <v>611</v>
      </c>
      <c r="G156" s="1" t="s">
        <v>6</v>
      </c>
      <c r="H156" s="13" t="s">
        <v>564</v>
      </c>
      <c r="I156" s="1" t="s">
        <v>603</v>
      </c>
      <c r="J156" s="1" t="s">
        <v>166</v>
      </c>
      <c r="K156" s="1">
        <v>503</v>
      </c>
      <c r="L156" s="1" t="s">
        <v>266</v>
      </c>
    </row>
    <row r="157" spans="2:12" x14ac:dyDescent="0.25">
      <c r="B157" s="12" t="s">
        <v>625</v>
      </c>
      <c r="C157" s="1" t="s">
        <v>584</v>
      </c>
      <c r="D157" s="4" t="s">
        <v>569</v>
      </c>
      <c r="E157" s="11" t="s">
        <v>556</v>
      </c>
      <c r="F157" s="1" t="s">
        <v>611</v>
      </c>
      <c r="G157" s="1" t="s">
        <v>6</v>
      </c>
      <c r="H157" s="13" t="s">
        <v>564</v>
      </c>
      <c r="I157" s="1" t="s">
        <v>604</v>
      </c>
      <c r="J157" s="1" t="s">
        <v>166</v>
      </c>
      <c r="K157" s="1">
        <v>504</v>
      </c>
      <c r="L157" s="1" t="s">
        <v>267</v>
      </c>
    </row>
    <row r="158" spans="2:12" x14ac:dyDescent="0.25">
      <c r="B158" s="12" t="s">
        <v>626</v>
      </c>
      <c r="C158" s="1" t="s">
        <v>585</v>
      </c>
      <c r="D158" s="4" t="s">
        <v>569</v>
      </c>
      <c r="E158" s="11" t="s">
        <v>557</v>
      </c>
      <c r="F158" s="1" t="s">
        <v>611</v>
      </c>
      <c r="G158" s="1" t="s">
        <v>6</v>
      </c>
      <c r="H158" s="13" t="s">
        <v>565</v>
      </c>
      <c r="I158" s="1" t="s">
        <v>605</v>
      </c>
      <c r="J158" s="1" t="s">
        <v>166</v>
      </c>
      <c r="K158" s="1">
        <v>505</v>
      </c>
      <c r="L158" s="1" t="s">
        <v>268</v>
      </c>
    </row>
    <row r="159" spans="2:12" x14ac:dyDescent="0.25">
      <c r="B159" s="12" t="s">
        <v>627</v>
      </c>
      <c r="C159" s="1" t="s">
        <v>586</v>
      </c>
      <c r="D159" s="4" t="s">
        <v>569</v>
      </c>
      <c r="E159" s="11" t="s">
        <v>558</v>
      </c>
      <c r="F159" s="1" t="s">
        <v>611</v>
      </c>
      <c r="G159" s="1" t="s">
        <v>6</v>
      </c>
      <c r="H159" s="13" t="s">
        <v>565</v>
      </c>
      <c r="I159" s="1" t="s">
        <v>606</v>
      </c>
      <c r="J159" s="1" t="s">
        <v>166</v>
      </c>
      <c r="K159" s="1">
        <v>506</v>
      </c>
      <c r="L159" s="1" t="s">
        <v>269</v>
      </c>
    </row>
    <row r="160" spans="2:12" x14ac:dyDescent="0.25">
      <c r="B160" s="12" t="s">
        <v>628</v>
      </c>
      <c r="C160" s="1" t="s">
        <v>587</v>
      </c>
      <c r="D160" s="4" t="s">
        <v>570</v>
      </c>
      <c r="E160" s="11" t="s">
        <v>559</v>
      </c>
      <c r="F160" s="1" t="s">
        <v>611</v>
      </c>
      <c r="G160" s="1" t="s">
        <v>6</v>
      </c>
      <c r="H160" s="13" t="s">
        <v>566</v>
      </c>
      <c r="I160" s="1" t="s">
        <v>607</v>
      </c>
      <c r="J160" s="1" t="s">
        <v>166</v>
      </c>
      <c r="K160" s="1">
        <v>507</v>
      </c>
      <c r="L160" s="1" t="s">
        <v>270</v>
      </c>
    </row>
    <row r="161" spans="2:12" x14ac:dyDescent="0.25">
      <c r="B161" s="12" t="s">
        <v>629</v>
      </c>
      <c r="C161" s="1" t="s">
        <v>588</v>
      </c>
      <c r="D161" s="4" t="s">
        <v>570</v>
      </c>
      <c r="E161" s="11" t="s">
        <v>560</v>
      </c>
      <c r="F161" s="1" t="s">
        <v>611</v>
      </c>
      <c r="G161" s="1" t="s">
        <v>6</v>
      </c>
      <c r="H161" s="13" t="s">
        <v>566</v>
      </c>
      <c r="I161" s="1" t="s">
        <v>608</v>
      </c>
      <c r="J161" s="1" t="s">
        <v>166</v>
      </c>
      <c r="K161" s="1">
        <v>508</v>
      </c>
      <c r="L161" s="1" t="s">
        <v>271</v>
      </c>
    </row>
    <row r="162" spans="2:12" x14ac:dyDescent="0.25">
      <c r="B162" s="12" t="s">
        <v>630</v>
      </c>
      <c r="C162" s="1" t="s">
        <v>589</v>
      </c>
      <c r="D162" s="4" t="s">
        <v>570</v>
      </c>
      <c r="E162" s="11" t="s">
        <v>561</v>
      </c>
      <c r="F162" s="1" t="s">
        <v>611</v>
      </c>
      <c r="G162" s="1" t="s">
        <v>6</v>
      </c>
      <c r="H162" s="13" t="s">
        <v>567</v>
      </c>
      <c r="I162" s="1" t="s">
        <v>609</v>
      </c>
      <c r="J162" s="1" t="s">
        <v>166</v>
      </c>
      <c r="K162" s="1">
        <v>701</v>
      </c>
      <c r="L162" s="1" t="s">
        <v>272</v>
      </c>
    </row>
    <row r="163" spans="2:12" x14ac:dyDescent="0.25">
      <c r="B163" s="12" t="s">
        <v>631</v>
      </c>
      <c r="C163" s="1" t="s">
        <v>590</v>
      </c>
      <c r="D163" s="4" t="s">
        <v>570</v>
      </c>
      <c r="E163" s="11" t="s">
        <v>562</v>
      </c>
      <c r="F163" s="1" t="s">
        <v>611</v>
      </c>
      <c r="G163" s="1" t="s">
        <v>6</v>
      </c>
      <c r="H163" s="13" t="s">
        <v>567</v>
      </c>
      <c r="I163" s="1" t="s">
        <v>610</v>
      </c>
      <c r="J163" s="1" t="s">
        <v>166</v>
      </c>
      <c r="K163" s="1">
        <v>702</v>
      </c>
      <c r="L163" s="1" t="s">
        <v>273</v>
      </c>
    </row>
    <row r="164" spans="2:12" x14ac:dyDescent="0.25">
      <c r="B164" s="13"/>
    </row>
    <row r="165" spans="2:12" x14ac:dyDescent="0.25">
      <c r="B165" s="12" t="s">
        <v>677</v>
      </c>
      <c r="C165" s="1" t="s">
        <v>698</v>
      </c>
      <c r="D165" s="4" t="s">
        <v>632</v>
      </c>
      <c r="E165" s="11" t="s">
        <v>633</v>
      </c>
      <c r="F165" s="1" t="s">
        <v>634</v>
      </c>
      <c r="G165" s="1" t="s">
        <v>635</v>
      </c>
      <c r="H165" s="1" t="s">
        <v>636</v>
      </c>
      <c r="I165" s="4" t="s">
        <v>632</v>
      </c>
      <c r="J165" s="1" t="s">
        <v>165</v>
      </c>
      <c r="K165" s="1">
        <v>501</v>
      </c>
      <c r="L165" s="1" t="s">
        <v>264</v>
      </c>
    </row>
    <row r="166" spans="2:12" x14ac:dyDescent="0.25">
      <c r="B166" s="12" t="s">
        <v>678</v>
      </c>
      <c r="C166" s="1" t="s">
        <v>697</v>
      </c>
      <c r="D166" s="4" t="s">
        <v>637</v>
      </c>
      <c r="E166" s="11" t="s">
        <v>638</v>
      </c>
      <c r="F166" s="1" t="s">
        <v>634</v>
      </c>
      <c r="G166" s="1" t="s">
        <v>635</v>
      </c>
      <c r="H166" s="1" t="s">
        <v>636</v>
      </c>
      <c r="I166" s="4" t="s">
        <v>637</v>
      </c>
      <c r="J166" s="1" t="s">
        <v>165</v>
      </c>
      <c r="K166" s="1">
        <v>502</v>
      </c>
      <c r="L166" s="1" t="s">
        <v>265</v>
      </c>
    </row>
    <row r="167" spans="2:12" x14ac:dyDescent="0.25">
      <c r="B167" s="12" t="s">
        <v>679</v>
      </c>
      <c r="C167" s="1" t="s">
        <v>699</v>
      </c>
      <c r="D167" s="4" t="s">
        <v>639</v>
      </c>
      <c r="E167" s="11" t="s">
        <v>640</v>
      </c>
      <c r="F167" s="1" t="s">
        <v>634</v>
      </c>
      <c r="G167" s="1" t="s">
        <v>635</v>
      </c>
      <c r="H167" s="1" t="s">
        <v>636</v>
      </c>
      <c r="I167" s="4" t="s">
        <v>639</v>
      </c>
      <c r="J167" s="1" t="s">
        <v>165</v>
      </c>
      <c r="K167" s="1">
        <v>503</v>
      </c>
      <c r="L167" s="1" t="s">
        <v>266</v>
      </c>
    </row>
    <row r="168" spans="2:12" x14ac:dyDescent="0.25">
      <c r="B168" s="12" t="s">
        <v>680</v>
      </c>
      <c r="C168" s="1" t="s">
        <v>700</v>
      </c>
      <c r="D168" s="4" t="s">
        <v>641</v>
      </c>
      <c r="E168" s="11" t="s">
        <v>642</v>
      </c>
      <c r="F168" s="1" t="s">
        <v>634</v>
      </c>
      <c r="G168" s="1" t="s">
        <v>635</v>
      </c>
      <c r="H168" s="1" t="s">
        <v>643</v>
      </c>
      <c r="I168" s="4" t="s">
        <v>641</v>
      </c>
      <c r="J168" s="1" t="s">
        <v>165</v>
      </c>
      <c r="K168" s="1">
        <v>504</v>
      </c>
      <c r="L168" s="1" t="s">
        <v>267</v>
      </c>
    </row>
    <row r="169" spans="2:12" x14ac:dyDescent="0.25">
      <c r="B169" s="12" t="s">
        <v>681</v>
      </c>
      <c r="C169" s="1" t="s">
        <v>701</v>
      </c>
      <c r="D169" s="4" t="s">
        <v>644</v>
      </c>
      <c r="E169" s="11" t="s">
        <v>645</v>
      </c>
      <c r="F169" s="1" t="s">
        <v>634</v>
      </c>
      <c r="G169" s="1" t="s">
        <v>635</v>
      </c>
      <c r="H169" s="1" t="s">
        <v>643</v>
      </c>
      <c r="I169" s="4" t="s">
        <v>644</v>
      </c>
      <c r="J169" s="1" t="s">
        <v>165</v>
      </c>
      <c r="K169" s="1">
        <v>505</v>
      </c>
      <c r="L169" s="1" t="s">
        <v>268</v>
      </c>
    </row>
    <row r="170" spans="2:12" x14ac:dyDescent="0.25">
      <c r="B170" s="12" t="s">
        <v>682</v>
      </c>
      <c r="C170" s="1" t="s">
        <v>702</v>
      </c>
      <c r="D170" s="4" t="s">
        <v>646</v>
      </c>
      <c r="E170" s="11" t="s">
        <v>647</v>
      </c>
      <c r="F170" s="1" t="s">
        <v>634</v>
      </c>
      <c r="G170" s="1" t="s">
        <v>635</v>
      </c>
      <c r="H170" s="1" t="s">
        <v>643</v>
      </c>
      <c r="I170" s="4" t="s">
        <v>646</v>
      </c>
      <c r="J170" s="1" t="s">
        <v>165</v>
      </c>
      <c r="K170" s="1">
        <v>506</v>
      </c>
      <c r="L170" s="1" t="s">
        <v>269</v>
      </c>
    </row>
    <row r="171" spans="2:12" x14ac:dyDescent="0.25">
      <c r="B171" s="12" t="s">
        <v>683</v>
      </c>
      <c r="C171" s="1" t="s">
        <v>703</v>
      </c>
      <c r="D171" s="4" t="s">
        <v>648</v>
      </c>
      <c r="E171" s="11" t="s">
        <v>649</v>
      </c>
      <c r="F171" s="1" t="s">
        <v>634</v>
      </c>
      <c r="G171" s="1" t="s">
        <v>635</v>
      </c>
      <c r="H171" s="1" t="s">
        <v>643</v>
      </c>
      <c r="I171" s="4" t="s">
        <v>648</v>
      </c>
      <c r="J171" s="1" t="s">
        <v>165</v>
      </c>
      <c r="K171" s="1">
        <v>507</v>
      </c>
      <c r="L171" s="1" t="s">
        <v>270</v>
      </c>
    </row>
    <row r="172" spans="2:12" x14ac:dyDescent="0.25">
      <c r="B172" s="12" t="s">
        <v>684</v>
      </c>
      <c r="C172" s="1" t="s">
        <v>704</v>
      </c>
      <c r="D172" s="4" t="s">
        <v>650</v>
      </c>
      <c r="E172" s="11" t="s">
        <v>651</v>
      </c>
      <c r="F172" s="1" t="s">
        <v>634</v>
      </c>
      <c r="G172" s="1" t="s">
        <v>6</v>
      </c>
      <c r="H172" s="1" t="s">
        <v>652</v>
      </c>
      <c r="I172" s="4" t="s">
        <v>650</v>
      </c>
      <c r="J172" s="1" t="s">
        <v>165</v>
      </c>
      <c r="K172" s="1">
        <v>508</v>
      </c>
      <c r="L172" s="1" t="s">
        <v>271</v>
      </c>
    </row>
    <row r="173" spans="2:12" x14ac:dyDescent="0.25">
      <c r="B173" s="12" t="s">
        <v>685</v>
      </c>
      <c r="C173" s="1" t="s">
        <v>705</v>
      </c>
      <c r="D173" s="4" t="s">
        <v>653</v>
      </c>
      <c r="E173" s="11" t="s">
        <v>654</v>
      </c>
      <c r="F173" s="1" t="s">
        <v>634</v>
      </c>
      <c r="G173" s="1" t="s">
        <v>6</v>
      </c>
      <c r="H173" s="1" t="s">
        <v>652</v>
      </c>
      <c r="I173" s="4" t="s">
        <v>653</v>
      </c>
      <c r="J173" s="1" t="s">
        <v>165</v>
      </c>
      <c r="K173" s="1">
        <v>701</v>
      </c>
      <c r="L173" s="1" t="s">
        <v>696</v>
      </c>
    </row>
    <row r="174" spans="2:12" x14ac:dyDescent="0.25">
      <c r="B174" s="12" t="s">
        <v>686</v>
      </c>
      <c r="C174" s="1" t="s">
        <v>706</v>
      </c>
      <c r="D174" s="4" t="s">
        <v>655</v>
      </c>
      <c r="E174" s="11" t="s">
        <v>656</v>
      </c>
      <c r="F174" s="1" t="s">
        <v>634</v>
      </c>
      <c r="G174" s="1" t="s">
        <v>6</v>
      </c>
      <c r="H174" s="1" t="s">
        <v>652</v>
      </c>
      <c r="I174" s="4" t="s">
        <v>655</v>
      </c>
      <c r="J174" s="1" t="s">
        <v>165</v>
      </c>
      <c r="K174" s="1">
        <v>702</v>
      </c>
      <c r="L174" s="1" t="s">
        <v>273</v>
      </c>
    </row>
    <row r="175" spans="2:12" x14ac:dyDescent="0.25">
      <c r="B175" s="13"/>
      <c r="D175" s="4"/>
      <c r="I175" s="4"/>
    </row>
    <row r="176" spans="2:12" x14ac:dyDescent="0.25">
      <c r="B176" s="12" t="s">
        <v>687</v>
      </c>
      <c r="C176" s="1" t="s">
        <v>707</v>
      </c>
      <c r="D176" s="4" t="s">
        <v>657</v>
      </c>
      <c r="E176" s="11" t="s">
        <v>658</v>
      </c>
      <c r="F176" s="1" t="s">
        <v>634</v>
      </c>
      <c r="G176" s="1" t="s">
        <v>6</v>
      </c>
      <c r="H176" s="1" t="s">
        <v>659</v>
      </c>
      <c r="I176" s="4" t="s">
        <v>657</v>
      </c>
      <c r="J176" s="1" t="s">
        <v>166</v>
      </c>
      <c r="K176" s="1">
        <v>501</v>
      </c>
      <c r="L176" s="1" t="s">
        <v>264</v>
      </c>
    </row>
    <row r="177" spans="1:12" x14ac:dyDescent="0.25">
      <c r="B177" s="12" t="s">
        <v>688</v>
      </c>
      <c r="C177" s="1" t="s">
        <v>708</v>
      </c>
      <c r="D177" s="4" t="s">
        <v>660</v>
      </c>
      <c r="E177" s="11" t="s">
        <v>661</v>
      </c>
      <c r="F177" s="1" t="s">
        <v>634</v>
      </c>
      <c r="G177" s="1" t="s">
        <v>6</v>
      </c>
      <c r="H177" s="1" t="s">
        <v>659</v>
      </c>
      <c r="I177" s="4" t="s">
        <v>660</v>
      </c>
      <c r="J177" s="1" t="s">
        <v>166</v>
      </c>
      <c r="K177" s="1">
        <v>502</v>
      </c>
      <c r="L177" s="1" t="s">
        <v>265</v>
      </c>
    </row>
    <row r="178" spans="1:12" x14ac:dyDescent="0.25">
      <c r="B178" s="12" t="s">
        <v>689</v>
      </c>
      <c r="C178" s="1" t="s">
        <v>709</v>
      </c>
      <c r="D178" s="4" t="s">
        <v>662</v>
      </c>
      <c r="E178" s="11" t="s">
        <v>663</v>
      </c>
      <c r="F178" s="1" t="s">
        <v>634</v>
      </c>
      <c r="G178" s="1" t="s">
        <v>6</v>
      </c>
      <c r="H178" s="1" t="s">
        <v>664</v>
      </c>
      <c r="I178" s="4" t="s">
        <v>662</v>
      </c>
      <c r="J178" s="1" t="s">
        <v>166</v>
      </c>
      <c r="K178" s="1">
        <v>503</v>
      </c>
      <c r="L178" s="1" t="s">
        <v>266</v>
      </c>
    </row>
    <row r="179" spans="1:12" x14ac:dyDescent="0.25">
      <c r="B179" s="12" t="s">
        <v>690</v>
      </c>
      <c r="C179" s="1" t="s">
        <v>710</v>
      </c>
      <c r="D179" s="4" t="s">
        <v>665</v>
      </c>
      <c r="E179" s="11" t="s">
        <v>666</v>
      </c>
      <c r="F179" s="1" t="s">
        <v>634</v>
      </c>
      <c r="G179" s="1" t="s">
        <v>6</v>
      </c>
      <c r="H179" s="1" t="s">
        <v>652</v>
      </c>
      <c r="I179" s="4" t="s">
        <v>665</v>
      </c>
      <c r="J179" s="1" t="s">
        <v>166</v>
      </c>
      <c r="K179" s="1">
        <v>504</v>
      </c>
      <c r="L179" s="1" t="s">
        <v>267</v>
      </c>
    </row>
    <row r="180" spans="1:12" x14ac:dyDescent="0.25">
      <c r="B180" s="12" t="s">
        <v>691</v>
      </c>
      <c r="C180" s="1" t="s">
        <v>711</v>
      </c>
      <c r="D180" s="4" t="s">
        <v>667</v>
      </c>
      <c r="E180" s="11" t="s">
        <v>668</v>
      </c>
      <c r="F180" s="1" t="s">
        <v>634</v>
      </c>
      <c r="G180" s="1" t="s">
        <v>6</v>
      </c>
      <c r="H180" s="1" t="s">
        <v>652</v>
      </c>
      <c r="I180" s="4" t="s">
        <v>667</v>
      </c>
      <c r="J180" s="1" t="s">
        <v>166</v>
      </c>
      <c r="K180" s="1">
        <v>505</v>
      </c>
      <c r="L180" s="1" t="s">
        <v>268</v>
      </c>
    </row>
    <row r="181" spans="1:12" x14ac:dyDescent="0.25">
      <c r="B181" s="12" t="s">
        <v>692</v>
      </c>
      <c r="C181" s="1" t="s">
        <v>712</v>
      </c>
      <c r="D181" s="4" t="s">
        <v>669</v>
      </c>
      <c r="E181" s="11" t="s">
        <v>670</v>
      </c>
      <c r="F181" s="1" t="s">
        <v>634</v>
      </c>
      <c r="G181" s="1" t="s">
        <v>6</v>
      </c>
      <c r="H181" s="1" t="s">
        <v>652</v>
      </c>
      <c r="I181" s="4" t="s">
        <v>669</v>
      </c>
      <c r="J181" s="1" t="s">
        <v>166</v>
      </c>
      <c r="K181" s="1">
        <v>506</v>
      </c>
      <c r="L181" s="1" t="s">
        <v>269</v>
      </c>
    </row>
    <row r="182" spans="1:12" x14ac:dyDescent="0.25">
      <c r="B182" s="12" t="s">
        <v>693</v>
      </c>
      <c r="C182" s="1" t="s">
        <v>713</v>
      </c>
      <c r="D182" s="4" t="s">
        <v>671</v>
      </c>
      <c r="E182" s="11" t="s">
        <v>672</v>
      </c>
      <c r="F182" s="1" t="s">
        <v>634</v>
      </c>
      <c r="G182" s="1" t="s">
        <v>6</v>
      </c>
      <c r="H182" s="1" t="s">
        <v>659</v>
      </c>
      <c r="I182" s="4" t="s">
        <v>671</v>
      </c>
      <c r="J182" s="1" t="s">
        <v>166</v>
      </c>
      <c r="K182" s="1">
        <v>507</v>
      </c>
      <c r="L182" s="1" t="s">
        <v>270</v>
      </c>
    </row>
    <row r="183" spans="1:12" x14ac:dyDescent="0.25">
      <c r="B183" s="12" t="s">
        <v>694</v>
      </c>
      <c r="C183" s="1" t="s">
        <v>714</v>
      </c>
      <c r="D183" s="4" t="s">
        <v>673</v>
      </c>
      <c r="E183" s="11" t="s">
        <v>674</v>
      </c>
      <c r="F183" s="1" t="s">
        <v>634</v>
      </c>
      <c r="G183" s="1" t="s">
        <v>6</v>
      </c>
      <c r="H183" s="1" t="s">
        <v>659</v>
      </c>
      <c r="I183" s="4" t="s">
        <v>673</v>
      </c>
      <c r="J183" s="1" t="s">
        <v>166</v>
      </c>
      <c r="K183" s="1">
        <v>508</v>
      </c>
      <c r="L183" s="1" t="s">
        <v>271</v>
      </c>
    </row>
    <row r="184" spans="1:12" x14ac:dyDescent="0.25">
      <c r="B184" s="12" t="s">
        <v>695</v>
      </c>
      <c r="C184" s="1" t="s">
        <v>715</v>
      </c>
      <c r="D184" s="4" t="s">
        <v>675</v>
      </c>
      <c r="E184" s="11" t="s">
        <v>676</v>
      </c>
      <c r="F184" s="1" t="s">
        <v>634</v>
      </c>
      <c r="G184" s="1" t="s">
        <v>6</v>
      </c>
      <c r="H184" s="1" t="s">
        <v>664</v>
      </c>
      <c r="I184" s="4" t="s">
        <v>675</v>
      </c>
      <c r="J184" s="1" t="s">
        <v>166</v>
      </c>
      <c r="K184" s="1">
        <v>701</v>
      </c>
      <c r="L184" s="1" t="s">
        <v>696</v>
      </c>
    </row>
    <row r="186" spans="1:12" x14ac:dyDescent="0.25">
      <c r="A186" s="10"/>
      <c r="B186" s="10"/>
      <c r="C186" s="10" t="s">
        <v>717</v>
      </c>
      <c r="D186" s="4" t="s">
        <v>726</v>
      </c>
      <c r="E186" s="13"/>
      <c r="F186" s="13" t="s">
        <v>716</v>
      </c>
      <c r="G186" s="13" t="s">
        <v>635</v>
      </c>
      <c r="H186" s="1" t="s">
        <v>636</v>
      </c>
      <c r="I186" s="4" t="s">
        <v>726</v>
      </c>
      <c r="J186" s="13"/>
      <c r="K186" s="13"/>
      <c r="L186" s="17" t="s">
        <v>735</v>
      </c>
    </row>
    <row r="187" spans="1:12" x14ac:dyDescent="0.25">
      <c r="A187" s="10"/>
      <c r="B187" s="10"/>
      <c r="C187" s="10" t="s">
        <v>718</v>
      </c>
      <c r="D187" s="4" t="s">
        <v>727</v>
      </c>
      <c r="E187" s="13"/>
      <c r="F187" s="13" t="s">
        <v>716</v>
      </c>
      <c r="G187" s="13" t="s">
        <v>635</v>
      </c>
      <c r="H187" s="1" t="s">
        <v>636</v>
      </c>
      <c r="I187" s="4" t="s">
        <v>727</v>
      </c>
      <c r="J187" s="13"/>
      <c r="K187" s="13"/>
      <c r="L187" s="17" t="s">
        <v>736</v>
      </c>
    </row>
    <row r="188" spans="1:12" x14ac:dyDescent="0.25">
      <c r="A188" s="10"/>
      <c r="B188" s="10"/>
      <c r="C188" s="10" t="s">
        <v>719</v>
      </c>
      <c r="D188" s="4" t="s">
        <v>728</v>
      </c>
      <c r="E188" s="13"/>
      <c r="F188" s="13" t="s">
        <v>716</v>
      </c>
      <c r="G188" s="13" t="s">
        <v>635</v>
      </c>
      <c r="H188" s="1" t="s">
        <v>636</v>
      </c>
      <c r="I188" s="4" t="s">
        <v>728</v>
      </c>
      <c r="J188" s="13"/>
      <c r="K188" s="13"/>
      <c r="L188" s="17" t="s">
        <v>737</v>
      </c>
    </row>
    <row r="189" spans="1:12" x14ac:dyDescent="0.25">
      <c r="A189" s="10"/>
      <c r="B189" s="10"/>
      <c r="C189" s="10" t="s">
        <v>720</v>
      </c>
      <c r="D189" s="4" t="s">
        <v>729</v>
      </c>
      <c r="E189" s="13"/>
      <c r="F189" s="13" t="s">
        <v>716</v>
      </c>
      <c r="G189" s="13" t="s">
        <v>635</v>
      </c>
      <c r="H189" s="1" t="s">
        <v>636</v>
      </c>
      <c r="I189" s="4" t="s">
        <v>729</v>
      </c>
      <c r="J189" s="13"/>
      <c r="K189" s="13"/>
      <c r="L189" s="17" t="s">
        <v>738</v>
      </c>
    </row>
    <row r="190" spans="1:12" x14ac:dyDescent="0.25">
      <c r="A190" s="10"/>
      <c r="B190" s="10"/>
      <c r="C190" s="10" t="s">
        <v>721</v>
      </c>
      <c r="D190" s="4" t="s">
        <v>730</v>
      </c>
      <c r="E190" s="13"/>
      <c r="F190" s="13" t="s">
        <v>716</v>
      </c>
      <c r="G190" s="13" t="s">
        <v>635</v>
      </c>
      <c r="H190" s="1" t="s">
        <v>636</v>
      </c>
      <c r="I190" s="4" t="s">
        <v>730</v>
      </c>
      <c r="J190" s="13"/>
      <c r="K190" s="13"/>
      <c r="L190" s="17" t="s">
        <v>739</v>
      </c>
    </row>
    <row r="191" spans="1:12" x14ac:dyDescent="0.25">
      <c r="A191" s="10"/>
      <c r="B191" s="10"/>
      <c r="C191" s="10" t="s">
        <v>722</v>
      </c>
      <c r="D191" s="4" t="s">
        <v>731</v>
      </c>
      <c r="E191" s="13"/>
      <c r="F191" s="13" t="s">
        <v>716</v>
      </c>
      <c r="G191" s="13" t="s">
        <v>635</v>
      </c>
      <c r="H191" s="1" t="s">
        <v>636</v>
      </c>
      <c r="I191" s="4" t="s">
        <v>731</v>
      </c>
      <c r="J191" s="13"/>
      <c r="K191" s="13"/>
      <c r="L191" s="17" t="s">
        <v>740</v>
      </c>
    </row>
    <row r="192" spans="1:12" x14ac:dyDescent="0.25">
      <c r="A192" s="10"/>
      <c r="B192" s="10"/>
      <c r="C192" s="10" t="s">
        <v>723</v>
      </c>
      <c r="D192" s="4" t="s">
        <v>732</v>
      </c>
      <c r="E192" s="13"/>
      <c r="F192" s="13" t="s">
        <v>716</v>
      </c>
      <c r="G192" s="13" t="s">
        <v>635</v>
      </c>
      <c r="H192" s="1" t="s">
        <v>636</v>
      </c>
      <c r="I192" s="4" t="s">
        <v>732</v>
      </c>
      <c r="J192" s="13"/>
      <c r="K192" s="13"/>
      <c r="L192" s="17" t="s">
        <v>741</v>
      </c>
    </row>
    <row r="193" spans="1:1025" x14ac:dyDescent="0.25">
      <c r="A193" s="10"/>
      <c r="B193" s="10"/>
      <c r="C193" s="10" t="s">
        <v>724</v>
      </c>
      <c r="D193" s="4" t="s">
        <v>733</v>
      </c>
      <c r="E193" s="13"/>
      <c r="F193" s="13" t="s">
        <v>716</v>
      </c>
      <c r="G193" s="13" t="s">
        <v>635</v>
      </c>
      <c r="H193" s="1" t="s">
        <v>636</v>
      </c>
      <c r="I193" s="4" t="s">
        <v>733</v>
      </c>
      <c r="J193" s="13"/>
      <c r="K193" s="13"/>
      <c r="L193" s="17" t="s">
        <v>742</v>
      </c>
    </row>
    <row r="194" spans="1:1025" x14ac:dyDescent="0.25">
      <c r="A194" s="10"/>
      <c r="B194" s="10"/>
      <c r="C194" s="10" t="s">
        <v>725</v>
      </c>
      <c r="D194" s="4" t="s">
        <v>734</v>
      </c>
      <c r="E194" s="13"/>
      <c r="F194" s="13" t="s">
        <v>716</v>
      </c>
      <c r="G194" s="13" t="s">
        <v>635</v>
      </c>
      <c r="H194" s="1" t="s">
        <v>636</v>
      </c>
      <c r="I194" s="4" t="s">
        <v>734</v>
      </c>
      <c r="J194" s="13"/>
      <c r="K194" s="13"/>
      <c r="L194" s="17" t="s">
        <v>743</v>
      </c>
    </row>
    <row r="195" spans="1:1025" s="16" customForma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13"/>
      <c r="EM195" s="13"/>
      <c r="EN195" s="13"/>
      <c r="EO195" s="13"/>
      <c r="EP195" s="13"/>
      <c r="EQ195" s="13"/>
      <c r="ER195" s="13"/>
      <c r="ES195" s="13"/>
      <c r="ET195" s="13"/>
      <c r="EU195" s="13"/>
      <c r="EV195" s="13"/>
      <c r="EW195" s="13"/>
      <c r="EX195" s="13"/>
      <c r="EY195" s="13"/>
      <c r="EZ195" s="13"/>
      <c r="FA195" s="13"/>
      <c r="FB195" s="13"/>
      <c r="FC195" s="13"/>
      <c r="FD195" s="13"/>
      <c r="FE195" s="13"/>
      <c r="FF195" s="13"/>
      <c r="FG195" s="13"/>
      <c r="FH195" s="13"/>
      <c r="FI195" s="13"/>
      <c r="FJ195" s="13"/>
      <c r="FK195" s="13"/>
      <c r="FL195" s="13"/>
      <c r="FM195" s="13"/>
      <c r="FN195" s="13"/>
      <c r="FO195" s="13"/>
      <c r="FP195" s="13"/>
      <c r="FQ195" s="13"/>
      <c r="FR195" s="13"/>
      <c r="FS195" s="13"/>
      <c r="FT195" s="13"/>
      <c r="FU195" s="13"/>
      <c r="FV195" s="13"/>
      <c r="FW195" s="13"/>
      <c r="FX195" s="13"/>
      <c r="FY195" s="13"/>
      <c r="FZ195" s="13"/>
      <c r="GA195" s="13"/>
      <c r="GB195" s="13"/>
      <c r="GC195" s="13"/>
      <c r="GD195" s="13"/>
      <c r="GE195" s="13"/>
      <c r="GF195" s="13"/>
      <c r="GG195" s="13"/>
      <c r="GH195" s="13"/>
      <c r="GI195" s="13"/>
      <c r="GJ195" s="13"/>
      <c r="GK195" s="13"/>
      <c r="GL195" s="13"/>
      <c r="GM195" s="13"/>
      <c r="GN195" s="13"/>
      <c r="GO195" s="13"/>
      <c r="GP195" s="13"/>
      <c r="GQ195" s="13"/>
      <c r="GR195" s="13"/>
      <c r="GS195" s="13"/>
      <c r="GT195" s="13"/>
      <c r="GU195" s="13"/>
      <c r="GV195" s="13"/>
      <c r="GW195" s="13"/>
      <c r="GX195" s="13"/>
      <c r="GY195" s="13"/>
      <c r="GZ195" s="13"/>
      <c r="HA195" s="13"/>
      <c r="HB195" s="13"/>
      <c r="HC195" s="13"/>
      <c r="HD195" s="13"/>
      <c r="HE195" s="13"/>
      <c r="HF195" s="13"/>
      <c r="HG195" s="13"/>
      <c r="HH195" s="13"/>
      <c r="HI195" s="13"/>
      <c r="HJ195" s="13"/>
      <c r="HK195" s="13"/>
      <c r="HL195" s="13"/>
      <c r="HM195" s="13"/>
      <c r="HN195" s="13"/>
      <c r="HO195" s="13"/>
      <c r="HP195" s="13"/>
      <c r="HQ195" s="13"/>
      <c r="HR195" s="13"/>
      <c r="HS195" s="13"/>
      <c r="HT195" s="13"/>
      <c r="HU195" s="13"/>
      <c r="HV195" s="13"/>
      <c r="HW195" s="13"/>
      <c r="HX195" s="13"/>
      <c r="HY195" s="13"/>
      <c r="HZ195" s="13"/>
      <c r="IA195" s="13"/>
      <c r="IB195" s="13"/>
      <c r="IC195" s="13"/>
      <c r="ID195" s="13"/>
      <c r="IE195" s="13"/>
      <c r="IF195" s="13"/>
      <c r="IG195" s="13"/>
      <c r="IH195" s="13"/>
      <c r="II195" s="13"/>
      <c r="IJ195" s="13"/>
      <c r="IK195" s="13"/>
      <c r="IL195" s="13"/>
      <c r="IM195" s="13"/>
      <c r="IN195" s="13"/>
      <c r="IO195" s="13"/>
      <c r="IP195" s="13"/>
      <c r="IQ195" s="13"/>
      <c r="IR195" s="13"/>
      <c r="IS195" s="13"/>
      <c r="IT195" s="13"/>
      <c r="IU195" s="13"/>
      <c r="IV195" s="13"/>
      <c r="IW195" s="13"/>
      <c r="IX195" s="13"/>
      <c r="IY195" s="13"/>
      <c r="IZ195" s="13"/>
      <c r="JA195" s="13"/>
      <c r="JB195" s="13"/>
      <c r="JC195" s="13"/>
      <c r="JD195" s="13"/>
      <c r="JE195" s="13"/>
      <c r="JF195" s="13"/>
      <c r="JG195" s="13"/>
      <c r="JH195" s="13"/>
      <c r="JI195" s="13"/>
      <c r="JJ195" s="13"/>
      <c r="JK195" s="13"/>
      <c r="JL195" s="13"/>
      <c r="JM195" s="13"/>
      <c r="JN195" s="13"/>
      <c r="JO195" s="13"/>
      <c r="JP195" s="13"/>
      <c r="JQ195" s="13"/>
      <c r="JR195" s="13"/>
      <c r="JS195" s="13"/>
      <c r="JT195" s="13"/>
      <c r="JU195" s="13"/>
      <c r="JV195" s="13"/>
      <c r="JW195" s="13"/>
      <c r="JX195" s="13"/>
      <c r="JY195" s="13"/>
      <c r="JZ195" s="13"/>
      <c r="KA195" s="13"/>
      <c r="KB195" s="13"/>
      <c r="KC195" s="13"/>
      <c r="KD195" s="13"/>
      <c r="KE195" s="13"/>
      <c r="KF195" s="13"/>
      <c r="KG195" s="13"/>
      <c r="KH195" s="13"/>
      <c r="KI195" s="13"/>
      <c r="KJ195" s="13"/>
      <c r="KK195" s="13"/>
      <c r="KL195" s="13"/>
      <c r="KM195" s="13"/>
      <c r="KN195" s="13"/>
      <c r="KO195" s="13"/>
      <c r="KP195" s="13"/>
      <c r="KQ195" s="13"/>
      <c r="KR195" s="13"/>
      <c r="KS195" s="13"/>
      <c r="KT195" s="13"/>
      <c r="KU195" s="13"/>
      <c r="KV195" s="13"/>
      <c r="KW195" s="13"/>
      <c r="KX195" s="13"/>
      <c r="KY195" s="13"/>
      <c r="KZ195" s="13"/>
      <c r="LA195" s="13"/>
      <c r="LB195" s="13"/>
      <c r="LC195" s="13"/>
      <c r="LD195" s="13"/>
      <c r="LE195" s="13"/>
      <c r="LF195" s="13"/>
      <c r="LG195" s="13"/>
      <c r="LH195" s="13"/>
      <c r="LI195" s="13"/>
      <c r="LJ195" s="13"/>
      <c r="LK195" s="13"/>
      <c r="LL195" s="13"/>
      <c r="LM195" s="13"/>
      <c r="LN195" s="13"/>
      <c r="LO195" s="13"/>
      <c r="LP195" s="13"/>
      <c r="LQ195" s="13"/>
      <c r="LR195" s="13"/>
      <c r="LS195" s="13"/>
      <c r="LT195" s="13"/>
      <c r="LU195" s="13"/>
      <c r="LV195" s="13"/>
      <c r="LW195" s="13"/>
      <c r="LX195" s="13"/>
      <c r="LY195" s="13"/>
      <c r="LZ195" s="13"/>
      <c r="MA195" s="13"/>
      <c r="MB195" s="13"/>
      <c r="MC195" s="13"/>
      <c r="MD195" s="13"/>
      <c r="ME195" s="13"/>
      <c r="MF195" s="13"/>
      <c r="MG195" s="13"/>
      <c r="MH195" s="13"/>
      <c r="MI195" s="13"/>
      <c r="MJ195" s="13"/>
      <c r="MK195" s="13"/>
      <c r="ML195" s="13"/>
      <c r="MM195" s="13"/>
      <c r="MN195" s="13"/>
      <c r="MO195" s="13"/>
      <c r="MP195" s="13"/>
      <c r="MQ195" s="13"/>
      <c r="MR195" s="13"/>
      <c r="MS195" s="13"/>
      <c r="MT195" s="13"/>
      <c r="MU195" s="13"/>
      <c r="MV195" s="13"/>
      <c r="MW195" s="13"/>
      <c r="MX195" s="13"/>
      <c r="MY195" s="13"/>
      <c r="MZ195" s="13"/>
      <c r="NA195" s="13"/>
      <c r="NB195" s="13"/>
      <c r="NC195" s="13"/>
      <c r="ND195" s="13"/>
      <c r="NE195" s="13"/>
      <c r="NF195" s="13"/>
      <c r="NG195" s="13"/>
      <c r="NH195" s="13"/>
      <c r="NI195" s="13"/>
      <c r="NJ195" s="13"/>
      <c r="NK195" s="13"/>
      <c r="NL195" s="13"/>
      <c r="NM195" s="13"/>
      <c r="NN195" s="13"/>
      <c r="NO195" s="13"/>
      <c r="NP195" s="13"/>
      <c r="NQ195" s="13"/>
      <c r="NR195" s="13"/>
      <c r="NS195" s="13"/>
      <c r="NT195" s="13"/>
      <c r="NU195" s="13"/>
      <c r="NV195" s="13"/>
      <c r="NW195" s="13"/>
      <c r="NX195" s="13"/>
      <c r="NY195" s="13"/>
      <c r="NZ195" s="13"/>
      <c r="OA195" s="13"/>
      <c r="OB195" s="13"/>
      <c r="OC195" s="13"/>
      <c r="OD195" s="13"/>
      <c r="OE195" s="13"/>
      <c r="OF195" s="13"/>
      <c r="OG195" s="13"/>
      <c r="OH195" s="13"/>
      <c r="OI195" s="13"/>
      <c r="OJ195" s="13"/>
      <c r="OK195" s="13"/>
      <c r="OL195" s="13"/>
      <c r="OM195" s="13"/>
      <c r="ON195" s="13"/>
      <c r="OO195" s="13"/>
      <c r="OP195" s="13"/>
      <c r="OQ195" s="13"/>
      <c r="OR195" s="13"/>
      <c r="OS195" s="13"/>
      <c r="OT195" s="13"/>
      <c r="OU195" s="13"/>
      <c r="OV195" s="13"/>
      <c r="OW195" s="13"/>
      <c r="OX195" s="13"/>
      <c r="OY195" s="13"/>
      <c r="OZ195" s="13"/>
      <c r="PA195" s="13"/>
      <c r="PB195" s="13"/>
      <c r="PC195" s="13"/>
      <c r="PD195" s="13"/>
      <c r="PE195" s="13"/>
      <c r="PF195" s="13"/>
      <c r="PG195" s="13"/>
      <c r="PH195" s="13"/>
      <c r="PI195" s="13"/>
      <c r="PJ195" s="13"/>
      <c r="PK195" s="13"/>
      <c r="PL195" s="13"/>
      <c r="PM195" s="13"/>
      <c r="PN195" s="13"/>
      <c r="PO195" s="13"/>
      <c r="PP195" s="13"/>
      <c r="PQ195" s="13"/>
      <c r="PR195" s="13"/>
      <c r="PS195" s="13"/>
      <c r="PT195" s="13"/>
      <c r="PU195" s="13"/>
      <c r="PV195" s="13"/>
      <c r="PW195" s="13"/>
      <c r="PX195" s="13"/>
      <c r="PY195" s="13"/>
      <c r="PZ195" s="13"/>
      <c r="QA195" s="13"/>
      <c r="QB195" s="13"/>
      <c r="QC195" s="13"/>
      <c r="QD195" s="13"/>
      <c r="QE195" s="13"/>
      <c r="QF195" s="13"/>
      <c r="QG195" s="13"/>
      <c r="QH195" s="13"/>
      <c r="QI195" s="13"/>
      <c r="QJ195" s="13"/>
      <c r="QK195" s="13"/>
      <c r="QL195" s="13"/>
      <c r="QM195" s="13"/>
      <c r="QN195" s="13"/>
      <c r="QO195" s="13"/>
      <c r="QP195" s="13"/>
      <c r="QQ195" s="13"/>
      <c r="QR195" s="13"/>
      <c r="QS195" s="13"/>
      <c r="QT195" s="13"/>
      <c r="QU195" s="13"/>
      <c r="QV195" s="13"/>
      <c r="QW195" s="13"/>
      <c r="QX195" s="13"/>
      <c r="QY195" s="13"/>
      <c r="QZ195" s="13"/>
      <c r="RA195" s="13"/>
      <c r="RB195" s="13"/>
      <c r="RC195" s="13"/>
      <c r="RD195" s="13"/>
      <c r="RE195" s="13"/>
      <c r="RF195" s="13"/>
      <c r="RG195" s="13"/>
      <c r="RH195" s="13"/>
      <c r="RI195" s="13"/>
      <c r="RJ195" s="13"/>
      <c r="RK195" s="13"/>
      <c r="RL195" s="13"/>
      <c r="RM195" s="13"/>
      <c r="RN195" s="13"/>
      <c r="RO195" s="13"/>
      <c r="RP195" s="13"/>
      <c r="RQ195" s="13"/>
      <c r="RR195" s="13"/>
      <c r="RS195" s="13"/>
      <c r="RT195" s="13"/>
      <c r="RU195" s="13"/>
      <c r="RV195" s="13"/>
      <c r="RW195" s="13"/>
      <c r="RX195" s="13"/>
      <c r="RY195" s="13"/>
      <c r="RZ195" s="13"/>
      <c r="SA195" s="13"/>
      <c r="SB195" s="13"/>
      <c r="SC195" s="13"/>
      <c r="SD195" s="13"/>
      <c r="SE195" s="13"/>
      <c r="SF195" s="13"/>
      <c r="SG195" s="13"/>
      <c r="SH195" s="13"/>
      <c r="SI195" s="13"/>
      <c r="SJ195" s="13"/>
      <c r="SK195" s="13"/>
      <c r="SL195" s="13"/>
      <c r="SM195" s="13"/>
      <c r="SN195" s="13"/>
      <c r="SO195" s="13"/>
      <c r="SP195" s="13"/>
      <c r="SQ195" s="13"/>
      <c r="SR195" s="13"/>
      <c r="SS195" s="13"/>
      <c r="ST195" s="13"/>
      <c r="SU195" s="13"/>
      <c r="SV195" s="13"/>
      <c r="SW195" s="13"/>
      <c r="SX195" s="13"/>
      <c r="SY195" s="13"/>
      <c r="SZ195" s="13"/>
      <c r="TA195" s="13"/>
      <c r="TB195" s="13"/>
      <c r="TC195" s="13"/>
      <c r="TD195" s="13"/>
      <c r="TE195" s="13"/>
      <c r="TF195" s="13"/>
      <c r="TG195" s="13"/>
      <c r="TH195" s="13"/>
      <c r="TI195" s="13"/>
      <c r="TJ195" s="13"/>
      <c r="TK195" s="13"/>
      <c r="TL195" s="13"/>
      <c r="TM195" s="13"/>
      <c r="TN195" s="13"/>
      <c r="TO195" s="13"/>
      <c r="TP195" s="13"/>
      <c r="TQ195" s="13"/>
      <c r="TR195" s="13"/>
      <c r="TS195" s="13"/>
      <c r="TT195" s="13"/>
      <c r="TU195" s="13"/>
      <c r="TV195" s="13"/>
      <c r="TW195" s="13"/>
      <c r="TX195" s="13"/>
      <c r="TY195" s="13"/>
      <c r="TZ195" s="13"/>
      <c r="UA195" s="13"/>
      <c r="UB195" s="13"/>
      <c r="UC195" s="13"/>
      <c r="UD195" s="13"/>
      <c r="UE195" s="13"/>
      <c r="UF195" s="13"/>
      <c r="UG195" s="13"/>
      <c r="UH195" s="13"/>
      <c r="UI195" s="13"/>
      <c r="UJ195" s="13"/>
      <c r="UK195" s="13"/>
      <c r="UL195" s="13"/>
      <c r="UM195" s="13"/>
      <c r="UN195" s="13"/>
      <c r="UO195" s="13"/>
      <c r="UP195" s="13"/>
      <c r="UQ195" s="13"/>
      <c r="UR195" s="13"/>
      <c r="US195" s="13"/>
      <c r="UT195" s="13"/>
      <c r="UU195" s="13"/>
      <c r="UV195" s="13"/>
      <c r="UW195" s="13"/>
      <c r="UX195" s="13"/>
      <c r="UY195" s="13"/>
      <c r="UZ195" s="13"/>
      <c r="VA195" s="13"/>
      <c r="VB195" s="13"/>
      <c r="VC195" s="13"/>
      <c r="VD195" s="13"/>
      <c r="VE195" s="13"/>
      <c r="VF195" s="13"/>
      <c r="VG195" s="13"/>
      <c r="VH195" s="13"/>
      <c r="VI195" s="13"/>
      <c r="VJ195" s="13"/>
      <c r="VK195" s="13"/>
      <c r="VL195" s="13"/>
      <c r="VM195" s="13"/>
      <c r="VN195" s="13"/>
      <c r="VO195" s="13"/>
      <c r="VP195" s="13"/>
      <c r="VQ195" s="13"/>
      <c r="VR195" s="13"/>
      <c r="VS195" s="13"/>
      <c r="VT195" s="13"/>
      <c r="VU195" s="13"/>
      <c r="VV195" s="13"/>
      <c r="VW195" s="13"/>
      <c r="VX195" s="13"/>
      <c r="VY195" s="13"/>
      <c r="VZ195" s="13"/>
      <c r="WA195" s="13"/>
      <c r="WB195" s="13"/>
      <c r="WC195" s="13"/>
      <c r="WD195" s="13"/>
      <c r="WE195" s="13"/>
      <c r="WF195" s="13"/>
      <c r="WG195" s="13"/>
      <c r="WH195" s="13"/>
      <c r="WI195" s="13"/>
      <c r="WJ195" s="13"/>
      <c r="WK195" s="13"/>
      <c r="WL195" s="13"/>
      <c r="WM195" s="13"/>
      <c r="WN195" s="13"/>
      <c r="WO195" s="13"/>
      <c r="WP195" s="13"/>
      <c r="WQ195" s="13"/>
      <c r="WR195" s="13"/>
      <c r="WS195" s="13"/>
      <c r="WT195" s="13"/>
      <c r="WU195" s="13"/>
      <c r="WV195" s="13"/>
      <c r="WW195" s="13"/>
      <c r="WX195" s="13"/>
      <c r="WY195" s="13"/>
      <c r="WZ195" s="13"/>
      <c r="XA195" s="13"/>
      <c r="XB195" s="13"/>
      <c r="XC195" s="13"/>
      <c r="XD195" s="13"/>
      <c r="XE195" s="13"/>
      <c r="XF195" s="13"/>
      <c r="XG195" s="13"/>
      <c r="XH195" s="13"/>
      <c r="XI195" s="13"/>
      <c r="XJ195" s="13"/>
      <c r="XK195" s="13"/>
      <c r="XL195" s="13"/>
      <c r="XM195" s="13"/>
      <c r="XN195" s="13"/>
      <c r="XO195" s="13"/>
      <c r="XP195" s="13"/>
      <c r="XQ195" s="13"/>
      <c r="XR195" s="13"/>
      <c r="XS195" s="13"/>
      <c r="XT195" s="13"/>
      <c r="XU195" s="13"/>
      <c r="XV195" s="13"/>
      <c r="XW195" s="13"/>
      <c r="XX195" s="13"/>
      <c r="XY195" s="13"/>
      <c r="XZ195" s="13"/>
      <c r="YA195" s="13"/>
      <c r="YB195" s="13"/>
      <c r="YC195" s="13"/>
      <c r="YD195" s="13"/>
      <c r="YE195" s="13"/>
      <c r="YF195" s="13"/>
      <c r="YG195" s="13"/>
      <c r="YH195" s="13"/>
      <c r="YI195" s="13"/>
      <c r="YJ195" s="13"/>
      <c r="YK195" s="13"/>
      <c r="YL195" s="13"/>
      <c r="YM195" s="13"/>
      <c r="YN195" s="13"/>
      <c r="YO195" s="13"/>
      <c r="YP195" s="13"/>
      <c r="YQ195" s="13"/>
      <c r="YR195" s="13"/>
      <c r="YS195" s="13"/>
      <c r="YT195" s="13"/>
      <c r="YU195" s="13"/>
      <c r="YV195" s="13"/>
      <c r="YW195" s="13"/>
      <c r="YX195" s="13"/>
      <c r="YY195" s="13"/>
      <c r="YZ195" s="13"/>
      <c r="ZA195" s="13"/>
      <c r="ZB195" s="13"/>
      <c r="ZC195" s="13"/>
      <c r="ZD195" s="13"/>
      <c r="ZE195" s="13"/>
      <c r="ZF195" s="13"/>
      <c r="ZG195" s="13"/>
      <c r="ZH195" s="13"/>
      <c r="ZI195" s="13"/>
      <c r="ZJ195" s="13"/>
      <c r="ZK195" s="13"/>
      <c r="ZL195" s="13"/>
      <c r="ZM195" s="13"/>
      <c r="ZN195" s="13"/>
      <c r="ZO195" s="13"/>
      <c r="ZP195" s="13"/>
      <c r="ZQ195" s="13"/>
      <c r="ZR195" s="13"/>
      <c r="ZS195" s="13"/>
      <c r="ZT195" s="13"/>
      <c r="ZU195" s="13"/>
      <c r="ZV195" s="13"/>
      <c r="ZW195" s="13"/>
      <c r="ZX195" s="13"/>
      <c r="ZY195" s="13"/>
      <c r="ZZ195" s="13"/>
      <c r="AAA195" s="13"/>
      <c r="AAB195" s="13"/>
      <c r="AAC195" s="13"/>
      <c r="AAD195" s="13"/>
      <c r="AAE195" s="13"/>
      <c r="AAF195" s="13"/>
      <c r="AAG195" s="13"/>
      <c r="AAH195" s="13"/>
      <c r="AAI195" s="13"/>
      <c r="AAJ195" s="13"/>
      <c r="AAK195" s="13"/>
      <c r="AAL195" s="13"/>
      <c r="AAM195" s="13"/>
      <c r="AAN195" s="13"/>
      <c r="AAO195" s="13"/>
      <c r="AAP195" s="13"/>
      <c r="AAQ195" s="13"/>
      <c r="AAR195" s="13"/>
      <c r="AAS195" s="13"/>
      <c r="AAT195" s="13"/>
      <c r="AAU195" s="13"/>
      <c r="AAV195" s="13"/>
      <c r="AAW195" s="13"/>
      <c r="AAX195" s="13"/>
      <c r="AAY195" s="13"/>
      <c r="AAZ195" s="13"/>
      <c r="ABA195" s="13"/>
      <c r="ABB195" s="13"/>
      <c r="ABC195" s="13"/>
      <c r="ABD195" s="13"/>
      <c r="ABE195" s="13"/>
      <c r="ABF195" s="13"/>
      <c r="ABG195" s="13"/>
      <c r="ABH195" s="13"/>
      <c r="ABI195" s="13"/>
      <c r="ABJ195" s="13"/>
      <c r="ABK195" s="13"/>
      <c r="ABL195" s="13"/>
      <c r="ABM195" s="13"/>
      <c r="ABN195" s="13"/>
      <c r="ABO195" s="13"/>
      <c r="ABP195" s="13"/>
      <c r="ABQ195" s="13"/>
      <c r="ABR195" s="13"/>
      <c r="ABS195" s="13"/>
      <c r="ABT195" s="13"/>
      <c r="ABU195" s="13"/>
      <c r="ABV195" s="13"/>
      <c r="ABW195" s="13"/>
      <c r="ABX195" s="13"/>
      <c r="ABY195" s="13"/>
      <c r="ABZ195" s="13"/>
      <c r="ACA195" s="13"/>
      <c r="ACB195" s="13"/>
      <c r="ACC195" s="13"/>
      <c r="ACD195" s="13"/>
      <c r="ACE195" s="13"/>
      <c r="ACF195" s="13"/>
      <c r="ACG195" s="13"/>
      <c r="ACH195" s="13"/>
      <c r="ACI195" s="13"/>
      <c r="ACJ195" s="13"/>
      <c r="ACK195" s="13"/>
      <c r="ACL195" s="13"/>
      <c r="ACM195" s="13"/>
      <c r="ACN195" s="13"/>
      <c r="ACO195" s="13"/>
      <c r="ACP195" s="13"/>
      <c r="ACQ195" s="13"/>
      <c r="ACR195" s="13"/>
      <c r="ACS195" s="13"/>
      <c r="ACT195" s="13"/>
      <c r="ACU195" s="13"/>
      <c r="ACV195" s="13"/>
      <c r="ACW195" s="13"/>
      <c r="ACX195" s="13"/>
      <c r="ACY195" s="13"/>
      <c r="ACZ195" s="13"/>
      <c r="ADA195" s="13"/>
      <c r="ADB195" s="13"/>
      <c r="ADC195" s="13"/>
      <c r="ADD195" s="13"/>
      <c r="ADE195" s="13"/>
      <c r="ADF195" s="13"/>
      <c r="ADG195" s="13"/>
      <c r="ADH195" s="13"/>
      <c r="ADI195" s="13"/>
      <c r="ADJ195" s="13"/>
      <c r="ADK195" s="13"/>
      <c r="ADL195" s="13"/>
      <c r="ADM195" s="13"/>
      <c r="ADN195" s="13"/>
      <c r="ADO195" s="13"/>
      <c r="ADP195" s="13"/>
      <c r="ADQ195" s="13"/>
      <c r="ADR195" s="13"/>
      <c r="ADS195" s="13"/>
      <c r="ADT195" s="13"/>
      <c r="ADU195" s="13"/>
      <c r="ADV195" s="13"/>
      <c r="ADW195" s="13"/>
      <c r="ADX195" s="13"/>
      <c r="ADY195" s="13"/>
      <c r="ADZ195" s="13"/>
      <c r="AEA195" s="13"/>
      <c r="AEB195" s="13"/>
      <c r="AEC195" s="13"/>
      <c r="AED195" s="13"/>
      <c r="AEE195" s="13"/>
      <c r="AEF195" s="13"/>
      <c r="AEG195" s="13"/>
      <c r="AEH195" s="13"/>
      <c r="AEI195" s="13"/>
      <c r="AEJ195" s="13"/>
      <c r="AEK195" s="13"/>
      <c r="AEL195" s="13"/>
      <c r="AEM195" s="13"/>
      <c r="AEN195" s="13"/>
      <c r="AEO195" s="13"/>
      <c r="AEP195" s="13"/>
      <c r="AEQ195" s="13"/>
      <c r="AER195" s="13"/>
      <c r="AES195" s="13"/>
      <c r="AET195" s="13"/>
      <c r="AEU195" s="13"/>
      <c r="AEV195" s="13"/>
      <c r="AEW195" s="13"/>
      <c r="AEX195" s="13"/>
      <c r="AEY195" s="13"/>
      <c r="AEZ195" s="13"/>
      <c r="AFA195" s="13"/>
      <c r="AFB195" s="13"/>
      <c r="AFC195" s="13"/>
      <c r="AFD195" s="13"/>
      <c r="AFE195" s="13"/>
      <c r="AFF195" s="13"/>
      <c r="AFG195" s="13"/>
      <c r="AFH195" s="13"/>
      <c r="AFI195" s="13"/>
      <c r="AFJ195" s="13"/>
      <c r="AFK195" s="13"/>
      <c r="AFL195" s="13"/>
      <c r="AFM195" s="13"/>
      <c r="AFN195" s="13"/>
      <c r="AFO195" s="13"/>
      <c r="AFP195" s="13"/>
      <c r="AFQ195" s="13"/>
      <c r="AFR195" s="13"/>
      <c r="AFS195" s="13"/>
      <c r="AFT195" s="13"/>
      <c r="AFU195" s="13"/>
      <c r="AFV195" s="13"/>
      <c r="AFW195" s="13"/>
      <c r="AFX195" s="13"/>
      <c r="AFY195" s="13"/>
      <c r="AFZ195" s="13"/>
      <c r="AGA195" s="13"/>
      <c r="AGB195" s="13"/>
      <c r="AGC195" s="13"/>
      <c r="AGD195" s="13"/>
      <c r="AGE195" s="13"/>
      <c r="AGF195" s="13"/>
      <c r="AGG195" s="13"/>
      <c r="AGH195" s="13"/>
      <c r="AGI195" s="13"/>
      <c r="AGJ195" s="13"/>
      <c r="AGK195" s="13"/>
      <c r="AGL195" s="13"/>
      <c r="AGM195" s="13"/>
      <c r="AGN195" s="13"/>
      <c r="AGO195" s="13"/>
      <c r="AGP195" s="13"/>
      <c r="AGQ195" s="13"/>
      <c r="AGR195" s="13"/>
      <c r="AGS195" s="13"/>
      <c r="AGT195" s="13"/>
      <c r="AGU195" s="13"/>
      <c r="AGV195" s="13"/>
      <c r="AGW195" s="13"/>
      <c r="AGX195" s="13"/>
      <c r="AGY195" s="13"/>
      <c r="AGZ195" s="13"/>
      <c r="AHA195" s="13"/>
      <c r="AHB195" s="13"/>
      <c r="AHC195" s="13"/>
      <c r="AHD195" s="13"/>
      <c r="AHE195" s="13"/>
      <c r="AHF195" s="13"/>
      <c r="AHG195" s="13"/>
      <c r="AHH195" s="13"/>
      <c r="AHI195" s="13"/>
      <c r="AHJ195" s="13"/>
      <c r="AHK195" s="13"/>
      <c r="AHL195" s="13"/>
      <c r="AHM195" s="13"/>
      <c r="AHN195" s="13"/>
      <c r="AHO195" s="13"/>
      <c r="AHP195" s="13"/>
      <c r="AHQ195" s="13"/>
      <c r="AHR195" s="13"/>
      <c r="AHS195" s="13"/>
      <c r="AHT195" s="13"/>
      <c r="AHU195" s="13"/>
      <c r="AHV195" s="13"/>
      <c r="AHW195" s="13"/>
      <c r="AHX195" s="13"/>
      <c r="AHY195" s="13"/>
      <c r="AHZ195" s="13"/>
      <c r="AIA195" s="13"/>
      <c r="AIB195" s="13"/>
      <c r="AIC195" s="13"/>
      <c r="AID195" s="13"/>
      <c r="AIE195" s="13"/>
      <c r="AIF195" s="13"/>
      <c r="AIG195" s="13"/>
      <c r="AIH195" s="13"/>
      <c r="AII195" s="13"/>
      <c r="AIJ195" s="13"/>
      <c r="AIK195" s="13"/>
      <c r="AIL195" s="13"/>
      <c r="AIM195" s="13"/>
      <c r="AIN195" s="13"/>
      <c r="AIO195" s="13"/>
      <c r="AIP195" s="13"/>
      <c r="AIQ195" s="13"/>
      <c r="AIR195" s="13"/>
      <c r="AIS195" s="13"/>
      <c r="AIT195" s="13"/>
      <c r="AIU195" s="13"/>
      <c r="AIV195" s="13"/>
      <c r="AIW195" s="13"/>
      <c r="AIX195" s="13"/>
      <c r="AIY195" s="13"/>
      <c r="AIZ195" s="13"/>
      <c r="AJA195" s="13"/>
      <c r="AJB195" s="13"/>
      <c r="AJC195" s="13"/>
      <c r="AJD195" s="13"/>
      <c r="AJE195" s="13"/>
      <c r="AJF195" s="13"/>
      <c r="AJG195" s="13"/>
      <c r="AJH195" s="13"/>
      <c r="AJI195" s="13"/>
      <c r="AJJ195" s="13"/>
      <c r="AJK195" s="13"/>
      <c r="AJL195" s="13"/>
      <c r="AJM195" s="13"/>
      <c r="AJN195" s="13"/>
      <c r="AJO195" s="13"/>
      <c r="AJP195" s="13"/>
      <c r="AJQ195" s="13"/>
      <c r="AJR195" s="13"/>
      <c r="AJS195" s="13"/>
      <c r="AJT195" s="13"/>
      <c r="AJU195" s="13"/>
      <c r="AJV195" s="13"/>
      <c r="AJW195" s="13"/>
      <c r="AJX195" s="13"/>
      <c r="AJY195" s="13"/>
      <c r="AJZ195" s="13"/>
      <c r="AKA195" s="13"/>
      <c r="AKB195" s="13"/>
      <c r="AKC195" s="13"/>
      <c r="AKD195" s="13"/>
      <c r="AKE195" s="13"/>
      <c r="AKF195" s="13"/>
      <c r="AKG195" s="13"/>
      <c r="AKH195" s="13"/>
      <c r="AKI195" s="13"/>
      <c r="AKJ195" s="13"/>
      <c r="AKK195" s="13"/>
      <c r="AKL195" s="13"/>
      <c r="AKM195" s="13"/>
      <c r="AKN195" s="13"/>
      <c r="AKO195" s="13"/>
      <c r="AKP195" s="13"/>
      <c r="AKQ195" s="13"/>
      <c r="AKR195" s="13"/>
      <c r="AKS195" s="13"/>
      <c r="AKT195" s="13"/>
      <c r="AKU195" s="13"/>
      <c r="AKV195" s="13"/>
      <c r="AKW195" s="13"/>
      <c r="AKX195" s="13"/>
      <c r="AKY195" s="13"/>
      <c r="AKZ195" s="13"/>
      <c r="ALA195" s="13"/>
      <c r="ALB195" s="13"/>
      <c r="ALC195" s="13"/>
      <c r="ALD195" s="13"/>
      <c r="ALE195" s="13"/>
      <c r="ALF195" s="13"/>
      <c r="ALG195" s="13"/>
      <c r="ALH195" s="13"/>
      <c r="ALI195" s="13"/>
      <c r="ALJ195" s="13"/>
      <c r="ALK195" s="13"/>
      <c r="ALL195" s="13"/>
      <c r="ALM195" s="13"/>
      <c r="ALN195" s="13"/>
      <c r="ALO195" s="13"/>
      <c r="ALP195" s="13"/>
      <c r="ALQ195" s="13"/>
      <c r="ALR195" s="13"/>
      <c r="ALS195" s="13"/>
      <c r="ALT195" s="13"/>
      <c r="ALU195" s="13"/>
      <c r="ALV195" s="13"/>
      <c r="ALW195" s="13"/>
      <c r="ALX195" s="13"/>
      <c r="ALY195" s="13"/>
      <c r="ALZ195" s="13"/>
      <c r="AMA195" s="13"/>
      <c r="AMB195" s="13"/>
      <c r="AMC195" s="13"/>
      <c r="AMD195" s="13"/>
      <c r="AME195" s="13"/>
      <c r="AMF195" s="13"/>
      <c r="AMG195" s="13"/>
      <c r="AMH195" s="13"/>
      <c r="AMI195" s="13"/>
      <c r="AMJ195" s="13"/>
      <c r="AMK195" s="13"/>
    </row>
    <row r="196" spans="1:1025" s="16" customForma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13"/>
      <c r="EM196" s="13"/>
      <c r="EN196" s="13"/>
      <c r="EO196" s="13"/>
      <c r="EP196" s="13"/>
      <c r="EQ196" s="13"/>
      <c r="ER196" s="13"/>
      <c r="ES196" s="13"/>
      <c r="ET196" s="13"/>
      <c r="EU196" s="13"/>
      <c r="EV196" s="13"/>
      <c r="EW196" s="13"/>
      <c r="EX196" s="13"/>
      <c r="EY196" s="13"/>
      <c r="EZ196" s="13"/>
      <c r="FA196" s="13"/>
      <c r="FB196" s="13"/>
      <c r="FC196" s="13"/>
      <c r="FD196" s="13"/>
      <c r="FE196" s="13"/>
      <c r="FF196" s="13"/>
      <c r="FG196" s="13"/>
      <c r="FH196" s="13"/>
      <c r="FI196" s="13"/>
      <c r="FJ196" s="13"/>
      <c r="FK196" s="13"/>
      <c r="FL196" s="13"/>
      <c r="FM196" s="13"/>
      <c r="FN196" s="13"/>
      <c r="FO196" s="13"/>
      <c r="FP196" s="13"/>
      <c r="FQ196" s="13"/>
      <c r="FR196" s="13"/>
      <c r="FS196" s="13"/>
      <c r="FT196" s="13"/>
      <c r="FU196" s="13"/>
      <c r="FV196" s="13"/>
      <c r="FW196" s="13"/>
      <c r="FX196" s="13"/>
      <c r="FY196" s="13"/>
      <c r="FZ196" s="13"/>
      <c r="GA196" s="13"/>
      <c r="GB196" s="13"/>
      <c r="GC196" s="13"/>
      <c r="GD196" s="13"/>
      <c r="GE196" s="13"/>
      <c r="GF196" s="13"/>
      <c r="GG196" s="13"/>
      <c r="GH196" s="13"/>
      <c r="GI196" s="13"/>
      <c r="GJ196" s="13"/>
      <c r="GK196" s="13"/>
      <c r="GL196" s="13"/>
      <c r="GM196" s="13"/>
      <c r="GN196" s="13"/>
      <c r="GO196" s="13"/>
      <c r="GP196" s="13"/>
      <c r="GQ196" s="13"/>
      <c r="GR196" s="13"/>
      <c r="GS196" s="13"/>
      <c r="GT196" s="13"/>
      <c r="GU196" s="13"/>
      <c r="GV196" s="13"/>
      <c r="GW196" s="13"/>
      <c r="GX196" s="13"/>
      <c r="GY196" s="13"/>
      <c r="GZ196" s="13"/>
      <c r="HA196" s="13"/>
      <c r="HB196" s="13"/>
      <c r="HC196" s="13"/>
      <c r="HD196" s="13"/>
      <c r="HE196" s="13"/>
      <c r="HF196" s="13"/>
      <c r="HG196" s="13"/>
      <c r="HH196" s="13"/>
      <c r="HI196" s="13"/>
      <c r="HJ196" s="13"/>
      <c r="HK196" s="13"/>
      <c r="HL196" s="13"/>
      <c r="HM196" s="13"/>
      <c r="HN196" s="13"/>
      <c r="HO196" s="13"/>
      <c r="HP196" s="13"/>
      <c r="HQ196" s="13"/>
      <c r="HR196" s="13"/>
      <c r="HS196" s="13"/>
      <c r="HT196" s="13"/>
      <c r="HU196" s="13"/>
      <c r="HV196" s="13"/>
      <c r="HW196" s="13"/>
      <c r="HX196" s="13"/>
      <c r="HY196" s="13"/>
      <c r="HZ196" s="13"/>
      <c r="IA196" s="13"/>
      <c r="IB196" s="13"/>
      <c r="IC196" s="13"/>
      <c r="ID196" s="13"/>
      <c r="IE196" s="13"/>
      <c r="IF196" s="13"/>
      <c r="IG196" s="13"/>
      <c r="IH196" s="13"/>
      <c r="II196" s="13"/>
      <c r="IJ196" s="13"/>
      <c r="IK196" s="13"/>
      <c r="IL196" s="13"/>
      <c r="IM196" s="13"/>
      <c r="IN196" s="13"/>
      <c r="IO196" s="13"/>
      <c r="IP196" s="13"/>
      <c r="IQ196" s="13"/>
      <c r="IR196" s="13"/>
      <c r="IS196" s="13"/>
      <c r="IT196" s="13"/>
      <c r="IU196" s="13"/>
      <c r="IV196" s="13"/>
      <c r="IW196" s="13"/>
      <c r="IX196" s="13"/>
      <c r="IY196" s="13"/>
      <c r="IZ196" s="13"/>
      <c r="JA196" s="13"/>
      <c r="JB196" s="13"/>
      <c r="JC196" s="13"/>
      <c r="JD196" s="13"/>
      <c r="JE196" s="13"/>
      <c r="JF196" s="13"/>
      <c r="JG196" s="13"/>
      <c r="JH196" s="13"/>
      <c r="JI196" s="13"/>
      <c r="JJ196" s="13"/>
      <c r="JK196" s="13"/>
      <c r="JL196" s="13"/>
      <c r="JM196" s="13"/>
      <c r="JN196" s="13"/>
      <c r="JO196" s="13"/>
      <c r="JP196" s="13"/>
      <c r="JQ196" s="13"/>
      <c r="JR196" s="13"/>
      <c r="JS196" s="13"/>
      <c r="JT196" s="13"/>
      <c r="JU196" s="13"/>
      <c r="JV196" s="13"/>
      <c r="JW196" s="13"/>
      <c r="JX196" s="13"/>
      <c r="JY196" s="13"/>
      <c r="JZ196" s="13"/>
      <c r="KA196" s="13"/>
      <c r="KB196" s="13"/>
      <c r="KC196" s="13"/>
      <c r="KD196" s="13"/>
      <c r="KE196" s="13"/>
      <c r="KF196" s="13"/>
      <c r="KG196" s="13"/>
      <c r="KH196" s="13"/>
      <c r="KI196" s="13"/>
      <c r="KJ196" s="13"/>
      <c r="KK196" s="13"/>
      <c r="KL196" s="13"/>
      <c r="KM196" s="13"/>
      <c r="KN196" s="13"/>
      <c r="KO196" s="13"/>
      <c r="KP196" s="13"/>
      <c r="KQ196" s="13"/>
      <c r="KR196" s="13"/>
      <c r="KS196" s="13"/>
      <c r="KT196" s="13"/>
      <c r="KU196" s="13"/>
      <c r="KV196" s="13"/>
      <c r="KW196" s="13"/>
      <c r="KX196" s="13"/>
      <c r="KY196" s="13"/>
      <c r="KZ196" s="13"/>
      <c r="LA196" s="13"/>
      <c r="LB196" s="13"/>
      <c r="LC196" s="13"/>
      <c r="LD196" s="13"/>
      <c r="LE196" s="13"/>
      <c r="LF196" s="13"/>
      <c r="LG196" s="13"/>
      <c r="LH196" s="13"/>
      <c r="LI196" s="13"/>
      <c r="LJ196" s="13"/>
      <c r="LK196" s="13"/>
      <c r="LL196" s="13"/>
      <c r="LM196" s="13"/>
      <c r="LN196" s="13"/>
      <c r="LO196" s="13"/>
      <c r="LP196" s="13"/>
      <c r="LQ196" s="13"/>
      <c r="LR196" s="13"/>
      <c r="LS196" s="13"/>
      <c r="LT196" s="13"/>
      <c r="LU196" s="13"/>
      <c r="LV196" s="13"/>
      <c r="LW196" s="13"/>
      <c r="LX196" s="13"/>
      <c r="LY196" s="13"/>
      <c r="LZ196" s="13"/>
      <c r="MA196" s="13"/>
      <c r="MB196" s="13"/>
      <c r="MC196" s="13"/>
      <c r="MD196" s="13"/>
      <c r="ME196" s="13"/>
      <c r="MF196" s="13"/>
      <c r="MG196" s="13"/>
      <c r="MH196" s="13"/>
      <c r="MI196" s="13"/>
      <c r="MJ196" s="13"/>
      <c r="MK196" s="13"/>
      <c r="ML196" s="13"/>
      <c r="MM196" s="13"/>
      <c r="MN196" s="13"/>
      <c r="MO196" s="13"/>
      <c r="MP196" s="13"/>
      <c r="MQ196" s="13"/>
      <c r="MR196" s="13"/>
      <c r="MS196" s="13"/>
      <c r="MT196" s="13"/>
      <c r="MU196" s="13"/>
      <c r="MV196" s="13"/>
      <c r="MW196" s="13"/>
      <c r="MX196" s="13"/>
      <c r="MY196" s="13"/>
      <c r="MZ196" s="13"/>
      <c r="NA196" s="13"/>
      <c r="NB196" s="13"/>
      <c r="NC196" s="13"/>
      <c r="ND196" s="13"/>
      <c r="NE196" s="13"/>
      <c r="NF196" s="13"/>
      <c r="NG196" s="13"/>
      <c r="NH196" s="13"/>
      <c r="NI196" s="13"/>
      <c r="NJ196" s="13"/>
      <c r="NK196" s="13"/>
      <c r="NL196" s="13"/>
      <c r="NM196" s="13"/>
      <c r="NN196" s="13"/>
      <c r="NO196" s="13"/>
      <c r="NP196" s="13"/>
      <c r="NQ196" s="13"/>
      <c r="NR196" s="13"/>
      <c r="NS196" s="13"/>
      <c r="NT196" s="13"/>
      <c r="NU196" s="13"/>
      <c r="NV196" s="13"/>
      <c r="NW196" s="13"/>
      <c r="NX196" s="13"/>
      <c r="NY196" s="13"/>
      <c r="NZ196" s="13"/>
      <c r="OA196" s="13"/>
      <c r="OB196" s="13"/>
      <c r="OC196" s="13"/>
      <c r="OD196" s="13"/>
      <c r="OE196" s="13"/>
      <c r="OF196" s="13"/>
      <c r="OG196" s="13"/>
      <c r="OH196" s="13"/>
      <c r="OI196" s="13"/>
      <c r="OJ196" s="13"/>
      <c r="OK196" s="13"/>
      <c r="OL196" s="13"/>
      <c r="OM196" s="13"/>
      <c r="ON196" s="13"/>
      <c r="OO196" s="13"/>
      <c r="OP196" s="13"/>
      <c r="OQ196" s="13"/>
      <c r="OR196" s="13"/>
      <c r="OS196" s="13"/>
      <c r="OT196" s="13"/>
      <c r="OU196" s="13"/>
      <c r="OV196" s="13"/>
      <c r="OW196" s="13"/>
      <c r="OX196" s="13"/>
      <c r="OY196" s="13"/>
      <c r="OZ196" s="13"/>
      <c r="PA196" s="13"/>
      <c r="PB196" s="13"/>
      <c r="PC196" s="13"/>
      <c r="PD196" s="13"/>
      <c r="PE196" s="13"/>
      <c r="PF196" s="13"/>
      <c r="PG196" s="13"/>
      <c r="PH196" s="13"/>
      <c r="PI196" s="13"/>
      <c r="PJ196" s="13"/>
      <c r="PK196" s="13"/>
      <c r="PL196" s="13"/>
      <c r="PM196" s="13"/>
      <c r="PN196" s="13"/>
      <c r="PO196" s="13"/>
      <c r="PP196" s="13"/>
      <c r="PQ196" s="13"/>
      <c r="PR196" s="13"/>
      <c r="PS196" s="13"/>
      <c r="PT196" s="13"/>
      <c r="PU196" s="13"/>
      <c r="PV196" s="13"/>
      <c r="PW196" s="13"/>
      <c r="PX196" s="13"/>
      <c r="PY196" s="13"/>
      <c r="PZ196" s="13"/>
      <c r="QA196" s="13"/>
      <c r="QB196" s="13"/>
      <c r="QC196" s="13"/>
      <c r="QD196" s="13"/>
      <c r="QE196" s="13"/>
      <c r="QF196" s="13"/>
      <c r="QG196" s="13"/>
      <c r="QH196" s="13"/>
      <c r="QI196" s="13"/>
      <c r="QJ196" s="13"/>
      <c r="QK196" s="13"/>
      <c r="QL196" s="13"/>
      <c r="QM196" s="13"/>
      <c r="QN196" s="13"/>
      <c r="QO196" s="13"/>
      <c r="QP196" s="13"/>
      <c r="QQ196" s="13"/>
      <c r="QR196" s="13"/>
      <c r="QS196" s="13"/>
      <c r="QT196" s="13"/>
      <c r="QU196" s="13"/>
      <c r="QV196" s="13"/>
      <c r="QW196" s="13"/>
      <c r="QX196" s="13"/>
      <c r="QY196" s="13"/>
      <c r="QZ196" s="13"/>
      <c r="RA196" s="13"/>
      <c r="RB196" s="13"/>
      <c r="RC196" s="13"/>
      <c r="RD196" s="13"/>
      <c r="RE196" s="13"/>
      <c r="RF196" s="13"/>
      <c r="RG196" s="13"/>
      <c r="RH196" s="13"/>
      <c r="RI196" s="13"/>
      <c r="RJ196" s="13"/>
      <c r="RK196" s="13"/>
      <c r="RL196" s="13"/>
      <c r="RM196" s="13"/>
      <c r="RN196" s="13"/>
      <c r="RO196" s="13"/>
      <c r="RP196" s="13"/>
      <c r="RQ196" s="13"/>
      <c r="RR196" s="13"/>
      <c r="RS196" s="13"/>
      <c r="RT196" s="13"/>
      <c r="RU196" s="13"/>
      <c r="RV196" s="13"/>
      <c r="RW196" s="13"/>
      <c r="RX196" s="13"/>
      <c r="RY196" s="13"/>
      <c r="RZ196" s="13"/>
      <c r="SA196" s="13"/>
      <c r="SB196" s="13"/>
      <c r="SC196" s="13"/>
      <c r="SD196" s="13"/>
      <c r="SE196" s="13"/>
      <c r="SF196" s="13"/>
      <c r="SG196" s="13"/>
      <c r="SH196" s="13"/>
      <c r="SI196" s="13"/>
      <c r="SJ196" s="13"/>
      <c r="SK196" s="13"/>
      <c r="SL196" s="13"/>
      <c r="SM196" s="13"/>
      <c r="SN196" s="13"/>
      <c r="SO196" s="13"/>
      <c r="SP196" s="13"/>
      <c r="SQ196" s="13"/>
      <c r="SR196" s="13"/>
      <c r="SS196" s="13"/>
      <c r="ST196" s="13"/>
      <c r="SU196" s="13"/>
      <c r="SV196" s="13"/>
      <c r="SW196" s="13"/>
      <c r="SX196" s="13"/>
      <c r="SY196" s="13"/>
      <c r="SZ196" s="13"/>
      <c r="TA196" s="13"/>
      <c r="TB196" s="13"/>
      <c r="TC196" s="13"/>
      <c r="TD196" s="13"/>
      <c r="TE196" s="13"/>
      <c r="TF196" s="13"/>
      <c r="TG196" s="13"/>
      <c r="TH196" s="13"/>
      <c r="TI196" s="13"/>
      <c r="TJ196" s="13"/>
      <c r="TK196" s="13"/>
      <c r="TL196" s="13"/>
      <c r="TM196" s="13"/>
      <c r="TN196" s="13"/>
      <c r="TO196" s="13"/>
      <c r="TP196" s="13"/>
      <c r="TQ196" s="13"/>
      <c r="TR196" s="13"/>
      <c r="TS196" s="13"/>
      <c r="TT196" s="13"/>
      <c r="TU196" s="13"/>
      <c r="TV196" s="13"/>
      <c r="TW196" s="13"/>
      <c r="TX196" s="13"/>
      <c r="TY196" s="13"/>
      <c r="TZ196" s="13"/>
      <c r="UA196" s="13"/>
      <c r="UB196" s="13"/>
      <c r="UC196" s="13"/>
      <c r="UD196" s="13"/>
      <c r="UE196" s="13"/>
      <c r="UF196" s="13"/>
      <c r="UG196" s="13"/>
      <c r="UH196" s="13"/>
      <c r="UI196" s="13"/>
      <c r="UJ196" s="13"/>
      <c r="UK196" s="13"/>
      <c r="UL196" s="13"/>
      <c r="UM196" s="13"/>
      <c r="UN196" s="13"/>
      <c r="UO196" s="13"/>
      <c r="UP196" s="13"/>
      <c r="UQ196" s="13"/>
      <c r="UR196" s="13"/>
      <c r="US196" s="13"/>
      <c r="UT196" s="13"/>
      <c r="UU196" s="13"/>
      <c r="UV196" s="13"/>
      <c r="UW196" s="13"/>
      <c r="UX196" s="13"/>
      <c r="UY196" s="13"/>
      <c r="UZ196" s="13"/>
      <c r="VA196" s="13"/>
      <c r="VB196" s="13"/>
      <c r="VC196" s="13"/>
      <c r="VD196" s="13"/>
      <c r="VE196" s="13"/>
      <c r="VF196" s="13"/>
      <c r="VG196" s="13"/>
      <c r="VH196" s="13"/>
      <c r="VI196" s="13"/>
      <c r="VJ196" s="13"/>
      <c r="VK196" s="13"/>
      <c r="VL196" s="13"/>
      <c r="VM196" s="13"/>
      <c r="VN196" s="13"/>
      <c r="VO196" s="13"/>
      <c r="VP196" s="13"/>
      <c r="VQ196" s="13"/>
      <c r="VR196" s="13"/>
      <c r="VS196" s="13"/>
      <c r="VT196" s="13"/>
      <c r="VU196" s="13"/>
      <c r="VV196" s="13"/>
      <c r="VW196" s="13"/>
      <c r="VX196" s="13"/>
      <c r="VY196" s="13"/>
      <c r="VZ196" s="13"/>
      <c r="WA196" s="13"/>
      <c r="WB196" s="13"/>
      <c r="WC196" s="13"/>
      <c r="WD196" s="13"/>
      <c r="WE196" s="13"/>
      <c r="WF196" s="13"/>
      <c r="WG196" s="13"/>
      <c r="WH196" s="13"/>
      <c r="WI196" s="13"/>
      <c r="WJ196" s="13"/>
      <c r="WK196" s="13"/>
      <c r="WL196" s="13"/>
      <c r="WM196" s="13"/>
      <c r="WN196" s="13"/>
      <c r="WO196" s="13"/>
      <c r="WP196" s="13"/>
      <c r="WQ196" s="13"/>
      <c r="WR196" s="13"/>
      <c r="WS196" s="13"/>
      <c r="WT196" s="13"/>
      <c r="WU196" s="13"/>
      <c r="WV196" s="13"/>
      <c r="WW196" s="13"/>
      <c r="WX196" s="13"/>
      <c r="WY196" s="13"/>
      <c r="WZ196" s="13"/>
      <c r="XA196" s="13"/>
      <c r="XB196" s="13"/>
      <c r="XC196" s="13"/>
      <c r="XD196" s="13"/>
      <c r="XE196" s="13"/>
      <c r="XF196" s="13"/>
      <c r="XG196" s="13"/>
      <c r="XH196" s="13"/>
      <c r="XI196" s="13"/>
      <c r="XJ196" s="13"/>
      <c r="XK196" s="13"/>
      <c r="XL196" s="13"/>
      <c r="XM196" s="13"/>
      <c r="XN196" s="13"/>
      <c r="XO196" s="13"/>
      <c r="XP196" s="13"/>
      <c r="XQ196" s="13"/>
      <c r="XR196" s="13"/>
      <c r="XS196" s="13"/>
      <c r="XT196" s="13"/>
      <c r="XU196" s="13"/>
      <c r="XV196" s="13"/>
      <c r="XW196" s="13"/>
      <c r="XX196" s="13"/>
      <c r="XY196" s="13"/>
      <c r="XZ196" s="13"/>
      <c r="YA196" s="13"/>
      <c r="YB196" s="13"/>
      <c r="YC196" s="13"/>
      <c r="YD196" s="13"/>
      <c r="YE196" s="13"/>
      <c r="YF196" s="13"/>
      <c r="YG196" s="13"/>
      <c r="YH196" s="13"/>
      <c r="YI196" s="13"/>
      <c r="YJ196" s="13"/>
      <c r="YK196" s="13"/>
      <c r="YL196" s="13"/>
      <c r="YM196" s="13"/>
      <c r="YN196" s="13"/>
      <c r="YO196" s="13"/>
      <c r="YP196" s="13"/>
      <c r="YQ196" s="13"/>
      <c r="YR196" s="13"/>
      <c r="YS196" s="13"/>
      <c r="YT196" s="13"/>
      <c r="YU196" s="13"/>
      <c r="YV196" s="13"/>
      <c r="YW196" s="13"/>
      <c r="YX196" s="13"/>
      <c r="YY196" s="13"/>
      <c r="YZ196" s="13"/>
      <c r="ZA196" s="13"/>
      <c r="ZB196" s="13"/>
      <c r="ZC196" s="13"/>
      <c r="ZD196" s="13"/>
      <c r="ZE196" s="13"/>
      <c r="ZF196" s="13"/>
      <c r="ZG196" s="13"/>
      <c r="ZH196" s="13"/>
      <c r="ZI196" s="13"/>
      <c r="ZJ196" s="13"/>
      <c r="ZK196" s="13"/>
      <c r="ZL196" s="13"/>
      <c r="ZM196" s="13"/>
      <c r="ZN196" s="13"/>
      <c r="ZO196" s="13"/>
      <c r="ZP196" s="13"/>
      <c r="ZQ196" s="13"/>
      <c r="ZR196" s="13"/>
      <c r="ZS196" s="13"/>
      <c r="ZT196" s="13"/>
      <c r="ZU196" s="13"/>
      <c r="ZV196" s="13"/>
      <c r="ZW196" s="13"/>
      <c r="ZX196" s="13"/>
      <c r="ZY196" s="13"/>
      <c r="ZZ196" s="13"/>
      <c r="AAA196" s="13"/>
      <c r="AAB196" s="13"/>
      <c r="AAC196" s="13"/>
      <c r="AAD196" s="13"/>
      <c r="AAE196" s="13"/>
      <c r="AAF196" s="13"/>
      <c r="AAG196" s="13"/>
      <c r="AAH196" s="13"/>
      <c r="AAI196" s="13"/>
      <c r="AAJ196" s="13"/>
      <c r="AAK196" s="13"/>
      <c r="AAL196" s="13"/>
      <c r="AAM196" s="13"/>
      <c r="AAN196" s="13"/>
      <c r="AAO196" s="13"/>
      <c r="AAP196" s="13"/>
      <c r="AAQ196" s="13"/>
      <c r="AAR196" s="13"/>
      <c r="AAS196" s="13"/>
      <c r="AAT196" s="13"/>
      <c r="AAU196" s="13"/>
      <c r="AAV196" s="13"/>
      <c r="AAW196" s="13"/>
      <c r="AAX196" s="13"/>
      <c r="AAY196" s="13"/>
      <c r="AAZ196" s="13"/>
      <c r="ABA196" s="13"/>
      <c r="ABB196" s="13"/>
      <c r="ABC196" s="13"/>
      <c r="ABD196" s="13"/>
      <c r="ABE196" s="13"/>
      <c r="ABF196" s="13"/>
      <c r="ABG196" s="13"/>
      <c r="ABH196" s="13"/>
      <c r="ABI196" s="13"/>
      <c r="ABJ196" s="13"/>
      <c r="ABK196" s="13"/>
      <c r="ABL196" s="13"/>
      <c r="ABM196" s="13"/>
      <c r="ABN196" s="13"/>
      <c r="ABO196" s="13"/>
      <c r="ABP196" s="13"/>
      <c r="ABQ196" s="13"/>
      <c r="ABR196" s="13"/>
      <c r="ABS196" s="13"/>
      <c r="ABT196" s="13"/>
      <c r="ABU196" s="13"/>
      <c r="ABV196" s="13"/>
      <c r="ABW196" s="13"/>
      <c r="ABX196" s="13"/>
      <c r="ABY196" s="13"/>
      <c r="ABZ196" s="13"/>
      <c r="ACA196" s="13"/>
      <c r="ACB196" s="13"/>
      <c r="ACC196" s="13"/>
      <c r="ACD196" s="13"/>
      <c r="ACE196" s="13"/>
      <c r="ACF196" s="13"/>
      <c r="ACG196" s="13"/>
      <c r="ACH196" s="13"/>
      <c r="ACI196" s="13"/>
      <c r="ACJ196" s="13"/>
      <c r="ACK196" s="13"/>
      <c r="ACL196" s="13"/>
      <c r="ACM196" s="13"/>
      <c r="ACN196" s="13"/>
      <c r="ACO196" s="13"/>
      <c r="ACP196" s="13"/>
      <c r="ACQ196" s="13"/>
      <c r="ACR196" s="13"/>
      <c r="ACS196" s="13"/>
      <c r="ACT196" s="13"/>
      <c r="ACU196" s="13"/>
      <c r="ACV196" s="13"/>
      <c r="ACW196" s="13"/>
      <c r="ACX196" s="13"/>
      <c r="ACY196" s="13"/>
      <c r="ACZ196" s="13"/>
      <c r="ADA196" s="13"/>
      <c r="ADB196" s="13"/>
      <c r="ADC196" s="13"/>
      <c r="ADD196" s="13"/>
      <c r="ADE196" s="13"/>
      <c r="ADF196" s="13"/>
      <c r="ADG196" s="13"/>
      <c r="ADH196" s="13"/>
      <c r="ADI196" s="13"/>
      <c r="ADJ196" s="13"/>
      <c r="ADK196" s="13"/>
      <c r="ADL196" s="13"/>
      <c r="ADM196" s="13"/>
      <c r="ADN196" s="13"/>
      <c r="ADO196" s="13"/>
      <c r="ADP196" s="13"/>
      <c r="ADQ196" s="13"/>
      <c r="ADR196" s="13"/>
      <c r="ADS196" s="13"/>
      <c r="ADT196" s="13"/>
      <c r="ADU196" s="13"/>
      <c r="ADV196" s="13"/>
      <c r="ADW196" s="13"/>
      <c r="ADX196" s="13"/>
      <c r="ADY196" s="13"/>
      <c r="ADZ196" s="13"/>
      <c r="AEA196" s="13"/>
      <c r="AEB196" s="13"/>
      <c r="AEC196" s="13"/>
      <c r="AED196" s="13"/>
      <c r="AEE196" s="13"/>
      <c r="AEF196" s="13"/>
      <c r="AEG196" s="13"/>
      <c r="AEH196" s="13"/>
      <c r="AEI196" s="13"/>
      <c r="AEJ196" s="13"/>
      <c r="AEK196" s="13"/>
      <c r="AEL196" s="13"/>
      <c r="AEM196" s="13"/>
      <c r="AEN196" s="13"/>
      <c r="AEO196" s="13"/>
      <c r="AEP196" s="13"/>
      <c r="AEQ196" s="13"/>
      <c r="AER196" s="13"/>
      <c r="AES196" s="13"/>
      <c r="AET196" s="13"/>
      <c r="AEU196" s="13"/>
      <c r="AEV196" s="13"/>
      <c r="AEW196" s="13"/>
      <c r="AEX196" s="13"/>
      <c r="AEY196" s="13"/>
      <c r="AEZ196" s="13"/>
      <c r="AFA196" s="13"/>
      <c r="AFB196" s="13"/>
      <c r="AFC196" s="13"/>
      <c r="AFD196" s="13"/>
      <c r="AFE196" s="13"/>
      <c r="AFF196" s="13"/>
      <c r="AFG196" s="13"/>
      <c r="AFH196" s="13"/>
      <c r="AFI196" s="13"/>
      <c r="AFJ196" s="13"/>
      <c r="AFK196" s="13"/>
      <c r="AFL196" s="13"/>
      <c r="AFM196" s="13"/>
      <c r="AFN196" s="13"/>
      <c r="AFO196" s="13"/>
      <c r="AFP196" s="13"/>
      <c r="AFQ196" s="13"/>
      <c r="AFR196" s="13"/>
      <c r="AFS196" s="13"/>
      <c r="AFT196" s="13"/>
      <c r="AFU196" s="13"/>
      <c r="AFV196" s="13"/>
      <c r="AFW196" s="13"/>
      <c r="AFX196" s="13"/>
      <c r="AFY196" s="13"/>
      <c r="AFZ196" s="13"/>
      <c r="AGA196" s="13"/>
      <c r="AGB196" s="13"/>
      <c r="AGC196" s="13"/>
      <c r="AGD196" s="13"/>
      <c r="AGE196" s="13"/>
      <c r="AGF196" s="13"/>
      <c r="AGG196" s="13"/>
      <c r="AGH196" s="13"/>
      <c r="AGI196" s="13"/>
      <c r="AGJ196" s="13"/>
      <c r="AGK196" s="13"/>
      <c r="AGL196" s="13"/>
      <c r="AGM196" s="13"/>
      <c r="AGN196" s="13"/>
      <c r="AGO196" s="13"/>
      <c r="AGP196" s="13"/>
      <c r="AGQ196" s="13"/>
      <c r="AGR196" s="13"/>
      <c r="AGS196" s="13"/>
      <c r="AGT196" s="13"/>
      <c r="AGU196" s="13"/>
      <c r="AGV196" s="13"/>
      <c r="AGW196" s="13"/>
      <c r="AGX196" s="13"/>
      <c r="AGY196" s="13"/>
      <c r="AGZ196" s="13"/>
      <c r="AHA196" s="13"/>
      <c r="AHB196" s="13"/>
      <c r="AHC196" s="13"/>
      <c r="AHD196" s="13"/>
      <c r="AHE196" s="13"/>
      <c r="AHF196" s="13"/>
      <c r="AHG196" s="13"/>
      <c r="AHH196" s="13"/>
      <c r="AHI196" s="13"/>
      <c r="AHJ196" s="13"/>
      <c r="AHK196" s="13"/>
      <c r="AHL196" s="13"/>
      <c r="AHM196" s="13"/>
      <c r="AHN196" s="13"/>
      <c r="AHO196" s="13"/>
      <c r="AHP196" s="13"/>
      <c r="AHQ196" s="13"/>
      <c r="AHR196" s="13"/>
      <c r="AHS196" s="13"/>
      <c r="AHT196" s="13"/>
      <c r="AHU196" s="13"/>
      <c r="AHV196" s="13"/>
      <c r="AHW196" s="13"/>
      <c r="AHX196" s="13"/>
      <c r="AHY196" s="13"/>
      <c r="AHZ196" s="13"/>
      <c r="AIA196" s="13"/>
      <c r="AIB196" s="13"/>
      <c r="AIC196" s="13"/>
      <c r="AID196" s="13"/>
      <c r="AIE196" s="13"/>
      <c r="AIF196" s="13"/>
      <c r="AIG196" s="13"/>
      <c r="AIH196" s="13"/>
      <c r="AII196" s="13"/>
      <c r="AIJ196" s="13"/>
      <c r="AIK196" s="13"/>
      <c r="AIL196" s="13"/>
      <c r="AIM196" s="13"/>
      <c r="AIN196" s="13"/>
      <c r="AIO196" s="13"/>
      <c r="AIP196" s="13"/>
      <c r="AIQ196" s="13"/>
      <c r="AIR196" s="13"/>
      <c r="AIS196" s="13"/>
      <c r="AIT196" s="13"/>
      <c r="AIU196" s="13"/>
      <c r="AIV196" s="13"/>
      <c r="AIW196" s="13"/>
      <c r="AIX196" s="13"/>
      <c r="AIY196" s="13"/>
      <c r="AIZ196" s="13"/>
      <c r="AJA196" s="13"/>
      <c r="AJB196" s="13"/>
      <c r="AJC196" s="13"/>
      <c r="AJD196" s="13"/>
      <c r="AJE196" s="13"/>
      <c r="AJF196" s="13"/>
      <c r="AJG196" s="13"/>
      <c r="AJH196" s="13"/>
      <c r="AJI196" s="13"/>
      <c r="AJJ196" s="13"/>
      <c r="AJK196" s="13"/>
      <c r="AJL196" s="13"/>
      <c r="AJM196" s="13"/>
      <c r="AJN196" s="13"/>
      <c r="AJO196" s="13"/>
      <c r="AJP196" s="13"/>
      <c r="AJQ196" s="13"/>
      <c r="AJR196" s="13"/>
      <c r="AJS196" s="13"/>
      <c r="AJT196" s="13"/>
      <c r="AJU196" s="13"/>
      <c r="AJV196" s="13"/>
      <c r="AJW196" s="13"/>
      <c r="AJX196" s="13"/>
      <c r="AJY196" s="13"/>
      <c r="AJZ196" s="13"/>
      <c r="AKA196" s="13"/>
      <c r="AKB196" s="13"/>
      <c r="AKC196" s="13"/>
      <c r="AKD196" s="13"/>
      <c r="AKE196" s="13"/>
      <c r="AKF196" s="13"/>
      <c r="AKG196" s="13"/>
      <c r="AKH196" s="13"/>
      <c r="AKI196" s="13"/>
      <c r="AKJ196" s="13"/>
      <c r="AKK196" s="13"/>
      <c r="AKL196" s="13"/>
      <c r="AKM196" s="13"/>
      <c r="AKN196" s="13"/>
      <c r="AKO196" s="13"/>
      <c r="AKP196" s="13"/>
      <c r="AKQ196" s="13"/>
      <c r="AKR196" s="13"/>
      <c r="AKS196" s="13"/>
      <c r="AKT196" s="13"/>
      <c r="AKU196" s="13"/>
      <c r="AKV196" s="13"/>
      <c r="AKW196" s="13"/>
      <c r="AKX196" s="13"/>
      <c r="AKY196" s="13"/>
      <c r="AKZ196" s="13"/>
      <c r="ALA196" s="13"/>
      <c r="ALB196" s="13"/>
      <c r="ALC196" s="13"/>
      <c r="ALD196" s="13"/>
      <c r="ALE196" s="13"/>
      <c r="ALF196" s="13"/>
      <c r="ALG196" s="13"/>
      <c r="ALH196" s="13"/>
      <c r="ALI196" s="13"/>
      <c r="ALJ196" s="13"/>
      <c r="ALK196" s="13"/>
      <c r="ALL196" s="13"/>
      <c r="ALM196" s="13"/>
      <c r="ALN196" s="13"/>
      <c r="ALO196" s="13"/>
      <c r="ALP196" s="13"/>
      <c r="ALQ196" s="13"/>
      <c r="ALR196" s="13"/>
      <c r="ALS196" s="13"/>
      <c r="ALT196" s="13"/>
      <c r="ALU196" s="13"/>
      <c r="ALV196" s="13"/>
      <c r="ALW196" s="13"/>
      <c r="ALX196" s="13"/>
      <c r="ALY196" s="13"/>
      <c r="ALZ196" s="13"/>
      <c r="AMA196" s="13"/>
      <c r="AMB196" s="13"/>
      <c r="AMC196" s="13"/>
      <c r="AMD196" s="13"/>
      <c r="AME196" s="13"/>
      <c r="AMF196" s="13"/>
      <c r="AMG196" s="13"/>
      <c r="AMH196" s="13"/>
      <c r="AMI196" s="13"/>
      <c r="AMJ196" s="13"/>
      <c r="AMK196" s="13"/>
    </row>
    <row r="197" spans="1:1025" s="16" customForma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13"/>
      <c r="EM197" s="13"/>
      <c r="EN197" s="13"/>
      <c r="EO197" s="13"/>
      <c r="EP197" s="13"/>
      <c r="EQ197" s="13"/>
      <c r="ER197" s="13"/>
      <c r="ES197" s="13"/>
      <c r="ET197" s="13"/>
      <c r="EU197" s="13"/>
      <c r="EV197" s="13"/>
      <c r="EW197" s="13"/>
      <c r="EX197" s="13"/>
      <c r="EY197" s="13"/>
      <c r="EZ197" s="13"/>
      <c r="FA197" s="13"/>
      <c r="FB197" s="13"/>
      <c r="FC197" s="13"/>
      <c r="FD197" s="13"/>
      <c r="FE197" s="13"/>
      <c r="FF197" s="13"/>
      <c r="FG197" s="13"/>
      <c r="FH197" s="13"/>
      <c r="FI197" s="13"/>
      <c r="FJ197" s="13"/>
      <c r="FK197" s="13"/>
      <c r="FL197" s="13"/>
      <c r="FM197" s="13"/>
      <c r="FN197" s="13"/>
      <c r="FO197" s="13"/>
      <c r="FP197" s="13"/>
      <c r="FQ197" s="13"/>
      <c r="FR197" s="13"/>
      <c r="FS197" s="13"/>
      <c r="FT197" s="13"/>
      <c r="FU197" s="13"/>
      <c r="FV197" s="13"/>
      <c r="FW197" s="13"/>
      <c r="FX197" s="13"/>
      <c r="FY197" s="13"/>
      <c r="FZ197" s="13"/>
      <c r="GA197" s="13"/>
      <c r="GB197" s="13"/>
      <c r="GC197" s="13"/>
      <c r="GD197" s="13"/>
      <c r="GE197" s="13"/>
      <c r="GF197" s="13"/>
      <c r="GG197" s="13"/>
      <c r="GH197" s="13"/>
      <c r="GI197" s="13"/>
      <c r="GJ197" s="13"/>
      <c r="GK197" s="13"/>
      <c r="GL197" s="13"/>
      <c r="GM197" s="13"/>
      <c r="GN197" s="13"/>
      <c r="GO197" s="13"/>
      <c r="GP197" s="13"/>
      <c r="GQ197" s="13"/>
      <c r="GR197" s="13"/>
      <c r="GS197" s="13"/>
      <c r="GT197" s="13"/>
      <c r="GU197" s="13"/>
      <c r="GV197" s="13"/>
      <c r="GW197" s="13"/>
      <c r="GX197" s="13"/>
      <c r="GY197" s="13"/>
      <c r="GZ197" s="13"/>
      <c r="HA197" s="13"/>
      <c r="HB197" s="13"/>
      <c r="HC197" s="13"/>
      <c r="HD197" s="13"/>
      <c r="HE197" s="13"/>
      <c r="HF197" s="13"/>
      <c r="HG197" s="13"/>
      <c r="HH197" s="13"/>
      <c r="HI197" s="13"/>
      <c r="HJ197" s="13"/>
      <c r="HK197" s="13"/>
      <c r="HL197" s="13"/>
      <c r="HM197" s="13"/>
      <c r="HN197" s="13"/>
      <c r="HO197" s="13"/>
      <c r="HP197" s="13"/>
      <c r="HQ197" s="13"/>
      <c r="HR197" s="13"/>
      <c r="HS197" s="13"/>
      <c r="HT197" s="13"/>
      <c r="HU197" s="13"/>
      <c r="HV197" s="13"/>
      <c r="HW197" s="13"/>
      <c r="HX197" s="13"/>
      <c r="HY197" s="13"/>
      <c r="HZ197" s="13"/>
      <c r="IA197" s="13"/>
      <c r="IB197" s="13"/>
      <c r="IC197" s="13"/>
      <c r="ID197" s="13"/>
      <c r="IE197" s="13"/>
      <c r="IF197" s="13"/>
      <c r="IG197" s="13"/>
      <c r="IH197" s="13"/>
      <c r="II197" s="13"/>
      <c r="IJ197" s="13"/>
      <c r="IK197" s="13"/>
      <c r="IL197" s="13"/>
      <c r="IM197" s="13"/>
      <c r="IN197" s="13"/>
      <c r="IO197" s="13"/>
      <c r="IP197" s="13"/>
      <c r="IQ197" s="13"/>
      <c r="IR197" s="13"/>
      <c r="IS197" s="13"/>
      <c r="IT197" s="13"/>
      <c r="IU197" s="13"/>
      <c r="IV197" s="13"/>
      <c r="IW197" s="13"/>
      <c r="IX197" s="13"/>
      <c r="IY197" s="13"/>
      <c r="IZ197" s="13"/>
      <c r="JA197" s="13"/>
      <c r="JB197" s="13"/>
      <c r="JC197" s="13"/>
      <c r="JD197" s="13"/>
      <c r="JE197" s="13"/>
      <c r="JF197" s="13"/>
      <c r="JG197" s="13"/>
      <c r="JH197" s="13"/>
      <c r="JI197" s="13"/>
      <c r="JJ197" s="13"/>
      <c r="JK197" s="13"/>
      <c r="JL197" s="13"/>
      <c r="JM197" s="13"/>
      <c r="JN197" s="13"/>
      <c r="JO197" s="13"/>
      <c r="JP197" s="13"/>
      <c r="JQ197" s="13"/>
      <c r="JR197" s="13"/>
      <c r="JS197" s="13"/>
      <c r="JT197" s="13"/>
      <c r="JU197" s="13"/>
      <c r="JV197" s="13"/>
      <c r="JW197" s="13"/>
      <c r="JX197" s="13"/>
      <c r="JY197" s="13"/>
      <c r="JZ197" s="13"/>
      <c r="KA197" s="13"/>
      <c r="KB197" s="13"/>
      <c r="KC197" s="13"/>
      <c r="KD197" s="13"/>
      <c r="KE197" s="13"/>
      <c r="KF197" s="13"/>
      <c r="KG197" s="13"/>
      <c r="KH197" s="13"/>
      <c r="KI197" s="13"/>
      <c r="KJ197" s="13"/>
      <c r="KK197" s="13"/>
      <c r="KL197" s="13"/>
      <c r="KM197" s="13"/>
      <c r="KN197" s="13"/>
      <c r="KO197" s="13"/>
      <c r="KP197" s="13"/>
      <c r="KQ197" s="13"/>
      <c r="KR197" s="13"/>
      <c r="KS197" s="13"/>
      <c r="KT197" s="13"/>
      <c r="KU197" s="13"/>
      <c r="KV197" s="13"/>
      <c r="KW197" s="13"/>
      <c r="KX197" s="13"/>
      <c r="KY197" s="13"/>
      <c r="KZ197" s="13"/>
      <c r="LA197" s="13"/>
      <c r="LB197" s="13"/>
      <c r="LC197" s="13"/>
      <c r="LD197" s="13"/>
      <c r="LE197" s="13"/>
      <c r="LF197" s="13"/>
      <c r="LG197" s="13"/>
      <c r="LH197" s="13"/>
      <c r="LI197" s="13"/>
      <c r="LJ197" s="13"/>
      <c r="LK197" s="13"/>
      <c r="LL197" s="13"/>
      <c r="LM197" s="13"/>
      <c r="LN197" s="13"/>
      <c r="LO197" s="13"/>
      <c r="LP197" s="13"/>
      <c r="LQ197" s="13"/>
      <c r="LR197" s="13"/>
      <c r="LS197" s="13"/>
      <c r="LT197" s="13"/>
      <c r="LU197" s="13"/>
      <c r="LV197" s="13"/>
      <c r="LW197" s="13"/>
      <c r="LX197" s="13"/>
      <c r="LY197" s="13"/>
      <c r="LZ197" s="13"/>
      <c r="MA197" s="13"/>
      <c r="MB197" s="13"/>
      <c r="MC197" s="13"/>
      <c r="MD197" s="13"/>
      <c r="ME197" s="13"/>
      <c r="MF197" s="13"/>
      <c r="MG197" s="13"/>
      <c r="MH197" s="13"/>
      <c r="MI197" s="13"/>
      <c r="MJ197" s="13"/>
      <c r="MK197" s="13"/>
      <c r="ML197" s="13"/>
      <c r="MM197" s="13"/>
      <c r="MN197" s="13"/>
      <c r="MO197" s="13"/>
      <c r="MP197" s="13"/>
      <c r="MQ197" s="13"/>
      <c r="MR197" s="13"/>
      <c r="MS197" s="13"/>
      <c r="MT197" s="13"/>
      <c r="MU197" s="13"/>
      <c r="MV197" s="13"/>
      <c r="MW197" s="13"/>
      <c r="MX197" s="13"/>
      <c r="MY197" s="13"/>
      <c r="MZ197" s="13"/>
      <c r="NA197" s="13"/>
      <c r="NB197" s="13"/>
      <c r="NC197" s="13"/>
      <c r="ND197" s="13"/>
      <c r="NE197" s="13"/>
      <c r="NF197" s="13"/>
      <c r="NG197" s="13"/>
      <c r="NH197" s="13"/>
      <c r="NI197" s="13"/>
      <c r="NJ197" s="13"/>
      <c r="NK197" s="13"/>
      <c r="NL197" s="13"/>
      <c r="NM197" s="13"/>
      <c r="NN197" s="13"/>
      <c r="NO197" s="13"/>
      <c r="NP197" s="13"/>
      <c r="NQ197" s="13"/>
      <c r="NR197" s="13"/>
      <c r="NS197" s="13"/>
      <c r="NT197" s="13"/>
      <c r="NU197" s="13"/>
      <c r="NV197" s="13"/>
      <c r="NW197" s="13"/>
      <c r="NX197" s="13"/>
      <c r="NY197" s="13"/>
      <c r="NZ197" s="13"/>
      <c r="OA197" s="13"/>
      <c r="OB197" s="13"/>
      <c r="OC197" s="13"/>
      <c r="OD197" s="13"/>
      <c r="OE197" s="13"/>
      <c r="OF197" s="13"/>
      <c r="OG197" s="13"/>
      <c r="OH197" s="13"/>
      <c r="OI197" s="13"/>
      <c r="OJ197" s="13"/>
      <c r="OK197" s="13"/>
      <c r="OL197" s="13"/>
      <c r="OM197" s="13"/>
      <c r="ON197" s="13"/>
      <c r="OO197" s="13"/>
      <c r="OP197" s="13"/>
      <c r="OQ197" s="13"/>
      <c r="OR197" s="13"/>
      <c r="OS197" s="13"/>
      <c r="OT197" s="13"/>
      <c r="OU197" s="13"/>
      <c r="OV197" s="13"/>
      <c r="OW197" s="13"/>
      <c r="OX197" s="13"/>
      <c r="OY197" s="13"/>
      <c r="OZ197" s="13"/>
      <c r="PA197" s="13"/>
      <c r="PB197" s="13"/>
      <c r="PC197" s="13"/>
      <c r="PD197" s="13"/>
      <c r="PE197" s="13"/>
      <c r="PF197" s="13"/>
      <c r="PG197" s="13"/>
      <c r="PH197" s="13"/>
      <c r="PI197" s="13"/>
      <c r="PJ197" s="13"/>
      <c r="PK197" s="13"/>
      <c r="PL197" s="13"/>
      <c r="PM197" s="13"/>
      <c r="PN197" s="13"/>
      <c r="PO197" s="13"/>
      <c r="PP197" s="13"/>
      <c r="PQ197" s="13"/>
      <c r="PR197" s="13"/>
      <c r="PS197" s="13"/>
      <c r="PT197" s="13"/>
      <c r="PU197" s="13"/>
      <c r="PV197" s="13"/>
      <c r="PW197" s="13"/>
      <c r="PX197" s="13"/>
      <c r="PY197" s="13"/>
      <c r="PZ197" s="13"/>
      <c r="QA197" s="13"/>
      <c r="QB197" s="13"/>
      <c r="QC197" s="13"/>
      <c r="QD197" s="13"/>
      <c r="QE197" s="13"/>
      <c r="QF197" s="13"/>
      <c r="QG197" s="13"/>
      <c r="QH197" s="13"/>
      <c r="QI197" s="13"/>
      <c r="QJ197" s="13"/>
      <c r="QK197" s="13"/>
      <c r="QL197" s="13"/>
      <c r="QM197" s="13"/>
      <c r="QN197" s="13"/>
      <c r="QO197" s="13"/>
      <c r="QP197" s="13"/>
      <c r="QQ197" s="13"/>
      <c r="QR197" s="13"/>
      <c r="QS197" s="13"/>
      <c r="QT197" s="13"/>
      <c r="QU197" s="13"/>
      <c r="QV197" s="13"/>
      <c r="QW197" s="13"/>
      <c r="QX197" s="13"/>
      <c r="QY197" s="13"/>
      <c r="QZ197" s="13"/>
      <c r="RA197" s="13"/>
      <c r="RB197" s="13"/>
      <c r="RC197" s="13"/>
      <c r="RD197" s="13"/>
      <c r="RE197" s="13"/>
      <c r="RF197" s="13"/>
      <c r="RG197" s="13"/>
      <c r="RH197" s="13"/>
      <c r="RI197" s="13"/>
      <c r="RJ197" s="13"/>
      <c r="RK197" s="13"/>
      <c r="RL197" s="13"/>
      <c r="RM197" s="13"/>
      <c r="RN197" s="13"/>
      <c r="RO197" s="13"/>
      <c r="RP197" s="13"/>
      <c r="RQ197" s="13"/>
      <c r="RR197" s="13"/>
      <c r="RS197" s="13"/>
      <c r="RT197" s="13"/>
      <c r="RU197" s="13"/>
      <c r="RV197" s="13"/>
      <c r="RW197" s="13"/>
      <c r="RX197" s="13"/>
      <c r="RY197" s="13"/>
      <c r="RZ197" s="13"/>
      <c r="SA197" s="13"/>
      <c r="SB197" s="13"/>
      <c r="SC197" s="13"/>
      <c r="SD197" s="13"/>
      <c r="SE197" s="13"/>
      <c r="SF197" s="13"/>
      <c r="SG197" s="13"/>
      <c r="SH197" s="13"/>
      <c r="SI197" s="13"/>
      <c r="SJ197" s="13"/>
      <c r="SK197" s="13"/>
      <c r="SL197" s="13"/>
      <c r="SM197" s="13"/>
      <c r="SN197" s="13"/>
      <c r="SO197" s="13"/>
      <c r="SP197" s="13"/>
      <c r="SQ197" s="13"/>
      <c r="SR197" s="13"/>
      <c r="SS197" s="13"/>
      <c r="ST197" s="13"/>
      <c r="SU197" s="13"/>
      <c r="SV197" s="13"/>
      <c r="SW197" s="13"/>
      <c r="SX197" s="13"/>
      <c r="SY197" s="13"/>
      <c r="SZ197" s="13"/>
      <c r="TA197" s="13"/>
      <c r="TB197" s="13"/>
      <c r="TC197" s="13"/>
      <c r="TD197" s="13"/>
      <c r="TE197" s="13"/>
      <c r="TF197" s="13"/>
      <c r="TG197" s="13"/>
      <c r="TH197" s="13"/>
      <c r="TI197" s="13"/>
      <c r="TJ197" s="13"/>
      <c r="TK197" s="13"/>
      <c r="TL197" s="13"/>
      <c r="TM197" s="13"/>
      <c r="TN197" s="13"/>
      <c r="TO197" s="13"/>
      <c r="TP197" s="13"/>
      <c r="TQ197" s="13"/>
      <c r="TR197" s="13"/>
      <c r="TS197" s="13"/>
      <c r="TT197" s="13"/>
      <c r="TU197" s="13"/>
      <c r="TV197" s="13"/>
      <c r="TW197" s="13"/>
      <c r="TX197" s="13"/>
      <c r="TY197" s="13"/>
      <c r="TZ197" s="13"/>
      <c r="UA197" s="13"/>
      <c r="UB197" s="13"/>
      <c r="UC197" s="13"/>
      <c r="UD197" s="13"/>
      <c r="UE197" s="13"/>
      <c r="UF197" s="13"/>
      <c r="UG197" s="13"/>
      <c r="UH197" s="13"/>
      <c r="UI197" s="13"/>
      <c r="UJ197" s="13"/>
      <c r="UK197" s="13"/>
      <c r="UL197" s="13"/>
      <c r="UM197" s="13"/>
      <c r="UN197" s="13"/>
      <c r="UO197" s="13"/>
      <c r="UP197" s="13"/>
      <c r="UQ197" s="13"/>
      <c r="UR197" s="13"/>
      <c r="US197" s="13"/>
      <c r="UT197" s="13"/>
      <c r="UU197" s="13"/>
      <c r="UV197" s="13"/>
      <c r="UW197" s="13"/>
      <c r="UX197" s="13"/>
      <c r="UY197" s="13"/>
      <c r="UZ197" s="13"/>
      <c r="VA197" s="13"/>
      <c r="VB197" s="13"/>
      <c r="VC197" s="13"/>
      <c r="VD197" s="13"/>
      <c r="VE197" s="13"/>
      <c r="VF197" s="13"/>
      <c r="VG197" s="13"/>
      <c r="VH197" s="13"/>
      <c r="VI197" s="13"/>
      <c r="VJ197" s="13"/>
      <c r="VK197" s="13"/>
      <c r="VL197" s="13"/>
      <c r="VM197" s="13"/>
      <c r="VN197" s="13"/>
      <c r="VO197" s="13"/>
      <c r="VP197" s="13"/>
      <c r="VQ197" s="13"/>
      <c r="VR197" s="13"/>
      <c r="VS197" s="13"/>
      <c r="VT197" s="13"/>
      <c r="VU197" s="13"/>
      <c r="VV197" s="13"/>
      <c r="VW197" s="13"/>
      <c r="VX197" s="13"/>
      <c r="VY197" s="13"/>
      <c r="VZ197" s="13"/>
      <c r="WA197" s="13"/>
      <c r="WB197" s="13"/>
      <c r="WC197" s="13"/>
      <c r="WD197" s="13"/>
      <c r="WE197" s="13"/>
      <c r="WF197" s="13"/>
      <c r="WG197" s="13"/>
      <c r="WH197" s="13"/>
      <c r="WI197" s="13"/>
      <c r="WJ197" s="13"/>
      <c r="WK197" s="13"/>
      <c r="WL197" s="13"/>
      <c r="WM197" s="13"/>
      <c r="WN197" s="13"/>
      <c r="WO197" s="13"/>
      <c r="WP197" s="13"/>
      <c r="WQ197" s="13"/>
      <c r="WR197" s="13"/>
      <c r="WS197" s="13"/>
      <c r="WT197" s="13"/>
      <c r="WU197" s="13"/>
      <c r="WV197" s="13"/>
      <c r="WW197" s="13"/>
      <c r="WX197" s="13"/>
      <c r="WY197" s="13"/>
      <c r="WZ197" s="13"/>
      <c r="XA197" s="13"/>
      <c r="XB197" s="13"/>
      <c r="XC197" s="13"/>
      <c r="XD197" s="13"/>
      <c r="XE197" s="13"/>
      <c r="XF197" s="13"/>
      <c r="XG197" s="13"/>
      <c r="XH197" s="13"/>
      <c r="XI197" s="13"/>
      <c r="XJ197" s="13"/>
      <c r="XK197" s="13"/>
      <c r="XL197" s="13"/>
      <c r="XM197" s="13"/>
      <c r="XN197" s="13"/>
      <c r="XO197" s="13"/>
      <c r="XP197" s="13"/>
      <c r="XQ197" s="13"/>
      <c r="XR197" s="13"/>
      <c r="XS197" s="13"/>
      <c r="XT197" s="13"/>
      <c r="XU197" s="13"/>
      <c r="XV197" s="13"/>
      <c r="XW197" s="13"/>
      <c r="XX197" s="13"/>
      <c r="XY197" s="13"/>
      <c r="XZ197" s="13"/>
      <c r="YA197" s="13"/>
      <c r="YB197" s="13"/>
      <c r="YC197" s="13"/>
      <c r="YD197" s="13"/>
      <c r="YE197" s="13"/>
      <c r="YF197" s="13"/>
      <c r="YG197" s="13"/>
      <c r="YH197" s="13"/>
      <c r="YI197" s="13"/>
      <c r="YJ197" s="13"/>
      <c r="YK197" s="13"/>
      <c r="YL197" s="13"/>
      <c r="YM197" s="13"/>
      <c r="YN197" s="13"/>
      <c r="YO197" s="13"/>
      <c r="YP197" s="13"/>
      <c r="YQ197" s="13"/>
      <c r="YR197" s="13"/>
      <c r="YS197" s="13"/>
      <c r="YT197" s="13"/>
      <c r="YU197" s="13"/>
      <c r="YV197" s="13"/>
      <c r="YW197" s="13"/>
      <c r="YX197" s="13"/>
      <c r="YY197" s="13"/>
      <c r="YZ197" s="13"/>
      <c r="ZA197" s="13"/>
      <c r="ZB197" s="13"/>
      <c r="ZC197" s="13"/>
      <c r="ZD197" s="13"/>
      <c r="ZE197" s="13"/>
      <c r="ZF197" s="13"/>
      <c r="ZG197" s="13"/>
      <c r="ZH197" s="13"/>
      <c r="ZI197" s="13"/>
      <c r="ZJ197" s="13"/>
      <c r="ZK197" s="13"/>
      <c r="ZL197" s="13"/>
      <c r="ZM197" s="13"/>
      <c r="ZN197" s="13"/>
      <c r="ZO197" s="13"/>
      <c r="ZP197" s="13"/>
      <c r="ZQ197" s="13"/>
      <c r="ZR197" s="13"/>
      <c r="ZS197" s="13"/>
      <c r="ZT197" s="13"/>
      <c r="ZU197" s="13"/>
      <c r="ZV197" s="13"/>
      <c r="ZW197" s="13"/>
      <c r="ZX197" s="13"/>
      <c r="ZY197" s="13"/>
      <c r="ZZ197" s="13"/>
      <c r="AAA197" s="13"/>
      <c r="AAB197" s="13"/>
      <c r="AAC197" s="13"/>
      <c r="AAD197" s="13"/>
      <c r="AAE197" s="13"/>
      <c r="AAF197" s="13"/>
      <c r="AAG197" s="13"/>
      <c r="AAH197" s="13"/>
      <c r="AAI197" s="13"/>
      <c r="AAJ197" s="13"/>
      <c r="AAK197" s="13"/>
      <c r="AAL197" s="13"/>
      <c r="AAM197" s="13"/>
      <c r="AAN197" s="13"/>
      <c r="AAO197" s="13"/>
      <c r="AAP197" s="13"/>
      <c r="AAQ197" s="13"/>
      <c r="AAR197" s="13"/>
      <c r="AAS197" s="13"/>
      <c r="AAT197" s="13"/>
      <c r="AAU197" s="13"/>
      <c r="AAV197" s="13"/>
      <c r="AAW197" s="13"/>
      <c r="AAX197" s="13"/>
      <c r="AAY197" s="13"/>
      <c r="AAZ197" s="13"/>
      <c r="ABA197" s="13"/>
      <c r="ABB197" s="13"/>
      <c r="ABC197" s="13"/>
      <c r="ABD197" s="13"/>
      <c r="ABE197" s="13"/>
      <c r="ABF197" s="13"/>
      <c r="ABG197" s="13"/>
      <c r="ABH197" s="13"/>
      <c r="ABI197" s="13"/>
      <c r="ABJ197" s="13"/>
      <c r="ABK197" s="13"/>
      <c r="ABL197" s="13"/>
      <c r="ABM197" s="13"/>
      <c r="ABN197" s="13"/>
      <c r="ABO197" s="13"/>
      <c r="ABP197" s="13"/>
      <c r="ABQ197" s="13"/>
      <c r="ABR197" s="13"/>
      <c r="ABS197" s="13"/>
      <c r="ABT197" s="13"/>
      <c r="ABU197" s="13"/>
      <c r="ABV197" s="13"/>
      <c r="ABW197" s="13"/>
      <c r="ABX197" s="13"/>
      <c r="ABY197" s="13"/>
      <c r="ABZ197" s="13"/>
      <c r="ACA197" s="13"/>
      <c r="ACB197" s="13"/>
      <c r="ACC197" s="13"/>
      <c r="ACD197" s="13"/>
      <c r="ACE197" s="13"/>
      <c r="ACF197" s="13"/>
      <c r="ACG197" s="13"/>
      <c r="ACH197" s="13"/>
      <c r="ACI197" s="13"/>
      <c r="ACJ197" s="13"/>
      <c r="ACK197" s="13"/>
      <c r="ACL197" s="13"/>
      <c r="ACM197" s="13"/>
      <c r="ACN197" s="13"/>
      <c r="ACO197" s="13"/>
      <c r="ACP197" s="13"/>
      <c r="ACQ197" s="13"/>
      <c r="ACR197" s="13"/>
      <c r="ACS197" s="13"/>
      <c r="ACT197" s="13"/>
      <c r="ACU197" s="13"/>
      <c r="ACV197" s="13"/>
      <c r="ACW197" s="13"/>
      <c r="ACX197" s="13"/>
      <c r="ACY197" s="13"/>
      <c r="ACZ197" s="13"/>
      <c r="ADA197" s="13"/>
      <c r="ADB197" s="13"/>
      <c r="ADC197" s="13"/>
      <c r="ADD197" s="13"/>
      <c r="ADE197" s="13"/>
      <c r="ADF197" s="13"/>
      <c r="ADG197" s="13"/>
      <c r="ADH197" s="13"/>
      <c r="ADI197" s="13"/>
      <c r="ADJ197" s="13"/>
      <c r="ADK197" s="13"/>
      <c r="ADL197" s="13"/>
      <c r="ADM197" s="13"/>
      <c r="ADN197" s="13"/>
      <c r="ADO197" s="13"/>
      <c r="ADP197" s="13"/>
      <c r="ADQ197" s="13"/>
      <c r="ADR197" s="13"/>
      <c r="ADS197" s="13"/>
      <c r="ADT197" s="13"/>
      <c r="ADU197" s="13"/>
      <c r="ADV197" s="13"/>
      <c r="ADW197" s="13"/>
      <c r="ADX197" s="13"/>
      <c r="ADY197" s="13"/>
      <c r="ADZ197" s="13"/>
      <c r="AEA197" s="13"/>
      <c r="AEB197" s="13"/>
      <c r="AEC197" s="13"/>
      <c r="AED197" s="13"/>
      <c r="AEE197" s="13"/>
      <c r="AEF197" s="13"/>
      <c r="AEG197" s="13"/>
      <c r="AEH197" s="13"/>
      <c r="AEI197" s="13"/>
      <c r="AEJ197" s="13"/>
      <c r="AEK197" s="13"/>
      <c r="AEL197" s="13"/>
      <c r="AEM197" s="13"/>
      <c r="AEN197" s="13"/>
      <c r="AEO197" s="13"/>
      <c r="AEP197" s="13"/>
      <c r="AEQ197" s="13"/>
      <c r="AER197" s="13"/>
      <c r="AES197" s="13"/>
      <c r="AET197" s="13"/>
      <c r="AEU197" s="13"/>
      <c r="AEV197" s="13"/>
      <c r="AEW197" s="13"/>
      <c r="AEX197" s="13"/>
      <c r="AEY197" s="13"/>
      <c r="AEZ197" s="13"/>
      <c r="AFA197" s="13"/>
      <c r="AFB197" s="13"/>
      <c r="AFC197" s="13"/>
      <c r="AFD197" s="13"/>
      <c r="AFE197" s="13"/>
      <c r="AFF197" s="13"/>
      <c r="AFG197" s="13"/>
      <c r="AFH197" s="13"/>
      <c r="AFI197" s="13"/>
      <c r="AFJ197" s="13"/>
      <c r="AFK197" s="13"/>
      <c r="AFL197" s="13"/>
      <c r="AFM197" s="13"/>
      <c r="AFN197" s="13"/>
      <c r="AFO197" s="13"/>
      <c r="AFP197" s="13"/>
      <c r="AFQ197" s="13"/>
      <c r="AFR197" s="13"/>
      <c r="AFS197" s="13"/>
      <c r="AFT197" s="13"/>
      <c r="AFU197" s="13"/>
      <c r="AFV197" s="13"/>
      <c r="AFW197" s="13"/>
      <c r="AFX197" s="13"/>
      <c r="AFY197" s="13"/>
      <c r="AFZ197" s="13"/>
      <c r="AGA197" s="13"/>
      <c r="AGB197" s="13"/>
      <c r="AGC197" s="13"/>
      <c r="AGD197" s="13"/>
      <c r="AGE197" s="13"/>
      <c r="AGF197" s="13"/>
      <c r="AGG197" s="13"/>
      <c r="AGH197" s="13"/>
      <c r="AGI197" s="13"/>
      <c r="AGJ197" s="13"/>
      <c r="AGK197" s="13"/>
      <c r="AGL197" s="13"/>
      <c r="AGM197" s="13"/>
      <c r="AGN197" s="13"/>
      <c r="AGO197" s="13"/>
      <c r="AGP197" s="13"/>
      <c r="AGQ197" s="13"/>
      <c r="AGR197" s="13"/>
      <c r="AGS197" s="13"/>
      <c r="AGT197" s="13"/>
      <c r="AGU197" s="13"/>
      <c r="AGV197" s="13"/>
      <c r="AGW197" s="13"/>
      <c r="AGX197" s="13"/>
      <c r="AGY197" s="13"/>
      <c r="AGZ197" s="13"/>
      <c r="AHA197" s="13"/>
      <c r="AHB197" s="13"/>
      <c r="AHC197" s="13"/>
      <c r="AHD197" s="13"/>
      <c r="AHE197" s="13"/>
      <c r="AHF197" s="13"/>
      <c r="AHG197" s="13"/>
      <c r="AHH197" s="13"/>
      <c r="AHI197" s="13"/>
      <c r="AHJ197" s="13"/>
      <c r="AHK197" s="13"/>
      <c r="AHL197" s="13"/>
      <c r="AHM197" s="13"/>
      <c r="AHN197" s="13"/>
      <c r="AHO197" s="13"/>
      <c r="AHP197" s="13"/>
      <c r="AHQ197" s="13"/>
      <c r="AHR197" s="13"/>
      <c r="AHS197" s="13"/>
      <c r="AHT197" s="13"/>
      <c r="AHU197" s="13"/>
      <c r="AHV197" s="13"/>
      <c r="AHW197" s="13"/>
      <c r="AHX197" s="13"/>
      <c r="AHY197" s="13"/>
      <c r="AHZ197" s="13"/>
      <c r="AIA197" s="13"/>
      <c r="AIB197" s="13"/>
      <c r="AIC197" s="13"/>
      <c r="AID197" s="13"/>
      <c r="AIE197" s="13"/>
      <c r="AIF197" s="13"/>
      <c r="AIG197" s="13"/>
      <c r="AIH197" s="13"/>
      <c r="AII197" s="13"/>
      <c r="AIJ197" s="13"/>
      <c r="AIK197" s="13"/>
      <c r="AIL197" s="13"/>
      <c r="AIM197" s="13"/>
      <c r="AIN197" s="13"/>
      <c r="AIO197" s="13"/>
      <c r="AIP197" s="13"/>
      <c r="AIQ197" s="13"/>
      <c r="AIR197" s="13"/>
      <c r="AIS197" s="13"/>
      <c r="AIT197" s="13"/>
      <c r="AIU197" s="13"/>
      <c r="AIV197" s="13"/>
      <c r="AIW197" s="13"/>
      <c r="AIX197" s="13"/>
      <c r="AIY197" s="13"/>
      <c r="AIZ197" s="13"/>
      <c r="AJA197" s="13"/>
      <c r="AJB197" s="13"/>
      <c r="AJC197" s="13"/>
      <c r="AJD197" s="13"/>
      <c r="AJE197" s="13"/>
      <c r="AJF197" s="13"/>
      <c r="AJG197" s="13"/>
      <c r="AJH197" s="13"/>
      <c r="AJI197" s="13"/>
      <c r="AJJ197" s="13"/>
      <c r="AJK197" s="13"/>
      <c r="AJL197" s="13"/>
      <c r="AJM197" s="13"/>
      <c r="AJN197" s="13"/>
      <c r="AJO197" s="13"/>
      <c r="AJP197" s="13"/>
      <c r="AJQ197" s="13"/>
      <c r="AJR197" s="13"/>
      <c r="AJS197" s="13"/>
      <c r="AJT197" s="13"/>
      <c r="AJU197" s="13"/>
      <c r="AJV197" s="13"/>
      <c r="AJW197" s="13"/>
      <c r="AJX197" s="13"/>
      <c r="AJY197" s="13"/>
      <c r="AJZ197" s="13"/>
      <c r="AKA197" s="13"/>
      <c r="AKB197" s="13"/>
      <c r="AKC197" s="13"/>
      <c r="AKD197" s="13"/>
      <c r="AKE197" s="13"/>
      <c r="AKF197" s="13"/>
      <c r="AKG197" s="13"/>
      <c r="AKH197" s="13"/>
      <c r="AKI197" s="13"/>
      <c r="AKJ197" s="13"/>
      <c r="AKK197" s="13"/>
      <c r="AKL197" s="13"/>
      <c r="AKM197" s="13"/>
      <c r="AKN197" s="13"/>
      <c r="AKO197" s="13"/>
      <c r="AKP197" s="13"/>
      <c r="AKQ197" s="13"/>
      <c r="AKR197" s="13"/>
      <c r="AKS197" s="13"/>
      <c r="AKT197" s="13"/>
      <c r="AKU197" s="13"/>
      <c r="AKV197" s="13"/>
      <c r="AKW197" s="13"/>
      <c r="AKX197" s="13"/>
      <c r="AKY197" s="13"/>
      <c r="AKZ197" s="13"/>
      <c r="ALA197" s="13"/>
      <c r="ALB197" s="13"/>
      <c r="ALC197" s="13"/>
      <c r="ALD197" s="13"/>
      <c r="ALE197" s="13"/>
      <c r="ALF197" s="13"/>
      <c r="ALG197" s="13"/>
      <c r="ALH197" s="13"/>
      <c r="ALI197" s="13"/>
      <c r="ALJ197" s="13"/>
      <c r="ALK197" s="13"/>
      <c r="ALL197" s="13"/>
      <c r="ALM197" s="13"/>
      <c r="ALN197" s="13"/>
      <c r="ALO197" s="13"/>
      <c r="ALP197" s="13"/>
      <c r="ALQ197" s="13"/>
      <c r="ALR197" s="13"/>
      <c r="ALS197" s="13"/>
      <c r="ALT197" s="13"/>
      <c r="ALU197" s="13"/>
      <c r="ALV197" s="13"/>
      <c r="ALW197" s="13"/>
      <c r="ALX197" s="13"/>
      <c r="ALY197" s="13"/>
      <c r="ALZ197" s="13"/>
      <c r="AMA197" s="13"/>
      <c r="AMB197" s="13"/>
      <c r="AMC197" s="13"/>
      <c r="AMD197" s="13"/>
      <c r="AME197" s="13"/>
      <c r="AMF197" s="13"/>
      <c r="AMG197" s="13"/>
      <c r="AMH197" s="13"/>
      <c r="AMI197" s="13"/>
      <c r="AMJ197" s="13"/>
      <c r="AMK197" s="13"/>
    </row>
    <row r="198" spans="1:1025" s="16" customForma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13"/>
      <c r="EM198" s="13"/>
      <c r="EN198" s="13"/>
      <c r="EO198" s="13"/>
      <c r="EP198" s="13"/>
      <c r="EQ198" s="13"/>
      <c r="ER198" s="13"/>
      <c r="ES198" s="13"/>
      <c r="ET198" s="13"/>
      <c r="EU198" s="13"/>
      <c r="EV198" s="13"/>
      <c r="EW198" s="13"/>
      <c r="EX198" s="13"/>
      <c r="EY198" s="13"/>
      <c r="EZ198" s="13"/>
      <c r="FA198" s="13"/>
      <c r="FB198" s="13"/>
      <c r="FC198" s="13"/>
      <c r="FD198" s="13"/>
      <c r="FE198" s="13"/>
      <c r="FF198" s="13"/>
      <c r="FG198" s="13"/>
      <c r="FH198" s="13"/>
      <c r="FI198" s="13"/>
      <c r="FJ198" s="13"/>
      <c r="FK198" s="13"/>
      <c r="FL198" s="13"/>
      <c r="FM198" s="13"/>
      <c r="FN198" s="13"/>
      <c r="FO198" s="13"/>
      <c r="FP198" s="13"/>
      <c r="FQ198" s="13"/>
      <c r="FR198" s="13"/>
      <c r="FS198" s="13"/>
      <c r="FT198" s="13"/>
      <c r="FU198" s="13"/>
      <c r="FV198" s="13"/>
      <c r="FW198" s="13"/>
      <c r="FX198" s="13"/>
      <c r="FY198" s="13"/>
      <c r="FZ198" s="13"/>
      <c r="GA198" s="13"/>
      <c r="GB198" s="13"/>
      <c r="GC198" s="13"/>
      <c r="GD198" s="13"/>
      <c r="GE198" s="13"/>
      <c r="GF198" s="13"/>
      <c r="GG198" s="13"/>
      <c r="GH198" s="13"/>
      <c r="GI198" s="13"/>
      <c r="GJ198" s="13"/>
      <c r="GK198" s="13"/>
      <c r="GL198" s="13"/>
      <c r="GM198" s="13"/>
      <c r="GN198" s="13"/>
      <c r="GO198" s="13"/>
      <c r="GP198" s="13"/>
      <c r="GQ198" s="13"/>
      <c r="GR198" s="13"/>
      <c r="GS198" s="13"/>
      <c r="GT198" s="13"/>
      <c r="GU198" s="13"/>
      <c r="GV198" s="13"/>
      <c r="GW198" s="13"/>
      <c r="GX198" s="13"/>
      <c r="GY198" s="13"/>
      <c r="GZ198" s="13"/>
      <c r="HA198" s="13"/>
      <c r="HB198" s="13"/>
      <c r="HC198" s="13"/>
      <c r="HD198" s="13"/>
      <c r="HE198" s="13"/>
      <c r="HF198" s="13"/>
      <c r="HG198" s="13"/>
      <c r="HH198" s="13"/>
      <c r="HI198" s="13"/>
      <c r="HJ198" s="13"/>
      <c r="HK198" s="13"/>
      <c r="HL198" s="13"/>
      <c r="HM198" s="13"/>
      <c r="HN198" s="13"/>
      <c r="HO198" s="13"/>
      <c r="HP198" s="13"/>
      <c r="HQ198" s="13"/>
      <c r="HR198" s="13"/>
      <c r="HS198" s="13"/>
      <c r="HT198" s="13"/>
      <c r="HU198" s="13"/>
      <c r="HV198" s="13"/>
      <c r="HW198" s="13"/>
      <c r="HX198" s="13"/>
      <c r="HY198" s="13"/>
      <c r="HZ198" s="13"/>
      <c r="IA198" s="13"/>
      <c r="IB198" s="13"/>
      <c r="IC198" s="13"/>
      <c r="ID198" s="13"/>
      <c r="IE198" s="13"/>
      <c r="IF198" s="13"/>
      <c r="IG198" s="13"/>
      <c r="IH198" s="13"/>
      <c r="II198" s="13"/>
      <c r="IJ198" s="13"/>
      <c r="IK198" s="13"/>
      <c r="IL198" s="13"/>
      <c r="IM198" s="13"/>
      <c r="IN198" s="13"/>
      <c r="IO198" s="13"/>
      <c r="IP198" s="13"/>
      <c r="IQ198" s="13"/>
      <c r="IR198" s="13"/>
      <c r="IS198" s="13"/>
      <c r="IT198" s="13"/>
      <c r="IU198" s="13"/>
      <c r="IV198" s="13"/>
      <c r="IW198" s="13"/>
      <c r="IX198" s="13"/>
      <c r="IY198" s="13"/>
      <c r="IZ198" s="13"/>
      <c r="JA198" s="13"/>
      <c r="JB198" s="13"/>
      <c r="JC198" s="13"/>
      <c r="JD198" s="13"/>
      <c r="JE198" s="13"/>
      <c r="JF198" s="13"/>
      <c r="JG198" s="13"/>
      <c r="JH198" s="13"/>
      <c r="JI198" s="13"/>
      <c r="JJ198" s="13"/>
      <c r="JK198" s="13"/>
      <c r="JL198" s="13"/>
      <c r="JM198" s="13"/>
      <c r="JN198" s="13"/>
      <c r="JO198" s="13"/>
      <c r="JP198" s="13"/>
      <c r="JQ198" s="13"/>
      <c r="JR198" s="13"/>
      <c r="JS198" s="13"/>
      <c r="JT198" s="13"/>
      <c r="JU198" s="13"/>
      <c r="JV198" s="13"/>
      <c r="JW198" s="13"/>
      <c r="JX198" s="13"/>
      <c r="JY198" s="13"/>
      <c r="JZ198" s="13"/>
      <c r="KA198" s="13"/>
      <c r="KB198" s="13"/>
      <c r="KC198" s="13"/>
      <c r="KD198" s="13"/>
      <c r="KE198" s="13"/>
      <c r="KF198" s="13"/>
      <c r="KG198" s="13"/>
      <c r="KH198" s="13"/>
      <c r="KI198" s="13"/>
      <c r="KJ198" s="13"/>
      <c r="KK198" s="13"/>
      <c r="KL198" s="13"/>
      <c r="KM198" s="13"/>
      <c r="KN198" s="13"/>
      <c r="KO198" s="13"/>
      <c r="KP198" s="13"/>
      <c r="KQ198" s="13"/>
      <c r="KR198" s="13"/>
      <c r="KS198" s="13"/>
      <c r="KT198" s="13"/>
      <c r="KU198" s="13"/>
      <c r="KV198" s="13"/>
      <c r="KW198" s="13"/>
      <c r="KX198" s="13"/>
      <c r="KY198" s="13"/>
      <c r="KZ198" s="13"/>
      <c r="LA198" s="13"/>
      <c r="LB198" s="13"/>
      <c r="LC198" s="13"/>
      <c r="LD198" s="13"/>
      <c r="LE198" s="13"/>
      <c r="LF198" s="13"/>
      <c r="LG198" s="13"/>
      <c r="LH198" s="13"/>
      <c r="LI198" s="13"/>
      <c r="LJ198" s="13"/>
      <c r="LK198" s="13"/>
      <c r="LL198" s="13"/>
      <c r="LM198" s="13"/>
      <c r="LN198" s="13"/>
      <c r="LO198" s="13"/>
      <c r="LP198" s="13"/>
      <c r="LQ198" s="13"/>
      <c r="LR198" s="13"/>
      <c r="LS198" s="13"/>
      <c r="LT198" s="13"/>
      <c r="LU198" s="13"/>
      <c r="LV198" s="13"/>
      <c r="LW198" s="13"/>
      <c r="LX198" s="13"/>
      <c r="LY198" s="13"/>
      <c r="LZ198" s="13"/>
      <c r="MA198" s="13"/>
      <c r="MB198" s="13"/>
      <c r="MC198" s="13"/>
      <c r="MD198" s="13"/>
      <c r="ME198" s="13"/>
      <c r="MF198" s="13"/>
      <c r="MG198" s="13"/>
      <c r="MH198" s="13"/>
      <c r="MI198" s="13"/>
      <c r="MJ198" s="13"/>
      <c r="MK198" s="13"/>
      <c r="ML198" s="13"/>
      <c r="MM198" s="13"/>
      <c r="MN198" s="13"/>
      <c r="MO198" s="13"/>
      <c r="MP198" s="13"/>
      <c r="MQ198" s="13"/>
      <c r="MR198" s="13"/>
      <c r="MS198" s="13"/>
      <c r="MT198" s="13"/>
      <c r="MU198" s="13"/>
      <c r="MV198" s="13"/>
      <c r="MW198" s="13"/>
      <c r="MX198" s="13"/>
      <c r="MY198" s="13"/>
      <c r="MZ198" s="13"/>
      <c r="NA198" s="13"/>
      <c r="NB198" s="13"/>
      <c r="NC198" s="13"/>
      <c r="ND198" s="13"/>
      <c r="NE198" s="13"/>
      <c r="NF198" s="13"/>
      <c r="NG198" s="13"/>
      <c r="NH198" s="13"/>
      <c r="NI198" s="13"/>
      <c r="NJ198" s="13"/>
      <c r="NK198" s="13"/>
      <c r="NL198" s="13"/>
      <c r="NM198" s="13"/>
      <c r="NN198" s="13"/>
      <c r="NO198" s="13"/>
      <c r="NP198" s="13"/>
      <c r="NQ198" s="13"/>
      <c r="NR198" s="13"/>
      <c r="NS198" s="13"/>
      <c r="NT198" s="13"/>
      <c r="NU198" s="13"/>
      <c r="NV198" s="13"/>
      <c r="NW198" s="13"/>
      <c r="NX198" s="13"/>
      <c r="NY198" s="13"/>
      <c r="NZ198" s="13"/>
      <c r="OA198" s="13"/>
      <c r="OB198" s="13"/>
      <c r="OC198" s="13"/>
      <c r="OD198" s="13"/>
      <c r="OE198" s="13"/>
      <c r="OF198" s="13"/>
      <c r="OG198" s="13"/>
      <c r="OH198" s="13"/>
      <c r="OI198" s="13"/>
      <c r="OJ198" s="13"/>
      <c r="OK198" s="13"/>
      <c r="OL198" s="13"/>
      <c r="OM198" s="13"/>
      <c r="ON198" s="13"/>
      <c r="OO198" s="13"/>
      <c r="OP198" s="13"/>
      <c r="OQ198" s="13"/>
      <c r="OR198" s="13"/>
      <c r="OS198" s="13"/>
      <c r="OT198" s="13"/>
      <c r="OU198" s="13"/>
      <c r="OV198" s="13"/>
      <c r="OW198" s="13"/>
      <c r="OX198" s="13"/>
      <c r="OY198" s="13"/>
      <c r="OZ198" s="13"/>
      <c r="PA198" s="13"/>
      <c r="PB198" s="13"/>
      <c r="PC198" s="13"/>
      <c r="PD198" s="13"/>
      <c r="PE198" s="13"/>
      <c r="PF198" s="13"/>
      <c r="PG198" s="13"/>
      <c r="PH198" s="13"/>
      <c r="PI198" s="13"/>
      <c r="PJ198" s="13"/>
      <c r="PK198" s="13"/>
      <c r="PL198" s="13"/>
      <c r="PM198" s="13"/>
      <c r="PN198" s="13"/>
      <c r="PO198" s="13"/>
      <c r="PP198" s="13"/>
      <c r="PQ198" s="13"/>
      <c r="PR198" s="13"/>
      <c r="PS198" s="13"/>
      <c r="PT198" s="13"/>
      <c r="PU198" s="13"/>
      <c r="PV198" s="13"/>
      <c r="PW198" s="13"/>
      <c r="PX198" s="13"/>
      <c r="PY198" s="13"/>
      <c r="PZ198" s="13"/>
      <c r="QA198" s="13"/>
      <c r="QB198" s="13"/>
      <c r="QC198" s="13"/>
      <c r="QD198" s="13"/>
      <c r="QE198" s="13"/>
      <c r="QF198" s="13"/>
      <c r="QG198" s="13"/>
      <c r="QH198" s="13"/>
      <c r="QI198" s="13"/>
      <c r="QJ198" s="13"/>
      <c r="QK198" s="13"/>
      <c r="QL198" s="13"/>
      <c r="QM198" s="13"/>
      <c r="QN198" s="13"/>
      <c r="QO198" s="13"/>
      <c r="QP198" s="13"/>
      <c r="QQ198" s="13"/>
      <c r="QR198" s="13"/>
      <c r="QS198" s="13"/>
      <c r="QT198" s="13"/>
      <c r="QU198" s="13"/>
      <c r="QV198" s="13"/>
      <c r="QW198" s="13"/>
      <c r="QX198" s="13"/>
      <c r="QY198" s="13"/>
      <c r="QZ198" s="13"/>
      <c r="RA198" s="13"/>
      <c r="RB198" s="13"/>
      <c r="RC198" s="13"/>
      <c r="RD198" s="13"/>
      <c r="RE198" s="13"/>
      <c r="RF198" s="13"/>
      <c r="RG198" s="13"/>
      <c r="RH198" s="13"/>
      <c r="RI198" s="13"/>
      <c r="RJ198" s="13"/>
      <c r="RK198" s="13"/>
      <c r="RL198" s="13"/>
      <c r="RM198" s="13"/>
      <c r="RN198" s="13"/>
      <c r="RO198" s="13"/>
      <c r="RP198" s="13"/>
      <c r="RQ198" s="13"/>
      <c r="RR198" s="13"/>
      <c r="RS198" s="13"/>
      <c r="RT198" s="13"/>
      <c r="RU198" s="13"/>
      <c r="RV198" s="13"/>
      <c r="RW198" s="13"/>
      <c r="RX198" s="13"/>
      <c r="RY198" s="13"/>
      <c r="RZ198" s="13"/>
      <c r="SA198" s="13"/>
      <c r="SB198" s="13"/>
      <c r="SC198" s="13"/>
      <c r="SD198" s="13"/>
      <c r="SE198" s="13"/>
      <c r="SF198" s="13"/>
      <c r="SG198" s="13"/>
      <c r="SH198" s="13"/>
      <c r="SI198" s="13"/>
      <c r="SJ198" s="13"/>
      <c r="SK198" s="13"/>
      <c r="SL198" s="13"/>
      <c r="SM198" s="13"/>
      <c r="SN198" s="13"/>
      <c r="SO198" s="13"/>
      <c r="SP198" s="13"/>
      <c r="SQ198" s="13"/>
      <c r="SR198" s="13"/>
      <c r="SS198" s="13"/>
      <c r="ST198" s="13"/>
      <c r="SU198" s="13"/>
      <c r="SV198" s="13"/>
      <c r="SW198" s="13"/>
      <c r="SX198" s="13"/>
      <c r="SY198" s="13"/>
      <c r="SZ198" s="13"/>
      <c r="TA198" s="13"/>
      <c r="TB198" s="13"/>
      <c r="TC198" s="13"/>
      <c r="TD198" s="13"/>
      <c r="TE198" s="13"/>
      <c r="TF198" s="13"/>
      <c r="TG198" s="13"/>
      <c r="TH198" s="13"/>
      <c r="TI198" s="13"/>
      <c r="TJ198" s="13"/>
      <c r="TK198" s="13"/>
      <c r="TL198" s="13"/>
      <c r="TM198" s="13"/>
      <c r="TN198" s="13"/>
      <c r="TO198" s="13"/>
      <c r="TP198" s="13"/>
      <c r="TQ198" s="13"/>
      <c r="TR198" s="13"/>
      <c r="TS198" s="13"/>
      <c r="TT198" s="13"/>
      <c r="TU198" s="13"/>
      <c r="TV198" s="13"/>
      <c r="TW198" s="13"/>
      <c r="TX198" s="13"/>
      <c r="TY198" s="13"/>
      <c r="TZ198" s="13"/>
      <c r="UA198" s="13"/>
      <c r="UB198" s="13"/>
      <c r="UC198" s="13"/>
      <c r="UD198" s="13"/>
      <c r="UE198" s="13"/>
      <c r="UF198" s="13"/>
      <c r="UG198" s="13"/>
      <c r="UH198" s="13"/>
      <c r="UI198" s="13"/>
      <c r="UJ198" s="13"/>
      <c r="UK198" s="13"/>
      <c r="UL198" s="13"/>
      <c r="UM198" s="13"/>
      <c r="UN198" s="13"/>
      <c r="UO198" s="13"/>
      <c r="UP198" s="13"/>
      <c r="UQ198" s="13"/>
      <c r="UR198" s="13"/>
      <c r="US198" s="13"/>
      <c r="UT198" s="13"/>
      <c r="UU198" s="13"/>
      <c r="UV198" s="13"/>
      <c r="UW198" s="13"/>
      <c r="UX198" s="13"/>
      <c r="UY198" s="13"/>
      <c r="UZ198" s="13"/>
      <c r="VA198" s="13"/>
      <c r="VB198" s="13"/>
      <c r="VC198" s="13"/>
      <c r="VD198" s="13"/>
      <c r="VE198" s="13"/>
      <c r="VF198" s="13"/>
      <c r="VG198" s="13"/>
      <c r="VH198" s="13"/>
      <c r="VI198" s="13"/>
      <c r="VJ198" s="13"/>
      <c r="VK198" s="13"/>
      <c r="VL198" s="13"/>
      <c r="VM198" s="13"/>
      <c r="VN198" s="13"/>
      <c r="VO198" s="13"/>
      <c r="VP198" s="13"/>
      <c r="VQ198" s="13"/>
      <c r="VR198" s="13"/>
      <c r="VS198" s="13"/>
      <c r="VT198" s="13"/>
      <c r="VU198" s="13"/>
      <c r="VV198" s="13"/>
      <c r="VW198" s="13"/>
      <c r="VX198" s="13"/>
      <c r="VY198" s="13"/>
      <c r="VZ198" s="13"/>
      <c r="WA198" s="13"/>
      <c r="WB198" s="13"/>
      <c r="WC198" s="13"/>
      <c r="WD198" s="13"/>
      <c r="WE198" s="13"/>
      <c r="WF198" s="13"/>
      <c r="WG198" s="13"/>
      <c r="WH198" s="13"/>
      <c r="WI198" s="13"/>
      <c r="WJ198" s="13"/>
      <c r="WK198" s="13"/>
      <c r="WL198" s="13"/>
      <c r="WM198" s="13"/>
      <c r="WN198" s="13"/>
      <c r="WO198" s="13"/>
      <c r="WP198" s="13"/>
      <c r="WQ198" s="13"/>
      <c r="WR198" s="13"/>
      <c r="WS198" s="13"/>
      <c r="WT198" s="13"/>
      <c r="WU198" s="13"/>
      <c r="WV198" s="13"/>
      <c r="WW198" s="13"/>
      <c r="WX198" s="13"/>
      <c r="WY198" s="13"/>
      <c r="WZ198" s="13"/>
      <c r="XA198" s="13"/>
      <c r="XB198" s="13"/>
      <c r="XC198" s="13"/>
      <c r="XD198" s="13"/>
      <c r="XE198" s="13"/>
      <c r="XF198" s="13"/>
      <c r="XG198" s="13"/>
      <c r="XH198" s="13"/>
      <c r="XI198" s="13"/>
      <c r="XJ198" s="13"/>
      <c r="XK198" s="13"/>
      <c r="XL198" s="13"/>
      <c r="XM198" s="13"/>
      <c r="XN198" s="13"/>
      <c r="XO198" s="13"/>
      <c r="XP198" s="13"/>
      <c r="XQ198" s="13"/>
      <c r="XR198" s="13"/>
      <c r="XS198" s="13"/>
      <c r="XT198" s="13"/>
      <c r="XU198" s="13"/>
      <c r="XV198" s="13"/>
      <c r="XW198" s="13"/>
      <c r="XX198" s="13"/>
      <c r="XY198" s="13"/>
      <c r="XZ198" s="13"/>
      <c r="YA198" s="13"/>
      <c r="YB198" s="13"/>
      <c r="YC198" s="13"/>
      <c r="YD198" s="13"/>
      <c r="YE198" s="13"/>
      <c r="YF198" s="13"/>
      <c r="YG198" s="13"/>
      <c r="YH198" s="13"/>
      <c r="YI198" s="13"/>
      <c r="YJ198" s="13"/>
      <c r="YK198" s="13"/>
      <c r="YL198" s="13"/>
      <c r="YM198" s="13"/>
      <c r="YN198" s="13"/>
      <c r="YO198" s="13"/>
      <c r="YP198" s="13"/>
      <c r="YQ198" s="13"/>
      <c r="YR198" s="13"/>
      <c r="YS198" s="13"/>
      <c r="YT198" s="13"/>
      <c r="YU198" s="13"/>
      <c r="YV198" s="13"/>
      <c r="YW198" s="13"/>
      <c r="YX198" s="13"/>
      <c r="YY198" s="13"/>
      <c r="YZ198" s="13"/>
      <c r="ZA198" s="13"/>
      <c r="ZB198" s="13"/>
      <c r="ZC198" s="13"/>
      <c r="ZD198" s="13"/>
      <c r="ZE198" s="13"/>
      <c r="ZF198" s="13"/>
      <c r="ZG198" s="13"/>
      <c r="ZH198" s="13"/>
      <c r="ZI198" s="13"/>
      <c r="ZJ198" s="13"/>
      <c r="ZK198" s="13"/>
      <c r="ZL198" s="13"/>
      <c r="ZM198" s="13"/>
      <c r="ZN198" s="13"/>
      <c r="ZO198" s="13"/>
      <c r="ZP198" s="13"/>
      <c r="ZQ198" s="13"/>
      <c r="ZR198" s="13"/>
      <c r="ZS198" s="13"/>
      <c r="ZT198" s="13"/>
      <c r="ZU198" s="13"/>
      <c r="ZV198" s="13"/>
      <c r="ZW198" s="13"/>
      <c r="ZX198" s="13"/>
      <c r="ZY198" s="13"/>
      <c r="ZZ198" s="13"/>
      <c r="AAA198" s="13"/>
      <c r="AAB198" s="13"/>
      <c r="AAC198" s="13"/>
      <c r="AAD198" s="13"/>
      <c r="AAE198" s="13"/>
      <c r="AAF198" s="13"/>
      <c r="AAG198" s="13"/>
      <c r="AAH198" s="13"/>
      <c r="AAI198" s="13"/>
      <c r="AAJ198" s="13"/>
      <c r="AAK198" s="13"/>
      <c r="AAL198" s="13"/>
      <c r="AAM198" s="13"/>
      <c r="AAN198" s="13"/>
      <c r="AAO198" s="13"/>
      <c r="AAP198" s="13"/>
      <c r="AAQ198" s="13"/>
      <c r="AAR198" s="13"/>
      <c r="AAS198" s="13"/>
      <c r="AAT198" s="13"/>
      <c r="AAU198" s="13"/>
      <c r="AAV198" s="13"/>
      <c r="AAW198" s="13"/>
      <c r="AAX198" s="13"/>
      <c r="AAY198" s="13"/>
      <c r="AAZ198" s="13"/>
      <c r="ABA198" s="13"/>
      <c r="ABB198" s="13"/>
      <c r="ABC198" s="13"/>
      <c r="ABD198" s="13"/>
      <c r="ABE198" s="13"/>
      <c r="ABF198" s="13"/>
      <c r="ABG198" s="13"/>
      <c r="ABH198" s="13"/>
      <c r="ABI198" s="13"/>
      <c r="ABJ198" s="13"/>
      <c r="ABK198" s="13"/>
      <c r="ABL198" s="13"/>
      <c r="ABM198" s="13"/>
      <c r="ABN198" s="13"/>
      <c r="ABO198" s="13"/>
      <c r="ABP198" s="13"/>
      <c r="ABQ198" s="13"/>
      <c r="ABR198" s="13"/>
      <c r="ABS198" s="13"/>
      <c r="ABT198" s="13"/>
      <c r="ABU198" s="13"/>
      <c r="ABV198" s="13"/>
      <c r="ABW198" s="13"/>
      <c r="ABX198" s="13"/>
      <c r="ABY198" s="13"/>
      <c r="ABZ198" s="13"/>
      <c r="ACA198" s="13"/>
      <c r="ACB198" s="13"/>
      <c r="ACC198" s="13"/>
      <c r="ACD198" s="13"/>
      <c r="ACE198" s="13"/>
      <c r="ACF198" s="13"/>
      <c r="ACG198" s="13"/>
      <c r="ACH198" s="13"/>
      <c r="ACI198" s="13"/>
      <c r="ACJ198" s="13"/>
      <c r="ACK198" s="13"/>
      <c r="ACL198" s="13"/>
      <c r="ACM198" s="13"/>
      <c r="ACN198" s="13"/>
      <c r="ACO198" s="13"/>
      <c r="ACP198" s="13"/>
      <c r="ACQ198" s="13"/>
      <c r="ACR198" s="13"/>
      <c r="ACS198" s="13"/>
      <c r="ACT198" s="13"/>
      <c r="ACU198" s="13"/>
      <c r="ACV198" s="13"/>
      <c r="ACW198" s="13"/>
      <c r="ACX198" s="13"/>
      <c r="ACY198" s="13"/>
      <c r="ACZ198" s="13"/>
      <c r="ADA198" s="13"/>
      <c r="ADB198" s="13"/>
      <c r="ADC198" s="13"/>
      <c r="ADD198" s="13"/>
      <c r="ADE198" s="13"/>
      <c r="ADF198" s="13"/>
      <c r="ADG198" s="13"/>
      <c r="ADH198" s="13"/>
      <c r="ADI198" s="13"/>
      <c r="ADJ198" s="13"/>
      <c r="ADK198" s="13"/>
      <c r="ADL198" s="13"/>
      <c r="ADM198" s="13"/>
      <c r="ADN198" s="13"/>
      <c r="ADO198" s="13"/>
      <c r="ADP198" s="13"/>
      <c r="ADQ198" s="13"/>
      <c r="ADR198" s="13"/>
      <c r="ADS198" s="13"/>
      <c r="ADT198" s="13"/>
      <c r="ADU198" s="13"/>
      <c r="ADV198" s="13"/>
      <c r="ADW198" s="13"/>
      <c r="ADX198" s="13"/>
      <c r="ADY198" s="13"/>
      <c r="ADZ198" s="13"/>
      <c r="AEA198" s="13"/>
      <c r="AEB198" s="13"/>
      <c r="AEC198" s="13"/>
      <c r="AED198" s="13"/>
      <c r="AEE198" s="13"/>
      <c r="AEF198" s="13"/>
      <c r="AEG198" s="13"/>
      <c r="AEH198" s="13"/>
      <c r="AEI198" s="13"/>
      <c r="AEJ198" s="13"/>
      <c r="AEK198" s="13"/>
      <c r="AEL198" s="13"/>
      <c r="AEM198" s="13"/>
      <c r="AEN198" s="13"/>
      <c r="AEO198" s="13"/>
      <c r="AEP198" s="13"/>
      <c r="AEQ198" s="13"/>
      <c r="AER198" s="13"/>
      <c r="AES198" s="13"/>
      <c r="AET198" s="13"/>
      <c r="AEU198" s="13"/>
      <c r="AEV198" s="13"/>
      <c r="AEW198" s="13"/>
      <c r="AEX198" s="13"/>
      <c r="AEY198" s="13"/>
      <c r="AEZ198" s="13"/>
      <c r="AFA198" s="13"/>
      <c r="AFB198" s="13"/>
      <c r="AFC198" s="13"/>
      <c r="AFD198" s="13"/>
      <c r="AFE198" s="13"/>
      <c r="AFF198" s="13"/>
      <c r="AFG198" s="13"/>
      <c r="AFH198" s="13"/>
      <c r="AFI198" s="13"/>
      <c r="AFJ198" s="13"/>
      <c r="AFK198" s="13"/>
      <c r="AFL198" s="13"/>
      <c r="AFM198" s="13"/>
      <c r="AFN198" s="13"/>
      <c r="AFO198" s="13"/>
      <c r="AFP198" s="13"/>
      <c r="AFQ198" s="13"/>
      <c r="AFR198" s="13"/>
      <c r="AFS198" s="13"/>
      <c r="AFT198" s="13"/>
      <c r="AFU198" s="13"/>
      <c r="AFV198" s="13"/>
      <c r="AFW198" s="13"/>
      <c r="AFX198" s="13"/>
      <c r="AFY198" s="13"/>
      <c r="AFZ198" s="13"/>
      <c r="AGA198" s="13"/>
      <c r="AGB198" s="13"/>
      <c r="AGC198" s="13"/>
      <c r="AGD198" s="13"/>
      <c r="AGE198" s="13"/>
      <c r="AGF198" s="13"/>
      <c r="AGG198" s="13"/>
      <c r="AGH198" s="13"/>
      <c r="AGI198" s="13"/>
      <c r="AGJ198" s="13"/>
      <c r="AGK198" s="13"/>
      <c r="AGL198" s="13"/>
      <c r="AGM198" s="13"/>
      <c r="AGN198" s="13"/>
      <c r="AGO198" s="13"/>
      <c r="AGP198" s="13"/>
      <c r="AGQ198" s="13"/>
      <c r="AGR198" s="13"/>
      <c r="AGS198" s="13"/>
      <c r="AGT198" s="13"/>
      <c r="AGU198" s="13"/>
      <c r="AGV198" s="13"/>
      <c r="AGW198" s="13"/>
      <c r="AGX198" s="13"/>
      <c r="AGY198" s="13"/>
      <c r="AGZ198" s="13"/>
      <c r="AHA198" s="13"/>
      <c r="AHB198" s="13"/>
      <c r="AHC198" s="13"/>
      <c r="AHD198" s="13"/>
      <c r="AHE198" s="13"/>
      <c r="AHF198" s="13"/>
      <c r="AHG198" s="13"/>
      <c r="AHH198" s="13"/>
      <c r="AHI198" s="13"/>
      <c r="AHJ198" s="13"/>
      <c r="AHK198" s="13"/>
      <c r="AHL198" s="13"/>
      <c r="AHM198" s="13"/>
      <c r="AHN198" s="13"/>
      <c r="AHO198" s="13"/>
      <c r="AHP198" s="13"/>
      <c r="AHQ198" s="13"/>
      <c r="AHR198" s="13"/>
      <c r="AHS198" s="13"/>
      <c r="AHT198" s="13"/>
      <c r="AHU198" s="13"/>
      <c r="AHV198" s="13"/>
      <c r="AHW198" s="13"/>
      <c r="AHX198" s="13"/>
      <c r="AHY198" s="13"/>
      <c r="AHZ198" s="13"/>
      <c r="AIA198" s="13"/>
      <c r="AIB198" s="13"/>
      <c r="AIC198" s="13"/>
      <c r="AID198" s="13"/>
      <c r="AIE198" s="13"/>
      <c r="AIF198" s="13"/>
      <c r="AIG198" s="13"/>
      <c r="AIH198" s="13"/>
      <c r="AII198" s="13"/>
      <c r="AIJ198" s="13"/>
      <c r="AIK198" s="13"/>
      <c r="AIL198" s="13"/>
      <c r="AIM198" s="13"/>
      <c r="AIN198" s="13"/>
      <c r="AIO198" s="13"/>
      <c r="AIP198" s="13"/>
      <c r="AIQ198" s="13"/>
      <c r="AIR198" s="13"/>
      <c r="AIS198" s="13"/>
      <c r="AIT198" s="13"/>
      <c r="AIU198" s="13"/>
      <c r="AIV198" s="13"/>
      <c r="AIW198" s="13"/>
      <c r="AIX198" s="13"/>
      <c r="AIY198" s="13"/>
      <c r="AIZ198" s="13"/>
      <c r="AJA198" s="13"/>
      <c r="AJB198" s="13"/>
      <c r="AJC198" s="13"/>
      <c r="AJD198" s="13"/>
      <c r="AJE198" s="13"/>
      <c r="AJF198" s="13"/>
      <c r="AJG198" s="13"/>
      <c r="AJH198" s="13"/>
      <c r="AJI198" s="13"/>
      <c r="AJJ198" s="13"/>
      <c r="AJK198" s="13"/>
      <c r="AJL198" s="13"/>
      <c r="AJM198" s="13"/>
      <c r="AJN198" s="13"/>
      <c r="AJO198" s="13"/>
      <c r="AJP198" s="13"/>
      <c r="AJQ198" s="13"/>
      <c r="AJR198" s="13"/>
      <c r="AJS198" s="13"/>
      <c r="AJT198" s="13"/>
      <c r="AJU198" s="13"/>
      <c r="AJV198" s="13"/>
      <c r="AJW198" s="13"/>
      <c r="AJX198" s="13"/>
      <c r="AJY198" s="13"/>
      <c r="AJZ198" s="13"/>
      <c r="AKA198" s="13"/>
      <c r="AKB198" s="13"/>
      <c r="AKC198" s="13"/>
      <c r="AKD198" s="13"/>
      <c r="AKE198" s="13"/>
      <c r="AKF198" s="13"/>
      <c r="AKG198" s="13"/>
      <c r="AKH198" s="13"/>
      <c r="AKI198" s="13"/>
      <c r="AKJ198" s="13"/>
      <c r="AKK198" s="13"/>
      <c r="AKL198" s="13"/>
      <c r="AKM198" s="13"/>
      <c r="AKN198" s="13"/>
      <c r="AKO198" s="13"/>
      <c r="AKP198" s="13"/>
      <c r="AKQ198" s="13"/>
      <c r="AKR198" s="13"/>
      <c r="AKS198" s="13"/>
      <c r="AKT198" s="13"/>
      <c r="AKU198" s="13"/>
      <c r="AKV198" s="13"/>
      <c r="AKW198" s="13"/>
      <c r="AKX198" s="13"/>
      <c r="AKY198" s="13"/>
      <c r="AKZ198" s="13"/>
      <c r="ALA198" s="13"/>
      <c r="ALB198" s="13"/>
      <c r="ALC198" s="13"/>
      <c r="ALD198" s="13"/>
      <c r="ALE198" s="13"/>
      <c r="ALF198" s="13"/>
      <c r="ALG198" s="13"/>
      <c r="ALH198" s="13"/>
      <c r="ALI198" s="13"/>
      <c r="ALJ198" s="13"/>
      <c r="ALK198" s="13"/>
      <c r="ALL198" s="13"/>
      <c r="ALM198" s="13"/>
      <c r="ALN198" s="13"/>
      <c r="ALO198" s="13"/>
      <c r="ALP198" s="13"/>
      <c r="ALQ198" s="13"/>
      <c r="ALR198" s="13"/>
      <c r="ALS198" s="13"/>
      <c r="ALT198" s="13"/>
      <c r="ALU198" s="13"/>
      <c r="ALV198" s="13"/>
      <c r="ALW198" s="13"/>
      <c r="ALX198" s="13"/>
      <c r="ALY198" s="13"/>
      <c r="ALZ198" s="13"/>
      <c r="AMA198" s="13"/>
      <c r="AMB198" s="13"/>
      <c r="AMC198" s="13"/>
      <c r="AMD198" s="13"/>
      <c r="AME198" s="13"/>
      <c r="AMF198" s="13"/>
      <c r="AMG198" s="13"/>
      <c r="AMH198" s="13"/>
      <c r="AMI198" s="13"/>
      <c r="AMJ198" s="13"/>
      <c r="AMK198" s="13"/>
    </row>
    <row r="199" spans="1:1025" s="16" customForma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13"/>
      <c r="EM199" s="13"/>
      <c r="EN199" s="13"/>
      <c r="EO199" s="13"/>
      <c r="EP199" s="13"/>
      <c r="EQ199" s="13"/>
      <c r="ER199" s="13"/>
      <c r="ES199" s="13"/>
      <c r="ET199" s="13"/>
      <c r="EU199" s="13"/>
      <c r="EV199" s="13"/>
      <c r="EW199" s="13"/>
      <c r="EX199" s="13"/>
      <c r="EY199" s="13"/>
      <c r="EZ199" s="13"/>
      <c r="FA199" s="13"/>
      <c r="FB199" s="13"/>
      <c r="FC199" s="13"/>
      <c r="FD199" s="13"/>
      <c r="FE199" s="13"/>
      <c r="FF199" s="13"/>
      <c r="FG199" s="13"/>
      <c r="FH199" s="13"/>
      <c r="FI199" s="13"/>
      <c r="FJ199" s="13"/>
      <c r="FK199" s="13"/>
      <c r="FL199" s="13"/>
      <c r="FM199" s="13"/>
      <c r="FN199" s="13"/>
      <c r="FO199" s="13"/>
      <c r="FP199" s="13"/>
      <c r="FQ199" s="13"/>
      <c r="FR199" s="13"/>
      <c r="FS199" s="13"/>
      <c r="FT199" s="13"/>
      <c r="FU199" s="13"/>
      <c r="FV199" s="13"/>
      <c r="FW199" s="13"/>
      <c r="FX199" s="13"/>
      <c r="FY199" s="13"/>
      <c r="FZ199" s="13"/>
      <c r="GA199" s="13"/>
      <c r="GB199" s="13"/>
      <c r="GC199" s="13"/>
      <c r="GD199" s="13"/>
      <c r="GE199" s="13"/>
      <c r="GF199" s="13"/>
      <c r="GG199" s="13"/>
      <c r="GH199" s="13"/>
      <c r="GI199" s="13"/>
      <c r="GJ199" s="13"/>
      <c r="GK199" s="13"/>
      <c r="GL199" s="13"/>
      <c r="GM199" s="13"/>
      <c r="GN199" s="13"/>
      <c r="GO199" s="13"/>
      <c r="GP199" s="13"/>
      <c r="GQ199" s="13"/>
      <c r="GR199" s="13"/>
      <c r="GS199" s="13"/>
      <c r="GT199" s="13"/>
      <c r="GU199" s="13"/>
      <c r="GV199" s="13"/>
      <c r="GW199" s="13"/>
      <c r="GX199" s="13"/>
      <c r="GY199" s="13"/>
      <c r="GZ199" s="13"/>
      <c r="HA199" s="13"/>
      <c r="HB199" s="13"/>
      <c r="HC199" s="13"/>
      <c r="HD199" s="13"/>
      <c r="HE199" s="13"/>
      <c r="HF199" s="13"/>
      <c r="HG199" s="13"/>
      <c r="HH199" s="13"/>
      <c r="HI199" s="13"/>
      <c r="HJ199" s="13"/>
      <c r="HK199" s="13"/>
      <c r="HL199" s="13"/>
      <c r="HM199" s="13"/>
      <c r="HN199" s="13"/>
      <c r="HO199" s="13"/>
      <c r="HP199" s="13"/>
      <c r="HQ199" s="13"/>
      <c r="HR199" s="13"/>
      <c r="HS199" s="13"/>
      <c r="HT199" s="13"/>
      <c r="HU199" s="13"/>
      <c r="HV199" s="13"/>
      <c r="HW199" s="13"/>
      <c r="HX199" s="13"/>
      <c r="HY199" s="13"/>
      <c r="HZ199" s="13"/>
      <c r="IA199" s="13"/>
      <c r="IB199" s="13"/>
      <c r="IC199" s="13"/>
      <c r="ID199" s="13"/>
      <c r="IE199" s="13"/>
      <c r="IF199" s="13"/>
      <c r="IG199" s="13"/>
      <c r="IH199" s="13"/>
      <c r="II199" s="13"/>
      <c r="IJ199" s="13"/>
      <c r="IK199" s="13"/>
      <c r="IL199" s="13"/>
      <c r="IM199" s="13"/>
      <c r="IN199" s="13"/>
      <c r="IO199" s="13"/>
      <c r="IP199" s="13"/>
      <c r="IQ199" s="13"/>
      <c r="IR199" s="13"/>
      <c r="IS199" s="13"/>
      <c r="IT199" s="13"/>
      <c r="IU199" s="13"/>
      <c r="IV199" s="13"/>
      <c r="IW199" s="13"/>
      <c r="IX199" s="13"/>
      <c r="IY199" s="13"/>
      <c r="IZ199" s="13"/>
      <c r="JA199" s="13"/>
      <c r="JB199" s="13"/>
      <c r="JC199" s="13"/>
      <c r="JD199" s="13"/>
      <c r="JE199" s="13"/>
      <c r="JF199" s="13"/>
      <c r="JG199" s="13"/>
      <c r="JH199" s="13"/>
      <c r="JI199" s="13"/>
      <c r="JJ199" s="13"/>
      <c r="JK199" s="13"/>
      <c r="JL199" s="13"/>
      <c r="JM199" s="13"/>
      <c r="JN199" s="13"/>
      <c r="JO199" s="13"/>
      <c r="JP199" s="13"/>
      <c r="JQ199" s="13"/>
      <c r="JR199" s="13"/>
      <c r="JS199" s="13"/>
      <c r="JT199" s="13"/>
      <c r="JU199" s="13"/>
      <c r="JV199" s="13"/>
      <c r="JW199" s="13"/>
      <c r="JX199" s="13"/>
      <c r="JY199" s="13"/>
      <c r="JZ199" s="13"/>
      <c r="KA199" s="13"/>
      <c r="KB199" s="13"/>
      <c r="KC199" s="13"/>
      <c r="KD199" s="13"/>
      <c r="KE199" s="13"/>
      <c r="KF199" s="13"/>
      <c r="KG199" s="13"/>
      <c r="KH199" s="13"/>
      <c r="KI199" s="13"/>
      <c r="KJ199" s="13"/>
      <c r="KK199" s="13"/>
      <c r="KL199" s="13"/>
      <c r="KM199" s="13"/>
      <c r="KN199" s="13"/>
      <c r="KO199" s="13"/>
      <c r="KP199" s="13"/>
      <c r="KQ199" s="13"/>
      <c r="KR199" s="13"/>
      <c r="KS199" s="13"/>
      <c r="KT199" s="13"/>
      <c r="KU199" s="13"/>
      <c r="KV199" s="13"/>
      <c r="KW199" s="13"/>
      <c r="KX199" s="13"/>
      <c r="KY199" s="13"/>
      <c r="KZ199" s="13"/>
      <c r="LA199" s="13"/>
      <c r="LB199" s="13"/>
      <c r="LC199" s="13"/>
      <c r="LD199" s="13"/>
      <c r="LE199" s="13"/>
      <c r="LF199" s="13"/>
      <c r="LG199" s="13"/>
      <c r="LH199" s="13"/>
      <c r="LI199" s="13"/>
      <c r="LJ199" s="13"/>
      <c r="LK199" s="13"/>
      <c r="LL199" s="13"/>
      <c r="LM199" s="13"/>
      <c r="LN199" s="13"/>
      <c r="LO199" s="13"/>
      <c r="LP199" s="13"/>
      <c r="LQ199" s="13"/>
      <c r="LR199" s="13"/>
      <c r="LS199" s="13"/>
      <c r="LT199" s="13"/>
      <c r="LU199" s="13"/>
      <c r="LV199" s="13"/>
      <c r="LW199" s="13"/>
      <c r="LX199" s="13"/>
      <c r="LY199" s="13"/>
      <c r="LZ199" s="13"/>
      <c r="MA199" s="13"/>
      <c r="MB199" s="13"/>
      <c r="MC199" s="13"/>
      <c r="MD199" s="13"/>
      <c r="ME199" s="13"/>
      <c r="MF199" s="13"/>
      <c r="MG199" s="13"/>
      <c r="MH199" s="13"/>
      <c r="MI199" s="13"/>
      <c r="MJ199" s="13"/>
      <c r="MK199" s="13"/>
      <c r="ML199" s="13"/>
      <c r="MM199" s="13"/>
      <c r="MN199" s="13"/>
      <c r="MO199" s="13"/>
      <c r="MP199" s="13"/>
      <c r="MQ199" s="13"/>
      <c r="MR199" s="13"/>
      <c r="MS199" s="13"/>
      <c r="MT199" s="13"/>
      <c r="MU199" s="13"/>
      <c r="MV199" s="13"/>
      <c r="MW199" s="13"/>
      <c r="MX199" s="13"/>
      <c r="MY199" s="13"/>
      <c r="MZ199" s="13"/>
      <c r="NA199" s="13"/>
      <c r="NB199" s="13"/>
      <c r="NC199" s="13"/>
      <c r="ND199" s="13"/>
      <c r="NE199" s="13"/>
      <c r="NF199" s="13"/>
      <c r="NG199" s="13"/>
      <c r="NH199" s="13"/>
      <c r="NI199" s="13"/>
      <c r="NJ199" s="13"/>
      <c r="NK199" s="13"/>
      <c r="NL199" s="13"/>
      <c r="NM199" s="13"/>
      <c r="NN199" s="13"/>
      <c r="NO199" s="13"/>
      <c r="NP199" s="13"/>
      <c r="NQ199" s="13"/>
      <c r="NR199" s="13"/>
      <c r="NS199" s="13"/>
      <c r="NT199" s="13"/>
      <c r="NU199" s="13"/>
      <c r="NV199" s="13"/>
      <c r="NW199" s="13"/>
      <c r="NX199" s="13"/>
      <c r="NY199" s="13"/>
      <c r="NZ199" s="13"/>
      <c r="OA199" s="13"/>
      <c r="OB199" s="13"/>
      <c r="OC199" s="13"/>
      <c r="OD199" s="13"/>
      <c r="OE199" s="13"/>
      <c r="OF199" s="13"/>
      <c r="OG199" s="13"/>
      <c r="OH199" s="13"/>
      <c r="OI199" s="13"/>
      <c r="OJ199" s="13"/>
      <c r="OK199" s="13"/>
      <c r="OL199" s="13"/>
      <c r="OM199" s="13"/>
      <c r="ON199" s="13"/>
      <c r="OO199" s="13"/>
      <c r="OP199" s="13"/>
      <c r="OQ199" s="13"/>
      <c r="OR199" s="13"/>
      <c r="OS199" s="13"/>
      <c r="OT199" s="13"/>
      <c r="OU199" s="13"/>
      <c r="OV199" s="13"/>
      <c r="OW199" s="13"/>
      <c r="OX199" s="13"/>
      <c r="OY199" s="13"/>
      <c r="OZ199" s="13"/>
      <c r="PA199" s="13"/>
      <c r="PB199" s="13"/>
      <c r="PC199" s="13"/>
      <c r="PD199" s="13"/>
      <c r="PE199" s="13"/>
      <c r="PF199" s="13"/>
      <c r="PG199" s="13"/>
      <c r="PH199" s="13"/>
      <c r="PI199" s="13"/>
      <c r="PJ199" s="13"/>
      <c r="PK199" s="13"/>
      <c r="PL199" s="13"/>
      <c r="PM199" s="13"/>
      <c r="PN199" s="13"/>
      <c r="PO199" s="13"/>
      <c r="PP199" s="13"/>
      <c r="PQ199" s="13"/>
      <c r="PR199" s="13"/>
      <c r="PS199" s="13"/>
      <c r="PT199" s="13"/>
      <c r="PU199" s="13"/>
      <c r="PV199" s="13"/>
      <c r="PW199" s="13"/>
      <c r="PX199" s="13"/>
      <c r="PY199" s="13"/>
      <c r="PZ199" s="13"/>
      <c r="QA199" s="13"/>
      <c r="QB199" s="13"/>
      <c r="QC199" s="13"/>
      <c r="QD199" s="13"/>
      <c r="QE199" s="13"/>
      <c r="QF199" s="13"/>
      <c r="QG199" s="13"/>
      <c r="QH199" s="13"/>
      <c r="QI199" s="13"/>
      <c r="QJ199" s="13"/>
      <c r="QK199" s="13"/>
      <c r="QL199" s="13"/>
      <c r="QM199" s="13"/>
      <c r="QN199" s="13"/>
      <c r="QO199" s="13"/>
      <c r="QP199" s="13"/>
      <c r="QQ199" s="13"/>
      <c r="QR199" s="13"/>
      <c r="QS199" s="13"/>
      <c r="QT199" s="13"/>
      <c r="QU199" s="13"/>
      <c r="QV199" s="13"/>
      <c r="QW199" s="13"/>
      <c r="QX199" s="13"/>
      <c r="QY199" s="13"/>
      <c r="QZ199" s="13"/>
      <c r="RA199" s="13"/>
      <c r="RB199" s="13"/>
      <c r="RC199" s="13"/>
      <c r="RD199" s="13"/>
      <c r="RE199" s="13"/>
      <c r="RF199" s="13"/>
      <c r="RG199" s="13"/>
      <c r="RH199" s="13"/>
      <c r="RI199" s="13"/>
      <c r="RJ199" s="13"/>
      <c r="RK199" s="13"/>
      <c r="RL199" s="13"/>
      <c r="RM199" s="13"/>
      <c r="RN199" s="13"/>
      <c r="RO199" s="13"/>
      <c r="RP199" s="13"/>
      <c r="RQ199" s="13"/>
      <c r="RR199" s="13"/>
      <c r="RS199" s="13"/>
      <c r="RT199" s="13"/>
      <c r="RU199" s="13"/>
      <c r="RV199" s="13"/>
      <c r="RW199" s="13"/>
      <c r="RX199" s="13"/>
      <c r="RY199" s="13"/>
      <c r="RZ199" s="13"/>
      <c r="SA199" s="13"/>
      <c r="SB199" s="13"/>
      <c r="SC199" s="13"/>
      <c r="SD199" s="13"/>
      <c r="SE199" s="13"/>
      <c r="SF199" s="13"/>
      <c r="SG199" s="13"/>
      <c r="SH199" s="13"/>
      <c r="SI199" s="13"/>
      <c r="SJ199" s="13"/>
      <c r="SK199" s="13"/>
      <c r="SL199" s="13"/>
      <c r="SM199" s="13"/>
      <c r="SN199" s="13"/>
      <c r="SO199" s="13"/>
      <c r="SP199" s="13"/>
      <c r="SQ199" s="13"/>
      <c r="SR199" s="13"/>
      <c r="SS199" s="13"/>
      <c r="ST199" s="13"/>
      <c r="SU199" s="13"/>
      <c r="SV199" s="13"/>
      <c r="SW199" s="13"/>
      <c r="SX199" s="13"/>
      <c r="SY199" s="13"/>
      <c r="SZ199" s="13"/>
      <c r="TA199" s="13"/>
      <c r="TB199" s="13"/>
      <c r="TC199" s="13"/>
      <c r="TD199" s="13"/>
      <c r="TE199" s="13"/>
      <c r="TF199" s="13"/>
      <c r="TG199" s="13"/>
      <c r="TH199" s="13"/>
      <c r="TI199" s="13"/>
      <c r="TJ199" s="13"/>
      <c r="TK199" s="13"/>
      <c r="TL199" s="13"/>
      <c r="TM199" s="13"/>
      <c r="TN199" s="13"/>
      <c r="TO199" s="13"/>
      <c r="TP199" s="13"/>
      <c r="TQ199" s="13"/>
      <c r="TR199" s="13"/>
      <c r="TS199" s="13"/>
      <c r="TT199" s="13"/>
      <c r="TU199" s="13"/>
      <c r="TV199" s="13"/>
      <c r="TW199" s="13"/>
      <c r="TX199" s="13"/>
      <c r="TY199" s="13"/>
      <c r="TZ199" s="13"/>
      <c r="UA199" s="13"/>
      <c r="UB199" s="13"/>
      <c r="UC199" s="13"/>
      <c r="UD199" s="13"/>
      <c r="UE199" s="13"/>
      <c r="UF199" s="13"/>
      <c r="UG199" s="13"/>
      <c r="UH199" s="13"/>
      <c r="UI199" s="13"/>
      <c r="UJ199" s="13"/>
      <c r="UK199" s="13"/>
      <c r="UL199" s="13"/>
      <c r="UM199" s="13"/>
      <c r="UN199" s="13"/>
      <c r="UO199" s="13"/>
      <c r="UP199" s="13"/>
      <c r="UQ199" s="13"/>
      <c r="UR199" s="13"/>
      <c r="US199" s="13"/>
      <c r="UT199" s="13"/>
      <c r="UU199" s="13"/>
      <c r="UV199" s="13"/>
      <c r="UW199" s="13"/>
      <c r="UX199" s="13"/>
      <c r="UY199" s="13"/>
      <c r="UZ199" s="13"/>
      <c r="VA199" s="13"/>
      <c r="VB199" s="13"/>
      <c r="VC199" s="13"/>
      <c r="VD199" s="13"/>
      <c r="VE199" s="13"/>
      <c r="VF199" s="13"/>
      <c r="VG199" s="13"/>
      <c r="VH199" s="13"/>
      <c r="VI199" s="13"/>
      <c r="VJ199" s="13"/>
      <c r="VK199" s="13"/>
      <c r="VL199" s="13"/>
      <c r="VM199" s="13"/>
      <c r="VN199" s="13"/>
      <c r="VO199" s="13"/>
      <c r="VP199" s="13"/>
      <c r="VQ199" s="13"/>
      <c r="VR199" s="13"/>
      <c r="VS199" s="13"/>
      <c r="VT199" s="13"/>
      <c r="VU199" s="13"/>
      <c r="VV199" s="13"/>
      <c r="VW199" s="13"/>
      <c r="VX199" s="13"/>
      <c r="VY199" s="13"/>
      <c r="VZ199" s="13"/>
      <c r="WA199" s="13"/>
      <c r="WB199" s="13"/>
      <c r="WC199" s="13"/>
      <c r="WD199" s="13"/>
      <c r="WE199" s="13"/>
      <c r="WF199" s="13"/>
      <c r="WG199" s="13"/>
      <c r="WH199" s="13"/>
      <c r="WI199" s="13"/>
      <c r="WJ199" s="13"/>
      <c r="WK199" s="13"/>
      <c r="WL199" s="13"/>
      <c r="WM199" s="13"/>
      <c r="WN199" s="13"/>
      <c r="WO199" s="13"/>
      <c r="WP199" s="13"/>
      <c r="WQ199" s="13"/>
      <c r="WR199" s="13"/>
      <c r="WS199" s="13"/>
      <c r="WT199" s="13"/>
      <c r="WU199" s="13"/>
      <c r="WV199" s="13"/>
      <c r="WW199" s="13"/>
      <c r="WX199" s="13"/>
      <c r="WY199" s="13"/>
      <c r="WZ199" s="13"/>
      <c r="XA199" s="13"/>
      <c r="XB199" s="13"/>
      <c r="XC199" s="13"/>
      <c r="XD199" s="13"/>
      <c r="XE199" s="13"/>
      <c r="XF199" s="13"/>
      <c r="XG199" s="13"/>
      <c r="XH199" s="13"/>
      <c r="XI199" s="13"/>
      <c r="XJ199" s="13"/>
      <c r="XK199" s="13"/>
      <c r="XL199" s="13"/>
      <c r="XM199" s="13"/>
      <c r="XN199" s="13"/>
      <c r="XO199" s="13"/>
      <c r="XP199" s="13"/>
      <c r="XQ199" s="13"/>
      <c r="XR199" s="13"/>
      <c r="XS199" s="13"/>
      <c r="XT199" s="13"/>
      <c r="XU199" s="13"/>
      <c r="XV199" s="13"/>
      <c r="XW199" s="13"/>
      <c r="XX199" s="13"/>
      <c r="XY199" s="13"/>
      <c r="XZ199" s="13"/>
      <c r="YA199" s="13"/>
      <c r="YB199" s="13"/>
      <c r="YC199" s="13"/>
      <c r="YD199" s="13"/>
      <c r="YE199" s="13"/>
      <c r="YF199" s="13"/>
      <c r="YG199" s="13"/>
      <c r="YH199" s="13"/>
      <c r="YI199" s="13"/>
      <c r="YJ199" s="13"/>
      <c r="YK199" s="13"/>
      <c r="YL199" s="13"/>
      <c r="YM199" s="13"/>
      <c r="YN199" s="13"/>
      <c r="YO199" s="13"/>
      <c r="YP199" s="13"/>
      <c r="YQ199" s="13"/>
      <c r="YR199" s="13"/>
      <c r="YS199" s="13"/>
      <c r="YT199" s="13"/>
      <c r="YU199" s="13"/>
      <c r="YV199" s="13"/>
      <c r="YW199" s="13"/>
      <c r="YX199" s="13"/>
      <c r="YY199" s="13"/>
      <c r="YZ199" s="13"/>
      <c r="ZA199" s="13"/>
      <c r="ZB199" s="13"/>
      <c r="ZC199" s="13"/>
      <c r="ZD199" s="13"/>
      <c r="ZE199" s="13"/>
      <c r="ZF199" s="13"/>
      <c r="ZG199" s="13"/>
      <c r="ZH199" s="13"/>
      <c r="ZI199" s="13"/>
      <c r="ZJ199" s="13"/>
      <c r="ZK199" s="13"/>
      <c r="ZL199" s="13"/>
      <c r="ZM199" s="13"/>
      <c r="ZN199" s="13"/>
      <c r="ZO199" s="13"/>
      <c r="ZP199" s="13"/>
      <c r="ZQ199" s="13"/>
      <c r="ZR199" s="13"/>
      <c r="ZS199" s="13"/>
      <c r="ZT199" s="13"/>
      <c r="ZU199" s="13"/>
      <c r="ZV199" s="13"/>
      <c r="ZW199" s="13"/>
      <c r="ZX199" s="13"/>
      <c r="ZY199" s="13"/>
      <c r="ZZ199" s="13"/>
      <c r="AAA199" s="13"/>
      <c r="AAB199" s="13"/>
      <c r="AAC199" s="13"/>
      <c r="AAD199" s="13"/>
      <c r="AAE199" s="13"/>
      <c r="AAF199" s="13"/>
      <c r="AAG199" s="13"/>
      <c r="AAH199" s="13"/>
      <c r="AAI199" s="13"/>
      <c r="AAJ199" s="13"/>
      <c r="AAK199" s="13"/>
      <c r="AAL199" s="13"/>
      <c r="AAM199" s="13"/>
      <c r="AAN199" s="13"/>
      <c r="AAO199" s="13"/>
      <c r="AAP199" s="13"/>
      <c r="AAQ199" s="13"/>
      <c r="AAR199" s="13"/>
      <c r="AAS199" s="13"/>
      <c r="AAT199" s="13"/>
      <c r="AAU199" s="13"/>
      <c r="AAV199" s="13"/>
      <c r="AAW199" s="13"/>
      <c r="AAX199" s="13"/>
      <c r="AAY199" s="13"/>
      <c r="AAZ199" s="13"/>
      <c r="ABA199" s="13"/>
      <c r="ABB199" s="13"/>
      <c r="ABC199" s="13"/>
      <c r="ABD199" s="13"/>
      <c r="ABE199" s="13"/>
      <c r="ABF199" s="13"/>
      <c r="ABG199" s="13"/>
      <c r="ABH199" s="13"/>
      <c r="ABI199" s="13"/>
      <c r="ABJ199" s="13"/>
      <c r="ABK199" s="13"/>
      <c r="ABL199" s="13"/>
      <c r="ABM199" s="13"/>
      <c r="ABN199" s="13"/>
      <c r="ABO199" s="13"/>
      <c r="ABP199" s="13"/>
      <c r="ABQ199" s="13"/>
      <c r="ABR199" s="13"/>
      <c r="ABS199" s="13"/>
      <c r="ABT199" s="13"/>
      <c r="ABU199" s="13"/>
      <c r="ABV199" s="13"/>
      <c r="ABW199" s="13"/>
      <c r="ABX199" s="13"/>
      <c r="ABY199" s="13"/>
      <c r="ABZ199" s="13"/>
      <c r="ACA199" s="13"/>
      <c r="ACB199" s="13"/>
      <c r="ACC199" s="13"/>
      <c r="ACD199" s="13"/>
      <c r="ACE199" s="13"/>
      <c r="ACF199" s="13"/>
      <c r="ACG199" s="13"/>
      <c r="ACH199" s="13"/>
      <c r="ACI199" s="13"/>
      <c r="ACJ199" s="13"/>
      <c r="ACK199" s="13"/>
      <c r="ACL199" s="13"/>
      <c r="ACM199" s="13"/>
      <c r="ACN199" s="13"/>
      <c r="ACO199" s="13"/>
      <c r="ACP199" s="13"/>
      <c r="ACQ199" s="13"/>
      <c r="ACR199" s="13"/>
      <c r="ACS199" s="13"/>
      <c r="ACT199" s="13"/>
      <c r="ACU199" s="13"/>
      <c r="ACV199" s="13"/>
      <c r="ACW199" s="13"/>
      <c r="ACX199" s="13"/>
      <c r="ACY199" s="13"/>
      <c r="ACZ199" s="13"/>
      <c r="ADA199" s="13"/>
      <c r="ADB199" s="13"/>
      <c r="ADC199" s="13"/>
      <c r="ADD199" s="13"/>
      <c r="ADE199" s="13"/>
      <c r="ADF199" s="13"/>
      <c r="ADG199" s="13"/>
      <c r="ADH199" s="13"/>
      <c r="ADI199" s="13"/>
      <c r="ADJ199" s="13"/>
      <c r="ADK199" s="13"/>
      <c r="ADL199" s="13"/>
      <c r="ADM199" s="13"/>
      <c r="ADN199" s="13"/>
      <c r="ADO199" s="13"/>
      <c r="ADP199" s="13"/>
      <c r="ADQ199" s="13"/>
      <c r="ADR199" s="13"/>
      <c r="ADS199" s="13"/>
      <c r="ADT199" s="13"/>
      <c r="ADU199" s="13"/>
      <c r="ADV199" s="13"/>
      <c r="ADW199" s="13"/>
      <c r="ADX199" s="13"/>
      <c r="ADY199" s="13"/>
      <c r="ADZ199" s="13"/>
      <c r="AEA199" s="13"/>
      <c r="AEB199" s="13"/>
      <c r="AEC199" s="13"/>
      <c r="AED199" s="13"/>
      <c r="AEE199" s="13"/>
      <c r="AEF199" s="13"/>
      <c r="AEG199" s="13"/>
      <c r="AEH199" s="13"/>
      <c r="AEI199" s="13"/>
      <c r="AEJ199" s="13"/>
      <c r="AEK199" s="13"/>
      <c r="AEL199" s="13"/>
      <c r="AEM199" s="13"/>
      <c r="AEN199" s="13"/>
      <c r="AEO199" s="13"/>
      <c r="AEP199" s="13"/>
      <c r="AEQ199" s="13"/>
      <c r="AER199" s="13"/>
      <c r="AES199" s="13"/>
      <c r="AET199" s="13"/>
      <c r="AEU199" s="13"/>
      <c r="AEV199" s="13"/>
      <c r="AEW199" s="13"/>
      <c r="AEX199" s="13"/>
      <c r="AEY199" s="13"/>
      <c r="AEZ199" s="13"/>
      <c r="AFA199" s="13"/>
      <c r="AFB199" s="13"/>
      <c r="AFC199" s="13"/>
      <c r="AFD199" s="13"/>
      <c r="AFE199" s="13"/>
      <c r="AFF199" s="13"/>
      <c r="AFG199" s="13"/>
      <c r="AFH199" s="13"/>
      <c r="AFI199" s="13"/>
      <c r="AFJ199" s="13"/>
      <c r="AFK199" s="13"/>
      <c r="AFL199" s="13"/>
      <c r="AFM199" s="13"/>
      <c r="AFN199" s="13"/>
      <c r="AFO199" s="13"/>
      <c r="AFP199" s="13"/>
      <c r="AFQ199" s="13"/>
      <c r="AFR199" s="13"/>
      <c r="AFS199" s="13"/>
      <c r="AFT199" s="13"/>
      <c r="AFU199" s="13"/>
      <c r="AFV199" s="13"/>
      <c r="AFW199" s="13"/>
      <c r="AFX199" s="13"/>
      <c r="AFY199" s="13"/>
      <c r="AFZ199" s="13"/>
      <c r="AGA199" s="13"/>
      <c r="AGB199" s="13"/>
      <c r="AGC199" s="13"/>
      <c r="AGD199" s="13"/>
      <c r="AGE199" s="13"/>
      <c r="AGF199" s="13"/>
      <c r="AGG199" s="13"/>
      <c r="AGH199" s="13"/>
      <c r="AGI199" s="13"/>
      <c r="AGJ199" s="13"/>
      <c r="AGK199" s="13"/>
      <c r="AGL199" s="13"/>
      <c r="AGM199" s="13"/>
      <c r="AGN199" s="13"/>
      <c r="AGO199" s="13"/>
      <c r="AGP199" s="13"/>
      <c r="AGQ199" s="13"/>
      <c r="AGR199" s="13"/>
      <c r="AGS199" s="13"/>
      <c r="AGT199" s="13"/>
      <c r="AGU199" s="13"/>
      <c r="AGV199" s="13"/>
      <c r="AGW199" s="13"/>
      <c r="AGX199" s="13"/>
      <c r="AGY199" s="13"/>
      <c r="AGZ199" s="13"/>
      <c r="AHA199" s="13"/>
      <c r="AHB199" s="13"/>
      <c r="AHC199" s="13"/>
      <c r="AHD199" s="13"/>
      <c r="AHE199" s="13"/>
      <c r="AHF199" s="13"/>
      <c r="AHG199" s="13"/>
      <c r="AHH199" s="13"/>
      <c r="AHI199" s="13"/>
      <c r="AHJ199" s="13"/>
      <c r="AHK199" s="13"/>
      <c r="AHL199" s="13"/>
      <c r="AHM199" s="13"/>
      <c r="AHN199" s="13"/>
      <c r="AHO199" s="13"/>
      <c r="AHP199" s="13"/>
      <c r="AHQ199" s="13"/>
      <c r="AHR199" s="13"/>
      <c r="AHS199" s="13"/>
      <c r="AHT199" s="13"/>
      <c r="AHU199" s="13"/>
      <c r="AHV199" s="13"/>
      <c r="AHW199" s="13"/>
      <c r="AHX199" s="13"/>
      <c r="AHY199" s="13"/>
      <c r="AHZ199" s="13"/>
      <c r="AIA199" s="13"/>
      <c r="AIB199" s="13"/>
      <c r="AIC199" s="13"/>
      <c r="AID199" s="13"/>
      <c r="AIE199" s="13"/>
      <c r="AIF199" s="13"/>
      <c r="AIG199" s="13"/>
      <c r="AIH199" s="13"/>
      <c r="AII199" s="13"/>
      <c r="AIJ199" s="13"/>
      <c r="AIK199" s="13"/>
      <c r="AIL199" s="13"/>
      <c r="AIM199" s="13"/>
      <c r="AIN199" s="13"/>
      <c r="AIO199" s="13"/>
      <c r="AIP199" s="13"/>
      <c r="AIQ199" s="13"/>
      <c r="AIR199" s="13"/>
      <c r="AIS199" s="13"/>
      <c r="AIT199" s="13"/>
      <c r="AIU199" s="13"/>
      <c r="AIV199" s="13"/>
      <c r="AIW199" s="13"/>
      <c r="AIX199" s="13"/>
      <c r="AIY199" s="13"/>
      <c r="AIZ199" s="13"/>
      <c r="AJA199" s="13"/>
      <c r="AJB199" s="13"/>
      <c r="AJC199" s="13"/>
      <c r="AJD199" s="13"/>
      <c r="AJE199" s="13"/>
      <c r="AJF199" s="13"/>
      <c r="AJG199" s="13"/>
      <c r="AJH199" s="13"/>
      <c r="AJI199" s="13"/>
      <c r="AJJ199" s="13"/>
      <c r="AJK199" s="13"/>
      <c r="AJL199" s="13"/>
      <c r="AJM199" s="13"/>
      <c r="AJN199" s="13"/>
      <c r="AJO199" s="13"/>
      <c r="AJP199" s="13"/>
      <c r="AJQ199" s="13"/>
      <c r="AJR199" s="13"/>
      <c r="AJS199" s="13"/>
      <c r="AJT199" s="13"/>
      <c r="AJU199" s="13"/>
      <c r="AJV199" s="13"/>
      <c r="AJW199" s="13"/>
      <c r="AJX199" s="13"/>
      <c r="AJY199" s="13"/>
      <c r="AJZ199" s="13"/>
      <c r="AKA199" s="13"/>
      <c r="AKB199" s="13"/>
      <c r="AKC199" s="13"/>
      <c r="AKD199" s="13"/>
      <c r="AKE199" s="13"/>
      <c r="AKF199" s="13"/>
      <c r="AKG199" s="13"/>
      <c r="AKH199" s="13"/>
      <c r="AKI199" s="13"/>
      <c r="AKJ199" s="13"/>
      <c r="AKK199" s="13"/>
      <c r="AKL199" s="13"/>
      <c r="AKM199" s="13"/>
      <c r="AKN199" s="13"/>
      <c r="AKO199" s="13"/>
      <c r="AKP199" s="13"/>
      <c r="AKQ199" s="13"/>
      <c r="AKR199" s="13"/>
      <c r="AKS199" s="13"/>
      <c r="AKT199" s="13"/>
      <c r="AKU199" s="13"/>
      <c r="AKV199" s="13"/>
      <c r="AKW199" s="13"/>
      <c r="AKX199" s="13"/>
      <c r="AKY199" s="13"/>
      <c r="AKZ199" s="13"/>
      <c r="ALA199" s="13"/>
      <c r="ALB199" s="13"/>
      <c r="ALC199" s="13"/>
      <c r="ALD199" s="13"/>
      <c r="ALE199" s="13"/>
      <c r="ALF199" s="13"/>
      <c r="ALG199" s="13"/>
      <c r="ALH199" s="13"/>
      <c r="ALI199" s="13"/>
      <c r="ALJ199" s="13"/>
      <c r="ALK199" s="13"/>
      <c r="ALL199" s="13"/>
      <c r="ALM199" s="13"/>
      <c r="ALN199" s="13"/>
      <c r="ALO199" s="13"/>
      <c r="ALP199" s="13"/>
      <c r="ALQ199" s="13"/>
      <c r="ALR199" s="13"/>
      <c r="ALS199" s="13"/>
      <c r="ALT199" s="13"/>
      <c r="ALU199" s="13"/>
      <c r="ALV199" s="13"/>
      <c r="ALW199" s="13"/>
      <c r="ALX199" s="13"/>
      <c r="ALY199" s="13"/>
      <c r="ALZ199" s="13"/>
      <c r="AMA199" s="13"/>
      <c r="AMB199" s="13"/>
      <c r="AMC199" s="13"/>
      <c r="AMD199" s="13"/>
      <c r="AME199" s="13"/>
      <c r="AMF199" s="13"/>
      <c r="AMG199" s="13"/>
      <c r="AMH199" s="13"/>
      <c r="AMI199" s="13"/>
      <c r="AMJ199" s="13"/>
      <c r="AMK199" s="13"/>
    </row>
    <row r="200" spans="1:1025" s="16" customForma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  <c r="ET200" s="13"/>
      <c r="EU200" s="13"/>
      <c r="EV200" s="13"/>
      <c r="EW200" s="13"/>
      <c r="EX200" s="13"/>
      <c r="EY200" s="13"/>
      <c r="EZ200" s="13"/>
      <c r="FA200" s="13"/>
      <c r="FB200" s="13"/>
      <c r="FC200" s="13"/>
      <c r="FD200" s="13"/>
      <c r="FE200" s="13"/>
      <c r="FF200" s="13"/>
      <c r="FG200" s="13"/>
      <c r="FH200" s="13"/>
      <c r="FI200" s="13"/>
      <c r="FJ200" s="13"/>
      <c r="FK200" s="13"/>
      <c r="FL200" s="13"/>
      <c r="FM200" s="13"/>
      <c r="FN200" s="13"/>
      <c r="FO200" s="13"/>
      <c r="FP200" s="13"/>
      <c r="FQ200" s="13"/>
      <c r="FR200" s="13"/>
      <c r="FS200" s="13"/>
      <c r="FT200" s="13"/>
      <c r="FU200" s="13"/>
      <c r="FV200" s="13"/>
      <c r="FW200" s="13"/>
      <c r="FX200" s="13"/>
      <c r="FY200" s="13"/>
      <c r="FZ200" s="13"/>
      <c r="GA200" s="13"/>
      <c r="GB200" s="13"/>
      <c r="GC200" s="13"/>
      <c r="GD200" s="13"/>
      <c r="GE200" s="13"/>
      <c r="GF200" s="13"/>
      <c r="GG200" s="13"/>
      <c r="GH200" s="13"/>
      <c r="GI200" s="13"/>
      <c r="GJ200" s="13"/>
      <c r="GK200" s="13"/>
      <c r="GL200" s="13"/>
      <c r="GM200" s="13"/>
      <c r="GN200" s="13"/>
      <c r="GO200" s="13"/>
      <c r="GP200" s="13"/>
      <c r="GQ200" s="13"/>
      <c r="GR200" s="13"/>
      <c r="GS200" s="13"/>
      <c r="GT200" s="13"/>
      <c r="GU200" s="13"/>
      <c r="GV200" s="13"/>
      <c r="GW200" s="13"/>
      <c r="GX200" s="13"/>
      <c r="GY200" s="13"/>
      <c r="GZ200" s="13"/>
      <c r="HA200" s="13"/>
      <c r="HB200" s="13"/>
      <c r="HC200" s="13"/>
      <c r="HD200" s="13"/>
      <c r="HE200" s="13"/>
      <c r="HF200" s="13"/>
      <c r="HG200" s="13"/>
      <c r="HH200" s="13"/>
      <c r="HI200" s="13"/>
      <c r="HJ200" s="13"/>
      <c r="HK200" s="13"/>
      <c r="HL200" s="13"/>
      <c r="HM200" s="13"/>
      <c r="HN200" s="13"/>
      <c r="HO200" s="13"/>
      <c r="HP200" s="13"/>
      <c r="HQ200" s="13"/>
      <c r="HR200" s="13"/>
      <c r="HS200" s="13"/>
      <c r="HT200" s="13"/>
      <c r="HU200" s="13"/>
      <c r="HV200" s="13"/>
      <c r="HW200" s="13"/>
      <c r="HX200" s="13"/>
      <c r="HY200" s="13"/>
      <c r="HZ200" s="13"/>
      <c r="IA200" s="13"/>
      <c r="IB200" s="13"/>
      <c r="IC200" s="13"/>
      <c r="ID200" s="13"/>
      <c r="IE200" s="13"/>
      <c r="IF200" s="13"/>
      <c r="IG200" s="13"/>
      <c r="IH200" s="13"/>
      <c r="II200" s="13"/>
      <c r="IJ200" s="13"/>
      <c r="IK200" s="13"/>
      <c r="IL200" s="13"/>
      <c r="IM200" s="13"/>
      <c r="IN200" s="13"/>
      <c r="IO200" s="13"/>
      <c r="IP200" s="13"/>
      <c r="IQ200" s="13"/>
      <c r="IR200" s="13"/>
      <c r="IS200" s="13"/>
      <c r="IT200" s="13"/>
      <c r="IU200" s="13"/>
      <c r="IV200" s="13"/>
      <c r="IW200" s="13"/>
      <c r="IX200" s="13"/>
      <c r="IY200" s="13"/>
      <c r="IZ200" s="13"/>
      <c r="JA200" s="13"/>
      <c r="JB200" s="13"/>
      <c r="JC200" s="13"/>
      <c r="JD200" s="13"/>
      <c r="JE200" s="13"/>
      <c r="JF200" s="13"/>
      <c r="JG200" s="13"/>
      <c r="JH200" s="13"/>
      <c r="JI200" s="13"/>
      <c r="JJ200" s="13"/>
      <c r="JK200" s="13"/>
      <c r="JL200" s="13"/>
      <c r="JM200" s="13"/>
      <c r="JN200" s="13"/>
      <c r="JO200" s="13"/>
      <c r="JP200" s="13"/>
      <c r="JQ200" s="13"/>
      <c r="JR200" s="13"/>
      <c r="JS200" s="13"/>
      <c r="JT200" s="13"/>
      <c r="JU200" s="13"/>
      <c r="JV200" s="13"/>
      <c r="JW200" s="13"/>
      <c r="JX200" s="13"/>
      <c r="JY200" s="13"/>
      <c r="JZ200" s="13"/>
      <c r="KA200" s="13"/>
      <c r="KB200" s="13"/>
      <c r="KC200" s="13"/>
      <c r="KD200" s="13"/>
      <c r="KE200" s="13"/>
      <c r="KF200" s="13"/>
      <c r="KG200" s="13"/>
      <c r="KH200" s="13"/>
      <c r="KI200" s="13"/>
      <c r="KJ200" s="13"/>
      <c r="KK200" s="13"/>
      <c r="KL200" s="13"/>
      <c r="KM200" s="13"/>
      <c r="KN200" s="13"/>
      <c r="KO200" s="13"/>
      <c r="KP200" s="13"/>
      <c r="KQ200" s="13"/>
      <c r="KR200" s="13"/>
      <c r="KS200" s="13"/>
      <c r="KT200" s="13"/>
      <c r="KU200" s="13"/>
      <c r="KV200" s="13"/>
      <c r="KW200" s="13"/>
      <c r="KX200" s="13"/>
      <c r="KY200" s="13"/>
      <c r="KZ200" s="13"/>
      <c r="LA200" s="13"/>
      <c r="LB200" s="13"/>
      <c r="LC200" s="13"/>
      <c r="LD200" s="13"/>
      <c r="LE200" s="13"/>
      <c r="LF200" s="13"/>
      <c r="LG200" s="13"/>
      <c r="LH200" s="13"/>
      <c r="LI200" s="13"/>
      <c r="LJ200" s="13"/>
      <c r="LK200" s="13"/>
      <c r="LL200" s="13"/>
      <c r="LM200" s="13"/>
      <c r="LN200" s="13"/>
      <c r="LO200" s="13"/>
      <c r="LP200" s="13"/>
      <c r="LQ200" s="13"/>
      <c r="LR200" s="13"/>
      <c r="LS200" s="13"/>
      <c r="LT200" s="13"/>
      <c r="LU200" s="13"/>
      <c r="LV200" s="13"/>
      <c r="LW200" s="13"/>
      <c r="LX200" s="13"/>
      <c r="LY200" s="13"/>
      <c r="LZ200" s="13"/>
      <c r="MA200" s="13"/>
      <c r="MB200" s="13"/>
      <c r="MC200" s="13"/>
      <c r="MD200" s="13"/>
      <c r="ME200" s="13"/>
      <c r="MF200" s="13"/>
      <c r="MG200" s="13"/>
      <c r="MH200" s="13"/>
      <c r="MI200" s="13"/>
      <c r="MJ200" s="13"/>
      <c r="MK200" s="13"/>
      <c r="ML200" s="13"/>
      <c r="MM200" s="13"/>
      <c r="MN200" s="13"/>
      <c r="MO200" s="13"/>
      <c r="MP200" s="13"/>
      <c r="MQ200" s="13"/>
      <c r="MR200" s="13"/>
      <c r="MS200" s="13"/>
      <c r="MT200" s="13"/>
      <c r="MU200" s="13"/>
      <c r="MV200" s="13"/>
      <c r="MW200" s="13"/>
      <c r="MX200" s="13"/>
      <c r="MY200" s="13"/>
      <c r="MZ200" s="13"/>
      <c r="NA200" s="13"/>
      <c r="NB200" s="13"/>
      <c r="NC200" s="13"/>
      <c r="ND200" s="13"/>
      <c r="NE200" s="13"/>
      <c r="NF200" s="13"/>
      <c r="NG200" s="13"/>
      <c r="NH200" s="13"/>
      <c r="NI200" s="13"/>
      <c r="NJ200" s="13"/>
      <c r="NK200" s="13"/>
      <c r="NL200" s="13"/>
      <c r="NM200" s="13"/>
      <c r="NN200" s="13"/>
      <c r="NO200" s="13"/>
      <c r="NP200" s="13"/>
      <c r="NQ200" s="13"/>
      <c r="NR200" s="13"/>
      <c r="NS200" s="13"/>
      <c r="NT200" s="13"/>
      <c r="NU200" s="13"/>
      <c r="NV200" s="13"/>
      <c r="NW200" s="13"/>
      <c r="NX200" s="13"/>
      <c r="NY200" s="13"/>
      <c r="NZ200" s="13"/>
      <c r="OA200" s="13"/>
      <c r="OB200" s="13"/>
      <c r="OC200" s="13"/>
      <c r="OD200" s="13"/>
      <c r="OE200" s="13"/>
      <c r="OF200" s="13"/>
      <c r="OG200" s="13"/>
      <c r="OH200" s="13"/>
      <c r="OI200" s="13"/>
      <c r="OJ200" s="13"/>
      <c r="OK200" s="13"/>
      <c r="OL200" s="13"/>
      <c r="OM200" s="13"/>
      <c r="ON200" s="13"/>
      <c r="OO200" s="13"/>
      <c r="OP200" s="13"/>
      <c r="OQ200" s="13"/>
      <c r="OR200" s="13"/>
      <c r="OS200" s="13"/>
      <c r="OT200" s="13"/>
      <c r="OU200" s="13"/>
      <c r="OV200" s="13"/>
      <c r="OW200" s="13"/>
      <c r="OX200" s="13"/>
      <c r="OY200" s="13"/>
      <c r="OZ200" s="13"/>
      <c r="PA200" s="13"/>
      <c r="PB200" s="13"/>
      <c r="PC200" s="13"/>
      <c r="PD200" s="13"/>
      <c r="PE200" s="13"/>
      <c r="PF200" s="13"/>
      <c r="PG200" s="13"/>
      <c r="PH200" s="13"/>
      <c r="PI200" s="13"/>
      <c r="PJ200" s="13"/>
      <c r="PK200" s="13"/>
      <c r="PL200" s="13"/>
      <c r="PM200" s="13"/>
      <c r="PN200" s="13"/>
      <c r="PO200" s="13"/>
      <c r="PP200" s="13"/>
      <c r="PQ200" s="13"/>
      <c r="PR200" s="13"/>
      <c r="PS200" s="13"/>
      <c r="PT200" s="13"/>
      <c r="PU200" s="13"/>
      <c r="PV200" s="13"/>
      <c r="PW200" s="13"/>
      <c r="PX200" s="13"/>
      <c r="PY200" s="13"/>
      <c r="PZ200" s="13"/>
      <c r="QA200" s="13"/>
      <c r="QB200" s="13"/>
      <c r="QC200" s="13"/>
      <c r="QD200" s="13"/>
      <c r="QE200" s="13"/>
      <c r="QF200" s="13"/>
      <c r="QG200" s="13"/>
      <c r="QH200" s="13"/>
      <c r="QI200" s="13"/>
      <c r="QJ200" s="13"/>
      <c r="QK200" s="13"/>
      <c r="QL200" s="13"/>
      <c r="QM200" s="13"/>
      <c r="QN200" s="13"/>
      <c r="QO200" s="13"/>
      <c r="QP200" s="13"/>
      <c r="QQ200" s="13"/>
      <c r="QR200" s="13"/>
      <c r="QS200" s="13"/>
      <c r="QT200" s="13"/>
      <c r="QU200" s="13"/>
      <c r="QV200" s="13"/>
      <c r="QW200" s="13"/>
      <c r="QX200" s="13"/>
      <c r="QY200" s="13"/>
      <c r="QZ200" s="13"/>
      <c r="RA200" s="13"/>
      <c r="RB200" s="13"/>
      <c r="RC200" s="13"/>
      <c r="RD200" s="13"/>
      <c r="RE200" s="13"/>
      <c r="RF200" s="13"/>
      <c r="RG200" s="13"/>
      <c r="RH200" s="13"/>
      <c r="RI200" s="13"/>
      <c r="RJ200" s="13"/>
      <c r="RK200" s="13"/>
      <c r="RL200" s="13"/>
      <c r="RM200" s="13"/>
      <c r="RN200" s="13"/>
      <c r="RO200" s="13"/>
      <c r="RP200" s="13"/>
      <c r="RQ200" s="13"/>
      <c r="RR200" s="13"/>
      <c r="RS200" s="13"/>
      <c r="RT200" s="13"/>
      <c r="RU200" s="13"/>
      <c r="RV200" s="13"/>
      <c r="RW200" s="13"/>
      <c r="RX200" s="13"/>
      <c r="RY200" s="13"/>
      <c r="RZ200" s="13"/>
      <c r="SA200" s="13"/>
      <c r="SB200" s="13"/>
      <c r="SC200" s="13"/>
      <c r="SD200" s="13"/>
      <c r="SE200" s="13"/>
      <c r="SF200" s="13"/>
      <c r="SG200" s="13"/>
      <c r="SH200" s="13"/>
      <c r="SI200" s="13"/>
      <c r="SJ200" s="13"/>
      <c r="SK200" s="13"/>
      <c r="SL200" s="13"/>
      <c r="SM200" s="13"/>
      <c r="SN200" s="13"/>
      <c r="SO200" s="13"/>
      <c r="SP200" s="13"/>
      <c r="SQ200" s="13"/>
      <c r="SR200" s="13"/>
      <c r="SS200" s="13"/>
      <c r="ST200" s="13"/>
      <c r="SU200" s="13"/>
      <c r="SV200" s="13"/>
      <c r="SW200" s="13"/>
      <c r="SX200" s="13"/>
      <c r="SY200" s="13"/>
      <c r="SZ200" s="13"/>
      <c r="TA200" s="13"/>
      <c r="TB200" s="13"/>
      <c r="TC200" s="13"/>
      <c r="TD200" s="13"/>
      <c r="TE200" s="13"/>
      <c r="TF200" s="13"/>
      <c r="TG200" s="13"/>
      <c r="TH200" s="13"/>
      <c r="TI200" s="13"/>
      <c r="TJ200" s="13"/>
      <c r="TK200" s="13"/>
      <c r="TL200" s="13"/>
      <c r="TM200" s="13"/>
      <c r="TN200" s="13"/>
      <c r="TO200" s="13"/>
      <c r="TP200" s="13"/>
      <c r="TQ200" s="13"/>
      <c r="TR200" s="13"/>
      <c r="TS200" s="13"/>
      <c r="TT200" s="13"/>
      <c r="TU200" s="13"/>
      <c r="TV200" s="13"/>
      <c r="TW200" s="13"/>
      <c r="TX200" s="13"/>
      <c r="TY200" s="13"/>
      <c r="TZ200" s="13"/>
      <c r="UA200" s="13"/>
      <c r="UB200" s="13"/>
      <c r="UC200" s="13"/>
      <c r="UD200" s="13"/>
      <c r="UE200" s="13"/>
      <c r="UF200" s="13"/>
      <c r="UG200" s="13"/>
      <c r="UH200" s="13"/>
      <c r="UI200" s="13"/>
      <c r="UJ200" s="13"/>
      <c r="UK200" s="13"/>
      <c r="UL200" s="13"/>
      <c r="UM200" s="13"/>
      <c r="UN200" s="13"/>
      <c r="UO200" s="13"/>
      <c r="UP200" s="13"/>
      <c r="UQ200" s="13"/>
      <c r="UR200" s="13"/>
      <c r="US200" s="13"/>
      <c r="UT200" s="13"/>
      <c r="UU200" s="13"/>
      <c r="UV200" s="13"/>
      <c r="UW200" s="13"/>
      <c r="UX200" s="13"/>
      <c r="UY200" s="13"/>
      <c r="UZ200" s="13"/>
      <c r="VA200" s="13"/>
      <c r="VB200" s="13"/>
      <c r="VC200" s="13"/>
      <c r="VD200" s="13"/>
      <c r="VE200" s="13"/>
      <c r="VF200" s="13"/>
      <c r="VG200" s="13"/>
      <c r="VH200" s="13"/>
      <c r="VI200" s="13"/>
      <c r="VJ200" s="13"/>
      <c r="VK200" s="13"/>
      <c r="VL200" s="13"/>
      <c r="VM200" s="13"/>
      <c r="VN200" s="13"/>
      <c r="VO200" s="13"/>
      <c r="VP200" s="13"/>
      <c r="VQ200" s="13"/>
      <c r="VR200" s="13"/>
      <c r="VS200" s="13"/>
      <c r="VT200" s="13"/>
      <c r="VU200" s="13"/>
      <c r="VV200" s="13"/>
      <c r="VW200" s="13"/>
      <c r="VX200" s="13"/>
      <c r="VY200" s="13"/>
      <c r="VZ200" s="13"/>
      <c r="WA200" s="13"/>
      <c r="WB200" s="13"/>
      <c r="WC200" s="13"/>
      <c r="WD200" s="13"/>
      <c r="WE200" s="13"/>
      <c r="WF200" s="13"/>
      <c r="WG200" s="13"/>
      <c r="WH200" s="13"/>
      <c r="WI200" s="13"/>
      <c r="WJ200" s="13"/>
      <c r="WK200" s="13"/>
      <c r="WL200" s="13"/>
      <c r="WM200" s="13"/>
      <c r="WN200" s="13"/>
      <c r="WO200" s="13"/>
      <c r="WP200" s="13"/>
      <c r="WQ200" s="13"/>
      <c r="WR200" s="13"/>
      <c r="WS200" s="13"/>
      <c r="WT200" s="13"/>
      <c r="WU200" s="13"/>
      <c r="WV200" s="13"/>
      <c r="WW200" s="13"/>
      <c r="WX200" s="13"/>
      <c r="WY200" s="13"/>
      <c r="WZ200" s="13"/>
      <c r="XA200" s="13"/>
      <c r="XB200" s="13"/>
      <c r="XC200" s="13"/>
      <c r="XD200" s="13"/>
      <c r="XE200" s="13"/>
      <c r="XF200" s="13"/>
      <c r="XG200" s="13"/>
      <c r="XH200" s="13"/>
      <c r="XI200" s="13"/>
      <c r="XJ200" s="13"/>
      <c r="XK200" s="13"/>
      <c r="XL200" s="13"/>
      <c r="XM200" s="13"/>
      <c r="XN200" s="13"/>
      <c r="XO200" s="13"/>
      <c r="XP200" s="13"/>
      <c r="XQ200" s="13"/>
      <c r="XR200" s="13"/>
      <c r="XS200" s="13"/>
      <c r="XT200" s="13"/>
      <c r="XU200" s="13"/>
      <c r="XV200" s="13"/>
      <c r="XW200" s="13"/>
      <c r="XX200" s="13"/>
      <c r="XY200" s="13"/>
      <c r="XZ200" s="13"/>
      <c r="YA200" s="13"/>
      <c r="YB200" s="13"/>
      <c r="YC200" s="13"/>
      <c r="YD200" s="13"/>
      <c r="YE200" s="13"/>
      <c r="YF200" s="13"/>
      <c r="YG200" s="13"/>
      <c r="YH200" s="13"/>
      <c r="YI200" s="13"/>
      <c r="YJ200" s="13"/>
      <c r="YK200" s="13"/>
      <c r="YL200" s="13"/>
      <c r="YM200" s="13"/>
      <c r="YN200" s="13"/>
      <c r="YO200" s="13"/>
      <c r="YP200" s="13"/>
      <c r="YQ200" s="13"/>
      <c r="YR200" s="13"/>
      <c r="YS200" s="13"/>
      <c r="YT200" s="13"/>
      <c r="YU200" s="13"/>
      <c r="YV200" s="13"/>
      <c r="YW200" s="13"/>
      <c r="YX200" s="13"/>
      <c r="YY200" s="13"/>
      <c r="YZ200" s="13"/>
      <c r="ZA200" s="13"/>
      <c r="ZB200" s="13"/>
      <c r="ZC200" s="13"/>
      <c r="ZD200" s="13"/>
      <c r="ZE200" s="13"/>
      <c r="ZF200" s="13"/>
      <c r="ZG200" s="13"/>
      <c r="ZH200" s="13"/>
      <c r="ZI200" s="13"/>
      <c r="ZJ200" s="13"/>
      <c r="ZK200" s="13"/>
      <c r="ZL200" s="13"/>
      <c r="ZM200" s="13"/>
      <c r="ZN200" s="13"/>
      <c r="ZO200" s="13"/>
      <c r="ZP200" s="13"/>
      <c r="ZQ200" s="13"/>
      <c r="ZR200" s="13"/>
      <c r="ZS200" s="13"/>
      <c r="ZT200" s="13"/>
      <c r="ZU200" s="13"/>
      <c r="ZV200" s="13"/>
      <c r="ZW200" s="13"/>
      <c r="ZX200" s="13"/>
      <c r="ZY200" s="13"/>
      <c r="ZZ200" s="13"/>
      <c r="AAA200" s="13"/>
      <c r="AAB200" s="13"/>
      <c r="AAC200" s="13"/>
      <c r="AAD200" s="13"/>
      <c r="AAE200" s="13"/>
      <c r="AAF200" s="13"/>
      <c r="AAG200" s="13"/>
      <c r="AAH200" s="13"/>
      <c r="AAI200" s="13"/>
      <c r="AAJ200" s="13"/>
      <c r="AAK200" s="13"/>
      <c r="AAL200" s="13"/>
      <c r="AAM200" s="13"/>
      <c r="AAN200" s="13"/>
      <c r="AAO200" s="13"/>
      <c r="AAP200" s="13"/>
      <c r="AAQ200" s="13"/>
      <c r="AAR200" s="13"/>
      <c r="AAS200" s="13"/>
      <c r="AAT200" s="13"/>
      <c r="AAU200" s="13"/>
      <c r="AAV200" s="13"/>
      <c r="AAW200" s="13"/>
      <c r="AAX200" s="13"/>
      <c r="AAY200" s="13"/>
      <c r="AAZ200" s="13"/>
      <c r="ABA200" s="13"/>
      <c r="ABB200" s="13"/>
      <c r="ABC200" s="13"/>
      <c r="ABD200" s="13"/>
      <c r="ABE200" s="13"/>
      <c r="ABF200" s="13"/>
      <c r="ABG200" s="13"/>
      <c r="ABH200" s="13"/>
      <c r="ABI200" s="13"/>
      <c r="ABJ200" s="13"/>
      <c r="ABK200" s="13"/>
      <c r="ABL200" s="13"/>
      <c r="ABM200" s="13"/>
      <c r="ABN200" s="13"/>
      <c r="ABO200" s="13"/>
      <c r="ABP200" s="13"/>
      <c r="ABQ200" s="13"/>
      <c r="ABR200" s="13"/>
      <c r="ABS200" s="13"/>
      <c r="ABT200" s="13"/>
      <c r="ABU200" s="13"/>
      <c r="ABV200" s="13"/>
      <c r="ABW200" s="13"/>
      <c r="ABX200" s="13"/>
      <c r="ABY200" s="13"/>
      <c r="ABZ200" s="13"/>
      <c r="ACA200" s="13"/>
      <c r="ACB200" s="13"/>
      <c r="ACC200" s="13"/>
      <c r="ACD200" s="13"/>
      <c r="ACE200" s="13"/>
      <c r="ACF200" s="13"/>
      <c r="ACG200" s="13"/>
      <c r="ACH200" s="13"/>
      <c r="ACI200" s="13"/>
      <c r="ACJ200" s="13"/>
      <c r="ACK200" s="13"/>
      <c r="ACL200" s="13"/>
      <c r="ACM200" s="13"/>
      <c r="ACN200" s="13"/>
      <c r="ACO200" s="13"/>
      <c r="ACP200" s="13"/>
      <c r="ACQ200" s="13"/>
      <c r="ACR200" s="13"/>
      <c r="ACS200" s="13"/>
      <c r="ACT200" s="13"/>
      <c r="ACU200" s="13"/>
      <c r="ACV200" s="13"/>
      <c r="ACW200" s="13"/>
      <c r="ACX200" s="13"/>
      <c r="ACY200" s="13"/>
      <c r="ACZ200" s="13"/>
      <c r="ADA200" s="13"/>
      <c r="ADB200" s="13"/>
      <c r="ADC200" s="13"/>
      <c r="ADD200" s="13"/>
      <c r="ADE200" s="13"/>
      <c r="ADF200" s="13"/>
      <c r="ADG200" s="13"/>
      <c r="ADH200" s="13"/>
      <c r="ADI200" s="13"/>
      <c r="ADJ200" s="13"/>
      <c r="ADK200" s="13"/>
      <c r="ADL200" s="13"/>
      <c r="ADM200" s="13"/>
      <c r="ADN200" s="13"/>
      <c r="ADO200" s="13"/>
      <c r="ADP200" s="13"/>
      <c r="ADQ200" s="13"/>
      <c r="ADR200" s="13"/>
      <c r="ADS200" s="13"/>
      <c r="ADT200" s="13"/>
      <c r="ADU200" s="13"/>
      <c r="ADV200" s="13"/>
      <c r="ADW200" s="13"/>
      <c r="ADX200" s="13"/>
      <c r="ADY200" s="13"/>
      <c r="ADZ200" s="13"/>
      <c r="AEA200" s="13"/>
      <c r="AEB200" s="13"/>
      <c r="AEC200" s="13"/>
      <c r="AED200" s="13"/>
      <c r="AEE200" s="13"/>
      <c r="AEF200" s="13"/>
      <c r="AEG200" s="13"/>
      <c r="AEH200" s="13"/>
      <c r="AEI200" s="13"/>
      <c r="AEJ200" s="13"/>
      <c r="AEK200" s="13"/>
      <c r="AEL200" s="13"/>
      <c r="AEM200" s="13"/>
      <c r="AEN200" s="13"/>
      <c r="AEO200" s="13"/>
      <c r="AEP200" s="13"/>
      <c r="AEQ200" s="13"/>
      <c r="AER200" s="13"/>
      <c r="AES200" s="13"/>
      <c r="AET200" s="13"/>
      <c r="AEU200" s="13"/>
      <c r="AEV200" s="13"/>
      <c r="AEW200" s="13"/>
      <c r="AEX200" s="13"/>
      <c r="AEY200" s="13"/>
      <c r="AEZ200" s="13"/>
      <c r="AFA200" s="13"/>
      <c r="AFB200" s="13"/>
      <c r="AFC200" s="13"/>
      <c r="AFD200" s="13"/>
      <c r="AFE200" s="13"/>
      <c r="AFF200" s="13"/>
      <c r="AFG200" s="13"/>
      <c r="AFH200" s="13"/>
      <c r="AFI200" s="13"/>
      <c r="AFJ200" s="13"/>
      <c r="AFK200" s="13"/>
      <c r="AFL200" s="13"/>
      <c r="AFM200" s="13"/>
      <c r="AFN200" s="13"/>
      <c r="AFO200" s="13"/>
      <c r="AFP200" s="13"/>
      <c r="AFQ200" s="13"/>
      <c r="AFR200" s="13"/>
      <c r="AFS200" s="13"/>
      <c r="AFT200" s="13"/>
      <c r="AFU200" s="13"/>
      <c r="AFV200" s="13"/>
      <c r="AFW200" s="13"/>
      <c r="AFX200" s="13"/>
      <c r="AFY200" s="13"/>
      <c r="AFZ200" s="13"/>
      <c r="AGA200" s="13"/>
      <c r="AGB200" s="13"/>
      <c r="AGC200" s="13"/>
      <c r="AGD200" s="13"/>
      <c r="AGE200" s="13"/>
      <c r="AGF200" s="13"/>
      <c r="AGG200" s="13"/>
      <c r="AGH200" s="13"/>
      <c r="AGI200" s="13"/>
      <c r="AGJ200" s="13"/>
      <c r="AGK200" s="13"/>
      <c r="AGL200" s="13"/>
      <c r="AGM200" s="13"/>
      <c r="AGN200" s="13"/>
      <c r="AGO200" s="13"/>
      <c r="AGP200" s="13"/>
      <c r="AGQ200" s="13"/>
      <c r="AGR200" s="13"/>
      <c r="AGS200" s="13"/>
      <c r="AGT200" s="13"/>
      <c r="AGU200" s="13"/>
      <c r="AGV200" s="13"/>
      <c r="AGW200" s="13"/>
      <c r="AGX200" s="13"/>
      <c r="AGY200" s="13"/>
      <c r="AGZ200" s="13"/>
      <c r="AHA200" s="13"/>
      <c r="AHB200" s="13"/>
      <c r="AHC200" s="13"/>
      <c r="AHD200" s="13"/>
      <c r="AHE200" s="13"/>
      <c r="AHF200" s="13"/>
      <c r="AHG200" s="13"/>
      <c r="AHH200" s="13"/>
      <c r="AHI200" s="13"/>
      <c r="AHJ200" s="13"/>
      <c r="AHK200" s="13"/>
      <c r="AHL200" s="13"/>
      <c r="AHM200" s="13"/>
      <c r="AHN200" s="13"/>
      <c r="AHO200" s="13"/>
      <c r="AHP200" s="13"/>
      <c r="AHQ200" s="13"/>
      <c r="AHR200" s="13"/>
      <c r="AHS200" s="13"/>
      <c r="AHT200" s="13"/>
      <c r="AHU200" s="13"/>
      <c r="AHV200" s="13"/>
      <c r="AHW200" s="13"/>
      <c r="AHX200" s="13"/>
      <c r="AHY200" s="13"/>
      <c r="AHZ200" s="13"/>
      <c r="AIA200" s="13"/>
      <c r="AIB200" s="13"/>
      <c r="AIC200" s="13"/>
      <c r="AID200" s="13"/>
      <c r="AIE200" s="13"/>
      <c r="AIF200" s="13"/>
      <c r="AIG200" s="13"/>
      <c r="AIH200" s="13"/>
      <c r="AII200" s="13"/>
      <c r="AIJ200" s="13"/>
      <c r="AIK200" s="13"/>
      <c r="AIL200" s="13"/>
      <c r="AIM200" s="13"/>
      <c r="AIN200" s="13"/>
      <c r="AIO200" s="13"/>
      <c r="AIP200" s="13"/>
      <c r="AIQ200" s="13"/>
      <c r="AIR200" s="13"/>
      <c r="AIS200" s="13"/>
      <c r="AIT200" s="13"/>
      <c r="AIU200" s="13"/>
      <c r="AIV200" s="13"/>
      <c r="AIW200" s="13"/>
      <c r="AIX200" s="13"/>
      <c r="AIY200" s="13"/>
      <c r="AIZ200" s="13"/>
      <c r="AJA200" s="13"/>
      <c r="AJB200" s="13"/>
      <c r="AJC200" s="13"/>
      <c r="AJD200" s="13"/>
      <c r="AJE200" s="13"/>
      <c r="AJF200" s="13"/>
      <c r="AJG200" s="13"/>
      <c r="AJH200" s="13"/>
      <c r="AJI200" s="13"/>
      <c r="AJJ200" s="13"/>
      <c r="AJK200" s="13"/>
      <c r="AJL200" s="13"/>
      <c r="AJM200" s="13"/>
      <c r="AJN200" s="13"/>
      <c r="AJO200" s="13"/>
      <c r="AJP200" s="13"/>
      <c r="AJQ200" s="13"/>
      <c r="AJR200" s="13"/>
      <c r="AJS200" s="13"/>
      <c r="AJT200" s="13"/>
      <c r="AJU200" s="13"/>
      <c r="AJV200" s="13"/>
      <c r="AJW200" s="13"/>
      <c r="AJX200" s="13"/>
      <c r="AJY200" s="13"/>
      <c r="AJZ200" s="13"/>
      <c r="AKA200" s="13"/>
      <c r="AKB200" s="13"/>
      <c r="AKC200" s="13"/>
      <c r="AKD200" s="13"/>
      <c r="AKE200" s="13"/>
      <c r="AKF200" s="13"/>
      <c r="AKG200" s="13"/>
      <c r="AKH200" s="13"/>
      <c r="AKI200" s="13"/>
      <c r="AKJ200" s="13"/>
      <c r="AKK200" s="13"/>
      <c r="AKL200" s="13"/>
      <c r="AKM200" s="13"/>
      <c r="AKN200" s="13"/>
      <c r="AKO200" s="13"/>
      <c r="AKP200" s="13"/>
      <c r="AKQ200" s="13"/>
      <c r="AKR200" s="13"/>
      <c r="AKS200" s="13"/>
      <c r="AKT200" s="13"/>
      <c r="AKU200" s="13"/>
      <c r="AKV200" s="13"/>
      <c r="AKW200" s="13"/>
      <c r="AKX200" s="13"/>
      <c r="AKY200" s="13"/>
      <c r="AKZ200" s="13"/>
      <c r="ALA200" s="13"/>
      <c r="ALB200" s="13"/>
      <c r="ALC200" s="13"/>
      <c r="ALD200" s="13"/>
      <c r="ALE200" s="13"/>
      <c r="ALF200" s="13"/>
      <c r="ALG200" s="13"/>
      <c r="ALH200" s="13"/>
      <c r="ALI200" s="13"/>
      <c r="ALJ200" s="13"/>
      <c r="ALK200" s="13"/>
      <c r="ALL200" s="13"/>
      <c r="ALM200" s="13"/>
      <c r="ALN200" s="13"/>
      <c r="ALO200" s="13"/>
      <c r="ALP200" s="13"/>
      <c r="ALQ200" s="13"/>
      <c r="ALR200" s="13"/>
      <c r="ALS200" s="13"/>
      <c r="ALT200" s="13"/>
      <c r="ALU200" s="13"/>
      <c r="ALV200" s="13"/>
      <c r="ALW200" s="13"/>
      <c r="ALX200" s="13"/>
      <c r="ALY200" s="13"/>
      <c r="ALZ200" s="13"/>
      <c r="AMA200" s="13"/>
      <c r="AMB200" s="13"/>
      <c r="AMC200" s="13"/>
      <c r="AMD200" s="13"/>
      <c r="AME200" s="13"/>
      <c r="AMF200" s="13"/>
      <c r="AMG200" s="13"/>
      <c r="AMH200" s="13"/>
      <c r="AMI200" s="13"/>
      <c r="AMJ200" s="13"/>
      <c r="AMK200" s="13"/>
    </row>
  </sheetData>
  <pageMargins left="0.7" right="0.7" top="0.75" bottom="0.75" header="0.51180555555555496" footer="0.51180555555555496"/>
  <pageSetup firstPageNumber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IV4"/>
  <sheetViews>
    <sheetView workbookViewId="0">
      <selection activeCell="IS4" sqref="IS4"/>
    </sheetView>
  </sheetViews>
  <sheetFormatPr defaultColWidth="8.85546875" defaultRowHeight="15" x14ac:dyDescent="0.25"/>
  <sheetData>
    <row r="1" spans="1:256" x14ac:dyDescent="0.25">
      <c r="A1" t="e">
        <f>IF('Tn-seq runs'!#REF!,"AAAAADf/7wA=",0)</f>
        <v>#REF!</v>
      </c>
      <c r="B1" t="e">
        <f>AND('Tn-seq runs'!#REF!,"AAAAADf/7wE=")</f>
        <v>#REF!</v>
      </c>
      <c r="C1" t="e">
        <f>AND('Tn-seq runs'!#REF!,"AAAAADf/7wI=")</f>
        <v>#REF!</v>
      </c>
      <c r="D1" t="e">
        <f>AND('Tn-seq runs'!#REF!,"AAAAADf/7wM=")</f>
        <v>#REF!</v>
      </c>
      <c r="E1" t="e">
        <f>AND('Tn-seq runs'!#REF!,"AAAAADf/7wQ=")</f>
        <v>#REF!</v>
      </c>
      <c r="F1" t="e">
        <f>AND('Tn-seq runs'!#REF!,"AAAAADf/7wU=")</f>
        <v>#REF!</v>
      </c>
      <c r="G1" t="e">
        <f>AND('Tn-seq runs'!#REF!,"AAAAADf/7wY=")</f>
        <v>#REF!</v>
      </c>
      <c r="H1" t="e">
        <f>AND('Tn-seq runs'!#REF!,"AAAAADf/7wc=")</f>
        <v>#REF!</v>
      </c>
      <c r="I1" t="e">
        <f>AND('Tn-seq runs'!#REF!,"AAAAADf/7wg=")</f>
        <v>#REF!</v>
      </c>
      <c r="J1" t="e">
        <f>AND('Tn-seq runs'!#REF!,"AAAAADf/7wk=")</f>
        <v>#REF!</v>
      </c>
      <c r="K1" t="e">
        <f>AND('Tn-seq runs'!#REF!,"AAAAADf/7wo=")</f>
        <v>#REF!</v>
      </c>
      <c r="L1" t="e">
        <f>AND('Tn-seq runs'!#REF!,"AAAAADf/7ws=")</f>
        <v>#REF!</v>
      </c>
      <c r="M1" t="e">
        <f>AND('Tn-seq runs'!#REF!,"AAAAADf/7ww=")</f>
        <v>#REF!</v>
      </c>
      <c r="N1" t="e">
        <f>AND('Tn-seq runs'!#REF!,"AAAAADf/7w0=")</f>
        <v>#REF!</v>
      </c>
      <c r="O1" t="e">
        <f>AND('Tn-seq runs'!#REF!,"AAAAADf/7w4=")</f>
        <v>#REF!</v>
      </c>
      <c r="P1" t="e">
        <f>AND('Tn-seq runs'!#REF!,"AAAAADf/7w8=")</f>
        <v>#REF!</v>
      </c>
      <c r="Q1" t="e">
        <f>AND('Tn-seq runs'!#REF!,"AAAAADf/7xA=")</f>
        <v>#REF!</v>
      </c>
      <c r="R1" t="e">
        <f>AND('Tn-seq runs'!#REF!,"AAAAADf/7xE=")</f>
        <v>#REF!</v>
      </c>
      <c r="S1" t="e">
        <f>AND('Tn-seq runs'!#REF!,"AAAAADf/7xI=")</f>
        <v>#REF!</v>
      </c>
      <c r="T1" t="e">
        <f>AND('Tn-seq runs'!#REF!,"AAAAADf/7xM=")</f>
        <v>#REF!</v>
      </c>
      <c r="U1" t="e">
        <f>AND('Tn-seq runs'!#REF!,"AAAAADf/7xQ=")</f>
        <v>#REF!</v>
      </c>
      <c r="V1" t="e">
        <f>AND('Tn-seq runs'!#REF!,"AAAAADf/7xU=")</f>
        <v>#REF!</v>
      </c>
      <c r="W1" t="e">
        <f>AND('Tn-seq runs'!#REF!,"AAAAADf/7xY=")</f>
        <v>#REF!</v>
      </c>
      <c r="X1" t="e">
        <f>AND('Tn-seq runs'!#REF!,"AAAAADf/7xc=")</f>
        <v>#REF!</v>
      </c>
      <c r="Y1" t="e">
        <f>AND('Tn-seq runs'!#REF!,"AAAAADf/7xg=")</f>
        <v>#REF!</v>
      </c>
      <c r="Z1" t="e">
        <f>AND('Tn-seq runs'!#REF!,"AAAAADf/7xk=")</f>
        <v>#REF!</v>
      </c>
      <c r="AA1" t="e">
        <f>AND('Tn-seq runs'!#REF!,"AAAAADf/7xo=")</f>
        <v>#REF!</v>
      </c>
      <c r="AB1" t="e">
        <f>AND('Tn-seq runs'!#REF!,"AAAAADf/7xs=")</f>
        <v>#REF!</v>
      </c>
      <c r="AC1" t="e">
        <f>AND('Tn-seq runs'!#REF!,"AAAAADf/7xw=")</f>
        <v>#REF!</v>
      </c>
      <c r="AD1" t="e">
        <f>AND('Tn-seq runs'!#REF!,"AAAAADf/7x0=")</f>
        <v>#REF!</v>
      </c>
      <c r="AE1" t="e">
        <f>AND('Tn-seq runs'!#REF!,"AAAAADf/7x4=")</f>
        <v>#REF!</v>
      </c>
      <c r="AF1" t="e">
        <f>AND('Tn-seq runs'!#REF!,"AAAAADf/7x8=")</f>
        <v>#REF!</v>
      </c>
      <c r="AG1" t="e">
        <f>AND('Tn-seq runs'!#REF!,"AAAAADf/7yA=")</f>
        <v>#REF!</v>
      </c>
      <c r="AH1" t="e">
        <f>AND('Tn-seq runs'!#REF!,"AAAAADf/7yE=")</f>
        <v>#REF!</v>
      </c>
      <c r="AI1" t="e">
        <f>AND('Tn-seq runs'!#REF!,"AAAAADf/7yI=")</f>
        <v>#REF!</v>
      </c>
      <c r="AJ1" t="e">
        <f>IF('Tn-seq runs'!#REF!,"AAAAADf/7yM=",0)</f>
        <v>#REF!</v>
      </c>
      <c r="AK1" t="e">
        <f>AND('Tn-seq runs'!#REF!,"AAAAADf/7yQ=")</f>
        <v>#REF!</v>
      </c>
      <c r="AL1" t="e">
        <f>AND('Tn-seq runs'!#REF!,"AAAAADf/7yU=")</f>
        <v>#REF!</v>
      </c>
      <c r="AM1" t="e">
        <f>AND('Tn-seq runs'!#REF!,"AAAAADf/7yY=")</f>
        <v>#REF!</v>
      </c>
      <c r="AN1" t="e">
        <f>AND('Tn-seq runs'!#REF!,"AAAAADf/7yc=")</f>
        <v>#REF!</v>
      </c>
      <c r="AO1" t="e">
        <f>AND('Tn-seq runs'!#REF!,"AAAAADf/7yg=")</f>
        <v>#REF!</v>
      </c>
      <c r="AP1" t="e">
        <f>AND('Tn-seq runs'!#REF!,"AAAAADf/7yk=")</f>
        <v>#REF!</v>
      </c>
      <c r="AQ1" t="e">
        <f>AND('Tn-seq runs'!#REF!,"AAAAADf/7yo=")</f>
        <v>#REF!</v>
      </c>
      <c r="AR1" t="e">
        <f>AND('Tn-seq runs'!#REF!,"AAAAADf/7ys=")</f>
        <v>#REF!</v>
      </c>
      <c r="AS1" t="e">
        <f>AND('Tn-seq runs'!#REF!,"AAAAADf/7yw=")</f>
        <v>#REF!</v>
      </c>
      <c r="AT1" t="e">
        <f>AND('Tn-seq runs'!#REF!,"AAAAADf/7y0=")</f>
        <v>#REF!</v>
      </c>
      <c r="AU1" t="e">
        <f>AND('Tn-seq runs'!#REF!,"AAAAADf/7y4=")</f>
        <v>#REF!</v>
      </c>
      <c r="AV1" t="e">
        <f>AND('Tn-seq runs'!#REF!,"AAAAADf/7y8=")</f>
        <v>#REF!</v>
      </c>
      <c r="AW1" t="e">
        <f>AND('Tn-seq runs'!#REF!,"AAAAADf/7zA=")</f>
        <v>#REF!</v>
      </c>
      <c r="AX1" t="e">
        <f>AND('Tn-seq runs'!#REF!,"AAAAADf/7zE=")</f>
        <v>#REF!</v>
      </c>
      <c r="AY1" t="e">
        <f>AND('Tn-seq runs'!#REF!,"AAAAADf/7zI=")</f>
        <v>#REF!</v>
      </c>
      <c r="AZ1" t="e">
        <f>AND('Tn-seq runs'!#REF!,"AAAAADf/7zM=")</f>
        <v>#REF!</v>
      </c>
      <c r="BA1" t="e">
        <f>AND('Tn-seq runs'!#REF!,"AAAAADf/7zQ=")</f>
        <v>#REF!</v>
      </c>
      <c r="BB1" t="e">
        <f>AND('Tn-seq runs'!#REF!,"AAAAADf/7zU=")</f>
        <v>#REF!</v>
      </c>
      <c r="BC1" t="e">
        <f>AND('Tn-seq runs'!#REF!,"AAAAADf/7zY=")</f>
        <v>#REF!</v>
      </c>
      <c r="BD1" t="e">
        <f>AND('Tn-seq runs'!#REF!,"AAAAADf/7zc=")</f>
        <v>#REF!</v>
      </c>
      <c r="BE1" t="e">
        <f>AND('Tn-seq runs'!#REF!,"AAAAADf/7zg=")</f>
        <v>#REF!</v>
      </c>
      <c r="BF1" t="e">
        <f>AND('Tn-seq runs'!#REF!,"AAAAADf/7zk=")</f>
        <v>#REF!</v>
      </c>
      <c r="BG1" t="e">
        <f>AND('Tn-seq runs'!#REF!,"AAAAADf/7zo=")</f>
        <v>#REF!</v>
      </c>
      <c r="BH1" t="e">
        <f>AND('Tn-seq runs'!#REF!,"AAAAADf/7zs=")</f>
        <v>#REF!</v>
      </c>
      <c r="BI1" t="e">
        <f>AND('Tn-seq runs'!#REF!,"AAAAADf/7zw=")</f>
        <v>#REF!</v>
      </c>
      <c r="BJ1" t="e">
        <f>AND('Tn-seq runs'!#REF!,"AAAAADf/7z0=")</f>
        <v>#REF!</v>
      </c>
      <c r="BK1" t="e">
        <f>AND('Tn-seq runs'!#REF!,"AAAAADf/7z4=")</f>
        <v>#REF!</v>
      </c>
      <c r="BL1" t="e">
        <f>AND('Tn-seq runs'!#REF!,"AAAAADf/7z8=")</f>
        <v>#REF!</v>
      </c>
      <c r="BM1" t="e">
        <f>AND('Tn-seq runs'!#REF!,"AAAAADf/70A=")</f>
        <v>#REF!</v>
      </c>
      <c r="BN1" t="e">
        <f>AND('Tn-seq runs'!#REF!,"AAAAADf/70E=")</f>
        <v>#REF!</v>
      </c>
      <c r="BO1" t="e">
        <f>AND('Tn-seq runs'!#REF!,"AAAAADf/70I=")</f>
        <v>#REF!</v>
      </c>
      <c r="BP1" t="e">
        <f>AND('Tn-seq runs'!#REF!,"AAAAADf/70M=")</f>
        <v>#REF!</v>
      </c>
      <c r="BQ1" t="e">
        <f>AND('Tn-seq runs'!#REF!,"AAAAADf/70Q=")</f>
        <v>#REF!</v>
      </c>
      <c r="BR1" t="e">
        <f>AND('Tn-seq runs'!#REF!,"AAAAADf/70U=")</f>
        <v>#REF!</v>
      </c>
      <c r="BS1" t="e">
        <f>IF('Tn-seq runs'!#REF!,"AAAAADf/70Y=",0)</f>
        <v>#REF!</v>
      </c>
      <c r="BT1" t="e">
        <f>AND('Tn-seq runs'!#REF!,"AAAAADf/70c=")</f>
        <v>#REF!</v>
      </c>
      <c r="BU1" t="e">
        <f>AND('Tn-seq runs'!#REF!,"AAAAADf/70g=")</f>
        <v>#REF!</v>
      </c>
      <c r="BV1" t="e">
        <f>AND('Tn-seq runs'!#REF!,"AAAAADf/70k=")</f>
        <v>#REF!</v>
      </c>
      <c r="BW1" t="e">
        <f>AND('Tn-seq runs'!#REF!,"AAAAADf/70o=")</f>
        <v>#REF!</v>
      </c>
      <c r="BX1" t="e">
        <f>AND('Tn-seq runs'!#REF!,"AAAAADf/70s=")</f>
        <v>#REF!</v>
      </c>
      <c r="BY1" t="e">
        <f>AND('Tn-seq runs'!#REF!,"AAAAADf/70w=")</f>
        <v>#REF!</v>
      </c>
      <c r="BZ1" t="e">
        <f>AND('Tn-seq runs'!#REF!,"AAAAADf/700=")</f>
        <v>#REF!</v>
      </c>
      <c r="CA1" t="e">
        <f>AND('Tn-seq runs'!#REF!,"AAAAADf/704=")</f>
        <v>#REF!</v>
      </c>
      <c r="CB1" t="e">
        <f>AND('Tn-seq runs'!#REF!,"AAAAADf/708=")</f>
        <v>#REF!</v>
      </c>
      <c r="CC1" t="e">
        <f>AND('Tn-seq runs'!#REF!,"AAAAADf/71A=")</f>
        <v>#REF!</v>
      </c>
      <c r="CD1" t="e">
        <f>AND('Tn-seq runs'!#REF!,"AAAAADf/71E=")</f>
        <v>#REF!</v>
      </c>
      <c r="CE1" t="e">
        <f>AND('Tn-seq runs'!#REF!,"AAAAADf/71I=")</f>
        <v>#REF!</v>
      </c>
      <c r="CF1" t="e">
        <f>AND('Tn-seq runs'!#REF!,"AAAAADf/71M=")</f>
        <v>#REF!</v>
      </c>
      <c r="CG1" t="e">
        <f>AND('Tn-seq runs'!#REF!,"AAAAADf/71Q=")</f>
        <v>#REF!</v>
      </c>
      <c r="CH1" t="e">
        <f>AND('Tn-seq runs'!#REF!,"AAAAADf/71U=")</f>
        <v>#REF!</v>
      </c>
      <c r="CI1" t="e">
        <f>AND('Tn-seq runs'!#REF!,"AAAAADf/71Y=")</f>
        <v>#REF!</v>
      </c>
      <c r="CJ1" t="e">
        <f>AND('Tn-seq runs'!#REF!,"AAAAADf/71c=")</f>
        <v>#REF!</v>
      </c>
      <c r="CK1" t="e">
        <f>AND('Tn-seq runs'!#REF!,"AAAAADf/71g=")</f>
        <v>#REF!</v>
      </c>
      <c r="CL1" t="e">
        <f>AND('Tn-seq runs'!#REF!,"AAAAADf/71k=")</f>
        <v>#REF!</v>
      </c>
      <c r="CM1" t="e">
        <f>AND('Tn-seq runs'!#REF!,"AAAAADf/71o=")</f>
        <v>#REF!</v>
      </c>
      <c r="CN1" t="e">
        <f>AND('Tn-seq runs'!#REF!,"AAAAADf/71s=")</f>
        <v>#REF!</v>
      </c>
      <c r="CO1" t="e">
        <f>AND('Tn-seq runs'!#REF!,"AAAAADf/71w=")</f>
        <v>#REF!</v>
      </c>
      <c r="CP1" t="e">
        <f>AND('Tn-seq runs'!#REF!,"AAAAADf/710=")</f>
        <v>#REF!</v>
      </c>
      <c r="CQ1" t="e">
        <f>AND('Tn-seq runs'!#REF!,"AAAAADf/714=")</f>
        <v>#REF!</v>
      </c>
      <c r="CR1" t="e">
        <f>AND('Tn-seq runs'!#REF!,"AAAAADf/718=")</f>
        <v>#REF!</v>
      </c>
      <c r="CS1" t="e">
        <f>AND('Tn-seq runs'!#REF!,"AAAAADf/72A=")</f>
        <v>#REF!</v>
      </c>
      <c r="CT1" t="e">
        <f>AND('Tn-seq runs'!#REF!,"AAAAADf/72E=")</f>
        <v>#REF!</v>
      </c>
      <c r="CU1" t="e">
        <f>AND('Tn-seq runs'!#REF!,"AAAAADf/72I=")</f>
        <v>#REF!</v>
      </c>
      <c r="CV1" t="e">
        <f>AND('Tn-seq runs'!#REF!,"AAAAADf/72M=")</f>
        <v>#REF!</v>
      </c>
      <c r="CW1" t="e">
        <f>AND('Tn-seq runs'!#REF!,"AAAAADf/72Q=")</f>
        <v>#REF!</v>
      </c>
      <c r="CX1" t="e">
        <f>AND('Tn-seq runs'!#REF!,"AAAAADf/72U=")</f>
        <v>#REF!</v>
      </c>
      <c r="CY1" t="e">
        <f>AND('Tn-seq runs'!#REF!,"AAAAADf/72Y=")</f>
        <v>#REF!</v>
      </c>
      <c r="CZ1" t="e">
        <f>AND('Tn-seq runs'!#REF!,"AAAAADf/72c=")</f>
        <v>#REF!</v>
      </c>
      <c r="DA1" t="e">
        <f>AND('Tn-seq runs'!#REF!,"AAAAADf/72g=")</f>
        <v>#REF!</v>
      </c>
      <c r="DB1" t="e">
        <f>IF('Tn-seq runs'!#REF!,"AAAAADf/72k=",0)</f>
        <v>#REF!</v>
      </c>
      <c r="DC1" t="e">
        <f>AND('Tn-seq runs'!#REF!,"AAAAADf/72o=")</f>
        <v>#REF!</v>
      </c>
      <c r="DD1" t="e">
        <f>AND('Tn-seq runs'!#REF!,"AAAAADf/72s=")</f>
        <v>#REF!</v>
      </c>
      <c r="DE1" t="e">
        <f>AND('Tn-seq runs'!#REF!,"AAAAADf/72w=")</f>
        <v>#REF!</v>
      </c>
      <c r="DF1" t="e">
        <f>AND('Tn-seq runs'!#REF!,"AAAAADf/720=")</f>
        <v>#REF!</v>
      </c>
      <c r="DG1" t="e">
        <f>AND('Tn-seq runs'!#REF!,"AAAAADf/724=")</f>
        <v>#REF!</v>
      </c>
      <c r="DH1" t="e">
        <f>AND('Tn-seq runs'!#REF!,"AAAAADf/728=")</f>
        <v>#REF!</v>
      </c>
      <c r="DI1" t="e">
        <f>AND('Tn-seq runs'!#REF!,"AAAAADf/73A=")</f>
        <v>#REF!</v>
      </c>
      <c r="DJ1" t="e">
        <f>AND('Tn-seq runs'!#REF!,"AAAAADf/73E=")</f>
        <v>#REF!</v>
      </c>
      <c r="DK1" t="e">
        <f>AND('Tn-seq runs'!#REF!,"AAAAADf/73I=")</f>
        <v>#REF!</v>
      </c>
      <c r="DL1" t="e">
        <f>AND('Tn-seq runs'!#REF!,"AAAAADf/73M=")</f>
        <v>#REF!</v>
      </c>
      <c r="DM1" t="e">
        <f>AND('Tn-seq runs'!#REF!,"AAAAADf/73Q=")</f>
        <v>#REF!</v>
      </c>
      <c r="DN1" t="e">
        <f>AND('Tn-seq runs'!#REF!,"AAAAADf/73U=")</f>
        <v>#REF!</v>
      </c>
      <c r="DO1" t="e">
        <f>AND('Tn-seq runs'!#REF!,"AAAAADf/73Y=")</f>
        <v>#REF!</v>
      </c>
      <c r="DP1" t="e">
        <f>AND('Tn-seq runs'!#REF!,"AAAAADf/73c=")</f>
        <v>#REF!</v>
      </c>
      <c r="DQ1" t="e">
        <f>AND('Tn-seq runs'!#REF!,"AAAAADf/73g=")</f>
        <v>#REF!</v>
      </c>
      <c r="DR1" t="e">
        <f>AND('Tn-seq runs'!#REF!,"AAAAADf/73k=")</f>
        <v>#REF!</v>
      </c>
      <c r="DS1" t="e">
        <f>AND('Tn-seq runs'!#REF!,"AAAAADf/73o=")</f>
        <v>#REF!</v>
      </c>
      <c r="DT1" t="e">
        <f>AND('Tn-seq runs'!#REF!,"AAAAADf/73s=")</f>
        <v>#REF!</v>
      </c>
      <c r="DU1" t="e">
        <f>AND('Tn-seq runs'!#REF!,"AAAAADf/73w=")</f>
        <v>#REF!</v>
      </c>
      <c r="DV1" t="e">
        <f>AND('Tn-seq runs'!#REF!,"AAAAADf/730=")</f>
        <v>#REF!</v>
      </c>
      <c r="DW1" t="e">
        <f>AND('Tn-seq runs'!#REF!,"AAAAADf/734=")</f>
        <v>#REF!</v>
      </c>
      <c r="DX1" t="e">
        <f>AND('Tn-seq runs'!#REF!,"AAAAADf/738=")</f>
        <v>#REF!</v>
      </c>
      <c r="DY1" t="e">
        <f>AND('Tn-seq runs'!#REF!,"AAAAADf/74A=")</f>
        <v>#REF!</v>
      </c>
      <c r="DZ1" t="e">
        <f>AND('Tn-seq runs'!#REF!,"AAAAADf/74E=")</f>
        <v>#REF!</v>
      </c>
      <c r="EA1" t="e">
        <f>AND('Tn-seq runs'!#REF!,"AAAAADf/74I=")</f>
        <v>#REF!</v>
      </c>
      <c r="EB1" t="e">
        <f>AND('Tn-seq runs'!#REF!,"AAAAADf/74M=")</f>
        <v>#REF!</v>
      </c>
      <c r="EC1" t="e">
        <f>AND('Tn-seq runs'!#REF!,"AAAAADf/74Q=")</f>
        <v>#REF!</v>
      </c>
      <c r="ED1" t="e">
        <f>AND('Tn-seq runs'!#REF!,"AAAAADf/74U=")</f>
        <v>#REF!</v>
      </c>
      <c r="EE1" t="e">
        <f>AND('Tn-seq runs'!#REF!,"AAAAADf/74Y=")</f>
        <v>#REF!</v>
      </c>
      <c r="EF1" t="e">
        <f>AND('Tn-seq runs'!#REF!,"AAAAADf/74c=")</f>
        <v>#REF!</v>
      </c>
      <c r="EG1" t="e">
        <f>AND('Tn-seq runs'!#REF!,"AAAAADf/74g=")</f>
        <v>#REF!</v>
      </c>
      <c r="EH1" t="e">
        <f>AND('Tn-seq runs'!#REF!,"AAAAADf/74k=")</f>
        <v>#REF!</v>
      </c>
      <c r="EI1" t="e">
        <f>AND('Tn-seq runs'!#REF!,"AAAAADf/74o=")</f>
        <v>#REF!</v>
      </c>
      <c r="EJ1" t="e">
        <f>AND('Tn-seq runs'!#REF!,"AAAAADf/74s=")</f>
        <v>#REF!</v>
      </c>
      <c r="EK1" t="e">
        <f>IF('Tn-seq runs'!#REF!,"AAAAADf/74w=",0)</f>
        <v>#REF!</v>
      </c>
      <c r="EL1" t="e">
        <f>AND('Tn-seq runs'!#REF!,"AAAAADf/740=")</f>
        <v>#REF!</v>
      </c>
      <c r="EM1" t="e">
        <f>AND('Tn-seq runs'!#REF!,"AAAAADf/744=")</f>
        <v>#REF!</v>
      </c>
      <c r="EN1" t="e">
        <f>AND('Tn-seq runs'!#REF!,"AAAAADf/748=")</f>
        <v>#REF!</v>
      </c>
      <c r="EO1" t="e">
        <f>AND('Tn-seq runs'!#REF!,"AAAAADf/75A=")</f>
        <v>#REF!</v>
      </c>
      <c r="EP1" t="e">
        <f>AND('Tn-seq runs'!#REF!,"AAAAADf/75E=")</f>
        <v>#REF!</v>
      </c>
      <c r="EQ1" t="e">
        <f>AND('Tn-seq runs'!#REF!,"AAAAADf/75I=")</f>
        <v>#REF!</v>
      </c>
      <c r="ER1" t="e">
        <f>AND('Tn-seq runs'!#REF!,"AAAAADf/75M=")</f>
        <v>#REF!</v>
      </c>
      <c r="ES1" t="e">
        <f>AND('Tn-seq runs'!#REF!,"AAAAADf/75Q=")</f>
        <v>#REF!</v>
      </c>
      <c r="ET1" t="e">
        <f>AND('Tn-seq runs'!#REF!,"AAAAADf/75U=")</f>
        <v>#REF!</v>
      </c>
      <c r="EU1" t="e">
        <f>AND('Tn-seq runs'!#REF!,"AAAAADf/75Y=")</f>
        <v>#REF!</v>
      </c>
      <c r="EV1" t="e">
        <f>AND('Tn-seq runs'!#REF!,"AAAAADf/75c=")</f>
        <v>#REF!</v>
      </c>
      <c r="EW1" t="e">
        <f>AND('Tn-seq runs'!#REF!,"AAAAADf/75g=")</f>
        <v>#REF!</v>
      </c>
      <c r="EX1" t="e">
        <f>AND('Tn-seq runs'!#REF!,"AAAAADf/75k=")</f>
        <v>#REF!</v>
      </c>
      <c r="EY1" t="e">
        <f>AND('Tn-seq runs'!#REF!,"AAAAADf/75o=")</f>
        <v>#REF!</v>
      </c>
      <c r="EZ1" t="e">
        <f>AND('Tn-seq runs'!#REF!,"AAAAADf/75s=")</f>
        <v>#REF!</v>
      </c>
      <c r="FA1" t="e">
        <f>AND('Tn-seq runs'!#REF!,"AAAAADf/75w=")</f>
        <v>#REF!</v>
      </c>
      <c r="FB1" t="e">
        <f>AND('Tn-seq runs'!#REF!,"AAAAADf/750=")</f>
        <v>#REF!</v>
      </c>
      <c r="FC1" t="e">
        <f>AND('Tn-seq runs'!#REF!,"AAAAADf/754=")</f>
        <v>#REF!</v>
      </c>
      <c r="FD1" t="e">
        <f>AND('Tn-seq runs'!#REF!,"AAAAADf/758=")</f>
        <v>#REF!</v>
      </c>
      <c r="FE1" t="e">
        <f>AND('Tn-seq runs'!#REF!,"AAAAADf/76A=")</f>
        <v>#REF!</v>
      </c>
      <c r="FF1" t="e">
        <f>AND('Tn-seq runs'!#REF!,"AAAAADf/76E=")</f>
        <v>#REF!</v>
      </c>
      <c r="FG1" t="e">
        <f>AND('Tn-seq runs'!#REF!,"AAAAADf/76I=")</f>
        <v>#REF!</v>
      </c>
      <c r="FH1" t="e">
        <f>AND('Tn-seq runs'!#REF!,"AAAAADf/76M=")</f>
        <v>#REF!</v>
      </c>
      <c r="FI1" t="e">
        <f>AND('Tn-seq runs'!#REF!,"AAAAADf/76Q=")</f>
        <v>#REF!</v>
      </c>
      <c r="FJ1" t="e">
        <f>AND('Tn-seq runs'!#REF!,"AAAAADf/76U=")</f>
        <v>#REF!</v>
      </c>
      <c r="FK1" t="e">
        <f>AND('Tn-seq runs'!#REF!,"AAAAADf/76Y=")</f>
        <v>#REF!</v>
      </c>
      <c r="FL1" t="e">
        <f>AND('Tn-seq runs'!#REF!,"AAAAADf/76c=")</f>
        <v>#REF!</v>
      </c>
      <c r="FM1" t="e">
        <f>AND('Tn-seq runs'!#REF!,"AAAAADf/76g=")</f>
        <v>#REF!</v>
      </c>
      <c r="FN1" t="e">
        <f>AND('Tn-seq runs'!#REF!,"AAAAADf/76k=")</f>
        <v>#REF!</v>
      </c>
      <c r="FO1" t="e">
        <f>AND('Tn-seq runs'!#REF!,"AAAAADf/76o=")</f>
        <v>#REF!</v>
      </c>
      <c r="FP1" t="e">
        <f>AND('Tn-seq runs'!#REF!,"AAAAADf/76s=")</f>
        <v>#REF!</v>
      </c>
      <c r="FQ1" t="e">
        <f>AND('Tn-seq runs'!#REF!,"AAAAADf/76w=")</f>
        <v>#REF!</v>
      </c>
      <c r="FR1" t="e">
        <f>AND('Tn-seq runs'!#REF!,"AAAAADf/760=")</f>
        <v>#REF!</v>
      </c>
      <c r="FS1" t="e">
        <f>AND('Tn-seq runs'!#REF!,"AAAAADf/764=")</f>
        <v>#REF!</v>
      </c>
      <c r="FT1">
        <f>IF('Tn-seq runs'!2:2,"AAAAADf/768=",0)</f>
        <v>0</v>
      </c>
      <c r="FU1" t="e">
        <f>AND('Tn-seq runs'!#REF!,"AAAAADf/77A=")</f>
        <v>#REF!</v>
      </c>
      <c r="FV1" t="e">
        <f>AND('Tn-seq runs'!#REF!,"AAAAADf/77E=")</f>
        <v>#REF!</v>
      </c>
      <c r="FW1" t="e">
        <f>AND('Tn-seq runs'!#REF!,"AAAAADf/77I=")</f>
        <v>#REF!</v>
      </c>
      <c r="FX1" t="e">
        <f>AND('Tn-seq runs'!#REF!,"AAAAADf/77M=")</f>
        <v>#REF!</v>
      </c>
      <c r="FY1" t="e">
        <f>AND('Tn-seq runs'!#REF!,"AAAAADf/77Q=")</f>
        <v>#REF!</v>
      </c>
      <c r="FZ1" t="e">
        <f>AND('Tn-seq runs'!#REF!,"AAAAADf/77U=")</f>
        <v>#REF!</v>
      </c>
      <c r="GA1" t="e">
        <f>AND('Tn-seq runs'!#REF!,"AAAAADf/77Y=")</f>
        <v>#REF!</v>
      </c>
      <c r="GB1" t="e">
        <f>AND('Tn-seq runs'!#REF!,"AAAAADf/77c=")</f>
        <v>#REF!</v>
      </c>
      <c r="GC1" t="e">
        <f>AND('Tn-seq runs'!#REF!,"AAAAADf/77g=")</f>
        <v>#REF!</v>
      </c>
      <c r="GD1" t="e">
        <f>AND('Tn-seq runs'!#REF!,"AAAAADf/77k=")</f>
        <v>#REF!</v>
      </c>
      <c r="GE1" t="e">
        <f>AND('Tn-seq runs'!#REF!,"AAAAADf/77o=")</f>
        <v>#REF!</v>
      </c>
      <c r="GF1" t="e">
        <f>AND('Tn-seq runs'!#REF!,"AAAAADf/77s=")</f>
        <v>#REF!</v>
      </c>
      <c r="GG1" t="e">
        <f>AND('Tn-seq runs'!#REF!,"AAAAADf/77w=")</f>
        <v>#REF!</v>
      </c>
      <c r="GH1" t="e">
        <f>AND('Tn-seq runs'!#REF!,"AAAAADf/770=")</f>
        <v>#REF!</v>
      </c>
      <c r="GI1" t="e">
        <f>AND('Tn-seq runs'!#REF!,"AAAAADf/774=")</f>
        <v>#REF!</v>
      </c>
      <c r="GJ1" t="e">
        <f>AND('Tn-seq runs'!#REF!,"AAAAADf/778=")</f>
        <v>#REF!</v>
      </c>
      <c r="GK1" t="e">
        <f>AND('Tn-seq runs'!#REF!,"AAAAADf/78A=")</f>
        <v>#REF!</v>
      </c>
      <c r="GL1" t="e">
        <f>AND('Tn-seq runs'!#REF!,"AAAAADf/78E=")</f>
        <v>#REF!</v>
      </c>
      <c r="GM1" t="e">
        <f>AND('Tn-seq runs'!#REF!,"AAAAADf/78I=")</f>
        <v>#REF!</v>
      </c>
      <c r="GN1" t="e">
        <f>AND('Tn-seq runs'!#REF!,"AAAAADf/78M=")</f>
        <v>#REF!</v>
      </c>
      <c r="GO1" t="e">
        <f>AND('Tn-seq runs'!#REF!,"AAAAADf/78Q=")</f>
        <v>#REF!</v>
      </c>
      <c r="GP1" t="e">
        <f>AND('Tn-seq runs'!#REF!,"AAAAADf/78U=")</f>
        <v>#REF!</v>
      </c>
      <c r="GQ1" t="e">
        <f>AND('Tn-seq runs'!#REF!,"AAAAADf/78Y=")</f>
        <v>#REF!</v>
      </c>
      <c r="GR1" t="e">
        <f>AND('Tn-seq runs'!#REF!,"AAAAADf/78c=")</f>
        <v>#REF!</v>
      </c>
      <c r="GS1" t="e">
        <f>AND('Tn-seq runs'!#REF!,"AAAAADf/78g=")</f>
        <v>#REF!</v>
      </c>
      <c r="GT1" t="e">
        <f>AND('Tn-seq runs'!#REF!,"AAAAADf/78k=")</f>
        <v>#REF!</v>
      </c>
      <c r="GU1" t="e">
        <f>AND('Tn-seq runs'!#REF!,"AAAAADf/78o=")</f>
        <v>#REF!</v>
      </c>
      <c r="GV1" t="e">
        <f>AND('Tn-seq runs'!#REF!,"AAAAADf/78s=")</f>
        <v>#REF!</v>
      </c>
      <c r="GW1" t="e">
        <f>AND('Tn-seq runs'!#REF!,"AAAAADf/78w=")</f>
        <v>#REF!</v>
      </c>
      <c r="GX1" t="e">
        <f>AND('Tn-seq runs'!#REF!,"AAAAADf/780=")</f>
        <v>#REF!</v>
      </c>
      <c r="GY1" t="e">
        <f>AND('Tn-seq runs'!#REF!,"AAAAADf/784=")</f>
        <v>#REF!</v>
      </c>
      <c r="GZ1" t="e">
        <f>AND('Tn-seq runs'!#REF!,"AAAAADf/788=")</f>
        <v>#REF!</v>
      </c>
      <c r="HA1" t="e">
        <f>AND('Tn-seq runs'!#REF!,"AAAAADf/79A=")</f>
        <v>#REF!</v>
      </c>
      <c r="HB1" t="e">
        <f>AND('Tn-seq runs'!#REF!,"AAAAADf/79E=")</f>
        <v>#REF!</v>
      </c>
      <c r="HC1">
        <f>IF('Tn-seq runs'!3:3,"AAAAADf/79I=",0)</f>
        <v>0</v>
      </c>
      <c r="HD1" t="e">
        <f>AND('Tn-seq runs'!#REF!,"AAAAADf/79M=")</f>
        <v>#REF!</v>
      </c>
      <c r="HE1" t="e">
        <f>AND('Tn-seq runs'!#REF!,"AAAAADf/79Q=")</f>
        <v>#REF!</v>
      </c>
      <c r="HF1" t="e">
        <f>AND('Tn-seq runs'!#REF!,"AAAAADf/79U=")</f>
        <v>#REF!</v>
      </c>
      <c r="HG1" t="e">
        <f>AND('Tn-seq runs'!#REF!,"AAAAADf/79Y=")</f>
        <v>#REF!</v>
      </c>
      <c r="HH1" t="e">
        <f>AND('Tn-seq runs'!#REF!,"AAAAADf/79c=")</f>
        <v>#REF!</v>
      </c>
      <c r="HI1" t="e">
        <f>AND('Tn-seq runs'!#REF!,"AAAAADf/79g=")</f>
        <v>#REF!</v>
      </c>
      <c r="HJ1" t="e">
        <f>AND('Tn-seq runs'!#REF!,"AAAAADf/79k=")</f>
        <v>#REF!</v>
      </c>
      <c r="HK1" t="e">
        <f>AND('Tn-seq runs'!#REF!,"AAAAADf/79o=")</f>
        <v>#REF!</v>
      </c>
      <c r="HL1" t="e">
        <f>AND('Tn-seq runs'!#REF!,"AAAAADf/79s=")</f>
        <v>#REF!</v>
      </c>
      <c r="HM1" t="e">
        <f>AND('Tn-seq runs'!#REF!,"AAAAADf/79w=")</f>
        <v>#REF!</v>
      </c>
      <c r="HN1" t="e">
        <f>AND('Tn-seq runs'!#REF!,"AAAAADf/790=")</f>
        <v>#REF!</v>
      </c>
      <c r="HO1" t="e">
        <f>AND('Tn-seq runs'!#REF!,"AAAAADf/794=")</f>
        <v>#REF!</v>
      </c>
      <c r="HP1" t="e">
        <f>AND('Tn-seq runs'!#REF!,"AAAAADf/798=")</f>
        <v>#REF!</v>
      </c>
      <c r="HQ1" t="e">
        <f>AND('Tn-seq runs'!#REF!,"AAAAADf/7+A=")</f>
        <v>#REF!</v>
      </c>
      <c r="HR1" t="e">
        <f>AND('Tn-seq runs'!#REF!,"AAAAADf/7+E=")</f>
        <v>#REF!</v>
      </c>
      <c r="HS1" t="e">
        <f>AND('Tn-seq runs'!#REF!,"AAAAADf/7+I=")</f>
        <v>#REF!</v>
      </c>
      <c r="HT1" t="e">
        <f>AND('Tn-seq runs'!#REF!,"AAAAADf/7+M=")</f>
        <v>#REF!</v>
      </c>
      <c r="HU1" t="e">
        <f>AND('Tn-seq runs'!#REF!,"AAAAADf/7+Q=")</f>
        <v>#REF!</v>
      </c>
      <c r="HV1" t="e">
        <f>AND('Tn-seq runs'!#REF!,"AAAAADf/7+U=")</f>
        <v>#REF!</v>
      </c>
      <c r="HW1" t="e">
        <f>AND('Tn-seq runs'!#REF!,"AAAAADf/7+Y=")</f>
        <v>#REF!</v>
      </c>
      <c r="HX1" t="e">
        <f>AND('Tn-seq runs'!#REF!,"AAAAADf/7+c=")</f>
        <v>#REF!</v>
      </c>
      <c r="HY1" t="e">
        <f>AND('Tn-seq runs'!#REF!,"AAAAADf/7+g=")</f>
        <v>#REF!</v>
      </c>
      <c r="HZ1" t="e">
        <f>AND('Tn-seq runs'!#REF!,"AAAAADf/7+k=")</f>
        <v>#REF!</v>
      </c>
      <c r="IA1" t="e">
        <f>AND('Tn-seq runs'!#REF!,"AAAAADf/7+o=")</f>
        <v>#REF!</v>
      </c>
      <c r="IB1" t="e">
        <f>AND('Tn-seq runs'!#REF!,"AAAAADf/7+s=")</f>
        <v>#REF!</v>
      </c>
      <c r="IC1" t="e">
        <f>AND('Tn-seq runs'!#REF!,"AAAAADf/7+w=")</f>
        <v>#REF!</v>
      </c>
      <c r="ID1" t="e">
        <f>AND('Tn-seq runs'!#REF!,"AAAAADf/7+0=")</f>
        <v>#REF!</v>
      </c>
      <c r="IE1" t="e">
        <f>AND('Tn-seq runs'!#REF!,"AAAAADf/7+4=")</f>
        <v>#REF!</v>
      </c>
      <c r="IF1" t="e">
        <f>AND('Tn-seq runs'!#REF!,"AAAAADf/7+8=")</f>
        <v>#REF!</v>
      </c>
      <c r="IG1" t="e">
        <f>AND('Tn-seq runs'!#REF!,"AAAAADf/7/A=")</f>
        <v>#REF!</v>
      </c>
      <c r="IH1" t="e">
        <f>AND('Tn-seq runs'!#REF!,"AAAAADf/7/E=")</f>
        <v>#REF!</v>
      </c>
      <c r="II1" t="e">
        <f>AND('Tn-seq runs'!#REF!,"AAAAADf/7/I=")</f>
        <v>#REF!</v>
      </c>
      <c r="IJ1" t="e">
        <f>AND('Tn-seq runs'!#REF!,"AAAAADf/7/M=")</f>
        <v>#REF!</v>
      </c>
      <c r="IK1" t="e">
        <f>AND('Tn-seq runs'!#REF!,"AAAAADf/7/Q=")</f>
        <v>#REF!</v>
      </c>
      <c r="IL1">
        <f>IF('Tn-seq runs'!4:4,"AAAAADf/7/U=",0)</f>
        <v>0</v>
      </c>
      <c r="IM1" t="e">
        <f>AND('Tn-seq runs'!#REF!,"AAAAADf/7/Y=")</f>
        <v>#REF!</v>
      </c>
      <c r="IN1" t="e">
        <f>AND('Tn-seq runs'!#REF!,"AAAAADf/7/c=")</f>
        <v>#REF!</v>
      </c>
      <c r="IO1" t="e">
        <f>AND('Tn-seq runs'!#REF!,"AAAAADf/7/g=")</f>
        <v>#REF!</v>
      </c>
      <c r="IP1" t="e">
        <f>AND('Tn-seq runs'!#REF!,"AAAAADf/7/k=")</f>
        <v>#REF!</v>
      </c>
      <c r="IQ1" t="e">
        <f>AND('Tn-seq runs'!#REF!,"AAAAADf/7/o=")</f>
        <v>#REF!</v>
      </c>
      <c r="IR1" t="e">
        <f>AND('Tn-seq runs'!#REF!,"AAAAADf/7/s=")</f>
        <v>#REF!</v>
      </c>
      <c r="IS1" t="e">
        <f>AND('Tn-seq runs'!#REF!,"AAAAADf/7/w=")</f>
        <v>#REF!</v>
      </c>
      <c r="IT1" t="e">
        <f>AND('Tn-seq runs'!#REF!,"AAAAADf/7/0=")</f>
        <v>#REF!</v>
      </c>
      <c r="IU1" t="e">
        <f>AND('Tn-seq runs'!#REF!,"AAAAADf/7/4=")</f>
        <v>#REF!</v>
      </c>
      <c r="IV1" t="e">
        <f>AND('Tn-seq runs'!#REF!,"AAAAADf/7/8=")</f>
        <v>#REF!</v>
      </c>
    </row>
    <row r="2" spans="1:256" x14ac:dyDescent="0.25">
      <c r="A2" t="e">
        <f>AND('Tn-seq runs'!#REF!,"AAAAAD/W/QA=")</f>
        <v>#REF!</v>
      </c>
      <c r="B2" t="e">
        <f>AND('Tn-seq runs'!#REF!,"AAAAAD/W/QE=")</f>
        <v>#REF!</v>
      </c>
      <c r="C2" t="e">
        <f>AND('Tn-seq runs'!#REF!,"AAAAAD/W/QI=")</f>
        <v>#REF!</v>
      </c>
      <c r="D2" t="e">
        <f>AND('Tn-seq runs'!#REF!,"AAAAAD/W/QM=")</f>
        <v>#REF!</v>
      </c>
      <c r="E2" t="e">
        <f>AND('Tn-seq runs'!#REF!,"AAAAAD/W/QQ=")</f>
        <v>#REF!</v>
      </c>
      <c r="F2" t="e">
        <f>AND('Tn-seq runs'!#REF!,"AAAAAD/W/QU=")</f>
        <v>#REF!</v>
      </c>
      <c r="G2" t="e">
        <f>AND('Tn-seq runs'!#REF!,"AAAAAD/W/QY=")</f>
        <v>#REF!</v>
      </c>
      <c r="H2" t="e">
        <f>AND('Tn-seq runs'!#REF!,"AAAAAD/W/Qc=")</f>
        <v>#REF!</v>
      </c>
      <c r="I2" t="e">
        <f>AND('Tn-seq runs'!#REF!,"AAAAAD/W/Qg=")</f>
        <v>#REF!</v>
      </c>
      <c r="J2" t="e">
        <f>AND('Tn-seq runs'!#REF!,"AAAAAD/W/Qk=")</f>
        <v>#REF!</v>
      </c>
      <c r="K2" t="e">
        <f>AND('Tn-seq runs'!#REF!,"AAAAAD/W/Qo=")</f>
        <v>#REF!</v>
      </c>
      <c r="L2" t="e">
        <f>AND('Tn-seq runs'!#REF!,"AAAAAD/W/Qs=")</f>
        <v>#REF!</v>
      </c>
      <c r="M2" t="e">
        <f>AND('Tn-seq runs'!#REF!,"AAAAAD/W/Qw=")</f>
        <v>#REF!</v>
      </c>
      <c r="N2" t="e">
        <f>AND('Tn-seq runs'!#REF!,"AAAAAD/W/Q0=")</f>
        <v>#REF!</v>
      </c>
      <c r="O2" t="e">
        <f>AND('Tn-seq runs'!#REF!,"AAAAAD/W/Q4=")</f>
        <v>#REF!</v>
      </c>
      <c r="P2" t="e">
        <f>AND('Tn-seq runs'!#REF!,"AAAAAD/W/Q8=")</f>
        <v>#REF!</v>
      </c>
      <c r="Q2" t="e">
        <f>AND('Tn-seq runs'!#REF!,"AAAAAD/W/RA=")</f>
        <v>#REF!</v>
      </c>
      <c r="R2" t="e">
        <f>AND('Tn-seq runs'!#REF!,"AAAAAD/W/RE=")</f>
        <v>#REF!</v>
      </c>
      <c r="S2" t="e">
        <f>AND('Tn-seq runs'!#REF!,"AAAAAD/W/RI=")</f>
        <v>#REF!</v>
      </c>
      <c r="T2" t="e">
        <f>AND('Tn-seq runs'!#REF!,"AAAAAD/W/RM=")</f>
        <v>#REF!</v>
      </c>
      <c r="U2" t="e">
        <f>AND('Tn-seq runs'!#REF!,"AAAAAD/W/RQ=")</f>
        <v>#REF!</v>
      </c>
      <c r="V2" t="e">
        <f>AND('Tn-seq runs'!#REF!,"AAAAAD/W/RU=")</f>
        <v>#REF!</v>
      </c>
      <c r="W2" t="e">
        <f>AND('Tn-seq runs'!#REF!,"AAAAAD/W/RY=")</f>
        <v>#REF!</v>
      </c>
      <c r="X2" t="e">
        <f>AND('Tn-seq runs'!#REF!,"AAAAAD/W/Rc=")</f>
        <v>#REF!</v>
      </c>
      <c r="Y2">
        <f>IF('Tn-seq runs'!5:5,"AAAAAD/W/Rg=",0)</f>
        <v>0</v>
      </c>
      <c r="Z2" t="e">
        <f>AND('Tn-seq runs'!#REF!,"AAAAAD/W/Rk=")</f>
        <v>#REF!</v>
      </c>
      <c r="AA2" t="e">
        <f>AND('Tn-seq runs'!#REF!,"AAAAAD/W/Ro=")</f>
        <v>#REF!</v>
      </c>
      <c r="AB2" t="e">
        <f>AND('Tn-seq runs'!#REF!,"AAAAAD/W/Rs=")</f>
        <v>#REF!</v>
      </c>
      <c r="AC2" t="e">
        <f>AND('Tn-seq runs'!#REF!,"AAAAAD/W/Rw=")</f>
        <v>#REF!</v>
      </c>
      <c r="AD2" t="e">
        <f>AND('Tn-seq runs'!#REF!,"AAAAAD/W/R0=")</f>
        <v>#REF!</v>
      </c>
      <c r="AE2" t="e">
        <f>AND('Tn-seq runs'!#REF!,"AAAAAD/W/R4=")</f>
        <v>#REF!</v>
      </c>
      <c r="AF2" t="e">
        <f>AND('Tn-seq runs'!#REF!,"AAAAAD/W/R8=")</f>
        <v>#REF!</v>
      </c>
      <c r="AG2" t="e">
        <f>AND('Tn-seq runs'!#REF!,"AAAAAD/W/SA=")</f>
        <v>#REF!</v>
      </c>
      <c r="AH2" t="e">
        <f>AND('Tn-seq runs'!#REF!,"AAAAAD/W/SE=")</f>
        <v>#REF!</v>
      </c>
      <c r="AI2" t="e">
        <f>AND('Tn-seq runs'!#REF!,"AAAAAD/W/SI=")</f>
        <v>#REF!</v>
      </c>
      <c r="AJ2" t="e">
        <f>AND('Tn-seq runs'!#REF!,"AAAAAD/W/SM=")</f>
        <v>#REF!</v>
      </c>
      <c r="AK2" t="e">
        <f>AND('Tn-seq runs'!#REF!,"AAAAAD/W/SQ=")</f>
        <v>#REF!</v>
      </c>
      <c r="AL2" t="e">
        <f>AND('Tn-seq runs'!#REF!,"AAAAAD/W/SU=")</f>
        <v>#REF!</v>
      </c>
      <c r="AM2" t="e">
        <f>AND('Tn-seq runs'!#REF!,"AAAAAD/W/SY=")</f>
        <v>#REF!</v>
      </c>
      <c r="AN2" t="e">
        <f>AND('Tn-seq runs'!#REF!,"AAAAAD/W/Sc=")</f>
        <v>#REF!</v>
      </c>
      <c r="AO2" t="e">
        <f>AND('Tn-seq runs'!#REF!,"AAAAAD/W/Sg=")</f>
        <v>#REF!</v>
      </c>
      <c r="AP2" t="e">
        <f>AND('Tn-seq runs'!#REF!,"AAAAAD/W/Sk=")</f>
        <v>#REF!</v>
      </c>
      <c r="AQ2" t="e">
        <f>AND('Tn-seq runs'!#REF!,"AAAAAD/W/So=")</f>
        <v>#REF!</v>
      </c>
      <c r="AR2" t="e">
        <f>AND('Tn-seq runs'!#REF!,"AAAAAD/W/Ss=")</f>
        <v>#REF!</v>
      </c>
      <c r="AS2" t="e">
        <f>AND('Tn-seq runs'!#REF!,"AAAAAD/W/Sw=")</f>
        <v>#REF!</v>
      </c>
      <c r="AT2" t="e">
        <f>AND('Tn-seq runs'!#REF!,"AAAAAD/W/S0=")</f>
        <v>#REF!</v>
      </c>
      <c r="AU2" t="e">
        <f>AND('Tn-seq runs'!#REF!,"AAAAAD/W/S4=")</f>
        <v>#REF!</v>
      </c>
      <c r="AV2" t="e">
        <f>AND('Tn-seq runs'!#REF!,"AAAAAD/W/S8=")</f>
        <v>#REF!</v>
      </c>
      <c r="AW2" t="e">
        <f>AND('Tn-seq runs'!#REF!,"AAAAAD/W/TA=")</f>
        <v>#REF!</v>
      </c>
      <c r="AX2" t="e">
        <f>AND('Tn-seq runs'!#REF!,"AAAAAD/W/TE=")</f>
        <v>#REF!</v>
      </c>
      <c r="AY2" t="e">
        <f>AND('Tn-seq runs'!#REF!,"AAAAAD/W/TI=")</f>
        <v>#REF!</v>
      </c>
      <c r="AZ2" t="e">
        <f>AND('Tn-seq runs'!#REF!,"AAAAAD/W/TM=")</f>
        <v>#REF!</v>
      </c>
      <c r="BA2" t="e">
        <f>AND('Tn-seq runs'!#REF!,"AAAAAD/W/TQ=")</f>
        <v>#REF!</v>
      </c>
      <c r="BB2" t="e">
        <f>AND('Tn-seq runs'!#REF!,"AAAAAD/W/TU=")</f>
        <v>#REF!</v>
      </c>
      <c r="BC2" t="e">
        <f>AND('Tn-seq runs'!#REF!,"AAAAAD/W/TY=")</f>
        <v>#REF!</v>
      </c>
      <c r="BD2" t="e">
        <f>AND('Tn-seq runs'!#REF!,"AAAAAD/W/Tc=")</f>
        <v>#REF!</v>
      </c>
      <c r="BE2" t="e">
        <f>AND('Tn-seq runs'!#REF!,"AAAAAD/W/Tg=")</f>
        <v>#REF!</v>
      </c>
      <c r="BF2" t="e">
        <f>AND('Tn-seq runs'!#REF!,"AAAAAD/W/Tk=")</f>
        <v>#REF!</v>
      </c>
      <c r="BG2" t="e">
        <f>AND('Tn-seq runs'!#REF!,"AAAAAD/W/To=")</f>
        <v>#REF!</v>
      </c>
      <c r="BH2">
        <f>IF('Tn-seq runs'!6:6,"AAAAAD/W/Ts=",0)</f>
        <v>0</v>
      </c>
      <c r="BI2" t="e">
        <f>AND('Tn-seq runs'!#REF!,"AAAAAD/W/Tw=")</f>
        <v>#REF!</v>
      </c>
      <c r="BJ2" t="e">
        <f>AND('Tn-seq runs'!#REF!,"AAAAAD/W/T0=")</f>
        <v>#REF!</v>
      </c>
      <c r="BK2" t="e">
        <f>AND('Tn-seq runs'!#REF!,"AAAAAD/W/T4=")</f>
        <v>#REF!</v>
      </c>
      <c r="BL2" t="e">
        <f>AND('Tn-seq runs'!#REF!,"AAAAAD/W/T8=")</f>
        <v>#REF!</v>
      </c>
      <c r="BM2" t="e">
        <f>AND('Tn-seq runs'!#REF!,"AAAAAD/W/UA=")</f>
        <v>#REF!</v>
      </c>
      <c r="BN2" t="e">
        <f>AND('Tn-seq runs'!#REF!,"AAAAAD/W/UE=")</f>
        <v>#REF!</v>
      </c>
      <c r="BO2" t="e">
        <f>AND('Tn-seq runs'!#REF!,"AAAAAD/W/UI=")</f>
        <v>#REF!</v>
      </c>
      <c r="BP2" t="e">
        <f>AND('Tn-seq runs'!#REF!,"AAAAAD/W/UM=")</f>
        <v>#REF!</v>
      </c>
      <c r="BQ2" t="e">
        <f>AND('Tn-seq runs'!#REF!,"AAAAAD/W/UQ=")</f>
        <v>#REF!</v>
      </c>
      <c r="BR2" t="e">
        <f>AND('Tn-seq runs'!#REF!,"AAAAAD/W/UU=")</f>
        <v>#REF!</v>
      </c>
      <c r="BS2" t="e">
        <f>AND('Tn-seq runs'!#REF!,"AAAAAD/W/UY=")</f>
        <v>#REF!</v>
      </c>
      <c r="BT2" t="e">
        <f>AND('Tn-seq runs'!#REF!,"AAAAAD/W/Uc=")</f>
        <v>#REF!</v>
      </c>
      <c r="BU2" t="e">
        <f>AND('Tn-seq runs'!#REF!,"AAAAAD/W/Ug=")</f>
        <v>#REF!</v>
      </c>
      <c r="BV2" t="e">
        <f>AND('Tn-seq runs'!#REF!,"AAAAAD/W/Uk=")</f>
        <v>#REF!</v>
      </c>
      <c r="BW2" t="e">
        <f>AND('Tn-seq runs'!#REF!,"AAAAAD/W/Uo=")</f>
        <v>#REF!</v>
      </c>
      <c r="BX2" t="e">
        <f>AND('Tn-seq runs'!#REF!,"AAAAAD/W/Us=")</f>
        <v>#REF!</v>
      </c>
      <c r="BY2" t="e">
        <f>AND('Tn-seq runs'!#REF!,"AAAAAD/W/Uw=")</f>
        <v>#REF!</v>
      </c>
      <c r="BZ2" t="e">
        <f>AND('Tn-seq runs'!#REF!,"AAAAAD/W/U0=")</f>
        <v>#REF!</v>
      </c>
      <c r="CA2" t="e">
        <f>AND('Tn-seq runs'!#REF!,"AAAAAD/W/U4=")</f>
        <v>#REF!</v>
      </c>
      <c r="CB2" t="e">
        <f>AND('Tn-seq runs'!#REF!,"AAAAAD/W/U8=")</f>
        <v>#REF!</v>
      </c>
      <c r="CC2" t="e">
        <f>AND('Tn-seq runs'!#REF!,"AAAAAD/W/VA=")</f>
        <v>#REF!</v>
      </c>
      <c r="CD2" t="e">
        <f>AND('Tn-seq runs'!#REF!,"AAAAAD/W/VE=")</f>
        <v>#REF!</v>
      </c>
      <c r="CE2" t="e">
        <f>AND('Tn-seq runs'!#REF!,"AAAAAD/W/VI=")</f>
        <v>#REF!</v>
      </c>
      <c r="CF2" t="e">
        <f>AND('Tn-seq runs'!#REF!,"AAAAAD/W/VM=")</f>
        <v>#REF!</v>
      </c>
      <c r="CG2" t="e">
        <f>AND('Tn-seq runs'!#REF!,"AAAAAD/W/VQ=")</f>
        <v>#REF!</v>
      </c>
      <c r="CH2" t="e">
        <f>AND('Tn-seq runs'!#REF!,"AAAAAD/W/VU=")</f>
        <v>#REF!</v>
      </c>
      <c r="CI2" t="e">
        <f>AND('Tn-seq runs'!#REF!,"AAAAAD/W/VY=")</f>
        <v>#REF!</v>
      </c>
      <c r="CJ2" t="e">
        <f>AND('Tn-seq runs'!#REF!,"AAAAAD/W/Vc=")</f>
        <v>#REF!</v>
      </c>
      <c r="CK2" t="e">
        <f>AND('Tn-seq runs'!#REF!,"AAAAAD/W/Vg=")</f>
        <v>#REF!</v>
      </c>
      <c r="CL2" t="e">
        <f>AND('Tn-seq runs'!#REF!,"AAAAAD/W/Vk=")</f>
        <v>#REF!</v>
      </c>
      <c r="CM2" t="e">
        <f>AND('Tn-seq runs'!#REF!,"AAAAAD/W/Vo=")</f>
        <v>#REF!</v>
      </c>
      <c r="CN2" t="e">
        <f>AND('Tn-seq runs'!#REF!,"AAAAAD/W/Vs=")</f>
        <v>#REF!</v>
      </c>
      <c r="CO2" t="e">
        <f>AND('Tn-seq runs'!#REF!,"AAAAAD/W/Vw=")</f>
        <v>#REF!</v>
      </c>
      <c r="CP2" t="e">
        <f>AND('Tn-seq runs'!#REF!,"AAAAAD/W/V0=")</f>
        <v>#REF!</v>
      </c>
      <c r="CQ2">
        <f>IF('Tn-seq runs'!7:7,"AAAAAD/W/V4=",0)</f>
        <v>0</v>
      </c>
      <c r="CR2" t="e">
        <f>AND('Tn-seq runs'!#REF!,"AAAAAD/W/V8=")</f>
        <v>#REF!</v>
      </c>
      <c r="CS2" t="e">
        <f>AND('Tn-seq runs'!#REF!,"AAAAAD/W/WA=")</f>
        <v>#REF!</v>
      </c>
      <c r="CT2" t="e">
        <f>AND('Tn-seq runs'!#REF!,"AAAAAD/W/WE=")</f>
        <v>#REF!</v>
      </c>
      <c r="CU2" t="e">
        <f>AND('Tn-seq runs'!#REF!,"AAAAAD/W/WI=")</f>
        <v>#REF!</v>
      </c>
      <c r="CV2" t="e">
        <f>AND('Tn-seq runs'!#REF!,"AAAAAD/W/WM=")</f>
        <v>#REF!</v>
      </c>
      <c r="CW2" t="e">
        <f>AND('Tn-seq runs'!#REF!,"AAAAAD/W/WQ=")</f>
        <v>#REF!</v>
      </c>
      <c r="CX2" t="e">
        <f>AND('Tn-seq runs'!#REF!,"AAAAAD/W/WU=")</f>
        <v>#REF!</v>
      </c>
      <c r="CY2" t="e">
        <f>AND('Tn-seq runs'!#REF!,"AAAAAD/W/WY=")</f>
        <v>#REF!</v>
      </c>
      <c r="CZ2" t="e">
        <f>AND('Tn-seq runs'!#REF!,"AAAAAD/W/Wc=")</f>
        <v>#REF!</v>
      </c>
      <c r="DA2" t="e">
        <f>AND('Tn-seq runs'!#REF!,"AAAAAD/W/Wg=")</f>
        <v>#REF!</v>
      </c>
      <c r="DB2" t="e">
        <f>AND('Tn-seq runs'!#REF!,"AAAAAD/W/Wk=")</f>
        <v>#REF!</v>
      </c>
      <c r="DC2" t="e">
        <f>AND('Tn-seq runs'!#REF!,"AAAAAD/W/Wo=")</f>
        <v>#REF!</v>
      </c>
      <c r="DD2" t="e">
        <f>AND('Tn-seq runs'!#REF!,"AAAAAD/W/Ws=")</f>
        <v>#REF!</v>
      </c>
      <c r="DE2" t="e">
        <f>AND('Tn-seq runs'!#REF!,"AAAAAD/W/Ww=")</f>
        <v>#REF!</v>
      </c>
      <c r="DF2" t="e">
        <f>AND('Tn-seq runs'!#REF!,"AAAAAD/W/W0=")</f>
        <v>#REF!</v>
      </c>
      <c r="DG2" t="e">
        <f>AND('Tn-seq runs'!#REF!,"AAAAAD/W/W4=")</f>
        <v>#REF!</v>
      </c>
      <c r="DH2" t="e">
        <f>AND('Tn-seq runs'!#REF!,"AAAAAD/W/W8=")</f>
        <v>#REF!</v>
      </c>
      <c r="DI2" t="e">
        <f>AND('Tn-seq runs'!#REF!,"AAAAAD/W/XA=")</f>
        <v>#REF!</v>
      </c>
      <c r="DJ2" t="e">
        <f>AND('Tn-seq runs'!#REF!,"AAAAAD/W/XE=")</f>
        <v>#REF!</v>
      </c>
      <c r="DK2" t="e">
        <f>AND('Tn-seq runs'!#REF!,"AAAAAD/W/XI=")</f>
        <v>#REF!</v>
      </c>
      <c r="DL2" t="e">
        <f>AND('Tn-seq runs'!#REF!,"AAAAAD/W/XM=")</f>
        <v>#REF!</v>
      </c>
      <c r="DM2" t="e">
        <f>AND('Tn-seq runs'!#REF!,"AAAAAD/W/XQ=")</f>
        <v>#REF!</v>
      </c>
      <c r="DN2" t="e">
        <f>AND('Tn-seq runs'!#REF!,"AAAAAD/W/XU=")</f>
        <v>#REF!</v>
      </c>
      <c r="DO2" t="e">
        <f>AND('Tn-seq runs'!#REF!,"AAAAAD/W/XY=")</f>
        <v>#REF!</v>
      </c>
      <c r="DP2" t="e">
        <f>AND('Tn-seq runs'!#REF!,"AAAAAD/W/Xc=")</f>
        <v>#REF!</v>
      </c>
      <c r="DQ2" t="e">
        <f>AND('Tn-seq runs'!#REF!,"AAAAAD/W/Xg=")</f>
        <v>#REF!</v>
      </c>
      <c r="DR2" t="e">
        <f>AND('Tn-seq runs'!#REF!,"AAAAAD/W/Xk=")</f>
        <v>#REF!</v>
      </c>
      <c r="DS2" t="e">
        <f>AND('Tn-seq runs'!#REF!,"AAAAAD/W/Xo=")</f>
        <v>#REF!</v>
      </c>
      <c r="DT2" t="e">
        <f>AND('Tn-seq runs'!#REF!,"AAAAAD/W/Xs=")</f>
        <v>#REF!</v>
      </c>
      <c r="DU2" t="e">
        <f>AND('Tn-seq runs'!#REF!,"AAAAAD/W/Xw=")</f>
        <v>#REF!</v>
      </c>
      <c r="DV2" t="e">
        <f>AND('Tn-seq runs'!#REF!,"AAAAAD/W/X0=")</f>
        <v>#REF!</v>
      </c>
      <c r="DW2" t="e">
        <f>AND('Tn-seq runs'!#REF!,"AAAAAD/W/X4=")</f>
        <v>#REF!</v>
      </c>
      <c r="DX2" t="e">
        <f>AND('Tn-seq runs'!#REF!,"AAAAAD/W/X8=")</f>
        <v>#REF!</v>
      </c>
      <c r="DY2" t="e">
        <f>AND('Tn-seq runs'!#REF!,"AAAAAD/W/YA=")</f>
        <v>#REF!</v>
      </c>
      <c r="DZ2">
        <f>IF('Tn-seq runs'!8:8,"AAAAAD/W/YE=",0)</f>
        <v>0</v>
      </c>
      <c r="EA2" t="e">
        <f>AND('Tn-seq runs'!#REF!,"AAAAAD/W/YI=")</f>
        <v>#REF!</v>
      </c>
      <c r="EB2" t="e">
        <f>AND('Tn-seq runs'!#REF!,"AAAAAD/W/YM=")</f>
        <v>#REF!</v>
      </c>
      <c r="EC2" t="e">
        <f>AND('Tn-seq runs'!#REF!,"AAAAAD/W/YQ=")</f>
        <v>#REF!</v>
      </c>
      <c r="ED2" t="e">
        <f>AND('Tn-seq runs'!#REF!,"AAAAAD/W/YU=")</f>
        <v>#REF!</v>
      </c>
      <c r="EE2" t="e">
        <f>AND('Tn-seq runs'!#REF!,"AAAAAD/W/YY=")</f>
        <v>#REF!</v>
      </c>
      <c r="EF2" t="e">
        <f>AND('Tn-seq runs'!#REF!,"AAAAAD/W/Yc=")</f>
        <v>#REF!</v>
      </c>
      <c r="EG2" t="e">
        <f>AND('Tn-seq runs'!#REF!,"AAAAAD/W/Yg=")</f>
        <v>#REF!</v>
      </c>
      <c r="EH2" t="e">
        <f>AND('Tn-seq runs'!#REF!,"AAAAAD/W/Yk=")</f>
        <v>#REF!</v>
      </c>
      <c r="EI2" t="e">
        <f>AND('Tn-seq runs'!#REF!,"AAAAAD/W/Yo=")</f>
        <v>#REF!</v>
      </c>
      <c r="EJ2" t="e">
        <f>AND('Tn-seq runs'!#REF!,"AAAAAD/W/Ys=")</f>
        <v>#REF!</v>
      </c>
      <c r="EK2" t="e">
        <f>AND('Tn-seq runs'!#REF!,"AAAAAD/W/Yw=")</f>
        <v>#REF!</v>
      </c>
      <c r="EL2" t="e">
        <f>AND('Tn-seq runs'!#REF!,"AAAAAD/W/Y0=")</f>
        <v>#REF!</v>
      </c>
      <c r="EM2" t="e">
        <f>AND('Tn-seq runs'!#REF!,"AAAAAD/W/Y4=")</f>
        <v>#REF!</v>
      </c>
      <c r="EN2" t="e">
        <f>AND('Tn-seq runs'!#REF!,"AAAAAD/W/Y8=")</f>
        <v>#REF!</v>
      </c>
      <c r="EO2" t="e">
        <f>AND('Tn-seq runs'!#REF!,"AAAAAD/W/ZA=")</f>
        <v>#REF!</v>
      </c>
      <c r="EP2" t="e">
        <f>AND('Tn-seq runs'!#REF!,"AAAAAD/W/ZE=")</f>
        <v>#REF!</v>
      </c>
      <c r="EQ2" t="e">
        <f>AND('Tn-seq runs'!#REF!,"AAAAAD/W/ZI=")</f>
        <v>#REF!</v>
      </c>
      <c r="ER2" t="e">
        <f>AND('Tn-seq runs'!#REF!,"AAAAAD/W/ZM=")</f>
        <v>#REF!</v>
      </c>
      <c r="ES2" t="e">
        <f>AND('Tn-seq runs'!#REF!,"AAAAAD/W/ZQ=")</f>
        <v>#REF!</v>
      </c>
      <c r="ET2" t="e">
        <f>AND('Tn-seq runs'!#REF!,"AAAAAD/W/ZU=")</f>
        <v>#REF!</v>
      </c>
      <c r="EU2" t="e">
        <f>AND('Tn-seq runs'!#REF!,"AAAAAD/W/ZY=")</f>
        <v>#REF!</v>
      </c>
      <c r="EV2" t="e">
        <f>AND('Tn-seq runs'!#REF!,"AAAAAD/W/Zc=")</f>
        <v>#REF!</v>
      </c>
      <c r="EW2" t="e">
        <f>AND('Tn-seq runs'!#REF!,"AAAAAD/W/Zg=")</f>
        <v>#REF!</v>
      </c>
      <c r="EX2" t="e">
        <f>AND('Tn-seq runs'!#REF!,"AAAAAD/W/Zk=")</f>
        <v>#REF!</v>
      </c>
      <c r="EY2" t="e">
        <f>AND('Tn-seq runs'!#REF!,"AAAAAD/W/Zo=")</f>
        <v>#REF!</v>
      </c>
      <c r="EZ2" t="e">
        <f>AND('Tn-seq runs'!#REF!,"AAAAAD/W/Zs=")</f>
        <v>#REF!</v>
      </c>
      <c r="FA2" t="e">
        <f>AND('Tn-seq runs'!#REF!,"AAAAAD/W/Zw=")</f>
        <v>#REF!</v>
      </c>
      <c r="FB2" t="e">
        <f>AND('Tn-seq runs'!#REF!,"AAAAAD/W/Z0=")</f>
        <v>#REF!</v>
      </c>
      <c r="FC2" t="e">
        <f>AND('Tn-seq runs'!#REF!,"AAAAAD/W/Z4=")</f>
        <v>#REF!</v>
      </c>
      <c r="FD2" t="e">
        <f>AND('Tn-seq runs'!#REF!,"AAAAAD/W/Z8=")</f>
        <v>#REF!</v>
      </c>
      <c r="FE2" t="e">
        <f>AND('Tn-seq runs'!#REF!,"AAAAAD/W/aA=")</f>
        <v>#REF!</v>
      </c>
      <c r="FF2" t="e">
        <f>AND('Tn-seq runs'!#REF!,"AAAAAD/W/aE=")</f>
        <v>#REF!</v>
      </c>
      <c r="FG2" t="e">
        <f>AND('Tn-seq runs'!#REF!,"AAAAAD/W/aI=")</f>
        <v>#REF!</v>
      </c>
      <c r="FH2" t="e">
        <f>AND('Tn-seq runs'!#REF!,"AAAAAD/W/aM=")</f>
        <v>#REF!</v>
      </c>
      <c r="FI2">
        <f>IF('Tn-seq runs'!9:9,"AAAAAD/W/aQ=",0)</f>
        <v>0</v>
      </c>
      <c r="FJ2" t="e">
        <f>AND('Tn-seq runs'!#REF!,"AAAAAD/W/aU=")</f>
        <v>#REF!</v>
      </c>
      <c r="FK2" t="e">
        <f>AND('Tn-seq runs'!#REF!,"AAAAAD/W/aY=")</f>
        <v>#REF!</v>
      </c>
      <c r="FL2" t="e">
        <f>AND('Tn-seq runs'!#REF!,"AAAAAD/W/ac=")</f>
        <v>#REF!</v>
      </c>
      <c r="FM2" t="e">
        <f>AND('Tn-seq runs'!#REF!,"AAAAAD/W/ag=")</f>
        <v>#REF!</v>
      </c>
      <c r="FN2" t="e">
        <f>AND('Tn-seq runs'!#REF!,"AAAAAD/W/ak=")</f>
        <v>#REF!</v>
      </c>
      <c r="FO2" t="e">
        <f>AND('Tn-seq runs'!#REF!,"AAAAAD/W/ao=")</f>
        <v>#REF!</v>
      </c>
      <c r="FP2" t="e">
        <f>AND('Tn-seq runs'!#REF!,"AAAAAD/W/as=")</f>
        <v>#REF!</v>
      </c>
      <c r="FQ2" t="e">
        <f>AND('Tn-seq runs'!#REF!,"AAAAAD/W/aw=")</f>
        <v>#REF!</v>
      </c>
      <c r="FR2" t="e">
        <f>AND('Tn-seq runs'!#REF!,"AAAAAD/W/a0=")</f>
        <v>#REF!</v>
      </c>
      <c r="FS2" t="e">
        <f>AND('Tn-seq runs'!#REF!,"AAAAAD/W/a4=")</f>
        <v>#REF!</v>
      </c>
      <c r="FT2" t="e">
        <f>AND('Tn-seq runs'!#REF!,"AAAAAD/W/a8=")</f>
        <v>#REF!</v>
      </c>
      <c r="FU2" t="e">
        <f>AND('Tn-seq runs'!#REF!,"AAAAAD/W/bA=")</f>
        <v>#REF!</v>
      </c>
      <c r="FV2" t="e">
        <f>AND('Tn-seq runs'!#REF!,"AAAAAD/W/bE=")</f>
        <v>#REF!</v>
      </c>
      <c r="FW2" t="e">
        <f>AND('Tn-seq runs'!#REF!,"AAAAAD/W/bI=")</f>
        <v>#REF!</v>
      </c>
      <c r="FX2" t="e">
        <f>AND('Tn-seq runs'!#REF!,"AAAAAD/W/bM=")</f>
        <v>#REF!</v>
      </c>
      <c r="FY2" t="e">
        <f>AND('Tn-seq runs'!#REF!,"AAAAAD/W/bQ=")</f>
        <v>#REF!</v>
      </c>
      <c r="FZ2" t="e">
        <f>AND('Tn-seq runs'!#REF!,"AAAAAD/W/bU=")</f>
        <v>#REF!</v>
      </c>
      <c r="GA2" t="e">
        <f>AND('Tn-seq runs'!#REF!,"AAAAAD/W/bY=")</f>
        <v>#REF!</v>
      </c>
      <c r="GB2" t="e">
        <f>AND('Tn-seq runs'!#REF!,"AAAAAD/W/bc=")</f>
        <v>#REF!</v>
      </c>
      <c r="GC2" t="e">
        <f>AND('Tn-seq runs'!#REF!,"AAAAAD/W/bg=")</f>
        <v>#REF!</v>
      </c>
      <c r="GD2" t="e">
        <f>AND('Tn-seq runs'!#REF!,"AAAAAD/W/bk=")</f>
        <v>#REF!</v>
      </c>
      <c r="GE2" t="e">
        <f>AND('Tn-seq runs'!#REF!,"AAAAAD/W/bo=")</f>
        <v>#REF!</v>
      </c>
      <c r="GF2" t="e">
        <f>AND('Tn-seq runs'!#REF!,"AAAAAD/W/bs=")</f>
        <v>#REF!</v>
      </c>
      <c r="GG2" t="e">
        <f>AND('Tn-seq runs'!#REF!,"AAAAAD/W/bw=")</f>
        <v>#REF!</v>
      </c>
      <c r="GH2" t="e">
        <f>AND('Tn-seq runs'!#REF!,"AAAAAD/W/b0=")</f>
        <v>#REF!</v>
      </c>
      <c r="GI2" t="e">
        <f>AND('Tn-seq runs'!#REF!,"AAAAAD/W/b4=")</f>
        <v>#REF!</v>
      </c>
      <c r="GJ2" t="e">
        <f>AND('Tn-seq runs'!#REF!,"AAAAAD/W/b8=")</f>
        <v>#REF!</v>
      </c>
      <c r="GK2" t="e">
        <f>AND('Tn-seq runs'!#REF!,"AAAAAD/W/cA=")</f>
        <v>#REF!</v>
      </c>
      <c r="GL2" t="e">
        <f>AND('Tn-seq runs'!#REF!,"AAAAAD/W/cE=")</f>
        <v>#REF!</v>
      </c>
      <c r="GM2" t="e">
        <f>AND('Tn-seq runs'!#REF!,"AAAAAD/W/cI=")</f>
        <v>#REF!</v>
      </c>
      <c r="GN2" t="e">
        <f>AND('Tn-seq runs'!#REF!,"AAAAAD/W/cM=")</f>
        <v>#REF!</v>
      </c>
      <c r="GO2" t="e">
        <f>AND('Tn-seq runs'!#REF!,"AAAAAD/W/cQ=")</f>
        <v>#REF!</v>
      </c>
      <c r="GP2" t="e">
        <f>AND('Tn-seq runs'!#REF!,"AAAAAD/W/cU=")</f>
        <v>#REF!</v>
      </c>
      <c r="GQ2" t="e">
        <f>AND('Tn-seq runs'!#REF!,"AAAAAD/W/cY=")</f>
        <v>#REF!</v>
      </c>
      <c r="GR2">
        <f>IF('Tn-seq runs'!10:10,"AAAAAD/W/cc=",0)</f>
        <v>0</v>
      </c>
      <c r="GS2" t="e">
        <f>AND('Tn-seq runs'!#REF!,"AAAAAD/W/cg=")</f>
        <v>#REF!</v>
      </c>
      <c r="GT2" t="e">
        <f>AND('Tn-seq runs'!#REF!,"AAAAAD/W/ck=")</f>
        <v>#REF!</v>
      </c>
      <c r="GU2" t="e">
        <f>AND('Tn-seq runs'!#REF!,"AAAAAD/W/co=")</f>
        <v>#REF!</v>
      </c>
      <c r="GV2" t="e">
        <f>AND('Tn-seq runs'!#REF!,"AAAAAD/W/cs=")</f>
        <v>#REF!</v>
      </c>
      <c r="GW2" t="e">
        <f>AND('Tn-seq runs'!#REF!,"AAAAAD/W/cw=")</f>
        <v>#REF!</v>
      </c>
      <c r="GX2" t="e">
        <f>AND('Tn-seq runs'!#REF!,"AAAAAD/W/c0=")</f>
        <v>#REF!</v>
      </c>
      <c r="GY2" t="e">
        <f>AND('Tn-seq runs'!#REF!,"AAAAAD/W/c4=")</f>
        <v>#REF!</v>
      </c>
      <c r="GZ2" t="e">
        <f>AND('Tn-seq runs'!#REF!,"AAAAAD/W/c8=")</f>
        <v>#REF!</v>
      </c>
      <c r="HA2" t="e">
        <f>AND('Tn-seq runs'!#REF!,"AAAAAD/W/dA=")</f>
        <v>#REF!</v>
      </c>
      <c r="HB2" t="e">
        <f>AND('Tn-seq runs'!#REF!,"AAAAAD/W/dE=")</f>
        <v>#REF!</v>
      </c>
      <c r="HC2" t="e">
        <f>AND('Tn-seq runs'!#REF!,"AAAAAD/W/dI=")</f>
        <v>#REF!</v>
      </c>
      <c r="HD2" t="e">
        <f>AND('Tn-seq runs'!#REF!,"AAAAAD/W/dM=")</f>
        <v>#REF!</v>
      </c>
      <c r="HE2" t="e">
        <f>AND('Tn-seq runs'!#REF!,"AAAAAD/W/dQ=")</f>
        <v>#REF!</v>
      </c>
      <c r="HF2" t="e">
        <f>AND('Tn-seq runs'!#REF!,"AAAAAD/W/dU=")</f>
        <v>#REF!</v>
      </c>
      <c r="HG2" t="e">
        <f>AND('Tn-seq runs'!#REF!,"AAAAAD/W/dY=")</f>
        <v>#REF!</v>
      </c>
      <c r="HH2" t="e">
        <f>AND('Tn-seq runs'!#REF!,"AAAAAD/W/dc=")</f>
        <v>#REF!</v>
      </c>
      <c r="HI2" t="e">
        <f>AND('Tn-seq runs'!#REF!,"AAAAAD/W/dg=")</f>
        <v>#REF!</v>
      </c>
      <c r="HJ2" t="e">
        <f>AND('Tn-seq runs'!#REF!,"AAAAAD/W/dk=")</f>
        <v>#REF!</v>
      </c>
      <c r="HK2" t="e">
        <f>AND('Tn-seq runs'!#REF!,"AAAAAD/W/do=")</f>
        <v>#REF!</v>
      </c>
      <c r="HL2" t="e">
        <f>AND('Tn-seq runs'!#REF!,"AAAAAD/W/ds=")</f>
        <v>#REF!</v>
      </c>
      <c r="HM2" t="e">
        <f>AND('Tn-seq runs'!#REF!,"AAAAAD/W/dw=")</f>
        <v>#REF!</v>
      </c>
      <c r="HN2" t="e">
        <f>AND('Tn-seq runs'!#REF!,"AAAAAD/W/d0=")</f>
        <v>#REF!</v>
      </c>
      <c r="HO2" t="e">
        <f>AND('Tn-seq runs'!#REF!,"AAAAAD/W/d4=")</f>
        <v>#REF!</v>
      </c>
      <c r="HP2" t="e">
        <f>AND('Tn-seq runs'!#REF!,"AAAAAD/W/d8=")</f>
        <v>#REF!</v>
      </c>
      <c r="HQ2" t="e">
        <f>AND('Tn-seq runs'!#REF!,"AAAAAD/W/eA=")</f>
        <v>#REF!</v>
      </c>
      <c r="HR2" t="e">
        <f>AND('Tn-seq runs'!#REF!,"AAAAAD/W/eE=")</f>
        <v>#REF!</v>
      </c>
      <c r="HS2" t="e">
        <f>AND('Tn-seq runs'!#REF!,"AAAAAD/W/eI=")</f>
        <v>#REF!</v>
      </c>
      <c r="HT2" t="e">
        <f>AND('Tn-seq runs'!#REF!,"AAAAAD/W/eM=")</f>
        <v>#REF!</v>
      </c>
      <c r="HU2" t="e">
        <f>AND('Tn-seq runs'!#REF!,"AAAAAD/W/eQ=")</f>
        <v>#REF!</v>
      </c>
      <c r="HV2" t="e">
        <f>AND('Tn-seq runs'!#REF!,"AAAAAD/W/eU=")</f>
        <v>#REF!</v>
      </c>
      <c r="HW2" t="e">
        <f>AND('Tn-seq runs'!#REF!,"AAAAAD/W/eY=")</f>
        <v>#REF!</v>
      </c>
      <c r="HX2" t="e">
        <f>AND('Tn-seq runs'!#REF!,"AAAAAD/W/ec=")</f>
        <v>#REF!</v>
      </c>
      <c r="HY2" t="e">
        <f>AND('Tn-seq runs'!#REF!,"AAAAAD/W/eg=")</f>
        <v>#REF!</v>
      </c>
      <c r="HZ2" t="e">
        <f>AND('Tn-seq runs'!#REF!,"AAAAAD/W/ek=")</f>
        <v>#REF!</v>
      </c>
      <c r="IA2">
        <f>IF('Tn-seq runs'!11:11,"AAAAAD/W/eo=",0)</f>
        <v>0</v>
      </c>
      <c r="IB2" t="e">
        <f>AND('Tn-seq runs'!#REF!,"AAAAAD/W/es=")</f>
        <v>#REF!</v>
      </c>
      <c r="IC2" t="e">
        <f>AND('Tn-seq runs'!#REF!,"AAAAAD/W/ew=")</f>
        <v>#REF!</v>
      </c>
      <c r="ID2" t="e">
        <f>AND('Tn-seq runs'!#REF!,"AAAAAD/W/e0=")</f>
        <v>#REF!</v>
      </c>
      <c r="IE2" t="e">
        <f>AND('Tn-seq runs'!#REF!,"AAAAAD/W/e4=")</f>
        <v>#REF!</v>
      </c>
      <c r="IF2" t="e">
        <f>AND('Tn-seq runs'!#REF!,"AAAAAD/W/e8=")</f>
        <v>#REF!</v>
      </c>
      <c r="IG2" t="e">
        <f>AND('Tn-seq runs'!#REF!,"AAAAAD/W/fA=")</f>
        <v>#REF!</v>
      </c>
      <c r="IH2" t="e">
        <f>AND('Tn-seq runs'!#REF!,"AAAAAD/W/fE=")</f>
        <v>#REF!</v>
      </c>
      <c r="II2" t="e">
        <f>AND('Tn-seq runs'!#REF!,"AAAAAD/W/fI=")</f>
        <v>#REF!</v>
      </c>
      <c r="IJ2" t="e">
        <f>AND('Tn-seq runs'!#REF!,"AAAAAD/W/fM=")</f>
        <v>#REF!</v>
      </c>
      <c r="IK2" t="e">
        <f>AND('Tn-seq runs'!#REF!,"AAAAAD/W/fQ=")</f>
        <v>#REF!</v>
      </c>
      <c r="IL2" t="e">
        <f>AND('Tn-seq runs'!#REF!,"AAAAAD/W/fU=")</f>
        <v>#REF!</v>
      </c>
      <c r="IM2" t="e">
        <f>AND('Tn-seq runs'!#REF!,"AAAAAD/W/fY=")</f>
        <v>#REF!</v>
      </c>
      <c r="IN2" t="e">
        <f>AND('Tn-seq runs'!#REF!,"AAAAAD/W/fc=")</f>
        <v>#REF!</v>
      </c>
      <c r="IO2" t="e">
        <f>AND('Tn-seq runs'!#REF!,"AAAAAD/W/fg=")</f>
        <v>#REF!</v>
      </c>
      <c r="IP2" t="e">
        <f>AND('Tn-seq runs'!#REF!,"AAAAAD/W/fk=")</f>
        <v>#REF!</v>
      </c>
      <c r="IQ2" t="e">
        <f>AND('Tn-seq runs'!#REF!,"AAAAAD/W/fo=")</f>
        <v>#REF!</v>
      </c>
      <c r="IR2" t="e">
        <f>AND('Tn-seq runs'!#REF!,"AAAAAD/W/fs=")</f>
        <v>#REF!</v>
      </c>
      <c r="IS2" t="e">
        <f>AND('Tn-seq runs'!#REF!,"AAAAAD/W/fw=")</f>
        <v>#REF!</v>
      </c>
      <c r="IT2" t="e">
        <f>AND('Tn-seq runs'!#REF!,"AAAAAD/W/f0=")</f>
        <v>#REF!</v>
      </c>
      <c r="IU2" t="e">
        <f>AND('Tn-seq runs'!#REF!,"AAAAAD/W/f4=")</f>
        <v>#REF!</v>
      </c>
      <c r="IV2" t="e">
        <f>AND('Tn-seq runs'!#REF!,"AAAAAD/W/f8=")</f>
        <v>#REF!</v>
      </c>
    </row>
    <row r="3" spans="1:256" x14ac:dyDescent="0.25">
      <c r="A3" t="e">
        <f>AND('Tn-seq runs'!#REF!,"AAAAAFb3MgA=")</f>
        <v>#REF!</v>
      </c>
      <c r="B3" t="e">
        <f>AND('Tn-seq runs'!#REF!,"AAAAAFb3MgE=")</f>
        <v>#REF!</v>
      </c>
      <c r="C3" t="e">
        <f>AND('Tn-seq runs'!#REF!,"AAAAAFb3MgI=")</f>
        <v>#REF!</v>
      </c>
      <c r="D3" t="e">
        <f>AND('Tn-seq runs'!#REF!,"AAAAAFb3MgM=")</f>
        <v>#REF!</v>
      </c>
      <c r="E3" t="e">
        <f>AND('Tn-seq runs'!#REF!,"AAAAAFb3MgQ=")</f>
        <v>#REF!</v>
      </c>
      <c r="F3" t="e">
        <f>AND('Tn-seq runs'!#REF!,"AAAAAFb3MgU=")</f>
        <v>#REF!</v>
      </c>
      <c r="G3" t="e">
        <f>AND('Tn-seq runs'!#REF!,"AAAAAFb3MgY=")</f>
        <v>#REF!</v>
      </c>
      <c r="H3" t="e">
        <f>AND('Tn-seq runs'!#REF!,"AAAAAFb3Mgc=")</f>
        <v>#REF!</v>
      </c>
      <c r="I3" t="e">
        <f>AND('Tn-seq runs'!#REF!,"AAAAAFb3Mgg=")</f>
        <v>#REF!</v>
      </c>
      <c r="J3" t="e">
        <f>AND('Tn-seq runs'!#REF!,"AAAAAFb3Mgk=")</f>
        <v>#REF!</v>
      </c>
      <c r="K3" t="e">
        <f>AND('Tn-seq runs'!#REF!,"AAAAAFb3Mgo=")</f>
        <v>#REF!</v>
      </c>
      <c r="L3" t="e">
        <f>AND('Tn-seq runs'!#REF!,"AAAAAFb3Mgs=")</f>
        <v>#REF!</v>
      </c>
      <c r="M3" t="e">
        <f>AND('Tn-seq runs'!#REF!,"AAAAAFb3Mgw=")</f>
        <v>#REF!</v>
      </c>
      <c r="N3">
        <f>IF('Tn-seq runs'!12:12,"AAAAAFb3Mg0=",0)</f>
        <v>0</v>
      </c>
      <c r="O3" t="e">
        <f>AND('Tn-seq runs'!#REF!,"AAAAAFb3Mg4=")</f>
        <v>#REF!</v>
      </c>
      <c r="P3" t="e">
        <f>AND('Tn-seq runs'!#REF!,"AAAAAFb3Mg8=")</f>
        <v>#REF!</v>
      </c>
      <c r="Q3" t="e">
        <f>AND('Tn-seq runs'!#REF!,"AAAAAFb3MhA=")</f>
        <v>#REF!</v>
      </c>
      <c r="R3" t="e">
        <f>AND('Tn-seq runs'!#REF!,"AAAAAFb3MhE=")</f>
        <v>#REF!</v>
      </c>
      <c r="S3" t="e">
        <f>AND('Tn-seq runs'!#REF!,"AAAAAFb3MhI=")</f>
        <v>#REF!</v>
      </c>
      <c r="T3" t="e">
        <f>AND('Tn-seq runs'!#REF!,"AAAAAFb3MhM=")</f>
        <v>#REF!</v>
      </c>
      <c r="U3" t="e">
        <f>AND('Tn-seq runs'!#REF!,"AAAAAFb3MhQ=")</f>
        <v>#REF!</v>
      </c>
      <c r="V3" t="e">
        <f>AND('Tn-seq runs'!#REF!,"AAAAAFb3MhU=")</f>
        <v>#REF!</v>
      </c>
      <c r="W3" t="e">
        <f>AND('Tn-seq runs'!#REF!,"AAAAAFb3MhY=")</f>
        <v>#REF!</v>
      </c>
      <c r="X3" t="e">
        <f>AND('Tn-seq runs'!#REF!,"AAAAAFb3Mhc=")</f>
        <v>#REF!</v>
      </c>
      <c r="Y3" t="e">
        <f>AND('Tn-seq runs'!#REF!,"AAAAAFb3Mhg=")</f>
        <v>#REF!</v>
      </c>
      <c r="Z3" t="e">
        <f>AND('Tn-seq runs'!#REF!,"AAAAAFb3Mhk=")</f>
        <v>#REF!</v>
      </c>
      <c r="AA3" t="e">
        <f>AND('Tn-seq runs'!#REF!,"AAAAAFb3Mho=")</f>
        <v>#REF!</v>
      </c>
      <c r="AB3" t="e">
        <f>AND('Tn-seq runs'!#REF!,"AAAAAFb3Mhs=")</f>
        <v>#REF!</v>
      </c>
      <c r="AC3" t="e">
        <f>AND('Tn-seq runs'!#REF!,"AAAAAFb3Mhw=")</f>
        <v>#REF!</v>
      </c>
      <c r="AD3" t="e">
        <f>AND('Tn-seq runs'!#REF!,"AAAAAFb3Mh0=")</f>
        <v>#REF!</v>
      </c>
      <c r="AE3" t="e">
        <f>AND('Tn-seq runs'!#REF!,"AAAAAFb3Mh4=")</f>
        <v>#REF!</v>
      </c>
      <c r="AF3" t="e">
        <f>AND('Tn-seq runs'!#REF!,"AAAAAFb3Mh8=")</f>
        <v>#REF!</v>
      </c>
      <c r="AG3" t="e">
        <f>AND('Tn-seq runs'!#REF!,"AAAAAFb3MiA=")</f>
        <v>#REF!</v>
      </c>
      <c r="AH3" t="e">
        <f>AND('Tn-seq runs'!#REF!,"AAAAAFb3MiE=")</f>
        <v>#REF!</v>
      </c>
      <c r="AI3" t="e">
        <f>AND('Tn-seq runs'!#REF!,"AAAAAFb3MiI=")</f>
        <v>#REF!</v>
      </c>
      <c r="AJ3" t="e">
        <f>AND('Tn-seq runs'!#REF!,"AAAAAFb3MiM=")</f>
        <v>#REF!</v>
      </c>
      <c r="AK3" t="e">
        <f>AND('Tn-seq runs'!#REF!,"AAAAAFb3MiQ=")</f>
        <v>#REF!</v>
      </c>
      <c r="AL3" t="e">
        <f>AND('Tn-seq runs'!#REF!,"AAAAAFb3MiU=")</f>
        <v>#REF!</v>
      </c>
      <c r="AM3" t="e">
        <f>AND('Tn-seq runs'!#REF!,"AAAAAFb3MiY=")</f>
        <v>#REF!</v>
      </c>
      <c r="AN3" t="e">
        <f>AND('Tn-seq runs'!#REF!,"AAAAAFb3Mic=")</f>
        <v>#REF!</v>
      </c>
      <c r="AO3" t="e">
        <f>AND('Tn-seq runs'!#REF!,"AAAAAFb3Mig=")</f>
        <v>#REF!</v>
      </c>
      <c r="AP3" t="e">
        <f>AND('Tn-seq runs'!#REF!,"AAAAAFb3Mik=")</f>
        <v>#REF!</v>
      </c>
      <c r="AQ3" t="e">
        <f>AND('Tn-seq runs'!#REF!,"AAAAAFb3Mio=")</f>
        <v>#REF!</v>
      </c>
      <c r="AR3" t="e">
        <f>AND('Tn-seq runs'!#REF!,"AAAAAFb3Mis=")</f>
        <v>#REF!</v>
      </c>
      <c r="AS3" t="e">
        <f>AND('Tn-seq runs'!#REF!,"AAAAAFb3Miw=")</f>
        <v>#REF!</v>
      </c>
      <c r="AT3" t="e">
        <f>AND('Tn-seq runs'!#REF!,"AAAAAFb3Mi0=")</f>
        <v>#REF!</v>
      </c>
      <c r="AU3" t="e">
        <f>AND('Tn-seq runs'!#REF!,"AAAAAFb3Mi4=")</f>
        <v>#REF!</v>
      </c>
      <c r="AV3" t="e">
        <f>AND('Tn-seq runs'!#REF!,"AAAAAFb3Mi8=")</f>
        <v>#REF!</v>
      </c>
      <c r="AW3">
        <f>IF('Tn-seq runs'!13:13,"AAAAAFb3MjA=",0)</f>
        <v>0</v>
      </c>
      <c r="AX3" t="e">
        <f>AND('Tn-seq runs'!#REF!,"AAAAAFb3MjE=")</f>
        <v>#REF!</v>
      </c>
      <c r="AY3" t="e">
        <f>AND('Tn-seq runs'!#REF!,"AAAAAFb3MjI=")</f>
        <v>#REF!</v>
      </c>
      <c r="AZ3" t="e">
        <f>AND('Tn-seq runs'!#REF!,"AAAAAFb3MjM=")</f>
        <v>#REF!</v>
      </c>
      <c r="BA3" t="e">
        <f>AND('Tn-seq runs'!#REF!,"AAAAAFb3MjQ=")</f>
        <v>#REF!</v>
      </c>
      <c r="BB3" t="e">
        <f>AND('Tn-seq runs'!#REF!,"AAAAAFb3MjU=")</f>
        <v>#REF!</v>
      </c>
      <c r="BC3" t="e">
        <f>AND('Tn-seq runs'!#REF!,"AAAAAFb3MjY=")</f>
        <v>#REF!</v>
      </c>
      <c r="BD3" t="e">
        <f>AND('Tn-seq runs'!#REF!,"AAAAAFb3Mjc=")</f>
        <v>#REF!</v>
      </c>
      <c r="BE3" t="e">
        <f>AND('Tn-seq runs'!#REF!,"AAAAAFb3Mjg=")</f>
        <v>#REF!</v>
      </c>
      <c r="BF3" t="e">
        <f>AND('Tn-seq runs'!#REF!,"AAAAAFb3Mjk=")</f>
        <v>#REF!</v>
      </c>
      <c r="BG3" t="e">
        <f>AND('Tn-seq runs'!#REF!,"AAAAAFb3Mjo=")</f>
        <v>#REF!</v>
      </c>
      <c r="BH3" t="e">
        <f>AND('Tn-seq runs'!#REF!,"AAAAAFb3Mjs=")</f>
        <v>#REF!</v>
      </c>
      <c r="BI3" t="e">
        <f>AND('Tn-seq runs'!#REF!,"AAAAAFb3Mjw=")</f>
        <v>#REF!</v>
      </c>
      <c r="BJ3" t="e">
        <f>AND('Tn-seq runs'!#REF!,"AAAAAFb3Mj0=")</f>
        <v>#REF!</v>
      </c>
      <c r="BK3" t="e">
        <f>AND('Tn-seq runs'!#REF!,"AAAAAFb3Mj4=")</f>
        <v>#REF!</v>
      </c>
      <c r="BL3" t="e">
        <f>AND('Tn-seq runs'!#REF!,"AAAAAFb3Mj8=")</f>
        <v>#REF!</v>
      </c>
      <c r="BM3" t="e">
        <f>AND('Tn-seq runs'!#REF!,"AAAAAFb3MkA=")</f>
        <v>#REF!</v>
      </c>
      <c r="BN3" t="e">
        <f>AND('Tn-seq runs'!#REF!,"AAAAAFb3MkE=")</f>
        <v>#REF!</v>
      </c>
      <c r="BO3" t="e">
        <f>AND('Tn-seq runs'!#REF!,"AAAAAFb3MkI=")</f>
        <v>#REF!</v>
      </c>
      <c r="BP3" t="e">
        <f>AND('Tn-seq runs'!#REF!,"AAAAAFb3MkM=")</f>
        <v>#REF!</v>
      </c>
      <c r="BQ3" t="e">
        <f>AND('Tn-seq runs'!#REF!,"AAAAAFb3MkQ=")</f>
        <v>#REF!</v>
      </c>
      <c r="BR3" t="e">
        <f>AND('Tn-seq runs'!#REF!,"AAAAAFb3MkU=")</f>
        <v>#REF!</v>
      </c>
      <c r="BS3" t="e">
        <f>AND('Tn-seq runs'!#REF!,"AAAAAFb3MkY=")</f>
        <v>#REF!</v>
      </c>
      <c r="BT3" t="e">
        <f>AND('Tn-seq runs'!#REF!,"AAAAAFb3Mkc=")</f>
        <v>#REF!</v>
      </c>
      <c r="BU3" t="e">
        <f>AND('Tn-seq runs'!#REF!,"AAAAAFb3Mkg=")</f>
        <v>#REF!</v>
      </c>
      <c r="BV3" t="e">
        <f>AND('Tn-seq runs'!#REF!,"AAAAAFb3Mkk=")</f>
        <v>#REF!</v>
      </c>
      <c r="BW3" t="e">
        <f>AND('Tn-seq runs'!#REF!,"AAAAAFb3Mko=")</f>
        <v>#REF!</v>
      </c>
      <c r="BX3" t="e">
        <f>AND('Tn-seq runs'!#REF!,"AAAAAFb3Mks=")</f>
        <v>#REF!</v>
      </c>
      <c r="BY3" t="e">
        <f>AND('Tn-seq runs'!#REF!,"AAAAAFb3Mkw=")</f>
        <v>#REF!</v>
      </c>
      <c r="BZ3" t="e">
        <f>AND('Tn-seq runs'!#REF!,"AAAAAFb3Mk0=")</f>
        <v>#REF!</v>
      </c>
      <c r="CA3" t="e">
        <f>AND('Tn-seq runs'!#REF!,"AAAAAFb3Mk4=")</f>
        <v>#REF!</v>
      </c>
      <c r="CB3" t="e">
        <f>AND('Tn-seq runs'!#REF!,"AAAAAFb3Mk8=")</f>
        <v>#REF!</v>
      </c>
      <c r="CC3" t="e">
        <f>AND('Tn-seq runs'!#REF!,"AAAAAFb3MlA=")</f>
        <v>#REF!</v>
      </c>
      <c r="CD3" t="e">
        <f>AND('Tn-seq runs'!#REF!,"AAAAAFb3MlE=")</f>
        <v>#REF!</v>
      </c>
      <c r="CE3" t="e">
        <f>AND('Tn-seq runs'!#REF!,"AAAAAFb3MlI=")</f>
        <v>#REF!</v>
      </c>
      <c r="CF3">
        <f>IF('Tn-seq runs'!14:14,"AAAAAFb3MlM=",0)</f>
        <v>0</v>
      </c>
      <c r="CG3" t="e">
        <f>AND('Tn-seq runs'!#REF!,"AAAAAFb3MlQ=")</f>
        <v>#REF!</v>
      </c>
      <c r="CH3" t="e">
        <f>AND('Tn-seq runs'!#REF!,"AAAAAFb3MlU=")</f>
        <v>#REF!</v>
      </c>
      <c r="CI3" t="e">
        <f>AND('Tn-seq runs'!#REF!,"AAAAAFb3MlY=")</f>
        <v>#REF!</v>
      </c>
      <c r="CJ3" t="e">
        <f>AND('Tn-seq runs'!#REF!,"AAAAAFb3Mlc=")</f>
        <v>#REF!</v>
      </c>
      <c r="CK3" t="e">
        <f>AND('Tn-seq runs'!#REF!,"AAAAAFb3Mlg=")</f>
        <v>#REF!</v>
      </c>
      <c r="CL3" t="e">
        <f>AND('Tn-seq runs'!#REF!,"AAAAAFb3Mlk=")</f>
        <v>#REF!</v>
      </c>
      <c r="CM3" t="e">
        <f>AND('Tn-seq runs'!#REF!,"AAAAAFb3Mlo=")</f>
        <v>#REF!</v>
      </c>
      <c r="CN3" t="e">
        <f>AND('Tn-seq runs'!#REF!,"AAAAAFb3Mls=")</f>
        <v>#REF!</v>
      </c>
      <c r="CO3" t="e">
        <f>AND('Tn-seq runs'!#REF!,"AAAAAFb3Mlw=")</f>
        <v>#REF!</v>
      </c>
      <c r="CP3" t="e">
        <f>AND('Tn-seq runs'!#REF!,"AAAAAFb3Ml0=")</f>
        <v>#REF!</v>
      </c>
      <c r="CQ3" t="e">
        <f>AND('Tn-seq runs'!#REF!,"AAAAAFb3Ml4=")</f>
        <v>#REF!</v>
      </c>
      <c r="CR3" t="e">
        <f>AND('Tn-seq runs'!#REF!,"AAAAAFb3Ml8=")</f>
        <v>#REF!</v>
      </c>
      <c r="CS3" t="e">
        <f>AND('Tn-seq runs'!#REF!,"AAAAAFb3MmA=")</f>
        <v>#REF!</v>
      </c>
      <c r="CT3" t="e">
        <f>AND('Tn-seq runs'!#REF!,"AAAAAFb3MmE=")</f>
        <v>#REF!</v>
      </c>
      <c r="CU3" t="e">
        <f>AND('Tn-seq runs'!#REF!,"AAAAAFb3MmI=")</f>
        <v>#REF!</v>
      </c>
      <c r="CV3" t="e">
        <f>AND('Tn-seq runs'!#REF!,"AAAAAFb3MmM=")</f>
        <v>#REF!</v>
      </c>
      <c r="CW3" t="e">
        <f>AND('Tn-seq runs'!#REF!,"AAAAAFb3MmQ=")</f>
        <v>#REF!</v>
      </c>
      <c r="CX3" t="e">
        <f>AND('Tn-seq runs'!#REF!,"AAAAAFb3MmU=")</f>
        <v>#REF!</v>
      </c>
      <c r="CY3" t="e">
        <f>AND('Tn-seq runs'!#REF!,"AAAAAFb3MmY=")</f>
        <v>#REF!</v>
      </c>
      <c r="CZ3" t="e">
        <f>AND('Tn-seq runs'!#REF!,"AAAAAFb3Mmc=")</f>
        <v>#REF!</v>
      </c>
      <c r="DA3" t="e">
        <f>AND('Tn-seq runs'!#REF!,"AAAAAFb3Mmg=")</f>
        <v>#REF!</v>
      </c>
      <c r="DB3" t="e">
        <f>AND('Tn-seq runs'!#REF!,"AAAAAFb3Mmk=")</f>
        <v>#REF!</v>
      </c>
      <c r="DC3" t="e">
        <f>AND('Tn-seq runs'!#REF!,"AAAAAFb3Mmo=")</f>
        <v>#REF!</v>
      </c>
      <c r="DD3" t="e">
        <f>AND('Tn-seq runs'!#REF!,"AAAAAFb3Mms=")</f>
        <v>#REF!</v>
      </c>
      <c r="DE3" t="e">
        <f>AND('Tn-seq runs'!#REF!,"AAAAAFb3Mmw=")</f>
        <v>#REF!</v>
      </c>
      <c r="DF3" t="e">
        <f>AND('Tn-seq runs'!#REF!,"AAAAAFb3Mm0=")</f>
        <v>#REF!</v>
      </c>
      <c r="DG3" t="e">
        <f>AND('Tn-seq runs'!#REF!,"AAAAAFb3Mm4=")</f>
        <v>#REF!</v>
      </c>
      <c r="DH3" t="e">
        <f>AND('Tn-seq runs'!#REF!,"AAAAAFb3Mm8=")</f>
        <v>#REF!</v>
      </c>
      <c r="DI3" t="e">
        <f>AND('Tn-seq runs'!#REF!,"AAAAAFb3MnA=")</f>
        <v>#REF!</v>
      </c>
      <c r="DJ3" t="e">
        <f>AND('Tn-seq runs'!#REF!,"AAAAAFb3MnE=")</f>
        <v>#REF!</v>
      </c>
      <c r="DK3" t="e">
        <f>AND('Tn-seq runs'!#REF!,"AAAAAFb3MnI=")</f>
        <v>#REF!</v>
      </c>
      <c r="DL3" t="e">
        <f>AND('Tn-seq runs'!#REF!,"AAAAAFb3MnM=")</f>
        <v>#REF!</v>
      </c>
      <c r="DM3" t="e">
        <f>AND('Tn-seq runs'!#REF!,"AAAAAFb3MnQ=")</f>
        <v>#REF!</v>
      </c>
      <c r="DN3" t="e">
        <f>AND('Tn-seq runs'!#REF!,"AAAAAFb3MnU=")</f>
        <v>#REF!</v>
      </c>
      <c r="DO3">
        <f>IF('Tn-seq runs'!15:15,"AAAAAFb3MnY=",0)</f>
        <v>0</v>
      </c>
      <c r="DP3" t="e">
        <f>AND('Tn-seq runs'!#REF!,"AAAAAFb3Mnc=")</f>
        <v>#REF!</v>
      </c>
      <c r="DQ3" t="e">
        <f>AND('Tn-seq runs'!#REF!,"AAAAAFb3Mng=")</f>
        <v>#REF!</v>
      </c>
      <c r="DR3" t="e">
        <f>AND('Tn-seq runs'!#REF!,"AAAAAFb3Mnk=")</f>
        <v>#REF!</v>
      </c>
      <c r="DS3" t="e">
        <f>AND('Tn-seq runs'!#REF!,"AAAAAFb3Mno=")</f>
        <v>#REF!</v>
      </c>
      <c r="DT3" t="e">
        <f>AND('Tn-seq runs'!#REF!,"AAAAAFb3Mns=")</f>
        <v>#REF!</v>
      </c>
      <c r="DU3" t="e">
        <f>AND('Tn-seq runs'!#REF!,"AAAAAFb3Mnw=")</f>
        <v>#REF!</v>
      </c>
      <c r="DV3" t="e">
        <f>AND('Tn-seq runs'!#REF!,"AAAAAFb3Mn0=")</f>
        <v>#REF!</v>
      </c>
      <c r="DW3" t="e">
        <f>AND('Tn-seq runs'!#REF!,"AAAAAFb3Mn4=")</f>
        <v>#REF!</v>
      </c>
      <c r="DX3" t="e">
        <f>AND('Tn-seq runs'!#REF!,"AAAAAFb3Mn8=")</f>
        <v>#REF!</v>
      </c>
      <c r="DY3" t="e">
        <f>AND('Tn-seq runs'!#REF!,"AAAAAFb3MoA=")</f>
        <v>#REF!</v>
      </c>
      <c r="DZ3" t="e">
        <f>AND('Tn-seq runs'!#REF!,"AAAAAFb3MoE=")</f>
        <v>#REF!</v>
      </c>
      <c r="EA3" t="e">
        <f>AND('Tn-seq runs'!#REF!,"AAAAAFb3MoI=")</f>
        <v>#REF!</v>
      </c>
      <c r="EB3" t="e">
        <f>AND('Tn-seq runs'!#REF!,"AAAAAFb3MoM=")</f>
        <v>#REF!</v>
      </c>
      <c r="EC3" t="e">
        <f>AND('Tn-seq runs'!#REF!,"AAAAAFb3MoQ=")</f>
        <v>#REF!</v>
      </c>
      <c r="ED3" t="e">
        <f>AND('Tn-seq runs'!#REF!,"AAAAAFb3MoU=")</f>
        <v>#REF!</v>
      </c>
      <c r="EE3" t="e">
        <f>AND('Tn-seq runs'!#REF!,"AAAAAFb3MoY=")</f>
        <v>#REF!</v>
      </c>
      <c r="EF3" t="e">
        <f>AND('Tn-seq runs'!#REF!,"AAAAAFb3Moc=")</f>
        <v>#REF!</v>
      </c>
      <c r="EG3" t="e">
        <f>AND('Tn-seq runs'!#REF!,"AAAAAFb3Mog=")</f>
        <v>#REF!</v>
      </c>
      <c r="EH3" t="e">
        <f>AND('Tn-seq runs'!#REF!,"AAAAAFb3Mok=")</f>
        <v>#REF!</v>
      </c>
      <c r="EI3" t="e">
        <f>AND('Tn-seq runs'!#REF!,"AAAAAFb3Moo=")</f>
        <v>#REF!</v>
      </c>
      <c r="EJ3" t="e">
        <f>AND('Tn-seq runs'!#REF!,"AAAAAFb3Mos=")</f>
        <v>#REF!</v>
      </c>
      <c r="EK3" t="e">
        <f>AND('Tn-seq runs'!#REF!,"AAAAAFb3Mow=")</f>
        <v>#REF!</v>
      </c>
      <c r="EL3" t="e">
        <f>AND('Tn-seq runs'!#REF!,"AAAAAFb3Mo0=")</f>
        <v>#REF!</v>
      </c>
      <c r="EM3" t="e">
        <f>AND('Tn-seq runs'!#REF!,"AAAAAFb3Mo4=")</f>
        <v>#REF!</v>
      </c>
      <c r="EN3" t="e">
        <f>AND('Tn-seq runs'!#REF!,"AAAAAFb3Mo8=")</f>
        <v>#REF!</v>
      </c>
      <c r="EO3" t="e">
        <f>AND('Tn-seq runs'!#REF!,"AAAAAFb3MpA=")</f>
        <v>#REF!</v>
      </c>
      <c r="EP3" t="e">
        <f>AND('Tn-seq runs'!#REF!,"AAAAAFb3MpE=")</f>
        <v>#REF!</v>
      </c>
      <c r="EQ3" t="e">
        <f>AND('Tn-seq runs'!#REF!,"AAAAAFb3MpI=")</f>
        <v>#REF!</v>
      </c>
      <c r="ER3" t="e">
        <f>AND('Tn-seq runs'!#REF!,"AAAAAFb3MpM=")</f>
        <v>#REF!</v>
      </c>
      <c r="ES3" t="e">
        <f>AND('Tn-seq runs'!#REF!,"AAAAAFb3MpQ=")</f>
        <v>#REF!</v>
      </c>
      <c r="ET3" t="e">
        <f>AND('Tn-seq runs'!#REF!,"AAAAAFb3MpU=")</f>
        <v>#REF!</v>
      </c>
      <c r="EU3" t="e">
        <f>AND('Tn-seq runs'!#REF!,"AAAAAFb3MpY=")</f>
        <v>#REF!</v>
      </c>
      <c r="EV3" t="e">
        <f>AND('Tn-seq runs'!#REF!,"AAAAAFb3Mpc=")</f>
        <v>#REF!</v>
      </c>
      <c r="EW3" t="e">
        <f>AND('Tn-seq runs'!#REF!,"AAAAAFb3Mpg=")</f>
        <v>#REF!</v>
      </c>
      <c r="EX3">
        <f>IF('Tn-seq runs'!16:16,"AAAAAFb3Mpk=",0)</f>
        <v>0</v>
      </c>
      <c r="EY3" t="e">
        <f>AND('Tn-seq runs'!#REF!,"AAAAAFb3Mpo=")</f>
        <v>#REF!</v>
      </c>
      <c r="EZ3" t="e">
        <f>AND('Tn-seq runs'!#REF!,"AAAAAFb3Mps=")</f>
        <v>#REF!</v>
      </c>
      <c r="FA3" t="e">
        <f>AND('Tn-seq runs'!#REF!,"AAAAAFb3Mpw=")</f>
        <v>#REF!</v>
      </c>
      <c r="FB3" t="e">
        <f>AND('Tn-seq runs'!#REF!,"AAAAAFb3Mp0=")</f>
        <v>#REF!</v>
      </c>
      <c r="FC3" t="e">
        <f>AND('Tn-seq runs'!#REF!,"AAAAAFb3Mp4=")</f>
        <v>#REF!</v>
      </c>
      <c r="FD3" t="e">
        <f>AND('Tn-seq runs'!#REF!,"AAAAAFb3Mp8=")</f>
        <v>#REF!</v>
      </c>
      <c r="FE3" t="e">
        <f>AND('Tn-seq runs'!#REF!,"AAAAAFb3MqA=")</f>
        <v>#REF!</v>
      </c>
      <c r="FF3" t="e">
        <f>AND('Tn-seq runs'!#REF!,"AAAAAFb3MqE=")</f>
        <v>#REF!</v>
      </c>
      <c r="FG3" t="e">
        <f>AND('Tn-seq runs'!#REF!,"AAAAAFb3MqI=")</f>
        <v>#REF!</v>
      </c>
      <c r="FH3" t="e">
        <f>AND('Tn-seq runs'!#REF!,"AAAAAFb3MqM=")</f>
        <v>#REF!</v>
      </c>
      <c r="FI3" t="e">
        <f>AND('Tn-seq runs'!#REF!,"AAAAAFb3MqQ=")</f>
        <v>#REF!</v>
      </c>
      <c r="FJ3" t="e">
        <f>AND('Tn-seq runs'!#REF!,"AAAAAFb3MqU=")</f>
        <v>#REF!</v>
      </c>
      <c r="FK3" t="e">
        <f>AND('Tn-seq runs'!#REF!,"AAAAAFb3MqY=")</f>
        <v>#REF!</v>
      </c>
      <c r="FL3" t="e">
        <f>AND('Tn-seq runs'!#REF!,"AAAAAFb3Mqc=")</f>
        <v>#REF!</v>
      </c>
      <c r="FM3" t="e">
        <f>AND('Tn-seq runs'!#REF!,"AAAAAFb3Mqg=")</f>
        <v>#REF!</v>
      </c>
      <c r="FN3" t="e">
        <f>AND('Tn-seq runs'!#REF!,"AAAAAFb3Mqk=")</f>
        <v>#REF!</v>
      </c>
      <c r="FO3" t="e">
        <f>AND('Tn-seq runs'!#REF!,"AAAAAFb3Mqo=")</f>
        <v>#REF!</v>
      </c>
      <c r="FP3" t="e">
        <f>AND('Tn-seq runs'!#REF!,"AAAAAFb3Mqs=")</f>
        <v>#REF!</v>
      </c>
      <c r="FQ3" t="e">
        <f>AND('Tn-seq runs'!#REF!,"AAAAAFb3Mqw=")</f>
        <v>#REF!</v>
      </c>
      <c r="FR3" t="e">
        <f>AND('Tn-seq runs'!#REF!,"AAAAAFb3Mq0=")</f>
        <v>#REF!</v>
      </c>
      <c r="FS3" t="e">
        <f>AND('Tn-seq runs'!#REF!,"AAAAAFb3Mq4=")</f>
        <v>#REF!</v>
      </c>
      <c r="FT3" t="e">
        <f>AND('Tn-seq runs'!#REF!,"AAAAAFb3Mq8=")</f>
        <v>#REF!</v>
      </c>
      <c r="FU3" t="e">
        <f>AND('Tn-seq runs'!#REF!,"AAAAAFb3MrA=")</f>
        <v>#REF!</v>
      </c>
      <c r="FV3" t="e">
        <f>AND('Tn-seq runs'!#REF!,"AAAAAFb3MrE=")</f>
        <v>#REF!</v>
      </c>
      <c r="FW3" t="e">
        <f>AND('Tn-seq runs'!#REF!,"AAAAAFb3MrI=")</f>
        <v>#REF!</v>
      </c>
      <c r="FX3" t="e">
        <f>AND('Tn-seq runs'!#REF!,"AAAAAFb3MrM=")</f>
        <v>#REF!</v>
      </c>
      <c r="FY3" t="e">
        <f>AND('Tn-seq runs'!#REF!,"AAAAAFb3MrQ=")</f>
        <v>#REF!</v>
      </c>
      <c r="FZ3" t="e">
        <f>AND('Tn-seq runs'!#REF!,"AAAAAFb3MrU=")</f>
        <v>#REF!</v>
      </c>
      <c r="GA3" t="e">
        <f>AND('Tn-seq runs'!#REF!,"AAAAAFb3MrY=")</f>
        <v>#REF!</v>
      </c>
      <c r="GB3" t="e">
        <f>AND('Tn-seq runs'!#REF!,"AAAAAFb3Mrc=")</f>
        <v>#REF!</v>
      </c>
      <c r="GC3" t="e">
        <f>AND('Tn-seq runs'!#REF!,"AAAAAFb3Mrg=")</f>
        <v>#REF!</v>
      </c>
      <c r="GD3" t="e">
        <f>AND('Tn-seq runs'!#REF!,"AAAAAFb3Mrk=")</f>
        <v>#REF!</v>
      </c>
      <c r="GE3" t="e">
        <f>AND('Tn-seq runs'!#REF!,"AAAAAFb3Mro=")</f>
        <v>#REF!</v>
      </c>
      <c r="GF3" t="e">
        <f>AND('Tn-seq runs'!#REF!,"AAAAAFb3Mrs=")</f>
        <v>#REF!</v>
      </c>
      <c r="GG3">
        <f>IF('Tn-seq runs'!17:17,"AAAAAFb3Mrw=",0)</f>
        <v>0</v>
      </c>
      <c r="GH3" t="e">
        <f>AND('Tn-seq runs'!#REF!,"AAAAAFb3Mr0=")</f>
        <v>#REF!</v>
      </c>
      <c r="GI3" t="e">
        <f>AND('Tn-seq runs'!#REF!,"AAAAAFb3Mr4=")</f>
        <v>#REF!</v>
      </c>
      <c r="GJ3" t="e">
        <f>AND('Tn-seq runs'!#REF!,"AAAAAFb3Mr8=")</f>
        <v>#REF!</v>
      </c>
      <c r="GK3" t="e">
        <f>AND('Tn-seq runs'!#REF!,"AAAAAFb3MsA=")</f>
        <v>#REF!</v>
      </c>
      <c r="GL3" t="e">
        <f>AND('Tn-seq runs'!#REF!,"AAAAAFb3MsE=")</f>
        <v>#REF!</v>
      </c>
      <c r="GM3" t="e">
        <f>AND('Tn-seq runs'!#REF!,"AAAAAFb3MsI=")</f>
        <v>#REF!</v>
      </c>
      <c r="GN3" t="e">
        <f>AND('Tn-seq runs'!#REF!,"AAAAAFb3MsM=")</f>
        <v>#REF!</v>
      </c>
      <c r="GO3" t="e">
        <f>AND('Tn-seq runs'!#REF!,"AAAAAFb3MsQ=")</f>
        <v>#REF!</v>
      </c>
      <c r="GP3" t="e">
        <f>AND('Tn-seq runs'!#REF!,"AAAAAFb3MsU=")</f>
        <v>#REF!</v>
      </c>
      <c r="GQ3" t="e">
        <f>AND('Tn-seq runs'!#REF!,"AAAAAFb3MsY=")</f>
        <v>#REF!</v>
      </c>
      <c r="GR3" t="e">
        <f>AND('Tn-seq runs'!#REF!,"AAAAAFb3Msc=")</f>
        <v>#REF!</v>
      </c>
      <c r="GS3" t="e">
        <f>AND('Tn-seq runs'!#REF!,"AAAAAFb3Msg=")</f>
        <v>#REF!</v>
      </c>
      <c r="GT3" t="e">
        <f>AND('Tn-seq runs'!#REF!,"AAAAAFb3Msk=")</f>
        <v>#REF!</v>
      </c>
      <c r="GU3" t="e">
        <f>AND('Tn-seq runs'!#REF!,"AAAAAFb3Mso=")</f>
        <v>#REF!</v>
      </c>
      <c r="GV3" t="e">
        <f>AND('Tn-seq runs'!#REF!,"AAAAAFb3Mss=")</f>
        <v>#REF!</v>
      </c>
      <c r="GW3" t="e">
        <f>AND('Tn-seq runs'!#REF!,"AAAAAFb3Msw=")</f>
        <v>#REF!</v>
      </c>
      <c r="GX3" t="e">
        <f>AND('Tn-seq runs'!#REF!,"AAAAAFb3Ms0=")</f>
        <v>#REF!</v>
      </c>
      <c r="GY3" t="e">
        <f>AND('Tn-seq runs'!#REF!,"AAAAAFb3Ms4=")</f>
        <v>#REF!</v>
      </c>
      <c r="GZ3" t="e">
        <f>AND('Tn-seq runs'!#REF!,"AAAAAFb3Ms8=")</f>
        <v>#REF!</v>
      </c>
      <c r="HA3" t="e">
        <f>AND('Tn-seq runs'!#REF!,"AAAAAFb3MtA=")</f>
        <v>#REF!</v>
      </c>
      <c r="HB3" t="e">
        <f>AND('Tn-seq runs'!#REF!,"AAAAAFb3MtE=")</f>
        <v>#REF!</v>
      </c>
      <c r="HC3" t="e">
        <f>AND('Tn-seq runs'!#REF!,"AAAAAFb3MtI=")</f>
        <v>#REF!</v>
      </c>
      <c r="HD3" t="e">
        <f>AND('Tn-seq runs'!#REF!,"AAAAAFb3MtM=")</f>
        <v>#REF!</v>
      </c>
      <c r="HE3" t="e">
        <f>AND('Tn-seq runs'!#REF!,"AAAAAFb3MtQ=")</f>
        <v>#REF!</v>
      </c>
      <c r="HF3" t="e">
        <f>AND('Tn-seq runs'!#REF!,"AAAAAFb3MtU=")</f>
        <v>#REF!</v>
      </c>
      <c r="HG3" t="e">
        <f>AND('Tn-seq runs'!#REF!,"AAAAAFb3MtY=")</f>
        <v>#REF!</v>
      </c>
      <c r="HH3" t="e">
        <f>AND('Tn-seq runs'!#REF!,"AAAAAFb3Mtc=")</f>
        <v>#REF!</v>
      </c>
      <c r="HI3" t="e">
        <f>AND('Tn-seq runs'!#REF!,"AAAAAFb3Mtg=")</f>
        <v>#REF!</v>
      </c>
      <c r="HJ3" t="e">
        <f>AND('Tn-seq runs'!#REF!,"AAAAAFb3Mtk=")</f>
        <v>#REF!</v>
      </c>
      <c r="HK3" t="e">
        <f>AND('Tn-seq runs'!#REF!,"AAAAAFb3Mto=")</f>
        <v>#REF!</v>
      </c>
      <c r="HL3" t="e">
        <f>AND('Tn-seq runs'!#REF!,"AAAAAFb3Mts=")</f>
        <v>#REF!</v>
      </c>
      <c r="HM3" t="e">
        <f>AND('Tn-seq runs'!#REF!,"AAAAAFb3Mtw=")</f>
        <v>#REF!</v>
      </c>
      <c r="HN3" t="e">
        <f>AND('Tn-seq runs'!#REF!,"AAAAAFb3Mt0=")</f>
        <v>#REF!</v>
      </c>
      <c r="HO3" t="e">
        <f>AND('Tn-seq runs'!#REF!,"AAAAAFb3Mt4=")</f>
        <v>#REF!</v>
      </c>
      <c r="HP3">
        <f>IF('Tn-seq runs'!18:18,"AAAAAFb3Mt8=",0)</f>
        <v>0</v>
      </c>
      <c r="HQ3" t="e">
        <f>AND('Tn-seq runs'!#REF!,"AAAAAFb3MuA=")</f>
        <v>#REF!</v>
      </c>
      <c r="HR3" t="e">
        <f>AND('Tn-seq runs'!#REF!,"AAAAAFb3MuE=")</f>
        <v>#REF!</v>
      </c>
      <c r="HS3" t="e">
        <f>AND('Tn-seq runs'!#REF!,"AAAAAFb3MuI=")</f>
        <v>#REF!</v>
      </c>
      <c r="HT3" t="e">
        <f>AND('Tn-seq runs'!#REF!,"AAAAAFb3MuM=")</f>
        <v>#REF!</v>
      </c>
      <c r="HU3" t="e">
        <f>AND('Tn-seq runs'!#REF!,"AAAAAFb3MuQ=")</f>
        <v>#REF!</v>
      </c>
      <c r="HV3" t="e">
        <f>AND('Tn-seq runs'!#REF!,"AAAAAFb3MuU=")</f>
        <v>#REF!</v>
      </c>
      <c r="HW3" t="e">
        <f>AND('Tn-seq runs'!#REF!,"AAAAAFb3MuY=")</f>
        <v>#REF!</v>
      </c>
      <c r="HX3" t="e">
        <f>AND('Tn-seq runs'!#REF!,"AAAAAFb3Muc=")</f>
        <v>#REF!</v>
      </c>
      <c r="HY3" t="e">
        <f>AND('Tn-seq runs'!#REF!,"AAAAAFb3Mug=")</f>
        <v>#REF!</v>
      </c>
      <c r="HZ3" t="e">
        <f>AND('Tn-seq runs'!#REF!,"AAAAAFb3Muk=")</f>
        <v>#REF!</v>
      </c>
      <c r="IA3" t="e">
        <f>AND('Tn-seq runs'!#REF!,"AAAAAFb3Muo=")</f>
        <v>#REF!</v>
      </c>
      <c r="IB3" t="e">
        <f>AND('Tn-seq runs'!#REF!,"AAAAAFb3Mus=")</f>
        <v>#REF!</v>
      </c>
      <c r="IC3" t="e">
        <f>AND('Tn-seq runs'!#REF!,"AAAAAFb3Muw=")</f>
        <v>#REF!</v>
      </c>
      <c r="ID3" t="e">
        <f>AND('Tn-seq runs'!#REF!,"AAAAAFb3Mu0=")</f>
        <v>#REF!</v>
      </c>
      <c r="IE3" t="e">
        <f>AND('Tn-seq runs'!#REF!,"AAAAAFb3Mu4=")</f>
        <v>#REF!</v>
      </c>
      <c r="IF3" t="e">
        <f>AND('Tn-seq runs'!#REF!,"AAAAAFb3Mu8=")</f>
        <v>#REF!</v>
      </c>
      <c r="IG3" t="e">
        <f>AND('Tn-seq runs'!#REF!,"AAAAAFb3MvA=")</f>
        <v>#REF!</v>
      </c>
      <c r="IH3" t="e">
        <f>AND('Tn-seq runs'!#REF!,"AAAAAFb3MvE=")</f>
        <v>#REF!</v>
      </c>
      <c r="II3" t="e">
        <f>AND('Tn-seq runs'!#REF!,"AAAAAFb3MvI=")</f>
        <v>#REF!</v>
      </c>
      <c r="IJ3" t="e">
        <f>AND('Tn-seq runs'!#REF!,"AAAAAFb3MvM=")</f>
        <v>#REF!</v>
      </c>
      <c r="IK3" t="e">
        <f>AND('Tn-seq runs'!#REF!,"AAAAAFb3MvQ=")</f>
        <v>#REF!</v>
      </c>
      <c r="IL3" t="e">
        <f>AND('Tn-seq runs'!#REF!,"AAAAAFb3MvU=")</f>
        <v>#REF!</v>
      </c>
      <c r="IM3" t="e">
        <f>AND('Tn-seq runs'!#REF!,"AAAAAFb3MvY=")</f>
        <v>#REF!</v>
      </c>
      <c r="IN3" t="e">
        <f>AND('Tn-seq runs'!#REF!,"AAAAAFb3Mvc=")</f>
        <v>#REF!</v>
      </c>
      <c r="IO3" t="e">
        <f>AND('Tn-seq runs'!#REF!,"AAAAAFb3Mvg=")</f>
        <v>#REF!</v>
      </c>
      <c r="IP3" t="e">
        <f>AND('Tn-seq runs'!#REF!,"AAAAAFb3Mvk=")</f>
        <v>#REF!</v>
      </c>
      <c r="IQ3" t="e">
        <f>AND('Tn-seq runs'!#REF!,"AAAAAFb3Mvo=")</f>
        <v>#REF!</v>
      </c>
      <c r="IR3" t="e">
        <f>AND('Tn-seq runs'!#REF!,"AAAAAFb3Mvs=")</f>
        <v>#REF!</v>
      </c>
      <c r="IS3" t="e">
        <f>AND('Tn-seq runs'!#REF!,"AAAAAFb3Mvw=")</f>
        <v>#REF!</v>
      </c>
      <c r="IT3" t="e">
        <f>AND('Tn-seq runs'!#REF!,"AAAAAFb3Mv0=")</f>
        <v>#REF!</v>
      </c>
      <c r="IU3" t="e">
        <f>AND('Tn-seq runs'!#REF!,"AAAAAFb3Mv4=")</f>
        <v>#REF!</v>
      </c>
      <c r="IV3" t="e">
        <f>AND('Tn-seq runs'!#REF!,"AAAAAFb3Mv8=")</f>
        <v>#REF!</v>
      </c>
    </row>
    <row r="4" spans="1:256" x14ac:dyDescent="0.25">
      <c r="A4" t="e">
        <f>AND('Tn-seq runs'!#REF!,"AAAAAF/1vAA=")</f>
        <v>#REF!</v>
      </c>
      <c r="B4" t="e">
        <f>AND('Tn-seq runs'!#REF!,"AAAAAF/1vAE=")</f>
        <v>#REF!</v>
      </c>
      <c r="C4" t="e">
        <f>IF('Tn-seq runs'!19:19,"AAAAAF/1vAI=",0)</f>
        <v>#VALUE!</v>
      </c>
      <c r="D4" t="e">
        <f>AND('Tn-seq runs'!#REF!,"AAAAAF/1vAM=")</f>
        <v>#REF!</v>
      </c>
      <c r="E4" t="e">
        <f>AND('Tn-seq runs'!#REF!,"AAAAAF/1vAQ=")</f>
        <v>#REF!</v>
      </c>
      <c r="F4" t="e">
        <f>AND('Tn-seq runs'!#REF!,"AAAAAF/1vAU=")</f>
        <v>#REF!</v>
      </c>
      <c r="G4" t="e">
        <f>AND('Tn-seq runs'!#REF!,"AAAAAF/1vAY=")</f>
        <v>#REF!</v>
      </c>
      <c r="H4" t="e">
        <f>AND('Tn-seq runs'!#REF!,"AAAAAF/1vAc=")</f>
        <v>#REF!</v>
      </c>
      <c r="I4" t="e">
        <f>AND('Tn-seq runs'!#REF!,"AAAAAF/1vAg=")</f>
        <v>#REF!</v>
      </c>
      <c r="J4" t="e">
        <f>AND('Tn-seq runs'!#REF!,"AAAAAF/1vAk=")</f>
        <v>#REF!</v>
      </c>
      <c r="K4" t="e">
        <f>AND('Tn-seq runs'!#REF!,"AAAAAF/1vAo=")</f>
        <v>#REF!</v>
      </c>
      <c r="L4" t="e">
        <f>AND('Tn-seq runs'!#REF!,"AAAAAF/1vAs=")</f>
        <v>#REF!</v>
      </c>
      <c r="M4" t="e">
        <f>AND('Tn-seq runs'!#REF!,"AAAAAF/1vAw=")</f>
        <v>#REF!</v>
      </c>
      <c r="N4" t="e">
        <f>AND('Tn-seq runs'!#REF!,"AAAAAF/1vA0=")</f>
        <v>#REF!</v>
      </c>
      <c r="O4" t="e">
        <f>AND('Tn-seq runs'!#REF!,"AAAAAF/1vA4=")</f>
        <v>#REF!</v>
      </c>
      <c r="P4" t="e">
        <f>AND('Tn-seq runs'!#REF!,"AAAAAF/1vA8=")</f>
        <v>#REF!</v>
      </c>
      <c r="Q4" t="e">
        <f>AND('Tn-seq runs'!#REF!,"AAAAAF/1vBA=")</f>
        <v>#REF!</v>
      </c>
      <c r="R4" t="e">
        <f>AND('Tn-seq runs'!#REF!,"AAAAAF/1vBE=")</f>
        <v>#REF!</v>
      </c>
      <c r="S4" t="e">
        <f>AND('Tn-seq runs'!#REF!,"AAAAAF/1vBI=")</f>
        <v>#REF!</v>
      </c>
      <c r="T4" t="e">
        <f>AND('Tn-seq runs'!#REF!,"AAAAAF/1vBM=")</f>
        <v>#REF!</v>
      </c>
      <c r="U4" t="e">
        <f>AND('Tn-seq runs'!#REF!,"AAAAAF/1vBQ=")</f>
        <v>#REF!</v>
      </c>
      <c r="V4" t="e">
        <f>AND('Tn-seq runs'!#REF!,"AAAAAF/1vBU=")</f>
        <v>#REF!</v>
      </c>
      <c r="W4" t="e">
        <f>AND('Tn-seq runs'!#REF!,"AAAAAF/1vBY=")</f>
        <v>#REF!</v>
      </c>
      <c r="X4" t="e">
        <f>AND('Tn-seq runs'!#REF!,"AAAAAF/1vBc=")</f>
        <v>#REF!</v>
      </c>
      <c r="Y4" t="e">
        <f>AND('Tn-seq runs'!#REF!,"AAAAAF/1vBg=")</f>
        <v>#REF!</v>
      </c>
      <c r="Z4" t="e">
        <f>AND('Tn-seq runs'!#REF!,"AAAAAF/1vBk=")</f>
        <v>#REF!</v>
      </c>
      <c r="AA4" t="e">
        <f>AND('Tn-seq runs'!#REF!,"AAAAAF/1vBo=")</f>
        <v>#REF!</v>
      </c>
      <c r="AB4" t="e">
        <f>AND('Tn-seq runs'!#REF!,"AAAAAF/1vBs=")</f>
        <v>#REF!</v>
      </c>
      <c r="AC4" t="e">
        <f>AND('Tn-seq runs'!#REF!,"AAAAAF/1vBw=")</f>
        <v>#REF!</v>
      </c>
      <c r="AD4" t="e">
        <f>AND('Tn-seq runs'!#REF!,"AAAAAF/1vB0=")</f>
        <v>#REF!</v>
      </c>
      <c r="AE4" t="e">
        <f>AND('Tn-seq runs'!#REF!,"AAAAAF/1vB4=")</f>
        <v>#REF!</v>
      </c>
      <c r="AF4" t="e">
        <f>AND('Tn-seq runs'!#REF!,"AAAAAF/1vB8=")</f>
        <v>#REF!</v>
      </c>
      <c r="AG4" t="e">
        <f>AND('Tn-seq runs'!#REF!,"AAAAAF/1vCA=")</f>
        <v>#REF!</v>
      </c>
      <c r="AH4" t="e">
        <f>AND('Tn-seq runs'!#REF!,"AAAAAF/1vCE=")</f>
        <v>#REF!</v>
      </c>
      <c r="AI4" t="e">
        <f>AND('Tn-seq runs'!#REF!,"AAAAAF/1vCI=")</f>
        <v>#REF!</v>
      </c>
      <c r="AJ4" t="e">
        <f>AND('Tn-seq runs'!#REF!,"AAAAAF/1vCM=")</f>
        <v>#REF!</v>
      </c>
      <c r="AK4" t="e">
        <f>AND('Tn-seq runs'!#REF!,"AAAAAF/1vCQ=")</f>
        <v>#REF!</v>
      </c>
      <c r="AL4">
        <f>IF('Tn-seq runs'!20:20,"AAAAAF/1vCU=",0)</f>
        <v>0</v>
      </c>
      <c r="AM4" t="e">
        <f>AND('Tn-seq runs'!#REF!,"AAAAAF/1vCY=")</f>
        <v>#REF!</v>
      </c>
      <c r="AN4" t="e">
        <f>AND('Tn-seq runs'!#REF!,"AAAAAF/1vCc=")</f>
        <v>#REF!</v>
      </c>
      <c r="AO4" t="e">
        <f>AND('Tn-seq runs'!#REF!,"AAAAAF/1vCg=")</f>
        <v>#REF!</v>
      </c>
      <c r="AP4" t="e">
        <f>AND('Tn-seq runs'!#REF!,"AAAAAF/1vCk=")</f>
        <v>#REF!</v>
      </c>
      <c r="AQ4" t="e">
        <f>AND('Tn-seq runs'!#REF!,"AAAAAF/1vCo=")</f>
        <v>#REF!</v>
      </c>
      <c r="AR4" t="e">
        <f>AND('Tn-seq runs'!#REF!,"AAAAAF/1vCs=")</f>
        <v>#REF!</v>
      </c>
      <c r="AS4" t="e">
        <f>AND('Tn-seq runs'!#REF!,"AAAAAF/1vCw=")</f>
        <v>#REF!</v>
      </c>
      <c r="AT4" t="e">
        <f>AND('Tn-seq runs'!#REF!,"AAAAAF/1vC0=")</f>
        <v>#REF!</v>
      </c>
      <c r="AU4" t="e">
        <f>AND('Tn-seq runs'!#REF!,"AAAAAF/1vC4=")</f>
        <v>#REF!</v>
      </c>
      <c r="AV4" t="e">
        <f>AND('Tn-seq runs'!#REF!,"AAAAAF/1vC8=")</f>
        <v>#REF!</v>
      </c>
      <c r="AW4" t="e">
        <f>AND('Tn-seq runs'!#REF!,"AAAAAF/1vDA=")</f>
        <v>#REF!</v>
      </c>
      <c r="AX4" t="e">
        <f>AND('Tn-seq runs'!#REF!,"AAAAAF/1vDE=")</f>
        <v>#REF!</v>
      </c>
      <c r="AY4" t="e">
        <f>AND('Tn-seq runs'!#REF!,"AAAAAF/1vDI=")</f>
        <v>#REF!</v>
      </c>
      <c r="AZ4" t="e">
        <f>AND('Tn-seq runs'!#REF!,"AAAAAF/1vDM=")</f>
        <v>#REF!</v>
      </c>
      <c r="BA4" t="e">
        <f>AND('Tn-seq runs'!#REF!,"AAAAAF/1vDQ=")</f>
        <v>#REF!</v>
      </c>
      <c r="BB4" t="e">
        <f>AND('Tn-seq runs'!#REF!,"AAAAAF/1vDU=")</f>
        <v>#REF!</v>
      </c>
      <c r="BC4" t="e">
        <f>AND('Tn-seq runs'!#REF!,"AAAAAF/1vDY=")</f>
        <v>#REF!</v>
      </c>
      <c r="BD4" t="e">
        <f>AND('Tn-seq runs'!#REF!,"AAAAAF/1vDc=")</f>
        <v>#REF!</v>
      </c>
      <c r="BE4" t="e">
        <f>AND('Tn-seq runs'!#REF!,"AAAAAF/1vDg=")</f>
        <v>#REF!</v>
      </c>
      <c r="BF4" t="e">
        <f>AND('Tn-seq runs'!#REF!,"AAAAAF/1vDk=")</f>
        <v>#REF!</v>
      </c>
      <c r="BG4" t="e">
        <f>AND('Tn-seq runs'!#REF!,"AAAAAF/1vDo=")</f>
        <v>#REF!</v>
      </c>
      <c r="BH4" t="e">
        <f>AND('Tn-seq runs'!#REF!,"AAAAAF/1vDs=")</f>
        <v>#REF!</v>
      </c>
      <c r="BI4" t="e">
        <f>AND('Tn-seq runs'!#REF!,"AAAAAF/1vDw=")</f>
        <v>#REF!</v>
      </c>
      <c r="BJ4" t="e">
        <f>AND('Tn-seq runs'!#REF!,"AAAAAF/1vD0=")</f>
        <v>#REF!</v>
      </c>
      <c r="BK4" t="e">
        <f>AND('Tn-seq runs'!#REF!,"AAAAAF/1vD4=")</f>
        <v>#REF!</v>
      </c>
      <c r="BL4" t="e">
        <f>AND('Tn-seq runs'!#REF!,"AAAAAF/1vD8=")</f>
        <v>#REF!</v>
      </c>
      <c r="BM4" t="e">
        <f>AND('Tn-seq runs'!#REF!,"AAAAAF/1vEA=")</f>
        <v>#REF!</v>
      </c>
      <c r="BN4" t="e">
        <f>AND('Tn-seq runs'!#REF!,"AAAAAF/1vEE=")</f>
        <v>#REF!</v>
      </c>
      <c r="BO4" t="e">
        <f>AND('Tn-seq runs'!#REF!,"AAAAAF/1vEI=")</f>
        <v>#REF!</v>
      </c>
      <c r="BP4" t="e">
        <f>AND('Tn-seq runs'!#REF!,"AAAAAF/1vEM=")</f>
        <v>#REF!</v>
      </c>
      <c r="BQ4" t="e">
        <f>AND('Tn-seq runs'!#REF!,"AAAAAF/1vEQ=")</f>
        <v>#REF!</v>
      </c>
      <c r="BR4" t="e">
        <f>AND('Tn-seq runs'!#REF!,"AAAAAF/1vEU=")</f>
        <v>#REF!</v>
      </c>
      <c r="BS4" t="e">
        <f>AND('Tn-seq runs'!#REF!,"AAAAAF/1vEY=")</f>
        <v>#REF!</v>
      </c>
      <c r="BT4" t="e">
        <f>AND('Tn-seq runs'!#REF!,"AAAAAF/1vEc=")</f>
        <v>#REF!</v>
      </c>
      <c r="BU4">
        <f>IF('Tn-seq runs'!21:21,"AAAAAF/1vEg=",0)</f>
        <v>0</v>
      </c>
      <c r="BV4" t="e">
        <f>AND('Tn-seq runs'!#REF!,"AAAAAF/1vEk=")</f>
        <v>#REF!</v>
      </c>
      <c r="BW4" t="e">
        <f>AND('Tn-seq runs'!#REF!,"AAAAAF/1vEo=")</f>
        <v>#REF!</v>
      </c>
      <c r="BX4" t="e">
        <f>AND('Tn-seq runs'!#REF!,"AAAAAF/1vEs=")</f>
        <v>#REF!</v>
      </c>
      <c r="BY4" t="e">
        <f>AND('Tn-seq runs'!#REF!,"AAAAAF/1vEw=")</f>
        <v>#REF!</v>
      </c>
      <c r="BZ4" t="e">
        <f>AND('Tn-seq runs'!#REF!,"AAAAAF/1vE0=")</f>
        <v>#REF!</v>
      </c>
      <c r="CA4" t="e">
        <f>AND('Tn-seq runs'!#REF!,"AAAAAF/1vE4=")</f>
        <v>#REF!</v>
      </c>
      <c r="CB4" t="e">
        <f>AND('Tn-seq runs'!#REF!,"AAAAAF/1vE8=")</f>
        <v>#REF!</v>
      </c>
      <c r="CC4" t="e">
        <f>AND('Tn-seq runs'!#REF!,"AAAAAF/1vFA=")</f>
        <v>#REF!</v>
      </c>
      <c r="CD4" t="e">
        <f>AND('Tn-seq runs'!#REF!,"AAAAAF/1vFE=")</f>
        <v>#REF!</v>
      </c>
      <c r="CE4" t="e">
        <f>AND('Tn-seq runs'!#REF!,"AAAAAF/1vFI=")</f>
        <v>#REF!</v>
      </c>
      <c r="CF4" t="e">
        <f>AND('Tn-seq runs'!#REF!,"AAAAAF/1vFM=")</f>
        <v>#REF!</v>
      </c>
      <c r="CG4" t="e">
        <f>AND('Tn-seq runs'!#REF!,"AAAAAF/1vFQ=")</f>
        <v>#REF!</v>
      </c>
      <c r="CH4" t="e">
        <f>AND('Tn-seq runs'!#REF!,"AAAAAF/1vFU=")</f>
        <v>#REF!</v>
      </c>
      <c r="CI4" t="e">
        <f>AND('Tn-seq runs'!#REF!,"AAAAAF/1vFY=")</f>
        <v>#REF!</v>
      </c>
      <c r="CJ4" t="e">
        <f>AND('Tn-seq runs'!#REF!,"AAAAAF/1vFc=")</f>
        <v>#REF!</v>
      </c>
      <c r="CK4" t="e">
        <f>AND('Tn-seq runs'!#REF!,"AAAAAF/1vFg=")</f>
        <v>#REF!</v>
      </c>
      <c r="CL4" t="e">
        <f>AND('Tn-seq runs'!#REF!,"AAAAAF/1vFk=")</f>
        <v>#REF!</v>
      </c>
      <c r="CM4" t="e">
        <f>AND('Tn-seq runs'!#REF!,"AAAAAF/1vFo=")</f>
        <v>#REF!</v>
      </c>
      <c r="CN4" t="e">
        <f>AND('Tn-seq runs'!#REF!,"AAAAAF/1vFs=")</f>
        <v>#REF!</v>
      </c>
      <c r="CO4" t="e">
        <f>AND('Tn-seq runs'!#REF!,"AAAAAF/1vFw=")</f>
        <v>#REF!</v>
      </c>
      <c r="CP4" t="e">
        <f>AND('Tn-seq runs'!#REF!,"AAAAAF/1vF0=")</f>
        <v>#REF!</v>
      </c>
      <c r="CQ4" t="e">
        <f>AND('Tn-seq runs'!#REF!,"AAAAAF/1vF4=")</f>
        <v>#REF!</v>
      </c>
      <c r="CR4" t="e">
        <f>AND('Tn-seq runs'!#REF!,"AAAAAF/1vF8=")</f>
        <v>#REF!</v>
      </c>
      <c r="CS4" t="e">
        <f>AND('Tn-seq runs'!#REF!,"AAAAAF/1vGA=")</f>
        <v>#REF!</v>
      </c>
      <c r="CT4" t="e">
        <f>AND('Tn-seq runs'!#REF!,"AAAAAF/1vGE=")</f>
        <v>#REF!</v>
      </c>
      <c r="CU4" t="e">
        <f>AND('Tn-seq runs'!#REF!,"AAAAAF/1vGI=")</f>
        <v>#REF!</v>
      </c>
      <c r="CV4" t="e">
        <f>AND('Tn-seq runs'!#REF!,"AAAAAF/1vGM=")</f>
        <v>#REF!</v>
      </c>
      <c r="CW4" t="e">
        <f>AND('Tn-seq runs'!#REF!,"AAAAAF/1vGQ=")</f>
        <v>#REF!</v>
      </c>
      <c r="CX4" t="e">
        <f>AND('Tn-seq runs'!#REF!,"AAAAAF/1vGU=")</f>
        <v>#REF!</v>
      </c>
      <c r="CY4" t="e">
        <f>AND('Tn-seq runs'!#REF!,"AAAAAF/1vGY=")</f>
        <v>#REF!</v>
      </c>
      <c r="CZ4" t="e">
        <f>AND('Tn-seq runs'!#REF!,"AAAAAF/1vGc=")</f>
        <v>#REF!</v>
      </c>
      <c r="DA4" t="e">
        <f>AND('Tn-seq runs'!#REF!,"AAAAAF/1vGg=")</f>
        <v>#REF!</v>
      </c>
      <c r="DB4" t="e">
        <f>AND('Tn-seq runs'!#REF!,"AAAAAF/1vGk=")</f>
        <v>#REF!</v>
      </c>
      <c r="DC4" t="e">
        <f>AND('Tn-seq runs'!#REF!,"AAAAAF/1vGo=")</f>
        <v>#REF!</v>
      </c>
      <c r="DD4" t="e">
        <f>IF('Tn-seq runs'!#REF!,"AAAAAF/1vGs=",0)</f>
        <v>#REF!</v>
      </c>
      <c r="DE4" t="e">
        <f>AND('Tn-seq runs'!#REF!,"AAAAAF/1vGw=")</f>
        <v>#REF!</v>
      </c>
      <c r="DF4" t="e">
        <f>AND('Tn-seq runs'!#REF!,"AAAAAF/1vG0=")</f>
        <v>#REF!</v>
      </c>
      <c r="DG4" t="e">
        <f>AND('Tn-seq runs'!#REF!,"AAAAAF/1vG4=")</f>
        <v>#REF!</v>
      </c>
      <c r="DH4" t="e">
        <f>AND('Tn-seq runs'!#REF!,"AAAAAF/1vG8=")</f>
        <v>#REF!</v>
      </c>
      <c r="DI4" t="e">
        <f>AND('Tn-seq runs'!#REF!,"AAAAAF/1vHA=")</f>
        <v>#REF!</v>
      </c>
      <c r="DJ4" t="e">
        <f>AND('Tn-seq runs'!#REF!,"AAAAAF/1vHE=")</f>
        <v>#REF!</v>
      </c>
      <c r="DK4" t="e">
        <f>AND('Tn-seq runs'!#REF!,"AAAAAF/1vHI=")</f>
        <v>#REF!</v>
      </c>
      <c r="DL4" t="e">
        <f>AND('Tn-seq runs'!#REF!,"AAAAAF/1vHM=")</f>
        <v>#REF!</v>
      </c>
      <c r="DM4" t="e">
        <f>AND('Tn-seq runs'!#REF!,"AAAAAF/1vHQ=")</f>
        <v>#REF!</v>
      </c>
      <c r="DN4" t="e">
        <f>AND('Tn-seq runs'!#REF!,"AAAAAF/1vHU=")</f>
        <v>#REF!</v>
      </c>
      <c r="DO4" t="e">
        <f>AND('Tn-seq runs'!#REF!,"AAAAAF/1vHY=")</f>
        <v>#REF!</v>
      </c>
      <c r="DP4" t="e">
        <f>AND('Tn-seq runs'!#REF!,"AAAAAF/1vHc=")</f>
        <v>#REF!</v>
      </c>
      <c r="DQ4" t="e">
        <f>AND('Tn-seq runs'!#REF!,"AAAAAF/1vHg=")</f>
        <v>#REF!</v>
      </c>
      <c r="DR4" t="e">
        <f>AND('Tn-seq runs'!#REF!,"AAAAAF/1vHk=")</f>
        <v>#REF!</v>
      </c>
      <c r="DS4" t="e">
        <f>AND('Tn-seq runs'!#REF!,"AAAAAF/1vHo=")</f>
        <v>#REF!</v>
      </c>
      <c r="DT4" t="e">
        <f>AND('Tn-seq runs'!#REF!,"AAAAAF/1vHs=")</f>
        <v>#REF!</v>
      </c>
      <c r="DU4" t="e">
        <f>AND('Tn-seq runs'!#REF!,"AAAAAF/1vHw=")</f>
        <v>#REF!</v>
      </c>
      <c r="DV4" t="e">
        <f>AND('Tn-seq runs'!#REF!,"AAAAAF/1vH0=")</f>
        <v>#REF!</v>
      </c>
      <c r="DW4" t="e">
        <f>AND('Tn-seq runs'!#REF!,"AAAAAF/1vH4=")</f>
        <v>#REF!</v>
      </c>
      <c r="DX4" t="e">
        <f>AND('Tn-seq runs'!#REF!,"AAAAAF/1vH8=")</f>
        <v>#REF!</v>
      </c>
      <c r="DY4" t="e">
        <f>AND('Tn-seq runs'!#REF!,"AAAAAF/1vIA=")</f>
        <v>#REF!</v>
      </c>
      <c r="DZ4" t="e">
        <f>AND('Tn-seq runs'!#REF!,"AAAAAF/1vIE=")</f>
        <v>#REF!</v>
      </c>
      <c r="EA4" t="e">
        <f>AND('Tn-seq runs'!#REF!,"AAAAAF/1vII=")</f>
        <v>#REF!</v>
      </c>
      <c r="EB4" t="e">
        <f>AND('Tn-seq runs'!#REF!,"AAAAAF/1vIM=")</f>
        <v>#REF!</v>
      </c>
      <c r="EC4" t="e">
        <f>AND('Tn-seq runs'!#REF!,"AAAAAF/1vIQ=")</f>
        <v>#REF!</v>
      </c>
      <c r="ED4" t="e">
        <f>AND('Tn-seq runs'!#REF!,"AAAAAF/1vIU=")</f>
        <v>#REF!</v>
      </c>
      <c r="EE4" t="e">
        <f>AND('Tn-seq runs'!#REF!,"AAAAAF/1vIY=")</f>
        <v>#REF!</v>
      </c>
      <c r="EF4" t="e">
        <f>AND('Tn-seq runs'!#REF!,"AAAAAF/1vIc=")</f>
        <v>#REF!</v>
      </c>
      <c r="EG4" t="e">
        <f>AND('Tn-seq runs'!#REF!,"AAAAAF/1vIg=")</f>
        <v>#REF!</v>
      </c>
      <c r="EH4" t="e">
        <f>AND('Tn-seq runs'!#REF!,"AAAAAF/1vIk=")</f>
        <v>#REF!</v>
      </c>
      <c r="EI4" t="e">
        <f>AND('Tn-seq runs'!#REF!,"AAAAAF/1vIo=")</f>
        <v>#REF!</v>
      </c>
      <c r="EJ4" t="e">
        <f>AND('Tn-seq runs'!#REF!,"AAAAAF/1vIs=")</f>
        <v>#REF!</v>
      </c>
      <c r="EK4" t="e">
        <f>AND('Tn-seq runs'!#REF!,"AAAAAF/1vIw=")</f>
        <v>#REF!</v>
      </c>
      <c r="EL4" t="e">
        <f>AND('Tn-seq runs'!#REF!,"AAAAAF/1vI0=")</f>
        <v>#REF!</v>
      </c>
      <c r="EM4">
        <f>IF('Tn-seq runs'!22:22,"AAAAAF/1vI4=",0)</f>
        <v>0</v>
      </c>
      <c r="EN4" t="e">
        <f>AND('Tn-seq runs'!#REF!,"AAAAAF/1vI8=")</f>
        <v>#REF!</v>
      </c>
      <c r="EO4" t="e">
        <f>AND('Tn-seq runs'!#REF!,"AAAAAF/1vJA=")</f>
        <v>#REF!</v>
      </c>
      <c r="EP4" t="e">
        <f>AND('Tn-seq runs'!#REF!,"AAAAAF/1vJE=")</f>
        <v>#REF!</v>
      </c>
      <c r="EQ4" t="e">
        <f>AND('Tn-seq runs'!#REF!,"AAAAAF/1vJI=")</f>
        <v>#REF!</v>
      </c>
      <c r="ER4" t="e">
        <f>AND('Tn-seq runs'!#REF!,"AAAAAF/1vJM=")</f>
        <v>#REF!</v>
      </c>
      <c r="ES4" t="e">
        <f>AND('Tn-seq runs'!#REF!,"AAAAAF/1vJQ=")</f>
        <v>#REF!</v>
      </c>
      <c r="ET4" t="e">
        <f>AND('Tn-seq runs'!#REF!,"AAAAAF/1vJU=")</f>
        <v>#REF!</v>
      </c>
      <c r="EU4" t="e">
        <f>AND('Tn-seq runs'!#REF!,"AAAAAF/1vJY=")</f>
        <v>#REF!</v>
      </c>
      <c r="EV4" t="e">
        <f>AND('Tn-seq runs'!#REF!,"AAAAAF/1vJc=")</f>
        <v>#REF!</v>
      </c>
      <c r="EW4" t="e">
        <f>AND('Tn-seq runs'!#REF!,"AAAAAF/1vJg=")</f>
        <v>#REF!</v>
      </c>
      <c r="EX4" t="e">
        <f>AND('Tn-seq runs'!#REF!,"AAAAAF/1vJk=")</f>
        <v>#REF!</v>
      </c>
      <c r="EY4" t="e">
        <f>AND('Tn-seq runs'!#REF!,"AAAAAF/1vJo=")</f>
        <v>#REF!</v>
      </c>
      <c r="EZ4" t="e">
        <f>AND('Tn-seq runs'!#REF!,"AAAAAF/1vJs=")</f>
        <v>#REF!</v>
      </c>
      <c r="FA4" t="e">
        <f>AND('Tn-seq runs'!#REF!,"AAAAAF/1vJw=")</f>
        <v>#REF!</v>
      </c>
      <c r="FB4" t="e">
        <f>AND('Tn-seq runs'!#REF!,"AAAAAF/1vJ0=")</f>
        <v>#REF!</v>
      </c>
      <c r="FC4" t="e">
        <f>AND('Tn-seq runs'!#REF!,"AAAAAF/1vJ4=")</f>
        <v>#REF!</v>
      </c>
      <c r="FD4" t="e">
        <f>AND('Tn-seq runs'!#REF!,"AAAAAF/1vJ8=")</f>
        <v>#REF!</v>
      </c>
      <c r="FE4" t="e">
        <f>AND('Tn-seq runs'!#REF!,"AAAAAF/1vKA=")</f>
        <v>#REF!</v>
      </c>
      <c r="FF4" t="e">
        <f>AND('Tn-seq runs'!#REF!,"AAAAAF/1vKE=")</f>
        <v>#REF!</v>
      </c>
      <c r="FG4" t="e">
        <f>AND('Tn-seq runs'!#REF!,"AAAAAF/1vKI=")</f>
        <v>#REF!</v>
      </c>
      <c r="FH4" t="e">
        <f>AND('Tn-seq runs'!#REF!,"AAAAAF/1vKM=")</f>
        <v>#REF!</v>
      </c>
      <c r="FI4" t="e">
        <f>AND('Tn-seq runs'!#REF!,"AAAAAF/1vKQ=")</f>
        <v>#REF!</v>
      </c>
      <c r="FJ4" t="e">
        <f>AND('Tn-seq runs'!#REF!,"AAAAAF/1vKU=")</f>
        <v>#REF!</v>
      </c>
      <c r="FK4" t="e">
        <f>AND('Tn-seq runs'!#REF!,"AAAAAF/1vKY=")</f>
        <v>#REF!</v>
      </c>
      <c r="FL4" t="e">
        <f>AND('Tn-seq runs'!#REF!,"AAAAAF/1vKc=")</f>
        <v>#REF!</v>
      </c>
      <c r="FM4" t="e">
        <f>AND('Tn-seq runs'!#REF!,"AAAAAF/1vKg=")</f>
        <v>#REF!</v>
      </c>
      <c r="FN4" t="e">
        <f>AND('Tn-seq runs'!#REF!,"AAAAAF/1vKk=")</f>
        <v>#REF!</v>
      </c>
      <c r="FO4" t="e">
        <f>AND('Tn-seq runs'!#REF!,"AAAAAF/1vKo=")</f>
        <v>#REF!</v>
      </c>
      <c r="FP4" t="e">
        <f>AND('Tn-seq runs'!#REF!,"AAAAAF/1vKs=")</f>
        <v>#REF!</v>
      </c>
      <c r="FQ4" t="e">
        <f>AND('Tn-seq runs'!#REF!,"AAAAAF/1vKw=")</f>
        <v>#REF!</v>
      </c>
      <c r="FR4" t="e">
        <f>AND('Tn-seq runs'!#REF!,"AAAAAF/1vK0=")</f>
        <v>#REF!</v>
      </c>
      <c r="FS4" t="e">
        <f>AND('Tn-seq runs'!#REF!,"AAAAAF/1vK4=")</f>
        <v>#REF!</v>
      </c>
      <c r="FT4" t="e">
        <f>AND('Tn-seq runs'!#REF!,"AAAAAF/1vK8=")</f>
        <v>#REF!</v>
      </c>
      <c r="FU4" t="e">
        <f>AND('Tn-seq runs'!#REF!,"AAAAAF/1vLA=")</f>
        <v>#REF!</v>
      </c>
      <c r="FV4">
        <f>IF('Tn-seq runs'!23:23,"AAAAAF/1vLE=",0)</f>
        <v>0</v>
      </c>
      <c r="FW4" t="e">
        <f>AND('Tn-seq runs'!#REF!,"AAAAAF/1vLI=")</f>
        <v>#REF!</v>
      </c>
      <c r="FX4" t="e">
        <f>AND('Tn-seq runs'!#REF!,"AAAAAF/1vLM=")</f>
        <v>#REF!</v>
      </c>
      <c r="FY4" t="e">
        <f>AND('Tn-seq runs'!#REF!,"AAAAAF/1vLQ=")</f>
        <v>#REF!</v>
      </c>
      <c r="FZ4" t="e">
        <f>AND('Tn-seq runs'!#REF!,"AAAAAF/1vLU=")</f>
        <v>#REF!</v>
      </c>
      <c r="GA4" t="e">
        <f>AND('Tn-seq runs'!#REF!,"AAAAAF/1vLY=")</f>
        <v>#REF!</v>
      </c>
      <c r="GB4" t="e">
        <f>AND('Tn-seq runs'!#REF!,"AAAAAF/1vLc=")</f>
        <v>#REF!</v>
      </c>
      <c r="GC4" t="e">
        <f>AND('Tn-seq runs'!#REF!,"AAAAAF/1vLg=")</f>
        <v>#REF!</v>
      </c>
      <c r="GD4" t="e">
        <f>AND('Tn-seq runs'!#REF!,"AAAAAF/1vLk=")</f>
        <v>#REF!</v>
      </c>
      <c r="GE4" t="e">
        <f>AND('Tn-seq runs'!#REF!,"AAAAAF/1vLo=")</f>
        <v>#REF!</v>
      </c>
      <c r="GF4" t="e">
        <f>AND('Tn-seq runs'!#REF!,"AAAAAF/1vLs=")</f>
        <v>#REF!</v>
      </c>
      <c r="GG4" t="e">
        <f>AND('Tn-seq runs'!#REF!,"AAAAAF/1vLw=")</f>
        <v>#REF!</v>
      </c>
      <c r="GH4" t="e">
        <f>AND('Tn-seq runs'!#REF!,"AAAAAF/1vL0=")</f>
        <v>#REF!</v>
      </c>
      <c r="GI4" t="e">
        <f>AND('Tn-seq runs'!#REF!,"AAAAAF/1vL4=")</f>
        <v>#REF!</v>
      </c>
      <c r="GJ4" t="e">
        <f>AND('Tn-seq runs'!#REF!,"AAAAAF/1vL8=")</f>
        <v>#REF!</v>
      </c>
      <c r="GK4" t="e">
        <f>AND('Tn-seq runs'!#REF!,"AAAAAF/1vMA=")</f>
        <v>#REF!</v>
      </c>
      <c r="GL4" t="e">
        <f>AND('Tn-seq runs'!#REF!,"AAAAAF/1vME=")</f>
        <v>#REF!</v>
      </c>
      <c r="GM4" t="e">
        <f>AND('Tn-seq runs'!#REF!,"AAAAAF/1vMI=")</f>
        <v>#REF!</v>
      </c>
      <c r="GN4" t="e">
        <f>AND('Tn-seq runs'!#REF!,"AAAAAF/1vMM=")</f>
        <v>#REF!</v>
      </c>
      <c r="GO4" t="e">
        <f>AND('Tn-seq runs'!#REF!,"AAAAAF/1vMQ=")</f>
        <v>#REF!</v>
      </c>
      <c r="GP4" t="e">
        <f>AND('Tn-seq runs'!#REF!,"AAAAAF/1vMU=")</f>
        <v>#REF!</v>
      </c>
      <c r="GQ4" t="e">
        <f>AND('Tn-seq runs'!#REF!,"AAAAAF/1vMY=")</f>
        <v>#REF!</v>
      </c>
      <c r="GR4" t="e">
        <f>AND('Tn-seq runs'!#REF!,"AAAAAF/1vMc=")</f>
        <v>#REF!</v>
      </c>
      <c r="GS4" t="e">
        <f>AND('Tn-seq runs'!#REF!,"AAAAAF/1vMg=")</f>
        <v>#REF!</v>
      </c>
      <c r="GT4" t="e">
        <f>AND('Tn-seq runs'!#REF!,"AAAAAF/1vMk=")</f>
        <v>#REF!</v>
      </c>
      <c r="GU4" t="e">
        <f>AND('Tn-seq runs'!#REF!,"AAAAAF/1vMo=")</f>
        <v>#REF!</v>
      </c>
      <c r="GV4" t="e">
        <f>AND('Tn-seq runs'!#REF!,"AAAAAF/1vMs=")</f>
        <v>#REF!</v>
      </c>
      <c r="GW4" t="e">
        <f>AND('Tn-seq runs'!#REF!,"AAAAAF/1vMw=")</f>
        <v>#REF!</v>
      </c>
      <c r="GX4" t="e">
        <f>AND('Tn-seq runs'!#REF!,"AAAAAF/1vM0=")</f>
        <v>#REF!</v>
      </c>
      <c r="GY4" t="e">
        <f>AND('Tn-seq runs'!#REF!,"AAAAAF/1vM4=")</f>
        <v>#REF!</v>
      </c>
      <c r="GZ4" t="e">
        <f>AND('Tn-seq runs'!#REF!,"AAAAAF/1vM8=")</f>
        <v>#REF!</v>
      </c>
      <c r="HA4" t="e">
        <f>AND('Tn-seq runs'!#REF!,"AAAAAF/1vNA=")</f>
        <v>#REF!</v>
      </c>
      <c r="HB4" t="e">
        <f>AND('Tn-seq runs'!#REF!,"AAAAAF/1vNE=")</f>
        <v>#REF!</v>
      </c>
      <c r="HC4" t="e">
        <f>AND('Tn-seq runs'!#REF!,"AAAAAF/1vNI=")</f>
        <v>#REF!</v>
      </c>
      <c r="HD4" t="e">
        <f>AND('Tn-seq runs'!#REF!,"AAAAAF/1vNM=")</f>
        <v>#REF!</v>
      </c>
      <c r="HE4">
        <f>IF('Tn-seq runs'!24:24,"AAAAAF/1vNQ=",0)</f>
        <v>0</v>
      </c>
      <c r="HF4" t="e">
        <f>AND('Tn-seq runs'!#REF!,"AAAAAF/1vNU=")</f>
        <v>#REF!</v>
      </c>
      <c r="HG4" t="e">
        <f>AND('Tn-seq runs'!#REF!,"AAAAAF/1vNY=")</f>
        <v>#REF!</v>
      </c>
      <c r="HH4">
        <f>IF('Tn-seq runs'!25:25,"AAAAAF/1vNc=",0)</f>
        <v>0</v>
      </c>
      <c r="HI4" t="e">
        <f>AND('Tn-seq runs'!#REF!,"AAAAAF/1vNg=")</f>
        <v>#REF!</v>
      </c>
      <c r="HJ4" t="e">
        <f>AND('Tn-seq runs'!#REF!,"AAAAAF/1vNk=")</f>
        <v>#REF!</v>
      </c>
      <c r="HK4">
        <f>IF('Tn-seq runs'!AH:AH,"AAAAAF/1vNo=",0)</f>
        <v>0</v>
      </c>
      <c r="HL4" t="e">
        <f>IF('Tn-seq runs'!D:D,"AAAAAF/1vNs=",0)</f>
        <v>#VALUE!</v>
      </c>
      <c r="HM4" t="e">
        <f>IF('Tn-seq runs'!#REF!,"AAAAAF/1vNw=",0)</f>
        <v>#REF!</v>
      </c>
      <c r="HN4" t="str">
        <f>IF('Tn-seq runs'!F:F,"AAAAAF/1vN0=",0)</f>
        <v>AAAAAF/1vN0=</v>
      </c>
      <c r="HO4" t="e">
        <f>IF('Tn-seq runs'!G:G,"AAAAAF/1vN4=",0)</f>
        <v>#VALUE!</v>
      </c>
      <c r="HP4" t="str">
        <f>IF('Tn-seq runs'!H:H,"AAAAAF/1vN8=",0)</f>
        <v>AAAAAF/1vN8=</v>
      </c>
      <c r="HQ4" t="e">
        <f>IF('Tn-seq runs'!I:I,"AAAAAF/1vOA=",0)</f>
        <v>#VALUE!</v>
      </c>
      <c r="HR4" t="e">
        <f>IF('Tn-seq runs'!J:J,"AAAAAF/1vOE=",0)</f>
        <v>#VALUE!</v>
      </c>
      <c r="HS4" t="e">
        <f>IF('Tn-seq runs'!K:K,"AAAAAF/1vOI=",0)</f>
        <v>#VALUE!</v>
      </c>
      <c r="HT4" t="e">
        <f>IF('Tn-seq runs'!L:L,"AAAAAF/1vOM=",0)</f>
        <v>#VALUE!</v>
      </c>
      <c r="HU4">
        <f>IF('Tn-seq runs'!N:N,"AAAAAF/1vOQ=",0)</f>
        <v>0</v>
      </c>
      <c r="HV4" t="e">
        <f>IF('Tn-seq runs'!#REF!,"AAAAAF/1vOU=",0)</f>
        <v>#REF!</v>
      </c>
      <c r="HW4" t="e">
        <f>IF('Tn-seq runs'!#REF!,"AAAAAF/1vOY=",0)</f>
        <v>#REF!</v>
      </c>
      <c r="HX4" t="e">
        <f>IF('Tn-seq runs'!#REF!,"AAAAAF/1vOc=",0)</f>
        <v>#REF!</v>
      </c>
      <c r="HY4" t="e">
        <f>IF('Tn-seq runs'!#REF!,"AAAAAF/1vOg=",0)</f>
        <v>#REF!</v>
      </c>
      <c r="HZ4" t="e">
        <f>IF('Tn-seq runs'!#REF!,"AAAAAF/1vOk=",0)</f>
        <v>#REF!</v>
      </c>
      <c r="IA4" t="e">
        <f>IF('Tn-seq runs'!#REF!,"AAAAAF/1vOo=",0)</f>
        <v>#REF!</v>
      </c>
      <c r="IB4" t="e">
        <f>IF('Tn-seq runs'!#REF!,"AAAAAF/1vOs=",0)</f>
        <v>#REF!</v>
      </c>
      <c r="IC4" t="e">
        <f>IF('Tn-seq runs'!#REF!,"AAAAAF/1vOw=",0)</f>
        <v>#REF!</v>
      </c>
      <c r="ID4">
        <f>IF('Tn-seq runs'!O:O,"AAAAAF/1vO0=",0)</f>
        <v>0</v>
      </c>
      <c r="IE4">
        <f>IF('Tn-seq runs'!P:P,"AAAAAF/1vO4=",0)</f>
        <v>0</v>
      </c>
      <c r="IF4" t="e">
        <f>IF('Tn-seq runs'!#REF!,"AAAAAF/1vO8=",0)</f>
        <v>#REF!</v>
      </c>
      <c r="IG4">
        <f>IF('Tn-seq runs'!Q:Q,"AAAAAF/1vPA=",0)</f>
        <v>0</v>
      </c>
      <c r="IH4">
        <f>IF('Tn-seq runs'!R:R,"AAAAAF/1vPE=",0)</f>
        <v>0</v>
      </c>
      <c r="II4">
        <f>IF('Tn-seq runs'!S:S,"AAAAAF/1vPI=",0)</f>
        <v>0</v>
      </c>
      <c r="IJ4">
        <f>IF('Tn-seq runs'!W:W,"AAAAAF/1vPM=",0)</f>
        <v>0</v>
      </c>
      <c r="IK4">
        <f>IF('Tn-seq runs'!AA:AA,"AAAAAF/1vPQ=",0)</f>
        <v>0</v>
      </c>
      <c r="IL4">
        <f>IF('Tn-seq runs'!AB:AB,"AAAAAF/1vPU=",0)</f>
        <v>0</v>
      </c>
      <c r="IM4" t="e">
        <f>IF('Tn-seq runs'!#REF!,"AAAAAF/1vPY=",0)</f>
        <v>#REF!</v>
      </c>
      <c r="IN4">
        <f>IF('Tn-seq runs'!AC:AC,"AAAAAF/1vPc=",0)</f>
        <v>0</v>
      </c>
      <c r="IO4">
        <f>IF('Tn-seq runs'!AD:AD,"AAAAAF/1vPg=",0)</f>
        <v>0</v>
      </c>
      <c r="IP4">
        <f>IF('Tn-seq runs'!AE:AE,"AAAAAF/1vPk=",0)</f>
        <v>0</v>
      </c>
      <c r="IQ4">
        <f>IF('Tn-seq runs'!AF:AF,"AAAAAF/1vPo=",0)</f>
        <v>0</v>
      </c>
      <c r="IR4">
        <f>IF('Tn-seq runs'!AG:AG,"AAAAAF/1vPs=",0)</f>
        <v>0</v>
      </c>
      <c r="IS4" t="s">
        <v>58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Tn-seq runs</vt:lpstr>
      <vt:lpstr>DV-IDENTITY-0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</dc:creator>
  <cp:lastModifiedBy>Burcham, Lindsey</cp:lastModifiedBy>
  <cp:revision>0</cp:revision>
  <dcterms:created xsi:type="dcterms:W3CDTF">2013-04-22T16:22:55Z</dcterms:created>
  <dcterms:modified xsi:type="dcterms:W3CDTF">2019-10-21T17:02:50Z</dcterms:modified>
  <dc:language>en-US</dc:language>
</cp:coreProperties>
</file>