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-seq runs" sheetId="1" state="visible" r:id="rId2"/>
    <sheet name="DV-IDENTITY-0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<sst xmlns="http://schemas.openxmlformats.org/spreadsheetml/2006/main" count="46" uniqueCount="30">
  <si>
    <t xml:space="preserve">sampleid</t>
  </si>
  <si>
    <t xml:space="preserve">Sample name</t>
  </si>
  <si>
    <t xml:space="preserve">Experiment</t>
  </si>
  <si>
    <t xml:space="preserve">condition</t>
  </si>
  <si>
    <t xml:space="preserve">batch</t>
  </si>
  <si>
    <t xml:space="preserve">Description</t>
  </si>
  <si>
    <t xml:space="preserve">Start Date</t>
  </si>
  <si>
    <t xml:space="preserve">Pathogen</t>
  </si>
  <si>
    <t xml:space="preserve">Strain</t>
  </si>
  <si>
    <t xml:space="preserve">Experiment description</t>
  </si>
  <si>
    <t xml:space="preserve">file</t>
  </si>
  <si>
    <t xml:space="preserve">ess_file</t>
  </si>
  <si>
    <t xml:space="preserve">control</t>
  </si>
  <si>
    <t xml:space="preserve">Krmit mutagenesis in GBS CJB111</t>
  </si>
  <si>
    <t xml:space="preserve">a</t>
  </si>
  <si>
    <t xml:space="preserve">2019-10</t>
  </si>
  <si>
    <t xml:space="preserve">S. agalactiae</t>
  </si>
  <si>
    <t xml:space="preserve">CJB111</t>
  </si>
  <si>
    <t xml:space="preserve">Krmit mutagenesis in GBS CJB111, control</t>
  </si>
  <si>
    <t xml:space="preserve">preprocessing/combined_control/outputs/bowtie_sagalactiae_a909/trimmed_ca-v1m1.count.xz </t>
  </si>
  <si>
    <t xml:space="preserve">preprocessing/combined_control/outputs/essentiality_sagalactiae_a909/mh_ess-trimmed_ca-v1m1_gene_tas_m2.csv</t>
  </si>
  <si>
    <t xml:space="preserve">low</t>
  </si>
  <si>
    <t xml:space="preserve">Krmit mutagenesis in GBS CJB111, low</t>
  </si>
  <si>
    <t xml:space="preserve">preprocessing/combined_low/outputs/bowtie_sagalactiae_a909/trimmed_ca-v1m1.count.xz </t>
  </si>
  <si>
    <t xml:space="preserve">preprocessing/combined_low/outputs/essentiality_sagalactiae_a909/mh_ess-trimmed_ca-v1m1_gene_tas_m2.csv</t>
  </si>
  <si>
    <t xml:space="preserve">high</t>
  </si>
  <si>
    <t xml:space="preserve">Krmit mutagenesis in GBS CJB111, high</t>
  </si>
  <si>
    <t xml:space="preserve">preprocessing/combined_high/outputs/bowtie_sagalactiae_a909/trimmed_ca-v1m1.count.xz </t>
  </si>
  <si>
    <t xml:space="preserve">preprocessing/combined_high/outputs/essentiality_sagalactiae_a909/mh_ess-trimmed_ca-v1m1_gene_tas_m2.csv</t>
  </si>
  <si>
    <t xml:space="preserve">AAAAAF/1vPw=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</si>
</sst>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K1" colorId="64" zoomScale="110" zoomScaleNormal="110" zoomScalePageLayoutView="100" workbookViewId="0">
      <pane xSplit="0" ySplit="1" topLeftCell="A2" activePane="bottomLeft" state="frozen"/>
      <selection pane="topLeft" activeCell="K1" activeCellId="0" sqref="K1"/>
      <selection pane="bottomLeft" activeCell="L5" activeCellId="0" sqref="L5"/>
    </sheetView>
  </sheetViews>
  <sheetFormatPr defaultColWidth="105.96484375" defaultRowHeight="15" zeroHeight="false" outlineLevelRow="0" outlineLevelCol="0"/>
  <cols>
    <col collapsed="false" customWidth="true" hidden="false" outlineLevel="0" max="1" min="1" style="1" width="11.37"/>
    <col collapsed="false" customWidth="true" hidden="false" outlineLevel="0" max="2" min="2" style="1" width="16.17"/>
    <col collapsed="false" customWidth="true" hidden="false" outlineLevel="0" max="3" min="3" style="1" width="36.64"/>
    <col collapsed="false" customWidth="true" hidden="false" outlineLevel="0" max="4" min="4" style="1" width="11.52"/>
    <col collapsed="false" customWidth="true" hidden="false" outlineLevel="0" max="5" min="5" style="1" width="7.58"/>
    <col collapsed="false" customWidth="true" hidden="false" outlineLevel="0" max="6" min="6" style="1" width="14.02"/>
    <col collapsed="false" customWidth="true" hidden="false" outlineLevel="0" max="7" min="7" style="1" width="11.52"/>
    <col collapsed="false" customWidth="true" hidden="false" outlineLevel="0" max="8" min="8" style="1" width="14.65"/>
    <col collapsed="false" customWidth="true" hidden="false" outlineLevel="0" max="9" min="9" style="1" width="11.52"/>
    <col collapsed="false" customWidth="true" hidden="false" outlineLevel="0" max="10" min="10" style="1" width="55.07"/>
    <col collapsed="false" customWidth="false" hidden="false" outlineLevel="0" max="11" min="11" style="1" width="105.85"/>
    <col collapsed="false" customWidth="true" hidden="false" outlineLevel="0" max="12" min="12" style="1" width="121.51"/>
    <col collapsed="false" customWidth="false" hidden="false" outlineLevel="0" max="1023" min="13" style="1" width="105.85"/>
    <col collapsed="false" customWidth="false" hidden="false" outlineLevel="0" max="1024" min="1024" style="2" width="105.85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AMJ1" s="2"/>
    </row>
    <row r="2" customFormat="false" ht="15" hidden="false" customHeight="false" outlineLevel="0" collapsed="false">
      <c r="A2" s="5" t="s">
        <v>12</v>
      </c>
      <c r="B2" s="5" t="s">
        <v>12</v>
      </c>
      <c r="C2" s="1" t="s">
        <v>13</v>
      </c>
      <c r="D2" s="1" t="s">
        <v>12</v>
      </c>
      <c r="E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6" t="s">
        <v>19</v>
      </c>
      <c r="L2" s="6" t="s">
        <v>20</v>
      </c>
      <c r="M2" s="7"/>
      <c r="N2" s="7"/>
      <c r="O2" s="6"/>
      <c r="P2" s="7"/>
      <c r="Q2" s="7"/>
      <c r="R2" s="7"/>
      <c r="S2" s="6"/>
      <c r="T2" s="7"/>
      <c r="U2" s="7"/>
      <c r="V2" s="7"/>
      <c r="W2" s="7"/>
      <c r="X2" s="6"/>
      <c r="Y2" s="6"/>
      <c r="Z2" s="7"/>
      <c r="AA2" s="7"/>
      <c r="AB2" s="7"/>
      <c r="AC2" s="7"/>
      <c r="AD2" s="7"/>
      <c r="AE2" s="7"/>
    </row>
    <row r="3" customFormat="false" ht="15" hidden="false" customHeight="false" outlineLevel="0" collapsed="false">
      <c r="A3" s="5" t="s">
        <v>21</v>
      </c>
      <c r="B3" s="5" t="s">
        <v>21</v>
      </c>
      <c r="C3" s="1" t="s">
        <v>13</v>
      </c>
      <c r="D3" s="1" t="s">
        <v>21</v>
      </c>
      <c r="E3" s="1" t="s">
        <v>14</v>
      </c>
      <c r="G3" s="1" t="s">
        <v>15</v>
      </c>
      <c r="H3" s="1" t="s">
        <v>16</v>
      </c>
      <c r="I3" s="1" t="s">
        <v>17</v>
      </c>
      <c r="J3" s="1" t="s">
        <v>22</v>
      </c>
      <c r="K3" s="6" t="s">
        <v>23</v>
      </c>
      <c r="L3" s="6" t="s">
        <v>24</v>
      </c>
      <c r="M3" s="7"/>
      <c r="N3" s="7"/>
      <c r="O3" s="6"/>
      <c r="P3" s="7"/>
      <c r="Q3" s="7"/>
      <c r="R3" s="7"/>
      <c r="S3" s="6"/>
      <c r="T3" s="6"/>
      <c r="U3" s="7"/>
      <c r="V3" s="7"/>
      <c r="W3" s="7"/>
      <c r="X3" s="6"/>
      <c r="Y3" s="6"/>
      <c r="Z3" s="7"/>
      <c r="AA3" s="7"/>
      <c r="AB3" s="7"/>
      <c r="AC3" s="7"/>
      <c r="AD3" s="7"/>
      <c r="AE3" s="7"/>
    </row>
    <row r="4" customFormat="false" ht="15" hidden="false" customHeight="false" outlineLevel="0" collapsed="false">
      <c r="A4" s="5" t="s">
        <v>25</v>
      </c>
      <c r="B4" s="5" t="s">
        <v>25</v>
      </c>
      <c r="C4" s="1" t="s">
        <v>13</v>
      </c>
      <c r="D4" s="1" t="s">
        <v>25</v>
      </c>
      <c r="E4" s="1" t="s">
        <v>14</v>
      </c>
      <c r="G4" s="1" t="s">
        <v>15</v>
      </c>
      <c r="H4" s="1" t="s">
        <v>16</v>
      </c>
      <c r="I4" s="1" t="s">
        <v>17</v>
      </c>
      <c r="J4" s="1" t="s">
        <v>26</v>
      </c>
      <c r="K4" s="6" t="s">
        <v>27</v>
      </c>
      <c r="L4" s="6" t="s">
        <v>28</v>
      </c>
      <c r="M4" s="7"/>
      <c r="N4" s="7"/>
      <c r="O4" s="6"/>
      <c r="P4" s="7"/>
      <c r="Q4" s="7"/>
      <c r="R4" s="7"/>
      <c r="S4" s="6"/>
      <c r="T4" s="6"/>
      <c r="U4" s="7"/>
      <c r="V4" s="7"/>
      <c r="W4" s="7"/>
      <c r="X4" s="6"/>
      <c r="Y4" s="6"/>
      <c r="Z4" s="7"/>
      <c r="AA4" s="7"/>
      <c r="AB4" s="7"/>
      <c r="AC4" s="7"/>
      <c r="AD4" s="7"/>
      <c r="AE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V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S4" activeCellId="0" sqref="IS4"/>
    </sheetView>
  </sheetViews>
  <sheetFormatPr defaultColWidth="8.95703125" defaultRowHeight="15" zeroHeight="false" outlineLevelRow="0" outlineLevelCol="0"/>
  <sheetData>
    <row r="1" customFormat="false" ht="15" hidden="false" customHeight="false" outlineLevel="0" collapsed="false">
      <c r="A1" s="8" t="e">
        <f aca="false">IF('tn-seq runs'!#ref!,"AAAAADf/7wA=",0)</f>
        <v>#VALUE!</v>
      </c>
      <c r="B1" s="8" t="e">
        <f aca="false">AND('tn-seq runs'!#ref!,"AAAAADf/7wE=")</f>
        <v>#VALUE!</v>
      </c>
      <c r="C1" s="8" t="e">
        <f aca="false">AND('tn-seq runs'!#ref!,"AAAAADf/7wI=")</f>
        <v>#VALUE!</v>
      </c>
      <c r="D1" s="8" t="e">
        <f aca="false">AND('tn-seq runs'!#ref!,"AAAAADf/7wM=")</f>
        <v>#VALUE!</v>
      </c>
      <c r="E1" s="8" t="e">
        <f aca="false">AND('tn-seq runs'!#ref!,"AAAAADf/7wQ=")</f>
        <v>#VALUE!</v>
      </c>
      <c r="F1" s="8" t="e">
        <f aca="false">AND('tn-seq runs'!#ref!,"AAAAADf/7wU=")</f>
        <v>#VALUE!</v>
      </c>
      <c r="G1" s="8" t="e">
        <f aca="false">AND('tn-seq runs'!#ref!,"AAAAADf/7wY=")</f>
        <v>#VALUE!</v>
      </c>
      <c r="H1" s="8" t="e">
        <f aca="false">AND('tn-seq runs'!#ref!,"AAAAADf/7wc=")</f>
        <v>#VALUE!</v>
      </c>
      <c r="I1" s="8" t="e">
        <f aca="false">AND('tn-seq runs'!#ref!,"AAAAADf/7wg=")</f>
        <v>#VALUE!</v>
      </c>
      <c r="J1" s="8" t="e">
        <f aca="false">AND('tn-seq runs'!#ref!,"AAAAADf/7wk=")</f>
        <v>#VALUE!</v>
      </c>
      <c r="K1" s="8" t="e">
        <f aca="false">AND('tn-seq runs'!#ref!,"AAAAADf/7wo=")</f>
        <v>#VALUE!</v>
      </c>
      <c r="L1" s="8" t="e">
        <f aca="false">AND('tn-seq runs'!#ref!,"AAAAADf/7ws=")</f>
        <v>#VALUE!</v>
      </c>
      <c r="M1" s="8" t="e">
        <f aca="false">AND('tn-seq runs'!#ref!,"AAAAADf/7ww=")</f>
        <v>#VALUE!</v>
      </c>
      <c r="N1" s="8" t="e">
        <f aca="false">AND('tn-seq runs'!#ref!,"AAAAADf/7w0=")</f>
        <v>#VALUE!</v>
      </c>
      <c r="O1" s="8" t="e">
        <f aca="false">AND('tn-seq runs'!#ref!,"AAAAADf/7w4=")</f>
        <v>#VALUE!</v>
      </c>
      <c r="P1" s="8" t="e">
        <f aca="false">AND('tn-seq runs'!#ref!,"AAAAADf/7w8=")</f>
        <v>#VALUE!</v>
      </c>
      <c r="Q1" s="8" t="e">
        <f aca="false">AND('tn-seq runs'!#ref!,"AAAAADf/7xA=")</f>
        <v>#VALUE!</v>
      </c>
      <c r="R1" s="8" t="e">
        <f aca="false">AND('tn-seq runs'!#ref!,"AAAAADf/7xE=")</f>
        <v>#VALUE!</v>
      </c>
      <c r="S1" s="8" t="e">
        <f aca="false">AND('tn-seq runs'!#ref!,"AAAAADf/7xI=")</f>
        <v>#VALUE!</v>
      </c>
      <c r="T1" s="8" t="e">
        <f aca="false">AND('tn-seq runs'!#ref!,"AAAAADf/7xM=")</f>
        <v>#VALUE!</v>
      </c>
      <c r="U1" s="8" t="e">
        <f aca="false">AND('tn-seq runs'!#ref!,"AAAAADf/7xQ=")</f>
        <v>#VALUE!</v>
      </c>
      <c r="V1" s="8" t="e">
        <f aca="false">AND('tn-seq runs'!#ref!,"AAAAADf/7xU=")</f>
        <v>#VALUE!</v>
      </c>
      <c r="W1" s="8" t="e">
        <f aca="false">AND('tn-seq runs'!#ref!,"AAAAADf/7xY=")</f>
        <v>#VALUE!</v>
      </c>
      <c r="X1" s="8" t="e">
        <f aca="false">AND('tn-seq runs'!#ref!,"AAAAADf/7xc=")</f>
        <v>#VALUE!</v>
      </c>
      <c r="Y1" s="8" t="e">
        <f aca="false">AND('tn-seq runs'!#ref!,"AAAAADf/7xg=")</f>
        <v>#VALUE!</v>
      </c>
      <c r="Z1" s="8" t="e">
        <f aca="false">AND('tn-seq runs'!#ref!,"AAAAADf/7xk=")</f>
        <v>#VALUE!</v>
      </c>
      <c r="AA1" s="8" t="e">
        <f aca="false">AND('tn-seq runs'!#ref!,"AAAAADf/7xo=")</f>
        <v>#VALUE!</v>
      </c>
      <c r="AB1" s="8" t="e">
        <f aca="false">AND('tn-seq runs'!#ref!,"AAAAADf/7xs=")</f>
        <v>#VALUE!</v>
      </c>
      <c r="AC1" s="8" t="e">
        <f aca="false">AND('tn-seq runs'!#ref!,"AAAAADf/7xw=")</f>
        <v>#VALUE!</v>
      </c>
      <c r="AD1" s="8" t="e">
        <f aca="false">AND('tn-seq runs'!#ref!,"AAAAADf/7x0=")</f>
        <v>#VALUE!</v>
      </c>
      <c r="AE1" s="8" t="e">
        <f aca="false">AND('tn-seq runs'!#ref!,"AAAAADf/7x4=")</f>
        <v>#VALUE!</v>
      </c>
      <c r="AF1" s="8" t="e">
        <f aca="false">AND('tn-seq runs'!#ref!,"AAAAADf/7x8=")</f>
        <v>#VALUE!</v>
      </c>
      <c r="AG1" s="8" t="e">
        <f aca="false">AND('tn-seq runs'!#ref!,"AAAAADf/7yA=")</f>
        <v>#VALUE!</v>
      </c>
      <c r="AH1" s="8" t="e">
        <f aca="false">AND('tn-seq runs'!#ref!,"AAAAADf/7yE=")</f>
        <v>#VALUE!</v>
      </c>
      <c r="AI1" s="8" t="e">
        <f aca="false">AND('tn-seq runs'!#ref!,"AAAAADf/7yI=")</f>
        <v>#VALUE!</v>
      </c>
      <c r="AJ1" s="8" t="e">
        <f aca="false">IF('tn-seq runs'!#ref!,"AAAAADf/7yM=",0)</f>
        <v>#VALUE!</v>
      </c>
      <c r="AK1" s="8" t="e">
        <f aca="false">AND('tn-seq runs'!#ref!,"AAAAADf/7yQ=")</f>
        <v>#VALUE!</v>
      </c>
      <c r="AL1" s="8" t="e">
        <f aca="false">AND('tn-seq runs'!#ref!,"AAAAADf/7yU=")</f>
        <v>#VALUE!</v>
      </c>
      <c r="AM1" s="8" t="e">
        <f aca="false">AND('tn-seq runs'!#ref!,"AAAAADf/7yY=")</f>
        <v>#VALUE!</v>
      </c>
      <c r="AN1" s="8" t="e">
        <f aca="false">AND('tn-seq runs'!#ref!,"AAAAADf/7yc=")</f>
        <v>#VALUE!</v>
      </c>
      <c r="AO1" s="8" t="e">
        <f aca="false">AND('tn-seq runs'!#ref!,"AAAAADf/7yg=")</f>
        <v>#VALUE!</v>
      </c>
      <c r="AP1" s="8" t="e">
        <f aca="false">AND('tn-seq runs'!#ref!,"AAAAADf/7yk=")</f>
        <v>#VALUE!</v>
      </c>
      <c r="AQ1" s="8" t="e">
        <f aca="false">AND('tn-seq runs'!#ref!,"AAAAADf/7yo=")</f>
        <v>#VALUE!</v>
      </c>
      <c r="AR1" s="8" t="e">
        <f aca="false">AND('tn-seq runs'!#ref!,"AAAAADf/7ys=")</f>
        <v>#VALUE!</v>
      </c>
      <c r="AS1" s="8" t="e">
        <f aca="false">AND('tn-seq runs'!#ref!,"AAAAADf/7yw=")</f>
        <v>#VALUE!</v>
      </c>
      <c r="AT1" s="8" t="e">
        <f aca="false">AND('tn-seq runs'!#ref!,"AAAAADf/7y0=")</f>
        <v>#VALUE!</v>
      </c>
      <c r="AU1" s="8" t="e">
        <f aca="false">AND('tn-seq runs'!#ref!,"AAAAADf/7y4=")</f>
        <v>#VALUE!</v>
      </c>
      <c r="AV1" s="8" t="e">
        <f aca="false">AND('tn-seq runs'!#ref!,"AAAAADf/7y8=")</f>
        <v>#VALUE!</v>
      </c>
      <c r="AW1" s="8" t="e">
        <f aca="false">AND('tn-seq runs'!#ref!,"AAAAADf/7zA=")</f>
        <v>#VALUE!</v>
      </c>
      <c r="AX1" s="8" t="e">
        <f aca="false">AND('tn-seq runs'!#ref!,"AAAAADf/7zE=")</f>
        <v>#VALUE!</v>
      </c>
      <c r="AY1" s="8" t="e">
        <f aca="false">AND('tn-seq runs'!#ref!,"AAAAADf/7zI=")</f>
        <v>#VALUE!</v>
      </c>
      <c r="AZ1" s="8" t="e">
        <f aca="false">AND('tn-seq runs'!#ref!,"AAAAADf/7zM=")</f>
        <v>#VALUE!</v>
      </c>
      <c r="BA1" s="8" t="e">
        <f aca="false">AND('tn-seq runs'!#ref!,"AAAAADf/7zQ=")</f>
        <v>#VALUE!</v>
      </c>
      <c r="BB1" s="8" t="e">
        <f aca="false">AND('tn-seq runs'!#ref!,"AAAAADf/7zU=")</f>
        <v>#VALUE!</v>
      </c>
      <c r="BC1" s="8" t="e">
        <f aca="false">AND('tn-seq runs'!#ref!,"AAAAADf/7zY=")</f>
        <v>#VALUE!</v>
      </c>
      <c r="BD1" s="8" t="e">
        <f aca="false">AND('tn-seq runs'!#ref!,"AAAAADf/7zc=")</f>
        <v>#VALUE!</v>
      </c>
      <c r="BE1" s="8" t="e">
        <f aca="false">AND('tn-seq runs'!#ref!,"AAAAADf/7zg=")</f>
        <v>#VALUE!</v>
      </c>
      <c r="BF1" s="8" t="e">
        <f aca="false">AND('tn-seq runs'!#ref!,"AAAAADf/7zk=")</f>
        <v>#VALUE!</v>
      </c>
      <c r="BG1" s="8" t="e">
        <f aca="false">AND('tn-seq runs'!#ref!,"AAAAADf/7zo=")</f>
        <v>#VALUE!</v>
      </c>
      <c r="BH1" s="8" t="e">
        <f aca="false">AND('tn-seq runs'!#ref!,"AAAAADf/7zs=")</f>
        <v>#VALUE!</v>
      </c>
      <c r="BI1" s="8" t="e">
        <f aca="false">AND('tn-seq runs'!#ref!,"AAAAADf/7zw=")</f>
        <v>#VALUE!</v>
      </c>
      <c r="BJ1" s="8" t="e">
        <f aca="false">AND('tn-seq runs'!#ref!,"AAAAADf/7z0=")</f>
        <v>#VALUE!</v>
      </c>
      <c r="BK1" s="8" t="e">
        <f aca="false">AND('tn-seq runs'!#ref!,"AAAAADf/7z4=")</f>
        <v>#VALUE!</v>
      </c>
      <c r="BL1" s="8" t="e">
        <f aca="false">AND('tn-seq runs'!#ref!,"AAAAADf/7z8=")</f>
        <v>#VALUE!</v>
      </c>
      <c r="BM1" s="8" t="e">
        <f aca="false">AND('tn-seq runs'!#ref!,"AAAAADf/70A=")</f>
        <v>#VALUE!</v>
      </c>
      <c r="BN1" s="8" t="e">
        <f aca="false">AND('tn-seq runs'!#ref!,"AAAAADf/70E=")</f>
        <v>#VALUE!</v>
      </c>
      <c r="BO1" s="8" t="e">
        <f aca="false">AND('tn-seq runs'!#ref!,"AAAAADf/70I=")</f>
        <v>#VALUE!</v>
      </c>
      <c r="BP1" s="8" t="e">
        <f aca="false">AND('tn-seq runs'!#ref!,"AAAAADf/70M=")</f>
        <v>#VALUE!</v>
      </c>
      <c r="BQ1" s="8" t="e">
        <f aca="false">AND('tn-seq runs'!#ref!,"AAAAADf/70Q=")</f>
        <v>#VALUE!</v>
      </c>
      <c r="BR1" s="8" t="e">
        <f aca="false">AND('tn-seq runs'!#ref!,"AAAAADf/70U=")</f>
        <v>#VALUE!</v>
      </c>
      <c r="BS1" s="8" t="e">
        <f aca="false">IF('tn-seq runs'!#ref!,"AAAAADf/70Y=",0)</f>
        <v>#VALUE!</v>
      </c>
      <c r="BT1" s="8" t="e">
        <f aca="false">AND('tn-seq runs'!#ref!,"AAAAADf/70c=")</f>
        <v>#VALUE!</v>
      </c>
      <c r="BU1" s="8" t="e">
        <f aca="false">AND('tn-seq runs'!#ref!,"AAAAADf/70g=")</f>
        <v>#VALUE!</v>
      </c>
      <c r="BV1" s="8" t="e">
        <f aca="false">AND('tn-seq runs'!#ref!,"AAAAADf/70k=")</f>
        <v>#VALUE!</v>
      </c>
      <c r="BW1" s="8" t="e">
        <f aca="false">AND('tn-seq runs'!#ref!,"AAAAADf/70o=")</f>
        <v>#VALUE!</v>
      </c>
      <c r="BX1" s="8" t="e">
        <f aca="false">AND('tn-seq runs'!#ref!,"AAAAADf/70s=")</f>
        <v>#VALUE!</v>
      </c>
      <c r="BY1" s="8" t="e">
        <f aca="false">AND('tn-seq runs'!#ref!,"AAAAADf/70w=")</f>
        <v>#VALUE!</v>
      </c>
      <c r="BZ1" s="8" t="e">
        <f aca="false">AND('tn-seq runs'!#ref!,"AAAAADf/700=")</f>
        <v>#VALUE!</v>
      </c>
      <c r="CA1" s="8" t="e">
        <f aca="false">AND('tn-seq runs'!#ref!,"AAAAADf/704=")</f>
        <v>#VALUE!</v>
      </c>
      <c r="CB1" s="8" t="e">
        <f aca="false">AND('tn-seq runs'!#ref!,"AAAAADf/708=")</f>
        <v>#VALUE!</v>
      </c>
      <c r="CC1" s="8" t="e">
        <f aca="false">AND('tn-seq runs'!#ref!,"AAAAADf/71A=")</f>
        <v>#VALUE!</v>
      </c>
      <c r="CD1" s="8" t="e">
        <f aca="false">AND('tn-seq runs'!#ref!,"AAAAADf/71E=")</f>
        <v>#VALUE!</v>
      </c>
      <c r="CE1" s="8" t="e">
        <f aca="false">AND('tn-seq runs'!#ref!,"AAAAADf/71I=")</f>
        <v>#VALUE!</v>
      </c>
      <c r="CF1" s="8" t="e">
        <f aca="false">AND('tn-seq runs'!#ref!,"AAAAADf/71M=")</f>
        <v>#VALUE!</v>
      </c>
      <c r="CG1" s="8" t="e">
        <f aca="false">AND('tn-seq runs'!#ref!,"AAAAADf/71Q=")</f>
        <v>#VALUE!</v>
      </c>
      <c r="CH1" s="8" t="e">
        <f aca="false">AND('tn-seq runs'!#ref!,"AAAAADf/71U=")</f>
        <v>#VALUE!</v>
      </c>
      <c r="CI1" s="8" t="e">
        <f aca="false">AND('tn-seq runs'!#ref!,"AAAAADf/71Y=")</f>
        <v>#VALUE!</v>
      </c>
      <c r="CJ1" s="8" t="e">
        <f aca="false">AND('tn-seq runs'!#ref!,"AAAAADf/71c=")</f>
        <v>#VALUE!</v>
      </c>
      <c r="CK1" s="8" t="e">
        <f aca="false">AND('tn-seq runs'!#ref!,"AAAAADf/71g=")</f>
        <v>#VALUE!</v>
      </c>
      <c r="CL1" s="8" t="e">
        <f aca="false">AND('tn-seq runs'!#ref!,"AAAAADf/71k=")</f>
        <v>#VALUE!</v>
      </c>
      <c r="CM1" s="8" t="e">
        <f aca="false">AND('tn-seq runs'!#ref!,"AAAAADf/71o=")</f>
        <v>#VALUE!</v>
      </c>
      <c r="CN1" s="8" t="e">
        <f aca="false">AND('tn-seq runs'!#ref!,"AAAAADf/71s=")</f>
        <v>#VALUE!</v>
      </c>
      <c r="CO1" s="8" t="e">
        <f aca="false">AND('tn-seq runs'!#ref!,"AAAAADf/71w=")</f>
        <v>#VALUE!</v>
      </c>
      <c r="CP1" s="8" t="e">
        <f aca="false">AND('tn-seq runs'!#ref!,"AAAAADf/710=")</f>
        <v>#VALUE!</v>
      </c>
      <c r="CQ1" s="8" t="e">
        <f aca="false">AND('tn-seq runs'!#ref!,"AAAAADf/714=")</f>
        <v>#VALUE!</v>
      </c>
      <c r="CR1" s="8" t="e">
        <f aca="false">AND('tn-seq runs'!#ref!,"AAAAADf/718=")</f>
        <v>#VALUE!</v>
      </c>
      <c r="CS1" s="8" t="e">
        <f aca="false">AND('tn-seq runs'!#ref!,"AAAAADf/72A=")</f>
        <v>#VALUE!</v>
      </c>
      <c r="CT1" s="8" t="e">
        <f aca="false">AND('tn-seq runs'!#ref!,"AAAAADf/72E=")</f>
        <v>#VALUE!</v>
      </c>
      <c r="CU1" s="8" t="e">
        <f aca="false">AND('tn-seq runs'!#ref!,"AAAAADf/72I=")</f>
        <v>#VALUE!</v>
      </c>
      <c r="CV1" s="8" t="e">
        <f aca="false">AND('tn-seq runs'!#ref!,"AAAAADf/72M=")</f>
        <v>#VALUE!</v>
      </c>
      <c r="CW1" s="8" t="e">
        <f aca="false">AND('tn-seq runs'!#ref!,"AAAAADf/72Q=")</f>
        <v>#VALUE!</v>
      </c>
      <c r="CX1" s="8" t="e">
        <f aca="false">AND('tn-seq runs'!#ref!,"AAAAADf/72U=")</f>
        <v>#VALUE!</v>
      </c>
      <c r="CY1" s="8" t="e">
        <f aca="false">AND('tn-seq runs'!#ref!,"AAAAADf/72Y=")</f>
        <v>#VALUE!</v>
      </c>
      <c r="CZ1" s="8" t="e">
        <f aca="false">AND('tn-seq runs'!#ref!,"AAAAADf/72c=")</f>
        <v>#VALUE!</v>
      </c>
      <c r="DA1" s="8" t="e">
        <f aca="false">AND('tn-seq runs'!#ref!,"AAAAADf/72g=")</f>
        <v>#VALUE!</v>
      </c>
      <c r="DB1" s="8" t="e">
        <f aca="false">IF('tn-seq runs'!#ref!,"AAAAADf/72k=",0)</f>
        <v>#VALUE!</v>
      </c>
      <c r="DC1" s="8" t="e">
        <f aca="false">AND('tn-seq runs'!#ref!,"AAAAADf/72o=")</f>
        <v>#VALUE!</v>
      </c>
      <c r="DD1" s="8" t="e">
        <f aca="false">AND('tn-seq runs'!#ref!,"AAAAADf/72s=")</f>
        <v>#VALUE!</v>
      </c>
      <c r="DE1" s="8" t="e">
        <f aca="false">AND('tn-seq runs'!#ref!,"AAAAADf/72w=")</f>
        <v>#VALUE!</v>
      </c>
      <c r="DF1" s="8" t="e">
        <f aca="false">AND('tn-seq runs'!#ref!,"AAAAADf/720=")</f>
        <v>#VALUE!</v>
      </c>
      <c r="DG1" s="8" t="e">
        <f aca="false">AND('tn-seq runs'!#ref!,"AAAAADf/724=")</f>
        <v>#VALUE!</v>
      </c>
      <c r="DH1" s="8" t="e">
        <f aca="false">AND('tn-seq runs'!#ref!,"AAAAADf/728=")</f>
        <v>#VALUE!</v>
      </c>
      <c r="DI1" s="8" t="e">
        <f aca="false">AND('tn-seq runs'!#ref!,"AAAAADf/73A=")</f>
        <v>#VALUE!</v>
      </c>
      <c r="DJ1" s="8" t="e">
        <f aca="false">AND('tn-seq runs'!#ref!,"AAAAADf/73E=")</f>
        <v>#VALUE!</v>
      </c>
      <c r="DK1" s="8" t="e">
        <f aca="false">AND('tn-seq runs'!#ref!,"AAAAADf/73I=")</f>
        <v>#VALUE!</v>
      </c>
      <c r="DL1" s="8" t="e">
        <f aca="false">AND('tn-seq runs'!#ref!,"AAAAADf/73M=")</f>
        <v>#VALUE!</v>
      </c>
      <c r="DM1" s="8" t="e">
        <f aca="false">AND('tn-seq runs'!#ref!,"AAAAADf/73Q=")</f>
        <v>#VALUE!</v>
      </c>
      <c r="DN1" s="8" t="e">
        <f aca="false">AND('tn-seq runs'!#ref!,"AAAAADf/73U=")</f>
        <v>#VALUE!</v>
      </c>
      <c r="DO1" s="8" t="e">
        <f aca="false">AND('tn-seq runs'!#ref!,"AAAAADf/73Y=")</f>
        <v>#VALUE!</v>
      </c>
      <c r="DP1" s="8" t="e">
        <f aca="false">AND('tn-seq runs'!#ref!,"AAAAADf/73c=")</f>
        <v>#VALUE!</v>
      </c>
      <c r="DQ1" s="8" t="e">
        <f aca="false">AND('tn-seq runs'!#ref!,"AAAAADf/73g=")</f>
        <v>#VALUE!</v>
      </c>
      <c r="DR1" s="8" t="e">
        <f aca="false">AND('tn-seq runs'!#ref!,"AAAAADf/73k=")</f>
        <v>#VALUE!</v>
      </c>
      <c r="DS1" s="8" t="e">
        <f aca="false">AND('tn-seq runs'!#ref!,"AAAAADf/73o=")</f>
        <v>#VALUE!</v>
      </c>
      <c r="DT1" s="8" t="e">
        <f aca="false">AND('tn-seq runs'!#ref!,"AAAAADf/73s=")</f>
        <v>#VALUE!</v>
      </c>
      <c r="DU1" s="8" t="e">
        <f aca="false">AND('tn-seq runs'!#ref!,"AAAAADf/73w=")</f>
        <v>#VALUE!</v>
      </c>
      <c r="DV1" s="8" t="e">
        <f aca="false">AND('tn-seq runs'!#ref!,"AAAAADf/730=")</f>
        <v>#VALUE!</v>
      </c>
      <c r="DW1" s="8" t="e">
        <f aca="false">AND('tn-seq runs'!#ref!,"AAAAADf/734=")</f>
        <v>#VALUE!</v>
      </c>
      <c r="DX1" s="8" t="e">
        <f aca="false">AND('tn-seq runs'!#ref!,"AAAAADf/738=")</f>
        <v>#VALUE!</v>
      </c>
      <c r="DY1" s="8" t="e">
        <f aca="false">AND('tn-seq runs'!#ref!,"AAAAADf/74A=")</f>
        <v>#VALUE!</v>
      </c>
      <c r="DZ1" s="8" t="e">
        <f aca="false">AND('tn-seq runs'!#ref!,"AAAAADf/74E=")</f>
        <v>#VALUE!</v>
      </c>
      <c r="EA1" s="8" t="e">
        <f aca="false">AND('tn-seq runs'!#ref!,"AAAAADf/74I=")</f>
        <v>#VALUE!</v>
      </c>
      <c r="EB1" s="8" t="e">
        <f aca="false">AND('tn-seq runs'!#ref!,"AAAAADf/74M=")</f>
        <v>#VALUE!</v>
      </c>
      <c r="EC1" s="8" t="e">
        <f aca="false">AND('tn-seq runs'!#ref!,"AAAAADf/74Q=")</f>
        <v>#VALUE!</v>
      </c>
      <c r="ED1" s="8" t="e">
        <f aca="false">AND('tn-seq runs'!#ref!,"AAAAADf/74U=")</f>
        <v>#VALUE!</v>
      </c>
      <c r="EE1" s="8" t="e">
        <f aca="false">AND('tn-seq runs'!#ref!,"AAAAADf/74Y=")</f>
        <v>#VALUE!</v>
      </c>
      <c r="EF1" s="8" t="e">
        <f aca="false">AND('tn-seq runs'!#ref!,"AAAAADf/74c=")</f>
        <v>#VALUE!</v>
      </c>
      <c r="EG1" s="8" t="e">
        <f aca="false">AND('tn-seq runs'!#ref!,"AAAAADf/74g=")</f>
        <v>#VALUE!</v>
      </c>
      <c r="EH1" s="8" t="e">
        <f aca="false">AND('tn-seq runs'!#ref!,"AAAAADf/74k=")</f>
        <v>#VALUE!</v>
      </c>
      <c r="EI1" s="8" t="e">
        <f aca="false">AND('tn-seq runs'!#ref!,"AAAAADf/74o=")</f>
        <v>#VALUE!</v>
      </c>
      <c r="EJ1" s="8" t="e">
        <f aca="false">AND('tn-seq runs'!#ref!,"AAAAADf/74s=")</f>
        <v>#VALUE!</v>
      </c>
      <c r="EK1" s="8" t="e">
        <f aca="false">IF('tn-seq runs'!#ref!,"AAAAADf/74w=",0)</f>
        <v>#VALUE!</v>
      </c>
      <c r="EL1" s="8" t="e">
        <f aca="false">AND('tn-seq runs'!#ref!,"AAAAADf/740=")</f>
        <v>#VALUE!</v>
      </c>
      <c r="EM1" s="8" t="e">
        <f aca="false">AND('tn-seq runs'!#ref!,"AAAAADf/744=")</f>
        <v>#VALUE!</v>
      </c>
      <c r="EN1" s="8" t="e">
        <f aca="false">AND('tn-seq runs'!#ref!,"AAAAADf/748=")</f>
        <v>#VALUE!</v>
      </c>
      <c r="EO1" s="8" t="e">
        <f aca="false">AND('tn-seq runs'!#ref!,"AAAAADf/75A=")</f>
        <v>#VALUE!</v>
      </c>
      <c r="EP1" s="8" t="e">
        <f aca="false">AND('tn-seq runs'!#ref!,"AAAAADf/75E=")</f>
        <v>#VALUE!</v>
      </c>
      <c r="EQ1" s="8" t="e">
        <f aca="false">AND('tn-seq runs'!#ref!,"AAAAADf/75I=")</f>
        <v>#VALUE!</v>
      </c>
      <c r="ER1" s="8" t="e">
        <f aca="false">AND('tn-seq runs'!#ref!,"AAAAADf/75M=")</f>
        <v>#VALUE!</v>
      </c>
      <c r="ES1" s="8" t="e">
        <f aca="false">AND('tn-seq runs'!#ref!,"AAAAADf/75Q=")</f>
        <v>#VALUE!</v>
      </c>
      <c r="ET1" s="8" t="e">
        <f aca="false">AND('tn-seq runs'!#ref!,"AAAAADf/75U=")</f>
        <v>#VALUE!</v>
      </c>
      <c r="EU1" s="8" t="e">
        <f aca="false">AND('tn-seq runs'!#ref!,"AAAAADf/75Y=")</f>
        <v>#VALUE!</v>
      </c>
      <c r="EV1" s="8" t="e">
        <f aca="false">AND('tn-seq runs'!#ref!,"AAAAADf/75c=")</f>
        <v>#VALUE!</v>
      </c>
      <c r="EW1" s="8" t="e">
        <f aca="false">AND('tn-seq runs'!#ref!,"AAAAADf/75g=")</f>
        <v>#VALUE!</v>
      </c>
      <c r="EX1" s="8" t="e">
        <f aca="false">AND('tn-seq runs'!#ref!,"AAAAADf/75k=")</f>
        <v>#VALUE!</v>
      </c>
      <c r="EY1" s="8" t="e">
        <f aca="false">AND('tn-seq runs'!#ref!,"AAAAADf/75o=")</f>
        <v>#VALUE!</v>
      </c>
      <c r="EZ1" s="8" t="e">
        <f aca="false">AND('tn-seq runs'!#ref!,"AAAAADf/75s=")</f>
        <v>#VALUE!</v>
      </c>
      <c r="FA1" s="8" t="e">
        <f aca="false">AND('tn-seq runs'!#ref!,"AAAAADf/75w=")</f>
        <v>#VALUE!</v>
      </c>
      <c r="FB1" s="8" t="e">
        <f aca="false">AND('tn-seq runs'!#ref!,"AAAAADf/750=")</f>
        <v>#VALUE!</v>
      </c>
      <c r="FC1" s="8" t="e">
        <f aca="false">AND('tn-seq runs'!#ref!,"AAAAADf/754=")</f>
        <v>#VALUE!</v>
      </c>
      <c r="FD1" s="8" t="e">
        <f aca="false">AND('tn-seq runs'!#ref!,"AAAAADf/758=")</f>
        <v>#VALUE!</v>
      </c>
      <c r="FE1" s="8" t="e">
        <f aca="false">AND('tn-seq runs'!#ref!,"AAAAADf/76A=")</f>
        <v>#VALUE!</v>
      </c>
      <c r="FF1" s="8" t="e">
        <f aca="false">AND('tn-seq runs'!#ref!,"AAAAADf/76E=")</f>
        <v>#VALUE!</v>
      </c>
      <c r="FG1" s="8" t="e">
        <f aca="false">AND('tn-seq runs'!#ref!,"AAAAADf/76I=")</f>
        <v>#VALUE!</v>
      </c>
      <c r="FH1" s="8" t="e">
        <f aca="false">AND('tn-seq runs'!#ref!,"AAAAADf/76M=")</f>
        <v>#VALUE!</v>
      </c>
      <c r="FI1" s="8" t="e">
        <f aca="false">AND('tn-seq runs'!#ref!,"AAAAADf/76Q=")</f>
        <v>#VALUE!</v>
      </c>
      <c r="FJ1" s="8" t="e">
        <f aca="false">AND('tn-seq runs'!#ref!,"AAAAADf/76U=")</f>
        <v>#VALUE!</v>
      </c>
      <c r="FK1" s="8" t="e">
        <f aca="false">AND('tn-seq runs'!#ref!,"AAAAADf/76Y=")</f>
        <v>#VALUE!</v>
      </c>
      <c r="FL1" s="8" t="e">
        <f aca="false">AND('tn-seq runs'!#ref!,"AAAAADf/76c=")</f>
        <v>#VALUE!</v>
      </c>
      <c r="FM1" s="8" t="e">
        <f aca="false">AND('tn-seq runs'!#ref!,"AAAAADf/76g=")</f>
        <v>#VALUE!</v>
      </c>
      <c r="FN1" s="8" t="e">
        <f aca="false">AND('tn-seq runs'!#ref!,"AAAAADf/76k=")</f>
        <v>#VALUE!</v>
      </c>
      <c r="FO1" s="8" t="e">
        <f aca="false">AND('tn-seq runs'!#ref!,"AAAAADf/76o=")</f>
        <v>#VALUE!</v>
      </c>
      <c r="FP1" s="8" t="e">
        <f aca="false">AND('tn-seq runs'!#ref!,"AAAAADf/76s=")</f>
        <v>#VALUE!</v>
      </c>
      <c r="FQ1" s="8" t="e">
        <f aca="false">AND('tn-seq runs'!#ref!,"AAAAADf/76w=")</f>
        <v>#VALUE!</v>
      </c>
      <c r="FR1" s="8" t="e">
        <f aca="false">AND('tn-seq runs'!#ref!,"AAAAADf/760=")</f>
        <v>#VALUE!</v>
      </c>
      <c r="FS1" s="8" t="e">
        <f aca="false">AND('tn-seq runs'!#ref!,"AAAAADf/764=")</f>
        <v>#VALUE!</v>
      </c>
      <c r="FT1" s="8" t="e">
        <f aca="false">IF(#REF!,"AAAAADf/768=",0)</f>
        <v>#REF!</v>
      </c>
      <c r="FU1" s="8" t="e">
        <f aca="false">AND('tn-seq runs'!#ref!,"AAAAADf/77A=")</f>
        <v>#VALUE!</v>
      </c>
      <c r="FV1" s="8" t="e">
        <f aca="false">AND('tn-seq runs'!#ref!,"AAAAADf/77E=")</f>
        <v>#VALUE!</v>
      </c>
      <c r="FW1" s="8" t="e">
        <f aca="false">AND('tn-seq runs'!#ref!,"AAAAADf/77I=")</f>
        <v>#VALUE!</v>
      </c>
      <c r="FX1" s="8" t="e">
        <f aca="false">AND('tn-seq runs'!#ref!,"AAAAADf/77M=")</f>
        <v>#VALUE!</v>
      </c>
      <c r="FY1" s="8" t="e">
        <f aca="false">AND('tn-seq runs'!#ref!,"AAAAADf/77Q=")</f>
        <v>#VALUE!</v>
      </c>
      <c r="FZ1" s="8" t="e">
        <f aca="false">AND('tn-seq runs'!#ref!,"AAAAADf/77U=")</f>
        <v>#VALUE!</v>
      </c>
      <c r="GA1" s="8" t="e">
        <f aca="false">AND('tn-seq runs'!#ref!,"AAAAADf/77Y=")</f>
        <v>#VALUE!</v>
      </c>
      <c r="GB1" s="8" t="e">
        <f aca="false">AND('tn-seq runs'!#ref!,"AAAAADf/77c=")</f>
        <v>#VALUE!</v>
      </c>
      <c r="GC1" s="8" t="e">
        <f aca="false">AND('tn-seq runs'!#ref!,"AAAAADf/77g=")</f>
        <v>#VALUE!</v>
      </c>
      <c r="GD1" s="8" t="e">
        <f aca="false">AND('tn-seq runs'!#ref!,"AAAAADf/77k=")</f>
        <v>#VALUE!</v>
      </c>
      <c r="GE1" s="8" t="e">
        <f aca="false">AND('tn-seq runs'!#ref!,"AAAAADf/77o=")</f>
        <v>#VALUE!</v>
      </c>
      <c r="GF1" s="8" t="e">
        <f aca="false">AND('tn-seq runs'!#ref!,"AAAAADf/77s=")</f>
        <v>#VALUE!</v>
      </c>
      <c r="GG1" s="8" t="e">
        <f aca="false">AND('tn-seq runs'!#ref!,"AAAAADf/77w=")</f>
        <v>#VALUE!</v>
      </c>
      <c r="GH1" s="8" t="e">
        <f aca="false">AND('tn-seq runs'!#ref!,"AAAAADf/770=")</f>
        <v>#VALUE!</v>
      </c>
      <c r="GI1" s="8" t="e">
        <f aca="false">AND('tn-seq runs'!#ref!,"AAAAADf/774=")</f>
        <v>#VALUE!</v>
      </c>
      <c r="GJ1" s="8" t="e">
        <f aca="false">AND('tn-seq runs'!#ref!,"AAAAADf/778=")</f>
        <v>#VALUE!</v>
      </c>
      <c r="GK1" s="8" t="e">
        <f aca="false">AND('tn-seq runs'!#ref!,"AAAAADf/78A=")</f>
        <v>#VALUE!</v>
      </c>
      <c r="GL1" s="8" t="e">
        <f aca="false">AND('tn-seq runs'!#ref!,"AAAAADf/78E=")</f>
        <v>#VALUE!</v>
      </c>
      <c r="GM1" s="8" t="e">
        <f aca="false">AND('tn-seq runs'!#ref!,"AAAAADf/78I=")</f>
        <v>#VALUE!</v>
      </c>
      <c r="GN1" s="8" t="e">
        <f aca="false">AND('tn-seq runs'!#ref!,"AAAAADf/78M=")</f>
        <v>#VALUE!</v>
      </c>
      <c r="GO1" s="8" t="e">
        <f aca="false">AND('tn-seq runs'!#ref!,"AAAAADf/78Q=")</f>
        <v>#VALUE!</v>
      </c>
      <c r="GP1" s="8" t="e">
        <f aca="false">AND('tn-seq runs'!#ref!,"AAAAADf/78U=")</f>
        <v>#VALUE!</v>
      </c>
      <c r="GQ1" s="8" t="e">
        <f aca="false">AND('tn-seq runs'!#ref!,"AAAAADf/78Y=")</f>
        <v>#VALUE!</v>
      </c>
      <c r="GR1" s="8" t="e">
        <f aca="false">AND('tn-seq runs'!#ref!,"AAAAADf/78c=")</f>
        <v>#VALUE!</v>
      </c>
      <c r="GS1" s="8" t="e">
        <f aca="false">AND('tn-seq runs'!#ref!,"AAAAADf/78g=")</f>
        <v>#VALUE!</v>
      </c>
      <c r="GT1" s="8" t="e">
        <f aca="false">AND('tn-seq runs'!#ref!,"AAAAADf/78k=")</f>
        <v>#VALUE!</v>
      </c>
      <c r="GU1" s="8" t="e">
        <f aca="false">AND('tn-seq runs'!#ref!,"AAAAADf/78o=")</f>
        <v>#VALUE!</v>
      </c>
      <c r="GV1" s="8" t="e">
        <f aca="false">AND('tn-seq runs'!#ref!,"AAAAADf/78s=")</f>
        <v>#VALUE!</v>
      </c>
      <c r="GW1" s="8" t="e">
        <f aca="false">AND('tn-seq runs'!#ref!,"AAAAADf/78w=")</f>
        <v>#VALUE!</v>
      </c>
      <c r="GX1" s="8" t="e">
        <f aca="false">AND('tn-seq runs'!#ref!,"AAAAADf/780=")</f>
        <v>#VALUE!</v>
      </c>
      <c r="GY1" s="8" t="e">
        <f aca="false">AND('tn-seq runs'!#ref!,"AAAAADf/784=")</f>
        <v>#VALUE!</v>
      </c>
      <c r="GZ1" s="8" t="e">
        <f aca="false">AND('tn-seq runs'!#ref!,"AAAAADf/788=")</f>
        <v>#VALUE!</v>
      </c>
      <c r="HA1" s="8" t="e">
        <f aca="false">AND('tn-seq runs'!#ref!,"AAAAADf/79A=")</f>
        <v>#VALUE!</v>
      </c>
      <c r="HB1" s="8" t="e">
        <f aca="false">AND('tn-seq runs'!#ref!,"AAAAADf/79E=")</f>
        <v>#VALUE!</v>
      </c>
      <c r="HC1" s="8" t="e">
        <f aca="false">IF(#REF!,"AAAAADf/79I=",0)</f>
        <v>#REF!</v>
      </c>
      <c r="HD1" s="8" t="e">
        <f aca="false">AND('tn-seq runs'!#ref!,"AAAAADf/79M=")</f>
        <v>#VALUE!</v>
      </c>
      <c r="HE1" s="8" t="e">
        <f aca="false">AND('tn-seq runs'!#ref!,"AAAAADf/79Q=")</f>
        <v>#VALUE!</v>
      </c>
      <c r="HF1" s="8" t="e">
        <f aca="false">AND('tn-seq runs'!#ref!,"AAAAADf/79U=")</f>
        <v>#VALUE!</v>
      </c>
      <c r="HG1" s="8" t="e">
        <f aca="false">AND('tn-seq runs'!#ref!,"AAAAADf/79Y=")</f>
        <v>#VALUE!</v>
      </c>
      <c r="HH1" s="8" t="e">
        <f aca="false">AND('tn-seq runs'!#ref!,"AAAAADf/79c=")</f>
        <v>#VALUE!</v>
      </c>
      <c r="HI1" s="8" t="e">
        <f aca="false">AND('tn-seq runs'!#ref!,"AAAAADf/79g=")</f>
        <v>#VALUE!</v>
      </c>
      <c r="HJ1" s="8" t="e">
        <f aca="false">AND('tn-seq runs'!#ref!,"AAAAADf/79k=")</f>
        <v>#VALUE!</v>
      </c>
      <c r="HK1" s="8" t="e">
        <f aca="false">AND('tn-seq runs'!#ref!,"AAAAADf/79o=")</f>
        <v>#VALUE!</v>
      </c>
      <c r="HL1" s="8" t="e">
        <f aca="false">AND('tn-seq runs'!#ref!,"AAAAADf/79s=")</f>
        <v>#VALUE!</v>
      </c>
      <c r="HM1" s="8" t="e">
        <f aca="false">AND('tn-seq runs'!#ref!,"AAAAADf/79w=")</f>
        <v>#VALUE!</v>
      </c>
      <c r="HN1" s="8" t="e">
        <f aca="false">AND('tn-seq runs'!#ref!,"AAAAADf/790=")</f>
        <v>#VALUE!</v>
      </c>
      <c r="HO1" s="8" t="e">
        <f aca="false">AND('tn-seq runs'!#ref!,"AAAAADf/794=")</f>
        <v>#VALUE!</v>
      </c>
      <c r="HP1" s="8" t="e">
        <f aca="false">AND('tn-seq runs'!#ref!,"AAAAADf/798=")</f>
        <v>#VALUE!</v>
      </c>
      <c r="HQ1" s="8" t="e">
        <f aca="false">AND('tn-seq runs'!#ref!,"AAAAADf/7+A=")</f>
        <v>#VALUE!</v>
      </c>
      <c r="HR1" s="8" t="e">
        <f aca="false">AND('tn-seq runs'!#ref!,"AAAAADf/7+E=")</f>
        <v>#VALUE!</v>
      </c>
      <c r="HS1" s="8" t="e">
        <f aca="false">AND('tn-seq runs'!#ref!,"AAAAADf/7+I=")</f>
        <v>#VALUE!</v>
      </c>
      <c r="HT1" s="8" t="e">
        <f aca="false">AND('tn-seq runs'!#ref!,"AAAAADf/7+M=")</f>
        <v>#VALUE!</v>
      </c>
      <c r="HU1" s="8" t="e">
        <f aca="false">AND('tn-seq runs'!#ref!,"AAAAADf/7+Q=")</f>
        <v>#VALUE!</v>
      </c>
      <c r="HV1" s="8" t="e">
        <f aca="false">AND('tn-seq runs'!#ref!,"AAAAADf/7+U=")</f>
        <v>#VALUE!</v>
      </c>
      <c r="HW1" s="8" t="e">
        <f aca="false">AND('tn-seq runs'!#ref!,"AAAAADf/7+Y=")</f>
        <v>#VALUE!</v>
      </c>
      <c r="HX1" s="8" t="e">
        <f aca="false">AND('tn-seq runs'!#ref!,"AAAAADf/7+c=")</f>
        <v>#VALUE!</v>
      </c>
      <c r="HY1" s="8" t="e">
        <f aca="false">AND('tn-seq runs'!#ref!,"AAAAADf/7+g=")</f>
        <v>#VALUE!</v>
      </c>
      <c r="HZ1" s="8" t="e">
        <f aca="false">AND('tn-seq runs'!#ref!,"AAAAADf/7+k=")</f>
        <v>#VALUE!</v>
      </c>
      <c r="IA1" s="8" t="e">
        <f aca="false">AND('tn-seq runs'!#ref!,"AAAAADf/7+o=")</f>
        <v>#VALUE!</v>
      </c>
      <c r="IB1" s="8" t="e">
        <f aca="false">AND('tn-seq runs'!#ref!,"AAAAADf/7+s=")</f>
        <v>#VALUE!</v>
      </c>
      <c r="IC1" s="8" t="e">
        <f aca="false">AND('tn-seq runs'!#ref!,"AAAAADf/7+w=")</f>
        <v>#VALUE!</v>
      </c>
      <c r="ID1" s="8" t="e">
        <f aca="false">AND('tn-seq runs'!#ref!,"AAAAADf/7+0=")</f>
        <v>#VALUE!</v>
      </c>
      <c r="IE1" s="8" t="e">
        <f aca="false">AND('tn-seq runs'!#ref!,"AAAAADf/7+4=")</f>
        <v>#VALUE!</v>
      </c>
      <c r="IF1" s="8" t="e">
        <f aca="false">AND('tn-seq runs'!#ref!,"AAAAADf/7+8=")</f>
        <v>#VALUE!</v>
      </c>
      <c r="IG1" s="8" t="e">
        <f aca="false">AND('tn-seq runs'!#ref!,"AAAAADf/7/A=")</f>
        <v>#VALUE!</v>
      </c>
      <c r="IH1" s="8" t="e">
        <f aca="false">AND('tn-seq runs'!#ref!,"AAAAADf/7/E=")</f>
        <v>#VALUE!</v>
      </c>
      <c r="II1" s="8" t="e">
        <f aca="false">AND('tn-seq runs'!#ref!,"AAAAADf/7/I=")</f>
        <v>#VALUE!</v>
      </c>
      <c r="IJ1" s="8" t="e">
        <f aca="false">AND('tn-seq runs'!#ref!,"AAAAADf/7/M=")</f>
        <v>#VALUE!</v>
      </c>
      <c r="IK1" s="8" t="e">
        <f aca="false">AND('tn-seq runs'!#ref!,"AAAAADf/7/Q=")</f>
        <v>#VALUE!</v>
      </c>
      <c r="IL1" s="8" t="e">
        <f aca="false">IF(#REF!,"AAAAADf/7/U=",0)</f>
        <v>#REF!</v>
      </c>
      <c r="IM1" s="8" t="e">
        <f aca="false">AND('tn-seq runs'!#ref!,"AAAAADf/7/Y=")</f>
        <v>#VALUE!</v>
      </c>
      <c r="IN1" s="8" t="e">
        <f aca="false">AND('tn-seq runs'!#ref!,"AAAAADf/7/c=")</f>
        <v>#VALUE!</v>
      </c>
      <c r="IO1" s="8" t="e">
        <f aca="false">AND('tn-seq runs'!#ref!,"AAAAADf/7/g=")</f>
        <v>#VALUE!</v>
      </c>
      <c r="IP1" s="8" t="e">
        <f aca="false">AND('tn-seq runs'!#ref!,"AAAAADf/7/k=")</f>
        <v>#VALUE!</v>
      </c>
      <c r="IQ1" s="8" t="e">
        <f aca="false">AND('tn-seq runs'!#ref!,"AAAAADf/7/o=")</f>
        <v>#VALUE!</v>
      </c>
      <c r="IR1" s="8" t="e">
        <f aca="false">AND('tn-seq runs'!#ref!,"AAAAADf/7/s=")</f>
        <v>#VALUE!</v>
      </c>
      <c r="IS1" s="8" t="e">
        <f aca="false">AND('tn-seq runs'!#ref!,"AAAAADf/7/w=")</f>
        <v>#VALUE!</v>
      </c>
      <c r="IT1" s="8" t="e">
        <f aca="false">AND('tn-seq runs'!#ref!,"AAAAADf/7/0=")</f>
        <v>#VALUE!</v>
      </c>
      <c r="IU1" s="8" t="e">
        <f aca="false">AND('tn-seq runs'!#ref!,"AAAAADf/7/4=")</f>
        <v>#VALUE!</v>
      </c>
      <c r="IV1" s="8" t="e">
        <f aca="false">AND('tn-seq runs'!#ref!,"AAAAADf/7/8=")</f>
        <v>#VALUE!</v>
      </c>
    </row>
    <row r="2" customFormat="false" ht="15" hidden="false" customHeight="false" outlineLevel="0" collapsed="false">
      <c r="A2" s="8" t="e">
        <f aca="false">AND('tn-seq runs'!#ref!,"AAAAAD/W/QA=")</f>
        <v>#VALUE!</v>
      </c>
      <c r="B2" s="8" t="e">
        <f aca="false">AND('tn-seq runs'!#ref!,"AAAAAD/W/QE=")</f>
        <v>#VALUE!</v>
      </c>
      <c r="C2" s="8" t="e">
        <f aca="false">AND('tn-seq runs'!#ref!,"AAAAAD/W/QI=")</f>
        <v>#VALUE!</v>
      </c>
      <c r="D2" s="8" t="e">
        <f aca="false">AND('tn-seq runs'!#ref!,"AAAAAD/W/QM=")</f>
        <v>#VALUE!</v>
      </c>
      <c r="E2" s="8" t="e">
        <f aca="false">AND('tn-seq runs'!#ref!,"AAAAAD/W/QQ=")</f>
        <v>#VALUE!</v>
      </c>
      <c r="F2" s="8" t="e">
        <f aca="false">AND('tn-seq runs'!#ref!,"AAAAAD/W/QU=")</f>
        <v>#VALUE!</v>
      </c>
      <c r="G2" s="8" t="e">
        <f aca="false">AND('tn-seq runs'!#ref!,"AAAAAD/W/QY=")</f>
        <v>#VALUE!</v>
      </c>
      <c r="H2" s="8" t="e">
        <f aca="false">AND('tn-seq runs'!#ref!,"AAAAAD/W/Qc=")</f>
        <v>#VALUE!</v>
      </c>
      <c r="I2" s="8" t="e">
        <f aca="false">AND('tn-seq runs'!#ref!,"AAAAAD/W/Qg=")</f>
        <v>#VALUE!</v>
      </c>
      <c r="J2" s="8" t="e">
        <f aca="false">AND('tn-seq runs'!#ref!,"AAAAAD/W/Qk=")</f>
        <v>#VALUE!</v>
      </c>
      <c r="K2" s="8" t="e">
        <f aca="false">AND('tn-seq runs'!#ref!,"AAAAAD/W/Qo=")</f>
        <v>#VALUE!</v>
      </c>
      <c r="L2" s="8" t="e">
        <f aca="false">AND('tn-seq runs'!#ref!,"AAAAAD/W/Qs=")</f>
        <v>#VALUE!</v>
      </c>
      <c r="M2" s="8" t="e">
        <f aca="false">AND('tn-seq runs'!#ref!,"AAAAAD/W/Qw=")</f>
        <v>#VALUE!</v>
      </c>
      <c r="N2" s="8" t="e">
        <f aca="false">AND('tn-seq runs'!#ref!,"AAAAAD/W/Q0=")</f>
        <v>#VALUE!</v>
      </c>
      <c r="O2" s="8" t="e">
        <f aca="false">AND('tn-seq runs'!#ref!,"AAAAAD/W/Q4=")</f>
        <v>#VALUE!</v>
      </c>
      <c r="P2" s="8" t="e">
        <f aca="false">AND('tn-seq runs'!#ref!,"AAAAAD/W/Q8=")</f>
        <v>#VALUE!</v>
      </c>
      <c r="Q2" s="8" t="e">
        <f aca="false">AND('tn-seq runs'!#ref!,"AAAAAD/W/RA=")</f>
        <v>#VALUE!</v>
      </c>
      <c r="R2" s="8" t="e">
        <f aca="false">AND('tn-seq runs'!#ref!,"AAAAAD/W/RE=")</f>
        <v>#VALUE!</v>
      </c>
      <c r="S2" s="8" t="e">
        <f aca="false">AND('tn-seq runs'!#ref!,"AAAAAD/W/RI=")</f>
        <v>#VALUE!</v>
      </c>
      <c r="T2" s="8" t="e">
        <f aca="false">AND('tn-seq runs'!#ref!,"AAAAAD/W/RM=")</f>
        <v>#VALUE!</v>
      </c>
      <c r="U2" s="8" t="e">
        <f aca="false">AND('tn-seq runs'!#ref!,"AAAAAD/W/RQ=")</f>
        <v>#VALUE!</v>
      </c>
      <c r="V2" s="8" t="e">
        <f aca="false">AND('tn-seq runs'!#ref!,"AAAAAD/W/RU=")</f>
        <v>#VALUE!</v>
      </c>
      <c r="W2" s="8" t="e">
        <f aca="false">AND('tn-seq runs'!#ref!,"AAAAAD/W/RY=")</f>
        <v>#VALUE!</v>
      </c>
      <c r="X2" s="8" t="e">
        <f aca="false">AND('tn-seq runs'!#ref!,"AAAAAD/W/Rc=")</f>
        <v>#VALUE!</v>
      </c>
      <c r="Y2" s="8" t="e">
        <f aca="false">IF(#REF!,"AAAAAD/W/Rg=",0)</f>
        <v>#REF!</v>
      </c>
      <c r="Z2" s="8" t="e">
        <f aca="false">AND('tn-seq runs'!#ref!,"AAAAAD/W/Rk=")</f>
        <v>#VALUE!</v>
      </c>
      <c r="AA2" s="8" t="e">
        <f aca="false">AND('tn-seq runs'!#ref!,"AAAAAD/W/Ro=")</f>
        <v>#VALUE!</v>
      </c>
      <c r="AB2" s="8" t="e">
        <f aca="false">AND('tn-seq runs'!#ref!,"AAAAAD/W/Rs=")</f>
        <v>#VALUE!</v>
      </c>
      <c r="AC2" s="8" t="e">
        <f aca="false">AND('tn-seq runs'!#ref!,"AAAAAD/W/Rw=")</f>
        <v>#VALUE!</v>
      </c>
      <c r="AD2" s="8" t="e">
        <f aca="false">AND('tn-seq runs'!#ref!,"AAAAAD/W/R0=")</f>
        <v>#VALUE!</v>
      </c>
      <c r="AE2" s="8" t="e">
        <f aca="false">AND('tn-seq runs'!#ref!,"AAAAAD/W/R4=")</f>
        <v>#VALUE!</v>
      </c>
      <c r="AF2" s="8" t="e">
        <f aca="false">AND('tn-seq runs'!#ref!,"AAAAAD/W/R8=")</f>
        <v>#VALUE!</v>
      </c>
      <c r="AG2" s="8" t="e">
        <f aca="false">AND('tn-seq runs'!#ref!,"AAAAAD/W/SA=")</f>
        <v>#VALUE!</v>
      </c>
      <c r="AH2" s="8" t="e">
        <f aca="false">AND('tn-seq runs'!#ref!,"AAAAAD/W/SE=")</f>
        <v>#VALUE!</v>
      </c>
      <c r="AI2" s="8" t="e">
        <f aca="false">AND('tn-seq runs'!#ref!,"AAAAAD/W/SI=")</f>
        <v>#VALUE!</v>
      </c>
      <c r="AJ2" s="8" t="e">
        <f aca="false">AND('tn-seq runs'!#ref!,"AAAAAD/W/SM=")</f>
        <v>#VALUE!</v>
      </c>
      <c r="AK2" s="8" t="e">
        <f aca="false">AND('tn-seq runs'!#ref!,"AAAAAD/W/SQ=")</f>
        <v>#VALUE!</v>
      </c>
      <c r="AL2" s="8" t="e">
        <f aca="false">AND('tn-seq runs'!#ref!,"AAAAAD/W/SU=")</f>
        <v>#VALUE!</v>
      </c>
      <c r="AM2" s="8" t="e">
        <f aca="false">AND('tn-seq runs'!#ref!,"AAAAAD/W/SY=")</f>
        <v>#VALUE!</v>
      </c>
      <c r="AN2" s="8" t="e">
        <f aca="false">AND('tn-seq runs'!#ref!,"AAAAAD/W/Sc=")</f>
        <v>#VALUE!</v>
      </c>
      <c r="AO2" s="8" t="e">
        <f aca="false">AND('tn-seq runs'!#ref!,"AAAAAD/W/Sg=")</f>
        <v>#VALUE!</v>
      </c>
      <c r="AP2" s="8" t="e">
        <f aca="false">AND('tn-seq runs'!#ref!,"AAAAAD/W/Sk=")</f>
        <v>#VALUE!</v>
      </c>
      <c r="AQ2" s="8" t="e">
        <f aca="false">AND('tn-seq runs'!#ref!,"AAAAAD/W/So=")</f>
        <v>#VALUE!</v>
      </c>
      <c r="AR2" s="8" t="e">
        <f aca="false">AND('tn-seq runs'!#ref!,"AAAAAD/W/Ss=")</f>
        <v>#VALUE!</v>
      </c>
      <c r="AS2" s="8" t="e">
        <f aca="false">AND('tn-seq runs'!#ref!,"AAAAAD/W/Sw=")</f>
        <v>#VALUE!</v>
      </c>
      <c r="AT2" s="8" t="e">
        <f aca="false">AND('tn-seq runs'!#ref!,"AAAAAD/W/S0=")</f>
        <v>#VALUE!</v>
      </c>
      <c r="AU2" s="8" t="e">
        <f aca="false">AND('tn-seq runs'!#ref!,"AAAAAD/W/S4=")</f>
        <v>#VALUE!</v>
      </c>
      <c r="AV2" s="8" t="e">
        <f aca="false">AND('tn-seq runs'!#ref!,"AAAAAD/W/S8=")</f>
        <v>#VALUE!</v>
      </c>
      <c r="AW2" s="8" t="e">
        <f aca="false">AND('tn-seq runs'!#ref!,"AAAAAD/W/TA=")</f>
        <v>#VALUE!</v>
      </c>
      <c r="AX2" s="8" t="e">
        <f aca="false">AND('tn-seq runs'!#ref!,"AAAAAD/W/TE=")</f>
        <v>#VALUE!</v>
      </c>
      <c r="AY2" s="8" t="e">
        <f aca="false">AND('tn-seq runs'!#ref!,"AAAAAD/W/TI=")</f>
        <v>#VALUE!</v>
      </c>
      <c r="AZ2" s="8" t="e">
        <f aca="false">AND('tn-seq runs'!#ref!,"AAAAAD/W/TM=")</f>
        <v>#VALUE!</v>
      </c>
      <c r="BA2" s="8" t="e">
        <f aca="false">AND('tn-seq runs'!#ref!,"AAAAAD/W/TQ=")</f>
        <v>#VALUE!</v>
      </c>
      <c r="BB2" s="8" t="e">
        <f aca="false">AND('tn-seq runs'!#ref!,"AAAAAD/W/TU=")</f>
        <v>#VALUE!</v>
      </c>
      <c r="BC2" s="8" t="e">
        <f aca="false">AND('tn-seq runs'!#ref!,"AAAAAD/W/TY=")</f>
        <v>#VALUE!</v>
      </c>
      <c r="BD2" s="8" t="e">
        <f aca="false">AND('tn-seq runs'!#ref!,"AAAAAD/W/Tc=")</f>
        <v>#VALUE!</v>
      </c>
      <c r="BE2" s="8" t="e">
        <f aca="false">AND('tn-seq runs'!#ref!,"AAAAAD/W/Tg=")</f>
        <v>#VALUE!</v>
      </c>
      <c r="BF2" s="8" t="e">
        <f aca="false">AND('tn-seq runs'!#ref!,"AAAAAD/W/Tk=")</f>
        <v>#VALUE!</v>
      </c>
      <c r="BG2" s="8" t="e">
        <f aca="false">AND('tn-seq runs'!#ref!,"AAAAAD/W/To=")</f>
        <v>#VALUE!</v>
      </c>
      <c r="BH2" s="8" t="e">
        <f aca="false">IF(#REF!,"AAAAAD/W/Ts=",0)</f>
        <v>#REF!</v>
      </c>
      <c r="BI2" s="8" t="e">
        <f aca="false">AND('tn-seq runs'!#ref!,"AAAAAD/W/Tw=")</f>
        <v>#VALUE!</v>
      </c>
      <c r="BJ2" s="8" t="e">
        <f aca="false">AND('tn-seq runs'!#ref!,"AAAAAD/W/T0=")</f>
        <v>#VALUE!</v>
      </c>
      <c r="BK2" s="8" t="e">
        <f aca="false">AND('tn-seq runs'!#ref!,"AAAAAD/W/T4=")</f>
        <v>#VALUE!</v>
      </c>
      <c r="BL2" s="8" t="e">
        <f aca="false">AND('tn-seq runs'!#ref!,"AAAAAD/W/T8=")</f>
        <v>#VALUE!</v>
      </c>
      <c r="BM2" s="8" t="e">
        <f aca="false">AND('tn-seq runs'!#ref!,"AAAAAD/W/UA=")</f>
        <v>#VALUE!</v>
      </c>
      <c r="BN2" s="8" t="e">
        <f aca="false">AND('tn-seq runs'!#ref!,"AAAAAD/W/UE=")</f>
        <v>#VALUE!</v>
      </c>
      <c r="BO2" s="8" t="e">
        <f aca="false">AND('tn-seq runs'!#ref!,"AAAAAD/W/UI=")</f>
        <v>#VALUE!</v>
      </c>
      <c r="BP2" s="8" t="e">
        <f aca="false">AND('tn-seq runs'!#ref!,"AAAAAD/W/UM=")</f>
        <v>#VALUE!</v>
      </c>
      <c r="BQ2" s="8" t="e">
        <f aca="false">AND('tn-seq runs'!#ref!,"AAAAAD/W/UQ=")</f>
        <v>#VALUE!</v>
      </c>
      <c r="BR2" s="8" t="e">
        <f aca="false">AND('tn-seq runs'!#ref!,"AAAAAD/W/UU=")</f>
        <v>#VALUE!</v>
      </c>
      <c r="BS2" s="8" t="e">
        <f aca="false">AND('tn-seq runs'!#ref!,"AAAAAD/W/UY=")</f>
        <v>#VALUE!</v>
      </c>
      <c r="BT2" s="8" t="e">
        <f aca="false">AND('tn-seq runs'!#ref!,"AAAAAD/W/Uc=")</f>
        <v>#VALUE!</v>
      </c>
      <c r="BU2" s="8" t="e">
        <f aca="false">AND('tn-seq runs'!#ref!,"AAAAAD/W/Ug=")</f>
        <v>#VALUE!</v>
      </c>
      <c r="BV2" s="8" t="e">
        <f aca="false">AND('tn-seq runs'!#ref!,"AAAAAD/W/Uk=")</f>
        <v>#VALUE!</v>
      </c>
      <c r="BW2" s="8" t="e">
        <f aca="false">AND('tn-seq runs'!#ref!,"AAAAAD/W/Uo=")</f>
        <v>#VALUE!</v>
      </c>
      <c r="BX2" s="8" t="e">
        <f aca="false">AND('tn-seq runs'!#ref!,"AAAAAD/W/Us=")</f>
        <v>#VALUE!</v>
      </c>
      <c r="BY2" s="8" t="e">
        <f aca="false">AND('tn-seq runs'!#ref!,"AAAAAD/W/Uw=")</f>
        <v>#VALUE!</v>
      </c>
      <c r="BZ2" s="8" t="e">
        <f aca="false">AND('tn-seq runs'!#ref!,"AAAAAD/W/U0=")</f>
        <v>#VALUE!</v>
      </c>
      <c r="CA2" s="8" t="e">
        <f aca="false">AND('tn-seq runs'!#ref!,"AAAAAD/W/U4=")</f>
        <v>#VALUE!</v>
      </c>
      <c r="CB2" s="8" t="e">
        <f aca="false">AND('tn-seq runs'!#ref!,"AAAAAD/W/U8=")</f>
        <v>#VALUE!</v>
      </c>
      <c r="CC2" s="8" t="e">
        <f aca="false">AND('tn-seq runs'!#ref!,"AAAAAD/W/VA=")</f>
        <v>#VALUE!</v>
      </c>
      <c r="CD2" s="8" t="e">
        <f aca="false">AND('tn-seq runs'!#ref!,"AAAAAD/W/VE=")</f>
        <v>#VALUE!</v>
      </c>
      <c r="CE2" s="8" t="e">
        <f aca="false">AND('tn-seq runs'!#ref!,"AAAAAD/W/VI=")</f>
        <v>#VALUE!</v>
      </c>
      <c r="CF2" s="8" t="e">
        <f aca="false">AND('tn-seq runs'!#ref!,"AAAAAD/W/VM=")</f>
        <v>#VALUE!</v>
      </c>
      <c r="CG2" s="8" t="e">
        <f aca="false">AND('tn-seq runs'!#ref!,"AAAAAD/W/VQ=")</f>
        <v>#VALUE!</v>
      </c>
      <c r="CH2" s="8" t="e">
        <f aca="false">AND('tn-seq runs'!#ref!,"AAAAAD/W/VU=")</f>
        <v>#VALUE!</v>
      </c>
      <c r="CI2" s="8" t="e">
        <f aca="false">AND('tn-seq runs'!#ref!,"AAAAAD/W/VY=")</f>
        <v>#VALUE!</v>
      </c>
      <c r="CJ2" s="8" t="e">
        <f aca="false">AND('tn-seq runs'!#ref!,"AAAAAD/W/Vc=")</f>
        <v>#VALUE!</v>
      </c>
      <c r="CK2" s="8" t="e">
        <f aca="false">AND('tn-seq runs'!#ref!,"AAAAAD/W/Vg=")</f>
        <v>#VALUE!</v>
      </c>
      <c r="CL2" s="8" t="e">
        <f aca="false">AND('tn-seq runs'!#ref!,"AAAAAD/W/Vk=")</f>
        <v>#VALUE!</v>
      </c>
      <c r="CM2" s="8" t="e">
        <f aca="false">AND('tn-seq runs'!#ref!,"AAAAAD/W/Vo=")</f>
        <v>#VALUE!</v>
      </c>
      <c r="CN2" s="8" t="e">
        <f aca="false">AND('tn-seq runs'!#ref!,"AAAAAD/W/Vs=")</f>
        <v>#VALUE!</v>
      </c>
      <c r="CO2" s="8" t="e">
        <f aca="false">AND('tn-seq runs'!#ref!,"AAAAAD/W/Vw=")</f>
        <v>#VALUE!</v>
      </c>
      <c r="CP2" s="8" t="e">
        <f aca="false">AND('tn-seq runs'!#ref!,"AAAAAD/W/V0=")</f>
        <v>#VALUE!</v>
      </c>
      <c r="CQ2" s="8" t="e">
        <f aca="false">IF(#REF!,"AAAAAD/W/V4=",0)</f>
        <v>#REF!</v>
      </c>
      <c r="CR2" s="8" t="e">
        <f aca="false">AND('tn-seq runs'!#ref!,"AAAAAD/W/V8=")</f>
        <v>#VALUE!</v>
      </c>
      <c r="CS2" s="8" t="e">
        <f aca="false">AND('tn-seq runs'!#ref!,"AAAAAD/W/WA=")</f>
        <v>#VALUE!</v>
      </c>
      <c r="CT2" s="8" t="e">
        <f aca="false">AND('tn-seq runs'!#ref!,"AAAAAD/W/WE=")</f>
        <v>#VALUE!</v>
      </c>
      <c r="CU2" s="8" t="e">
        <f aca="false">AND('tn-seq runs'!#ref!,"AAAAAD/W/WI=")</f>
        <v>#VALUE!</v>
      </c>
      <c r="CV2" s="8" t="e">
        <f aca="false">AND('tn-seq runs'!#ref!,"AAAAAD/W/WM=")</f>
        <v>#VALUE!</v>
      </c>
      <c r="CW2" s="8" t="e">
        <f aca="false">AND('tn-seq runs'!#ref!,"AAAAAD/W/WQ=")</f>
        <v>#VALUE!</v>
      </c>
      <c r="CX2" s="8" t="e">
        <f aca="false">AND('tn-seq runs'!#ref!,"AAAAAD/W/WU=")</f>
        <v>#VALUE!</v>
      </c>
      <c r="CY2" s="8" t="e">
        <f aca="false">AND('tn-seq runs'!#ref!,"AAAAAD/W/WY=")</f>
        <v>#VALUE!</v>
      </c>
      <c r="CZ2" s="8" t="e">
        <f aca="false">AND('tn-seq runs'!#ref!,"AAAAAD/W/Wc=")</f>
        <v>#VALUE!</v>
      </c>
      <c r="DA2" s="8" t="e">
        <f aca="false">AND('tn-seq runs'!#ref!,"AAAAAD/W/Wg=")</f>
        <v>#VALUE!</v>
      </c>
      <c r="DB2" s="8" t="e">
        <f aca="false">AND('tn-seq runs'!#ref!,"AAAAAD/W/Wk=")</f>
        <v>#VALUE!</v>
      </c>
      <c r="DC2" s="8" t="e">
        <f aca="false">AND('tn-seq runs'!#ref!,"AAAAAD/W/Wo=")</f>
        <v>#VALUE!</v>
      </c>
      <c r="DD2" s="8" t="e">
        <f aca="false">AND('tn-seq runs'!#ref!,"AAAAAD/W/Ws=")</f>
        <v>#VALUE!</v>
      </c>
      <c r="DE2" s="8" t="e">
        <f aca="false">AND('tn-seq runs'!#ref!,"AAAAAD/W/Ww=")</f>
        <v>#VALUE!</v>
      </c>
      <c r="DF2" s="8" t="e">
        <f aca="false">AND('tn-seq runs'!#ref!,"AAAAAD/W/W0=")</f>
        <v>#VALUE!</v>
      </c>
      <c r="DG2" s="8" t="e">
        <f aca="false">AND('tn-seq runs'!#ref!,"AAAAAD/W/W4=")</f>
        <v>#VALUE!</v>
      </c>
      <c r="DH2" s="8" t="e">
        <f aca="false">AND('tn-seq runs'!#ref!,"AAAAAD/W/W8=")</f>
        <v>#VALUE!</v>
      </c>
      <c r="DI2" s="8" t="e">
        <f aca="false">AND('tn-seq runs'!#ref!,"AAAAAD/W/XA=")</f>
        <v>#VALUE!</v>
      </c>
      <c r="DJ2" s="8" t="e">
        <f aca="false">AND('tn-seq runs'!#ref!,"AAAAAD/W/XE=")</f>
        <v>#VALUE!</v>
      </c>
      <c r="DK2" s="8" t="e">
        <f aca="false">AND('tn-seq runs'!#ref!,"AAAAAD/W/XI=")</f>
        <v>#VALUE!</v>
      </c>
      <c r="DL2" s="8" t="e">
        <f aca="false">AND('tn-seq runs'!#ref!,"AAAAAD/W/XM=")</f>
        <v>#VALUE!</v>
      </c>
      <c r="DM2" s="8" t="e">
        <f aca="false">AND('tn-seq runs'!#ref!,"AAAAAD/W/XQ=")</f>
        <v>#VALUE!</v>
      </c>
      <c r="DN2" s="8" t="e">
        <f aca="false">AND('tn-seq runs'!#ref!,"AAAAAD/W/XU=")</f>
        <v>#VALUE!</v>
      </c>
      <c r="DO2" s="8" t="e">
        <f aca="false">AND('tn-seq runs'!#ref!,"AAAAAD/W/XY=")</f>
        <v>#VALUE!</v>
      </c>
      <c r="DP2" s="8" t="e">
        <f aca="false">AND('tn-seq runs'!#ref!,"AAAAAD/W/Xc=")</f>
        <v>#VALUE!</v>
      </c>
      <c r="DQ2" s="8" t="e">
        <f aca="false">AND('tn-seq runs'!#ref!,"AAAAAD/W/Xg=")</f>
        <v>#VALUE!</v>
      </c>
      <c r="DR2" s="8" t="e">
        <f aca="false">AND('tn-seq runs'!#ref!,"AAAAAD/W/Xk=")</f>
        <v>#VALUE!</v>
      </c>
      <c r="DS2" s="8" t="e">
        <f aca="false">AND('tn-seq runs'!#ref!,"AAAAAD/W/Xo=")</f>
        <v>#VALUE!</v>
      </c>
      <c r="DT2" s="8" t="e">
        <f aca="false">AND('tn-seq runs'!#ref!,"AAAAAD/W/Xs=")</f>
        <v>#VALUE!</v>
      </c>
      <c r="DU2" s="8" t="e">
        <f aca="false">AND('tn-seq runs'!#ref!,"AAAAAD/W/Xw=")</f>
        <v>#VALUE!</v>
      </c>
      <c r="DV2" s="8" t="e">
        <f aca="false">AND('tn-seq runs'!#ref!,"AAAAAD/W/X0=")</f>
        <v>#VALUE!</v>
      </c>
      <c r="DW2" s="8" t="e">
        <f aca="false">AND('tn-seq runs'!#ref!,"AAAAAD/W/X4=")</f>
        <v>#VALUE!</v>
      </c>
      <c r="DX2" s="8" t="e">
        <f aca="false">AND('tn-seq runs'!#ref!,"AAAAAD/W/X8=")</f>
        <v>#VALUE!</v>
      </c>
      <c r="DY2" s="8" t="e">
        <f aca="false">AND('tn-seq runs'!#ref!,"AAAAAD/W/YA=")</f>
        <v>#VALUE!</v>
      </c>
      <c r="DZ2" s="8" t="e">
        <f aca="false">IF(#REF!,"AAAAAD/W/YE=",0)</f>
        <v>#REF!</v>
      </c>
      <c r="EA2" s="8" t="e">
        <f aca="false">AND('tn-seq runs'!#ref!,"AAAAAD/W/YI=")</f>
        <v>#VALUE!</v>
      </c>
      <c r="EB2" s="8" t="e">
        <f aca="false">AND('tn-seq runs'!#ref!,"AAAAAD/W/YM=")</f>
        <v>#VALUE!</v>
      </c>
      <c r="EC2" s="8" t="e">
        <f aca="false">AND('tn-seq runs'!#ref!,"AAAAAD/W/YQ=")</f>
        <v>#VALUE!</v>
      </c>
      <c r="ED2" s="8" t="e">
        <f aca="false">AND('tn-seq runs'!#ref!,"AAAAAD/W/YU=")</f>
        <v>#VALUE!</v>
      </c>
      <c r="EE2" s="8" t="e">
        <f aca="false">AND('tn-seq runs'!#ref!,"AAAAAD/W/YY=")</f>
        <v>#VALUE!</v>
      </c>
      <c r="EF2" s="8" t="e">
        <f aca="false">AND('tn-seq runs'!#ref!,"AAAAAD/W/Yc=")</f>
        <v>#VALUE!</v>
      </c>
      <c r="EG2" s="8" t="e">
        <f aca="false">AND('tn-seq runs'!#ref!,"AAAAAD/W/Yg=")</f>
        <v>#VALUE!</v>
      </c>
      <c r="EH2" s="8" t="e">
        <f aca="false">AND('tn-seq runs'!#ref!,"AAAAAD/W/Yk=")</f>
        <v>#VALUE!</v>
      </c>
      <c r="EI2" s="8" t="e">
        <f aca="false">AND('tn-seq runs'!#ref!,"AAAAAD/W/Yo=")</f>
        <v>#VALUE!</v>
      </c>
      <c r="EJ2" s="8" t="e">
        <f aca="false">AND('tn-seq runs'!#ref!,"AAAAAD/W/Ys=")</f>
        <v>#VALUE!</v>
      </c>
      <c r="EK2" s="8" t="e">
        <f aca="false">AND('tn-seq runs'!#ref!,"AAAAAD/W/Yw=")</f>
        <v>#VALUE!</v>
      </c>
      <c r="EL2" s="8" t="e">
        <f aca="false">AND('tn-seq runs'!#ref!,"AAAAAD/W/Y0=")</f>
        <v>#VALUE!</v>
      </c>
      <c r="EM2" s="8" t="e">
        <f aca="false">AND('tn-seq runs'!#ref!,"AAAAAD/W/Y4=")</f>
        <v>#VALUE!</v>
      </c>
      <c r="EN2" s="8" t="e">
        <f aca="false">AND('tn-seq runs'!#ref!,"AAAAAD/W/Y8=")</f>
        <v>#VALUE!</v>
      </c>
      <c r="EO2" s="8" t="e">
        <f aca="false">AND('tn-seq runs'!#ref!,"AAAAAD/W/ZA=")</f>
        <v>#VALUE!</v>
      </c>
      <c r="EP2" s="8" t="e">
        <f aca="false">AND('tn-seq runs'!#ref!,"AAAAAD/W/ZE=")</f>
        <v>#VALUE!</v>
      </c>
      <c r="EQ2" s="8" t="e">
        <f aca="false">AND('tn-seq runs'!#ref!,"AAAAAD/W/ZI=")</f>
        <v>#VALUE!</v>
      </c>
      <c r="ER2" s="8" t="e">
        <f aca="false">AND('tn-seq runs'!#ref!,"AAAAAD/W/ZM=")</f>
        <v>#VALUE!</v>
      </c>
      <c r="ES2" s="8" t="e">
        <f aca="false">AND('tn-seq runs'!#ref!,"AAAAAD/W/ZQ=")</f>
        <v>#VALUE!</v>
      </c>
      <c r="ET2" s="8" t="e">
        <f aca="false">AND('tn-seq runs'!#ref!,"AAAAAD/W/ZU=")</f>
        <v>#VALUE!</v>
      </c>
      <c r="EU2" s="8" t="e">
        <f aca="false">AND('tn-seq runs'!#ref!,"AAAAAD/W/ZY=")</f>
        <v>#VALUE!</v>
      </c>
      <c r="EV2" s="8" t="e">
        <f aca="false">AND('tn-seq runs'!#ref!,"AAAAAD/W/Zc=")</f>
        <v>#VALUE!</v>
      </c>
      <c r="EW2" s="8" t="e">
        <f aca="false">AND('tn-seq runs'!#ref!,"AAAAAD/W/Zg=")</f>
        <v>#VALUE!</v>
      </c>
      <c r="EX2" s="8" t="e">
        <f aca="false">AND('tn-seq runs'!#ref!,"AAAAAD/W/Zk=")</f>
        <v>#VALUE!</v>
      </c>
      <c r="EY2" s="8" t="e">
        <f aca="false">AND('tn-seq runs'!#ref!,"AAAAAD/W/Zo=")</f>
        <v>#VALUE!</v>
      </c>
      <c r="EZ2" s="8" t="e">
        <f aca="false">AND('tn-seq runs'!#ref!,"AAAAAD/W/Zs=")</f>
        <v>#VALUE!</v>
      </c>
      <c r="FA2" s="8" t="e">
        <f aca="false">AND('tn-seq runs'!#ref!,"AAAAAD/W/Zw=")</f>
        <v>#VALUE!</v>
      </c>
      <c r="FB2" s="8" t="e">
        <f aca="false">AND('tn-seq runs'!#ref!,"AAAAAD/W/Z0=")</f>
        <v>#VALUE!</v>
      </c>
      <c r="FC2" s="8" t="e">
        <f aca="false">AND('tn-seq runs'!#ref!,"AAAAAD/W/Z4=")</f>
        <v>#VALUE!</v>
      </c>
      <c r="FD2" s="8" t="e">
        <f aca="false">AND('tn-seq runs'!#ref!,"AAAAAD/W/Z8=")</f>
        <v>#VALUE!</v>
      </c>
      <c r="FE2" s="8" t="e">
        <f aca="false">AND('tn-seq runs'!#ref!,"AAAAAD/W/aA=")</f>
        <v>#VALUE!</v>
      </c>
      <c r="FF2" s="8" t="e">
        <f aca="false">AND('tn-seq runs'!#ref!,"AAAAAD/W/aE=")</f>
        <v>#VALUE!</v>
      </c>
      <c r="FG2" s="8" t="e">
        <f aca="false">AND('tn-seq runs'!#ref!,"AAAAAD/W/aI=")</f>
        <v>#VALUE!</v>
      </c>
      <c r="FH2" s="8" t="e">
        <f aca="false">AND('tn-seq runs'!#ref!,"AAAAAD/W/aM=")</f>
        <v>#VALUE!</v>
      </c>
      <c r="FI2" s="8" t="e">
        <f aca="false">IF(#REF!,"AAAAAD/W/aQ=",0)</f>
        <v>#REF!</v>
      </c>
      <c r="FJ2" s="8" t="e">
        <f aca="false">AND('tn-seq runs'!#ref!,"AAAAAD/W/aU=")</f>
        <v>#VALUE!</v>
      </c>
      <c r="FK2" s="8" t="e">
        <f aca="false">AND('tn-seq runs'!#ref!,"AAAAAD/W/aY=")</f>
        <v>#VALUE!</v>
      </c>
      <c r="FL2" s="8" t="e">
        <f aca="false">AND('tn-seq runs'!#ref!,"AAAAAD/W/ac=")</f>
        <v>#VALUE!</v>
      </c>
      <c r="FM2" s="8" t="e">
        <f aca="false">AND('tn-seq runs'!#ref!,"AAAAAD/W/ag=")</f>
        <v>#VALUE!</v>
      </c>
      <c r="FN2" s="8" t="e">
        <f aca="false">AND('tn-seq runs'!#ref!,"AAAAAD/W/ak=")</f>
        <v>#VALUE!</v>
      </c>
      <c r="FO2" s="8" t="e">
        <f aca="false">AND('tn-seq runs'!#ref!,"AAAAAD/W/ao=")</f>
        <v>#VALUE!</v>
      </c>
      <c r="FP2" s="8" t="e">
        <f aca="false">AND('tn-seq runs'!#ref!,"AAAAAD/W/as=")</f>
        <v>#VALUE!</v>
      </c>
      <c r="FQ2" s="8" t="e">
        <f aca="false">AND('tn-seq runs'!#ref!,"AAAAAD/W/aw=")</f>
        <v>#VALUE!</v>
      </c>
      <c r="FR2" s="8" t="e">
        <f aca="false">AND('tn-seq runs'!#ref!,"AAAAAD/W/a0=")</f>
        <v>#VALUE!</v>
      </c>
      <c r="FS2" s="8" t="e">
        <f aca="false">AND('tn-seq runs'!#ref!,"AAAAAD/W/a4=")</f>
        <v>#VALUE!</v>
      </c>
      <c r="FT2" s="8" t="e">
        <f aca="false">AND('tn-seq runs'!#ref!,"AAAAAD/W/a8=")</f>
        <v>#VALUE!</v>
      </c>
      <c r="FU2" s="8" t="e">
        <f aca="false">AND('tn-seq runs'!#ref!,"AAAAAD/W/bA=")</f>
        <v>#VALUE!</v>
      </c>
      <c r="FV2" s="8" t="e">
        <f aca="false">AND('tn-seq runs'!#ref!,"AAAAAD/W/bE=")</f>
        <v>#VALUE!</v>
      </c>
      <c r="FW2" s="8" t="e">
        <f aca="false">AND('tn-seq runs'!#ref!,"AAAAAD/W/bI=")</f>
        <v>#VALUE!</v>
      </c>
      <c r="FX2" s="8" t="e">
        <f aca="false">AND('tn-seq runs'!#ref!,"AAAAAD/W/bM=")</f>
        <v>#VALUE!</v>
      </c>
      <c r="FY2" s="8" t="e">
        <f aca="false">AND('tn-seq runs'!#ref!,"AAAAAD/W/bQ=")</f>
        <v>#VALUE!</v>
      </c>
      <c r="FZ2" s="8" t="e">
        <f aca="false">AND('tn-seq runs'!#ref!,"AAAAAD/W/bU=")</f>
        <v>#VALUE!</v>
      </c>
      <c r="GA2" s="8" t="e">
        <f aca="false">AND('tn-seq runs'!#ref!,"AAAAAD/W/bY=")</f>
        <v>#VALUE!</v>
      </c>
      <c r="GB2" s="8" t="e">
        <f aca="false">AND('tn-seq runs'!#ref!,"AAAAAD/W/bc=")</f>
        <v>#VALUE!</v>
      </c>
      <c r="GC2" s="8" t="e">
        <f aca="false">AND('tn-seq runs'!#ref!,"AAAAAD/W/bg=")</f>
        <v>#VALUE!</v>
      </c>
      <c r="GD2" s="8" t="e">
        <f aca="false">AND('tn-seq runs'!#ref!,"AAAAAD/W/bk=")</f>
        <v>#VALUE!</v>
      </c>
      <c r="GE2" s="8" t="e">
        <f aca="false">AND('tn-seq runs'!#ref!,"AAAAAD/W/bo=")</f>
        <v>#VALUE!</v>
      </c>
      <c r="GF2" s="8" t="e">
        <f aca="false">AND('tn-seq runs'!#ref!,"AAAAAD/W/bs=")</f>
        <v>#VALUE!</v>
      </c>
      <c r="GG2" s="8" t="e">
        <f aca="false">AND('tn-seq runs'!#ref!,"AAAAAD/W/bw=")</f>
        <v>#VALUE!</v>
      </c>
      <c r="GH2" s="8" t="e">
        <f aca="false">AND('tn-seq runs'!#ref!,"AAAAAD/W/b0=")</f>
        <v>#VALUE!</v>
      </c>
      <c r="GI2" s="8" t="e">
        <f aca="false">AND('tn-seq runs'!#ref!,"AAAAAD/W/b4=")</f>
        <v>#VALUE!</v>
      </c>
      <c r="GJ2" s="8" t="e">
        <f aca="false">AND('tn-seq runs'!#ref!,"AAAAAD/W/b8=")</f>
        <v>#VALUE!</v>
      </c>
      <c r="GK2" s="8" t="e">
        <f aca="false">AND('tn-seq runs'!#ref!,"AAAAAD/W/cA=")</f>
        <v>#VALUE!</v>
      </c>
      <c r="GL2" s="8" t="e">
        <f aca="false">AND('tn-seq runs'!#ref!,"AAAAAD/W/cE=")</f>
        <v>#VALUE!</v>
      </c>
      <c r="GM2" s="8" t="e">
        <f aca="false">AND('tn-seq runs'!#ref!,"AAAAAD/W/cI=")</f>
        <v>#VALUE!</v>
      </c>
      <c r="GN2" s="8" t="e">
        <f aca="false">AND('tn-seq runs'!#ref!,"AAAAAD/W/cM=")</f>
        <v>#VALUE!</v>
      </c>
      <c r="GO2" s="8" t="e">
        <f aca="false">AND('tn-seq runs'!#ref!,"AAAAAD/W/cQ=")</f>
        <v>#VALUE!</v>
      </c>
      <c r="GP2" s="8" t="e">
        <f aca="false">AND('tn-seq runs'!#ref!,"AAAAAD/W/cU=")</f>
        <v>#VALUE!</v>
      </c>
      <c r="GQ2" s="8" t="e">
        <f aca="false">AND('tn-seq runs'!#ref!,"AAAAAD/W/cY=")</f>
        <v>#VALUE!</v>
      </c>
      <c r="GR2" s="8" t="e">
        <f aca="false">IF(#REF!,"AAAAAD/W/cc=",0)</f>
        <v>#REF!</v>
      </c>
      <c r="GS2" s="8" t="e">
        <f aca="false">AND('tn-seq runs'!#ref!,"AAAAAD/W/cg=")</f>
        <v>#VALUE!</v>
      </c>
      <c r="GT2" s="8" t="e">
        <f aca="false">AND('tn-seq runs'!#ref!,"AAAAAD/W/ck=")</f>
        <v>#VALUE!</v>
      </c>
      <c r="GU2" s="8" t="e">
        <f aca="false">AND('tn-seq runs'!#ref!,"AAAAAD/W/co=")</f>
        <v>#VALUE!</v>
      </c>
      <c r="GV2" s="8" t="e">
        <f aca="false">AND('tn-seq runs'!#ref!,"AAAAAD/W/cs=")</f>
        <v>#VALUE!</v>
      </c>
      <c r="GW2" s="8" t="e">
        <f aca="false">AND('tn-seq runs'!#ref!,"AAAAAD/W/cw=")</f>
        <v>#VALUE!</v>
      </c>
      <c r="GX2" s="8" t="e">
        <f aca="false">AND('tn-seq runs'!#ref!,"AAAAAD/W/c0=")</f>
        <v>#VALUE!</v>
      </c>
      <c r="GY2" s="8" t="e">
        <f aca="false">AND('tn-seq runs'!#ref!,"AAAAAD/W/c4=")</f>
        <v>#VALUE!</v>
      </c>
      <c r="GZ2" s="8" t="e">
        <f aca="false">AND('tn-seq runs'!#ref!,"AAAAAD/W/c8=")</f>
        <v>#VALUE!</v>
      </c>
      <c r="HA2" s="8" t="e">
        <f aca="false">AND('tn-seq runs'!#ref!,"AAAAAD/W/dA=")</f>
        <v>#VALUE!</v>
      </c>
      <c r="HB2" s="8" t="e">
        <f aca="false">AND('tn-seq runs'!#ref!,"AAAAAD/W/dE=")</f>
        <v>#VALUE!</v>
      </c>
      <c r="HC2" s="8" t="e">
        <f aca="false">AND('tn-seq runs'!#ref!,"AAAAAD/W/dI=")</f>
        <v>#VALUE!</v>
      </c>
      <c r="HD2" s="8" t="e">
        <f aca="false">AND('tn-seq runs'!#ref!,"AAAAAD/W/dM=")</f>
        <v>#VALUE!</v>
      </c>
      <c r="HE2" s="8" t="e">
        <f aca="false">AND('tn-seq runs'!#ref!,"AAAAAD/W/dQ=")</f>
        <v>#VALUE!</v>
      </c>
      <c r="HF2" s="8" t="e">
        <f aca="false">AND('tn-seq runs'!#ref!,"AAAAAD/W/dU=")</f>
        <v>#VALUE!</v>
      </c>
      <c r="HG2" s="8" t="e">
        <f aca="false">AND('tn-seq runs'!#ref!,"AAAAAD/W/dY=")</f>
        <v>#VALUE!</v>
      </c>
      <c r="HH2" s="8" t="e">
        <f aca="false">AND('tn-seq runs'!#ref!,"AAAAAD/W/dc=")</f>
        <v>#VALUE!</v>
      </c>
      <c r="HI2" s="8" t="e">
        <f aca="false">AND('tn-seq runs'!#ref!,"AAAAAD/W/dg=")</f>
        <v>#VALUE!</v>
      </c>
      <c r="HJ2" s="8" t="e">
        <f aca="false">AND('tn-seq runs'!#ref!,"AAAAAD/W/dk=")</f>
        <v>#VALUE!</v>
      </c>
      <c r="HK2" s="8" t="e">
        <f aca="false">AND('tn-seq runs'!#ref!,"AAAAAD/W/do=")</f>
        <v>#VALUE!</v>
      </c>
      <c r="HL2" s="8" t="e">
        <f aca="false">AND('tn-seq runs'!#ref!,"AAAAAD/W/ds=")</f>
        <v>#VALUE!</v>
      </c>
      <c r="HM2" s="8" t="e">
        <f aca="false">AND('tn-seq runs'!#ref!,"AAAAAD/W/dw=")</f>
        <v>#VALUE!</v>
      </c>
      <c r="HN2" s="8" t="e">
        <f aca="false">AND('tn-seq runs'!#ref!,"AAAAAD/W/d0=")</f>
        <v>#VALUE!</v>
      </c>
      <c r="HO2" s="8" t="e">
        <f aca="false">AND('tn-seq runs'!#ref!,"AAAAAD/W/d4=")</f>
        <v>#VALUE!</v>
      </c>
      <c r="HP2" s="8" t="e">
        <f aca="false">AND('tn-seq runs'!#ref!,"AAAAAD/W/d8=")</f>
        <v>#VALUE!</v>
      </c>
      <c r="HQ2" s="8" t="e">
        <f aca="false">AND('tn-seq runs'!#ref!,"AAAAAD/W/eA=")</f>
        <v>#VALUE!</v>
      </c>
      <c r="HR2" s="8" t="e">
        <f aca="false">AND('tn-seq runs'!#ref!,"AAAAAD/W/eE=")</f>
        <v>#VALUE!</v>
      </c>
      <c r="HS2" s="8" t="e">
        <f aca="false">AND('tn-seq runs'!#ref!,"AAAAAD/W/eI=")</f>
        <v>#VALUE!</v>
      </c>
      <c r="HT2" s="8" t="e">
        <f aca="false">AND('tn-seq runs'!#ref!,"AAAAAD/W/eM=")</f>
        <v>#VALUE!</v>
      </c>
      <c r="HU2" s="8" t="e">
        <f aca="false">AND('tn-seq runs'!#ref!,"AAAAAD/W/eQ=")</f>
        <v>#VALUE!</v>
      </c>
      <c r="HV2" s="8" t="e">
        <f aca="false">AND('tn-seq runs'!#ref!,"AAAAAD/W/eU=")</f>
        <v>#VALUE!</v>
      </c>
      <c r="HW2" s="8" t="e">
        <f aca="false">AND('tn-seq runs'!#ref!,"AAAAAD/W/eY=")</f>
        <v>#VALUE!</v>
      </c>
      <c r="HX2" s="8" t="e">
        <f aca="false">AND('tn-seq runs'!#ref!,"AAAAAD/W/ec=")</f>
        <v>#VALUE!</v>
      </c>
      <c r="HY2" s="8" t="e">
        <f aca="false">AND('tn-seq runs'!#ref!,"AAAAAD/W/eg=")</f>
        <v>#VALUE!</v>
      </c>
      <c r="HZ2" s="8" t="e">
        <f aca="false">AND('tn-seq runs'!#ref!,"AAAAAD/W/ek=")</f>
        <v>#VALUE!</v>
      </c>
      <c r="IA2" s="8" t="e">
        <f aca="false">IF(#REF!,"AAAAAD/W/eo=",0)</f>
        <v>#REF!</v>
      </c>
      <c r="IB2" s="8" t="e">
        <f aca="false">AND('tn-seq runs'!#ref!,"AAAAAD/W/es=")</f>
        <v>#VALUE!</v>
      </c>
      <c r="IC2" s="8" t="e">
        <f aca="false">AND('tn-seq runs'!#ref!,"AAAAAD/W/ew=")</f>
        <v>#VALUE!</v>
      </c>
      <c r="ID2" s="8" t="e">
        <f aca="false">AND('tn-seq runs'!#ref!,"AAAAAD/W/e0=")</f>
        <v>#VALUE!</v>
      </c>
      <c r="IE2" s="8" t="e">
        <f aca="false">AND('tn-seq runs'!#ref!,"AAAAAD/W/e4=")</f>
        <v>#VALUE!</v>
      </c>
      <c r="IF2" s="8" t="e">
        <f aca="false">AND('tn-seq runs'!#ref!,"AAAAAD/W/e8=")</f>
        <v>#VALUE!</v>
      </c>
      <c r="IG2" s="8" t="e">
        <f aca="false">AND('tn-seq runs'!#ref!,"AAAAAD/W/fA=")</f>
        <v>#VALUE!</v>
      </c>
      <c r="IH2" s="8" t="e">
        <f aca="false">AND('tn-seq runs'!#ref!,"AAAAAD/W/fE=")</f>
        <v>#VALUE!</v>
      </c>
      <c r="II2" s="8" t="e">
        <f aca="false">AND('tn-seq runs'!#ref!,"AAAAAD/W/fI=")</f>
        <v>#VALUE!</v>
      </c>
      <c r="IJ2" s="8" t="e">
        <f aca="false">AND('tn-seq runs'!#ref!,"AAAAAD/W/fM=")</f>
        <v>#VALUE!</v>
      </c>
      <c r="IK2" s="8" t="e">
        <f aca="false">AND('tn-seq runs'!#ref!,"AAAAAD/W/fQ=")</f>
        <v>#VALUE!</v>
      </c>
      <c r="IL2" s="8" t="e">
        <f aca="false">AND('tn-seq runs'!#ref!,"AAAAAD/W/fU=")</f>
        <v>#VALUE!</v>
      </c>
      <c r="IM2" s="8" t="e">
        <f aca="false">AND('tn-seq runs'!#ref!,"AAAAAD/W/fY=")</f>
        <v>#VALUE!</v>
      </c>
      <c r="IN2" s="8" t="e">
        <f aca="false">AND('tn-seq runs'!#ref!,"AAAAAD/W/fc=")</f>
        <v>#VALUE!</v>
      </c>
      <c r="IO2" s="8" t="e">
        <f aca="false">AND('tn-seq runs'!#ref!,"AAAAAD/W/fg=")</f>
        <v>#VALUE!</v>
      </c>
      <c r="IP2" s="8" t="e">
        <f aca="false">AND('tn-seq runs'!#ref!,"AAAAAD/W/fk=")</f>
        <v>#VALUE!</v>
      </c>
      <c r="IQ2" s="8" t="e">
        <f aca="false">AND('tn-seq runs'!#ref!,"AAAAAD/W/fo=")</f>
        <v>#VALUE!</v>
      </c>
      <c r="IR2" s="8" t="e">
        <f aca="false">AND('tn-seq runs'!#ref!,"AAAAAD/W/fs=")</f>
        <v>#VALUE!</v>
      </c>
      <c r="IS2" s="8" t="e">
        <f aca="false">AND('tn-seq runs'!#ref!,"AAAAAD/W/fw=")</f>
        <v>#VALUE!</v>
      </c>
      <c r="IT2" s="8" t="e">
        <f aca="false">AND('tn-seq runs'!#ref!,"AAAAAD/W/f0=")</f>
        <v>#VALUE!</v>
      </c>
      <c r="IU2" s="8" t="e">
        <f aca="false">AND('tn-seq runs'!#ref!,"AAAAAD/W/f4=")</f>
        <v>#VALUE!</v>
      </c>
      <c r="IV2" s="8" t="e">
        <f aca="false">AND('tn-seq runs'!#ref!,"AAAAAD/W/f8=")</f>
        <v>#VALUE!</v>
      </c>
    </row>
    <row r="3" customFormat="false" ht="15" hidden="false" customHeight="false" outlineLevel="0" collapsed="false">
      <c r="A3" s="8" t="e">
        <f aca="false">AND('tn-seq runs'!#ref!,"AAAAAFb3MgA=")</f>
        <v>#VALUE!</v>
      </c>
      <c r="B3" s="8" t="e">
        <f aca="false">AND('tn-seq runs'!#ref!,"AAAAAFb3MgE=")</f>
        <v>#VALUE!</v>
      </c>
      <c r="C3" s="8" t="e">
        <f aca="false">AND('tn-seq runs'!#ref!,"AAAAAFb3MgI=")</f>
        <v>#VALUE!</v>
      </c>
      <c r="D3" s="8" t="e">
        <f aca="false">AND('tn-seq runs'!#ref!,"AAAAAFb3MgM=")</f>
        <v>#VALUE!</v>
      </c>
      <c r="E3" s="8" t="e">
        <f aca="false">AND('tn-seq runs'!#ref!,"AAAAAFb3MgQ=")</f>
        <v>#VALUE!</v>
      </c>
      <c r="F3" s="8" t="e">
        <f aca="false">AND('tn-seq runs'!#ref!,"AAAAAFb3MgU=")</f>
        <v>#VALUE!</v>
      </c>
      <c r="G3" s="8" t="e">
        <f aca="false">AND('tn-seq runs'!#ref!,"AAAAAFb3MgY=")</f>
        <v>#VALUE!</v>
      </c>
      <c r="H3" s="8" t="e">
        <f aca="false">AND('tn-seq runs'!#ref!,"AAAAAFb3Mgc=")</f>
        <v>#VALUE!</v>
      </c>
      <c r="I3" s="8" t="e">
        <f aca="false">AND('tn-seq runs'!#ref!,"AAAAAFb3Mgg=")</f>
        <v>#VALUE!</v>
      </c>
      <c r="J3" s="8" t="e">
        <f aca="false">AND('tn-seq runs'!#ref!,"AAAAAFb3Mgk=")</f>
        <v>#VALUE!</v>
      </c>
      <c r="K3" s="8" t="e">
        <f aca="false">AND('tn-seq runs'!#ref!,"AAAAAFb3Mgo=")</f>
        <v>#VALUE!</v>
      </c>
      <c r="L3" s="8" t="e">
        <f aca="false">AND('tn-seq runs'!#ref!,"AAAAAFb3Mgs=")</f>
        <v>#VALUE!</v>
      </c>
      <c r="M3" s="8" t="e">
        <f aca="false">AND('tn-seq runs'!#ref!,"AAAAAFb3Mgw=")</f>
        <v>#VALUE!</v>
      </c>
      <c r="N3" s="8" t="e">
        <f aca="false">IF(#REF!,"AAAAAFb3Mg0=",0)</f>
        <v>#REF!</v>
      </c>
      <c r="O3" s="8" t="e">
        <f aca="false">AND('tn-seq runs'!#ref!,"AAAAAFb3Mg4=")</f>
        <v>#VALUE!</v>
      </c>
      <c r="P3" s="8" t="e">
        <f aca="false">AND('tn-seq runs'!#ref!,"AAAAAFb3Mg8=")</f>
        <v>#VALUE!</v>
      </c>
      <c r="Q3" s="8" t="e">
        <f aca="false">AND('tn-seq runs'!#ref!,"AAAAAFb3MhA=")</f>
        <v>#VALUE!</v>
      </c>
      <c r="R3" s="8" t="e">
        <f aca="false">AND('tn-seq runs'!#ref!,"AAAAAFb3MhE=")</f>
        <v>#VALUE!</v>
      </c>
      <c r="S3" s="8" t="e">
        <f aca="false">AND('tn-seq runs'!#ref!,"AAAAAFb3MhI=")</f>
        <v>#VALUE!</v>
      </c>
      <c r="T3" s="8" t="e">
        <f aca="false">AND('tn-seq runs'!#ref!,"AAAAAFb3MhM=")</f>
        <v>#VALUE!</v>
      </c>
      <c r="U3" s="8" t="e">
        <f aca="false">AND('tn-seq runs'!#ref!,"AAAAAFb3MhQ=")</f>
        <v>#VALUE!</v>
      </c>
      <c r="V3" s="8" t="e">
        <f aca="false">AND('tn-seq runs'!#ref!,"AAAAAFb3MhU=")</f>
        <v>#VALUE!</v>
      </c>
      <c r="W3" s="8" t="e">
        <f aca="false">AND('tn-seq runs'!#ref!,"AAAAAFb3MhY=")</f>
        <v>#VALUE!</v>
      </c>
      <c r="X3" s="8" t="e">
        <f aca="false">AND('tn-seq runs'!#ref!,"AAAAAFb3Mhc=")</f>
        <v>#VALUE!</v>
      </c>
      <c r="Y3" s="8" t="e">
        <f aca="false">AND('tn-seq runs'!#ref!,"AAAAAFb3Mhg=")</f>
        <v>#VALUE!</v>
      </c>
      <c r="Z3" s="8" t="e">
        <f aca="false">AND('tn-seq runs'!#ref!,"AAAAAFb3Mhk=")</f>
        <v>#VALUE!</v>
      </c>
      <c r="AA3" s="8" t="e">
        <f aca="false">AND('tn-seq runs'!#ref!,"AAAAAFb3Mho=")</f>
        <v>#VALUE!</v>
      </c>
      <c r="AB3" s="8" t="e">
        <f aca="false">AND('tn-seq runs'!#ref!,"AAAAAFb3Mhs=")</f>
        <v>#VALUE!</v>
      </c>
      <c r="AC3" s="8" t="e">
        <f aca="false">AND('tn-seq runs'!#ref!,"AAAAAFb3Mhw=")</f>
        <v>#VALUE!</v>
      </c>
      <c r="AD3" s="8" t="e">
        <f aca="false">AND('tn-seq runs'!#ref!,"AAAAAFb3Mh0=")</f>
        <v>#VALUE!</v>
      </c>
      <c r="AE3" s="8" t="e">
        <f aca="false">AND('tn-seq runs'!#ref!,"AAAAAFb3Mh4=")</f>
        <v>#VALUE!</v>
      </c>
      <c r="AF3" s="8" t="e">
        <f aca="false">AND('tn-seq runs'!#ref!,"AAAAAFb3Mh8=")</f>
        <v>#VALUE!</v>
      </c>
      <c r="AG3" s="8" t="e">
        <f aca="false">AND('tn-seq runs'!#ref!,"AAAAAFb3MiA=")</f>
        <v>#VALUE!</v>
      </c>
      <c r="AH3" s="8" t="e">
        <f aca="false">AND('tn-seq runs'!#ref!,"AAAAAFb3MiE=")</f>
        <v>#VALUE!</v>
      </c>
      <c r="AI3" s="8" t="e">
        <f aca="false">AND('tn-seq runs'!#ref!,"AAAAAFb3MiI=")</f>
        <v>#VALUE!</v>
      </c>
      <c r="AJ3" s="8" t="e">
        <f aca="false">AND('tn-seq runs'!#ref!,"AAAAAFb3MiM=")</f>
        <v>#VALUE!</v>
      </c>
      <c r="AK3" s="8" t="e">
        <f aca="false">AND('tn-seq runs'!#ref!,"AAAAAFb3MiQ=")</f>
        <v>#VALUE!</v>
      </c>
      <c r="AL3" s="8" t="e">
        <f aca="false">AND('tn-seq runs'!#ref!,"AAAAAFb3MiU=")</f>
        <v>#VALUE!</v>
      </c>
      <c r="AM3" s="8" t="e">
        <f aca="false">AND('tn-seq runs'!#ref!,"AAAAAFb3MiY=")</f>
        <v>#VALUE!</v>
      </c>
      <c r="AN3" s="8" t="e">
        <f aca="false">AND('tn-seq runs'!#ref!,"AAAAAFb3Mic=")</f>
        <v>#VALUE!</v>
      </c>
      <c r="AO3" s="8" t="e">
        <f aca="false">AND('tn-seq runs'!#ref!,"AAAAAFb3Mig=")</f>
        <v>#VALUE!</v>
      </c>
      <c r="AP3" s="8" t="e">
        <f aca="false">AND('tn-seq runs'!#ref!,"AAAAAFb3Mik=")</f>
        <v>#VALUE!</v>
      </c>
      <c r="AQ3" s="8" t="e">
        <f aca="false">AND('tn-seq runs'!#ref!,"AAAAAFb3Mio=")</f>
        <v>#VALUE!</v>
      </c>
      <c r="AR3" s="8" t="e">
        <f aca="false">AND('tn-seq runs'!#ref!,"AAAAAFb3Mis=")</f>
        <v>#VALUE!</v>
      </c>
      <c r="AS3" s="8" t="e">
        <f aca="false">AND('tn-seq runs'!#ref!,"AAAAAFb3Miw=")</f>
        <v>#VALUE!</v>
      </c>
      <c r="AT3" s="8" t="e">
        <f aca="false">AND('tn-seq runs'!#ref!,"AAAAAFb3Mi0=")</f>
        <v>#VALUE!</v>
      </c>
      <c r="AU3" s="8" t="e">
        <f aca="false">AND('tn-seq runs'!#ref!,"AAAAAFb3Mi4=")</f>
        <v>#VALUE!</v>
      </c>
      <c r="AV3" s="8" t="e">
        <f aca="false">AND('tn-seq runs'!#ref!,"AAAAAFb3Mi8=")</f>
        <v>#VALUE!</v>
      </c>
      <c r="AW3" s="8" t="e">
        <f aca="false">IF(#REF!,"AAAAAFb3MjA=",0)</f>
        <v>#REF!</v>
      </c>
      <c r="AX3" s="8" t="e">
        <f aca="false">AND('tn-seq runs'!#ref!,"AAAAAFb3MjE=")</f>
        <v>#VALUE!</v>
      </c>
      <c r="AY3" s="8" t="e">
        <f aca="false">AND('tn-seq runs'!#ref!,"AAAAAFb3MjI=")</f>
        <v>#VALUE!</v>
      </c>
      <c r="AZ3" s="8" t="e">
        <f aca="false">AND('tn-seq runs'!#ref!,"AAAAAFb3MjM=")</f>
        <v>#VALUE!</v>
      </c>
      <c r="BA3" s="8" t="e">
        <f aca="false">AND('tn-seq runs'!#ref!,"AAAAAFb3MjQ=")</f>
        <v>#VALUE!</v>
      </c>
      <c r="BB3" s="8" t="e">
        <f aca="false">AND('tn-seq runs'!#ref!,"AAAAAFb3MjU=")</f>
        <v>#VALUE!</v>
      </c>
      <c r="BC3" s="8" t="e">
        <f aca="false">AND('tn-seq runs'!#ref!,"AAAAAFb3MjY=")</f>
        <v>#VALUE!</v>
      </c>
      <c r="BD3" s="8" t="e">
        <f aca="false">AND('tn-seq runs'!#ref!,"AAAAAFb3Mjc=")</f>
        <v>#VALUE!</v>
      </c>
      <c r="BE3" s="8" t="e">
        <f aca="false">AND('tn-seq runs'!#ref!,"AAAAAFb3Mjg=")</f>
        <v>#VALUE!</v>
      </c>
      <c r="BF3" s="8" t="e">
        <f aca="false">AND('tn-seq runs'!#ref!,"AAAAAFb3Mjk=")</f>
        <v>#VALUE!</v>
      </c>
      <c r="BG3" s="8" t="e">
        <f aca="false">AND('tn-seq runs'!#ref!,"AAAAAFb3Mjo=")</f>
        <v>#VALUE!</v>
      </c>
      <c r="BH3" s="8" t="e">
        <f aca="false">AND('tn-seq runs'!#ref!,"AAAAAFb3Mjs=")</f>
        <v>#VALUE!</v>
      </c>
      <c r="BI3" s="8" t="e">
        <f aca="false">AND('tn-seq runs'!#ref!,"AAAAAFb3Mjw=")</f>
        <v>#VALUE!</v>
      </c>
      <c r="BJ3" s="8" t="e">
        <f aca="false">AND('tn-seq runs'!#ref!,"AAAAAFb3Mj0=")</f>
        <v>#VALUE!</v>
      </c>
      <c r="BK3" s="8" t="e">
        <f aca="false">AND('tn-seq runs'!#ref!,"AAAAAFb3Mj4=")</f>
        <v>#VALUE!</v>
      </c>
      <c r="BL3" s="8" t="e">
        <f aca="false">AND('tn-seq runs'!#ref!,"AAAAAFb3Mj8=")</f>
        <v>#VALUE!</v>
      </c>
      <c r="BM3" s="8" t="e">
        <f aca="false">AND('tn-seq runs'!#ref!,"AAAAAFb3MkA=")</f>
        <v>#VALUE!</v>
      </c>
      <c r="BN3" s="8" t="e">
        <f aca="false">AND('tn-seq runs'!#ref!,"AAAAAFb3MkE=")</f>
        <v>#VALUE!</v>
      </c>
      <c r="BO3" s="8" t="e">
        <f aca="false">AND('tn-seq runs'!#ref!,"AAAAAFb3MkI=")</f>
        <v>#VALUE!</v>
      </c>
      <c r="BP3" s="8" t="e">
        <f aca="false">AND('tn-seq runs'!#ref!,"AAAAAFb3MkM=")</f>
        <v>#VALUE!</v>
      </c>
      <c r="BQ3" s="8" t="e">
        <f aca="false">AND('tn-seq runs'!#ref!,"AAAAAFb3MkQ=")</f>
        <v>#VALUE!</v>
      </c>
      <c r="BR3" s="8" t="e">
        <f aca="false">AND('tn-seq runs'!#ref!,"AAAAAFb3MkU=")</f>
        <v>#VALUE!</v>
      </c>
      <c r="BS3" s="8" t="e">
        <f aca="false">AND('tn-seq runs'!#ref!,"AAAAAFb3MkY=")</f>
        <v>#VALUE!</v>
      </c>
      <c r="BT3" s="8" t="e">
        <f aca="false">AND('tn-seq runs'!#ref!,"AAAAAFb3Mkc=")</f>
        <v>#VALUE!</v>
      </c>
      <c r="BU3" s="8" t="e">
        <f aca="false">AND('tn-seq runs'!#ref!,"AAAAAFb3Mkg=")</f>
        <v>#VALUE!</v>
      </c>
      <c r="BV3" s="8" t="e">
        <f aca="false">AND('tn-seq runs'!#ref!,"AAAAAFb3Mkk=")</f>
        <v>#VALUE!</v>
      </c>
      <c r="BW3" s="8" t="e">
        <f aca="false">AND('tn-seq runs'!#ref!,"AAAAAFb3Mko=")</f>
        <v>#VALUE!</v>
      </c>
      <c r="BX3" s="8" t="e">
        <f aca="false">AND('tn-seq runs'!#ref!,"AAAAAFb3Mks=")</f>
        <v>#VALUE!</v>
      </c>
      <c r="BY3" s="8" t="e">
        <f aca="false">AND('tn-seq runs'!#ref!,"AAAAAFb3Mkw=")</f>
        <v>#VALUE!</v>
      </c>
      <c r="BZ3" s="8" t="e">
        <f aca="false">AND('tn-seq runs'!#ref!,"AAAAAFb3Mk0=")</f>
        <v>#VALUE!</v>
      </c>
      <c r="CA3" s="8" t="e">
        <f aca="false">AND('tn-seq runs'!#ref!,"AAAAAFb3Mk4=")</f>
        <v>#VALUE!</v>
      </c>
      <c r="CB3" s="8" t="e">
        <f aca="false">AND('tn-seq runs'!#ref!,"AAAAAFb3Mk8=")</f>
        <v>#VALUE!</v>
      </c>
      <c r="CC3" s="8" t="e">
        <f aca="false">AND('tn-seq runs'!#ref!,"AAAAAFb3MlA=")</f>
        <v>#VALUE!</v>
      </c>
      <c r="CD3" s="8" t="e">
        <f aca="false">AND('tn-seq runs'!#ref!,"AAAAAFb3MlE=")</f>
        <v>#VALUE!</v>
      </c>
      <c r="CE3" s="8" t="e">
        <f aca="false">AND('tn-seq runs'!#ref!,"AAAAAFb3MlI=")</f>
        <v>#VALUE!</v>
      </c>
      <c r="CF3" s="8" t="e">
        <f aca="false">IF(#REF!,"AAAAAFb3MlM=",0)</f>
        <v>#REF!</v>
      </c>
      <c r="CG3" s="8" t="e">
        <f aca="false">AND('tn-seq runs'!#ref!,"AAAAAFb3MlQ=")</f>
        <v>#VALUE!</v>
      </c>
      <c r="CH3" s="8" t="e">
        <f aca="false">AND('tn-seq runs'!#ref!,"AAAAAFb3MlU=")</f>
        <v>#VALUE!</v>
      </c>
      <c r="CI3" s="8" t="e">
        <f aca="false">AND('tn-seq runs'!#ref!,"AAAAAFb3MlY=")</f>
        <v>#VALUE!</v>
      </c>
      <c r="CJ3" s="8" t="e">
        <f aca="false">AND('tn-seq runs'!#ref!,"AAAAAFb3Mlc=")</f>
        <v>#VALUE!</v>
      </c>
      <c r="CK3" s="8" t="e">
        <f aca="false">AND('tn-seq runs'!#ref!,"AAAAAFb3Mlg=")</f>
        <v>#VALUE!</v>
      </c>
      <c r="CL3" s="8" t="e">
        <f aca="false">AND('tn-seq runs'!#ref!,"AAAAAFb3Mlk=")</f>
        <v>#VALUE!</v>
      </c>
      <c r="CM3" s="8" t="e">
        <f aca="false">AND('tn-seq runs'!#ref!,"AAAAAFb3Mlo=")</f>
        <v>#VALUE!</v>
      </c>
      <c r="CN3" s="8" t="e">
        <f aca="false">AND('tn-seq runs'!#ref!,"AAAAAFb3Mls=")</f>
        <v>#VALUE!</v>
      </c>
      <c r="CO3" s="8" t="e">
        <f aca="false">AND('tn-seq runs'!#ref!,"AAAAAFb3Mlw=")</f>
        <v>#VALUE!</v>
      </c>
      <c r="CP3" s="8" t="e">
        <f aca="false">AND('tn-seq runs'!#ref!,"AAAAAFb3Ml0=")</f>
        <v>#VALUE!</v>
      </c>
      <c r="CQ3" s="8" t="e">
        <f aca="false">AND('tn-seq runs'!#ref!,"AAAAAFb3Ml4=")</f>
        <v>#VALUE!</v>
      </c>
      <c r="CR3" s="8" t="e">
        <f aca="false">AND('tn-seq runs'!#ref!,"AAAAAFb3Ml8=")</f>
        <v>#VALUE!</v>
      </c>
      <c r="CS3" s="8" t="e">
        <f aca="false">AND('tn-seq runs'!#ref!,"AAAAAFb3MmA=")</f>
        <v>#VALUE!</v>
      </c>
      <c r="CT3" s="8" t="e">
        <f aca="false">AND('tn-seq runs'!#ref!,"AAAAAFb3MmE=")</f>
        <v>#VALUE!</v>
      </c>
      <c r="CU3" s="8" t="e">
        <f aca="false">AND('tn-seq runs'!#ref!,"AAAAAFb3MmI=")</f>
        <v>#VALUE!</v>
      </c>
      <c r="CV3" s="8" t="e">
        <f aca="false">AND('tn-seq runs'!#ref!,"AAAAAFb3MmM=")</f>
        <v>#VALUE!</v>
      </c>
      <c r="CW3" s="8" t="e">
        <f aca="false">AND('tn-seq runs'!#ref!,"AAAAAFb3MmQ=")</f>
        <v>#VALUE!</v>
      </c>
      <c r="CX3" s="8" t="e">
        <f aca="false">AND('tn-seq runs'!#ref!,"AAAAAFb3MmU=")</f>
        <v>#VALUE!</v>
      </c>
      <c r="CY3" s="8" t="e">
        <f aca="false">AND('tn-seq runs'!#ref!,"AAAAAFb3MmY=")</f>
        <v>#VALUE!</v>
      </c>
      <c r="CZ3" s="8" t="e">
        <f aca="false">AND('tn-seq runs'!#ref!,"AAAAAFb3Mmc=")</f>
        <v>#VALUE!</v>
      </c>
      <c r="DA3" s="8" t="e">
        <f aca="false">AND('tn-seq runs'!#ref!,"AAAAAFb3Mmg=")</f>
        <v>#VALUE!</v>
      </c>
      <c r="DB3" s="8" t="e">
        <f aca="false">AND('tn-seq runs'!#ref!,"AAAAAFb3Mmk=")</f>
        <v>#VALUE!</v>
      </c>
      <c r="DC3" s="8" t="e">
        <f aca="false">AND('tn-seq runs'!#ref!,"AAAAAFb3Mmo=")</f>
        <v>#VALUE!</v>
      </c>
      <c r="DD3" s="8" t="e">
        <f aca="false">AND('tn-seq runs'!#ref!,"AAAAAFb3Mms=")</f>
        <v>#VALUE!</v>
      </c>
      <c r="DE3" s="8" t="e">
        <f aca="false">AND('tn-seq runs'!#ref!,"AAAAAFb3Mmw=")</f>
        <v>#VALUE!</v>
      </c>
      <c r="DF3" s="8" t="e">
        <f aca="false">AND('tn-seq runs'!#ref!,"AAAAAFb3Mm0=")</f>
        <v>#VALUE!</v>
      </c>
      <c r="DG3" s="8" t="e">
        <f aca="false">AND('tn-seq runs'!#ref!,"AAAAAFb3Mm4=")</f>
        <v>#VALUE!</v>
      </c>
      <c r="DH3" s="8" t="e">
        <f aca="false">AND('tn-seq runs'!#ref!,"AAAAAFb3Mm8=")</f>
        <v>#VALUE!</v>
      </c>
      <c r="DI3" s="8" t="e">
        <f aca="false">AND('tn-seq runs'!#ref!,"AAAAAFb3MnA=")</f>
        <v>#VALUE!</v>
      </c>
      <c r="DJ3" s="8" t="e">
        <f aca="false">AND('tn-seq runs'!#ref!,"AAAAAFb3MnE=")</f>
        <v>#VALUE!</v>
      </c>
      <c r="DK3" s="8" t="e">
        <f aca="false">AND('tn-seq runs'!#ref!,"AAAAAFb3MnI=")</f>
        <v>#VALUE!</v>
      </c>
      <c r="DL3" s="8" t="e">
        <f aca="false">AND('tn-seq runs'!#ref!,"AAAAAFb3MnM=")</f>
        <v>#VALUE!</v>
      </c>
      <c r="DM3" s="8" t="e">
        <f aca="false">AND('tn-seq runs'!#ref!,"AAAAAFb3MnQ=")</f>
        <v>#VALUE!</v>
      </c>
      <c r="DN3" s="8" t="e">
        <f aca="false">AND('tn-seq runs'!#ref!,"AAAAAFb3MnU=")</f>
        <v>#VALUE!</v>
      </c>
      <c r="DO3" s="8" t="e">
        <f aca="false">IF(#REF!,"AAAAAFb3MnY=",0)</f>
        <v>#REF!</v>
      </c>
      <c r="DP3" s="8" t="e">
        <f aca="false">AND('tn-seq runs'!#ref!,"AAAAAFb3Mnc=")</f>
        <v>#VALUE!</v>
      </c>
      <c r="DQ3" s="8" t="e">
        <f aca="false">AND('tn-seq runs'!#ref!,"AAAAAFb3Mng=")</f>
        <v>#VALUE!</v>
      </c>
      <c r="DR3" s="8" t="e">
        <f aca="false">AND('tn-seq runs'!#ref!,"AAAAAFb3Mnk=")</f>
        <v>#VALUE!</v>
      </c>
      <c r="DS3" s="8" t="e">
        <f aca="false">AND('tn-seq runs'!#ref!,"AAAAAFb3Mno=")</f>
        <v>#VALUE!</v>
      </c>
      <c r="DT3" s="8" t="e">
        <f aca="false">AND('tn-seq runs'!#ref!,"AAAAAFb3Mns=")</f>
        <v>#VALUE!</v>
      </c>
      <c r="DU3" s="8" t="e">
        <f aca="false">AND('tn-seq runs'!#ref!,"AAAAAFb3Mnw=")</f>
        <v>#VALUE!</v>
      </c>
      <c r="DV3" s="8" t="e">
        <f aca="false">AND('tn-seq runs'!#ref!,"AAAAAFb3Mn0=")</f>
        <v>#VALUE!</v>
      </c>
      <c r="DW3" s="8" t="e">
        <f aca="false">AND('tn-seq runs'!#ref!,"AAAAAFb3Mn4=")</f>
        <v>#VALUE!</v>
      </c>
      <c r="DX3" s="8" t="e">
        <f aca="false">AND('tn-seq runs'!#ref!,"AAAAAFb3Mn8=")</f>
        <v>#VALUE!</v>
      </c>
      <c r="DY3" s="8" t="e">
        <f aca="false">AND('tn-seq runs'!#ref!,"AAAAAFb3MoA=")</f>
        <v>#VALUE!</v>
      </c>
      <c r="DZ3" s="8" t="e">
        <f aca="false">AND('tn-seq runs'!#ref!,"AAAAAFb3MoE=")</f>
        <v>#VALUE!</v>
      </c>
      <c r="EA3" s="8" t="e">
        <f aca="false">AND('tn-seq runs'!#ref!,"AAAAAFb3MoI=")</f>
        <v>#VALUE!</v>
      </c>
      <c r="EB3" s="8" t="e">
        <f aca="false">AND('tn-seq runs'!#ref!,"AAAAAFb3MoM=")</f>
        <v>#VALUE!</v>
      </c>
      <c r="EC3" s="8" t="e">
        <f aca="false">AND('tn-seq runs'!#ref!,"AAAAAFb3MoQ=")</f>
        <v>#VALUE!</v>
      </c>
      <c r="ED3" s="8" t="e">
        <f aca="false">AND('tn-seq runs'!#ref!,"AAAAAFb3MoU=")</f>
        <v>#VALUE!</v>
      </c>
      <c r="EE3" s="8" t="e">
        <f aca="false">AND('tn-seq runs'!#ref!,"AAAAAFb3MoY=")</f>
        <v>#VALUE!</v>
      </c>
      <c r="EF3" s="8" t="e">
        <f aca="false">AND('tn-seq runs'!#ref!,"AAAAAFb3Moc=")</f>
        <v>#VALUE!</v>
      </c>
      <c r="EG3" s="8" t="e">
        <f aca="false">AND('tn-seq runs'!#ref!,"AAAAAFb3Mog=")</f>
        <v>#VALUE!</v>
      </c>
      <c r="EH3" s="8" t="e">
        <f aca="false">AND('tn-seq runs'!#ref!,"AAAAAFb3Mok=")</f>
        <v>#VALUE!</v>
      </c>
      <c r="EI3" s="8" t="e">
        <f aca="false">AND('tn-seq runs'!#ref!,"AAAAAFb3Moo=")</f>
        <v>#VALUE!</v>
      </c>
      <c r="EJ3" s="8" t="e">
        <f aca="false">AND('tn-seq runs'!#ref!,"AAAAAFb3Mos=")</f>
        <v>#VALUE!</v>
      </c>
      <c r="EK3" s="8" t="e">
        <f aca="false">AND('tn-seq runs'!#ref!,"AAAAAFb3Mow=")</f>
        <v>#VALUE!</v>
      </c>
      <c r="EL3" s="8" t="e">
        <f aca="false">AND('tn-seq runs'!#ref!,"AAAAAFb3Mo0=")</f>
        <v>#VALUE!</v>
      </c>
      <c r="EM3" s="8" t="e">
        <f aca="false">AND('tn-seq runs'!#ref!,"AAAAAFb3Mo4=")</f>
        <v>#VALUE!</v>
      </c>
      <c r="EN3" s="8" t="e">
        <f aca="false">AND('tn-seq runs'!#ref!,"AAAAAFb3Mo8=")</f>
        <v>#VALUE!</v>
      </c>
      <c r="EO3" s="8" t="e">
        <f aca="false">AND('tn-seq runs'!#ref!,"AAAAAFb3MpA=")</f>
        <v>#VALUE!</v>
      </c>
      <c r="EP3" s="8" t="e">
        <f aca="false">AND('tn-seq runs'!#ref!,"AAAAAFb3MpE=")</f>
        <v>#VALUE!</v>
      </c>
      <c r="EQ3" s="8" t="e">
        <f aca="false">AND('tn-seq runs'!#ref!,"AAAAAFb3MpI=")</f>
        <v>#VALUE!</v>
      </c>
      <c r="ER3" s="8" t="e">
        <f aca="false">AND('tn-seq runs'!#ref!,"AAAAAFb3MpM=")</f>
        <v>#VALUE!</v>
      </c>
      <c r="ES3" s="8" t="e">
        <f aca="false">AND('tn-seq runs'!#ref!,"AAAAAFb3MpQ=")</f>
        <v>#VALUE!</v>
      </c>
      <c r="ET3" s="8" t="e">
        <f aca="false">AND('tn-seq runs'!#ref!,"AAAAAFb3MpU=")</f>
        <v>#VALUE!</v>
      </c>
      <c r="EU3" s="8" t="e">
        <f aca="false">AND('tn-seq runs'!#ref!,"AAAAAFb3MpY=")</f>
        <v>#VALUE!</v>
      </c>
      <c r="EV3" s="8" t="e">
        <f aca="false">AND('tn-seq runs'!#ref!,"AAAAAFb3Mpc=")</f>
        <v>#VALUE!</v>
      </c>
      <c r="EW3" s="8" t="e">
        <f aca="false">AND('tn-seq runs'!#ref!,"AAAAAFb3Mpg=")</f>
        <v>#VALUE!</v>
      </c>
      <c r="EX3" s="8" t="e">
        <f aca="false">IF(#REF!,"AAAAAFb3Mpk=",0)</f>
        <v>#REF!</v>
      </c>
      <c r="EY3" s="8" t="e">
        <f aca="false">AND('tn-seq runs'!#ref!,"AAAAAFb3Mpo=")</f>
        <v>#VALUE!</v>
      </c>
      <c r="EZ3" s="8" t="e">
        <f aca="false">AND('tn-seq runs'!#ref!,"AAAAAFb3Mps=")</f>
        <v>#VALUE!</v>
      </c>
      <c r="FA3" s="8" t="e">
        <f aca="false">AND('tn-seq runs'!#ref!,"AAAAAFb3Mpw=")</f>
        <v>#VALUE!</v>
      </c>
      <c r="FB3" s="8" t="e">
        <f aca="false">AND('tn-seq runs'!#ref!,"AAAAAFb3Mp0=")</f>
        <v>#VALUE!</v>
      </c>
      <c r="FC3" s="8" t="e">
        <f aca="false">AND('tn-seq runs'!#ref!,"AAAAAFb3Mp4=")</f>
        <v>#VALUE!</v>
      </c>
      <c r="FD3" s="8" t="e">
        <f aca="false">AND('tn-seq runs'!#ref!,"AAAAAFb3Mp8=")</f>
        <v>#VALUE!</v>
      </c>
      <c r="FE3" s="8" t="e">
        <f aca="false">AND('tn-seq runs'!#ref!,"AAAAAFb3MqA=")</f>
        <v>#VALUE!</v>
      </c>
      <c r="FF3" s="8" t="e">
        <f aca="false">AND('tn-seq runs'!#ref!,"AAAAAFb3MqE=")</f>
        <v>#VALUE!</v>
      </c>
      <c r="FG3" s="8" t="e">
        <f aca="false">AND('tn-seq runs'!#ref!,"AAAAAFb3MqI=")</f>
        <v>#VALUE!</v>
      </c>
      <c r="FH3" s="8" t="e">
        <f aca="false">AND('tn-seq runs'!#ref!,"AAAAAFb3MqM=")</f>
        <v>#VALUE!</v>
      </c>
      <c r="FI3" s="8" t="e">
        <f aca="false">AND('tn-seq runs'!#ref!,"AAAAAFb3MqQ=")</f>
        <v>#VALUE!</v>
      </c>
      <c r="FJ3" s="8" t="e">
        <f aca="false">AND('tn-seq runs'!#ref!,"AAAAAFb3MqU=")</f>
        <v>#VALUE!</v>
      </c>
      <c r="FK3" s="8" t="e">
        <f aca="false">AND('tn-seq runs'!#ref!,"AAAAAFb3MqY=")</f>
        <v>#VALUE!</v>
      </c>
      <c r="FL3" s="8" t="e">
        <f aca="false">AND('tn-seq runs'!#ref!,"AAAAAFb3Mqc=")</f>
        <v>#VALUE!</v>
      </c>
      <c r="FM3" s="8" t="e">
        <f aca="false">AND('tn-seq runs'!#ref!,"AAAAAFb3Mqg=")</f>
        <v>#VALUE!</v>
      </c>
      <c r="FN3" s="8" t="e">
        <f aca="false">AND('tn-seq runs'!#ref!,"AAAAAFb3Mqk=")</f>
        <v>#VALUE!</v>
      </c>
      <c r="FO3" s="8" t="e">
        <f aca="false">AND('tn-seq runs'!#ref!,"AAAAAFb3Mqo=")</f>
        <v>#VALUE!</v>
      </c>
      <c r="FP3" s="8" t="e">
        <f aca="false">AND('tn-seq runs'!#ref!,"AAAAAFb3Mqs=")</f>
        <v>#VALUE!</v>
      </c>
      <c r="FQ3" s="8" t="e">
        <f aca="false">AND('tn-seq runs'!#ref!,"AAAAAFb3Mqw=")</f>
        <v>#VALUE!</v>
      </c>
      <c r="FR3" s="8" t="e">
        <f aca="false">AND('tn-seq runs'!#ref!,"AAAAAFb3Mq0=")</f>
        <v>#VALUE!</v>
      </c>
      <c r="FS3" s="8" t="e">
        <f aca="false">AND('tn-seq runs'!#ref!,"AAAAAFb3Mq4=")</f>
        <v>#VALUE!</v>
      </c>
      <c r="FT3" s="8" t="e">
        <f aca="false">AND('tn-seq runs'!#ref!,"AAAAAFb3Mq8=")</f>
        <v>#VALUE!</v>
      </c>
      <c r="FU3" s="8" t="e">
        <f aca="false">AND('tn-seq runs'!#ref!,"AAAAAFb3MrA=")</f>
        <v>#VALUE!</v>
      </c>
      <c r="FV3" s="8" t="e">
        <f aca="false">AND('tn-seq runs'!#ref!,"AAAAAFb3MrE=")</f>
        <v>#VALUE!</v>
      </c>
      <c r="FW3" s="8" t="e">
        <f aca="false">AND('tn-seq runs'!#ref!,"AAAAAFb3MrI=")</f>
        <v>#VALUE!</v>
      </c>
      <c r="FX3" s="8" t="e">
        <f aca="false">AND('tn-seq runs'!#ref!,"AAAAAFb3MrM=")</f>
        <v>#VALUE!</v>
      </c>
      <c r="FY3" s="8" t="e">
        <f aca="false">AND('tn-seq runs'!#ref!,"AAAAAFb3MrQ=")</f>
        <v>#VALUE!</v>
      </c>
      <c r="FZ3" s="8" t="e">
        <f aca="false">AND('tn-seq runs'!#ref!,"AAAAAFb3MrU=")</f>
        <v>#VALUE!</v>
      </c>
      <c r="GA3" s="8" t="e">
        <f aca="false">AND('tn-seq runs'!#ref!,"AAAAAFb3MrY=")</f>
        <v>#VALUE!</v>
      </c>
      <c r="GB3" s="8" t="e">
        <f aca="false">AND('tn-seq runs'!#ref!,"AAAAAFb3Mrc=")</f>
        <v>#VALUE!</v>
      </c>
      <c r="GC3" s="8" t="e">
        <f aca="false">AND('tn-seq runs'!#ref!,"AAAAAFb3Mrg=")</f>
        <v>#VALUE!</v>
      </c>
      <c r="GD3" s="8" t="e">
        <f aca="false">AND('tn-seq runs'!#ref!,"AAAAAFb3Mrk=")</f>
        <v>#VALUE!</v>
      </c>
      <c r="GE3" s="8" t="e">
        <f aca="false">AND('tn-seq runs'!#ref!,"AAAAAFb3Mro=")</f>
        <v>#VALUE!</v>
      </c>
      <c r="GF3" s="8" t="e">
        <f aca="false">AND('tn-seq runs'!#ref!,"AAAAAFb3Mrs=")</f>
        <v>#VALUE!</v>
      </c>
      <c r="GG3" s="8" t="e">
        <f aca="false">IF(#REF!,"AAAAAFb3Mrw=",0)</f>
        <v>#REF!</v>
      </c>
      <c r="GH3" s="8" t="e">
        <f aca="false">AND('tn-seq runs'!#ref!,"AAAAAFb3Mr0=")</f>
        <v>#VALUE!</v>
      </c>
      <c r="GI3" s="8" t="e">
        <f aca="false">AND('tn-seq runs'!#ref!,"AAAAAFb3Mr4=")</f>
        <v>#VALUE!</v>
      </c>
      <c r="GJ3" s="8" t="e">
        <f aca="false">AND('tn-seq runs'!#ref!,"AAAAAFb3Mr8=")</f>
        <v>#VALUE!</v>
      </c>
      <c r="GK3" s="8" t="e">
        <f aca="false">AND('tn-seq runs'!#ref!,"AAAAAFb3MsA=")</f>
        <v>#VALUE!</v>
      </c>
      <c r="GL3" s="8" t="e">
        <f aca="false">AND('tn-seq runs'!#ref!,"AAAAAFb3MsE=")</f>
        <v>#VALUE!</v>
      </c>
      <c r="GM3" s="8" t="e">
        <f aca="false">AND('tn-seq runs'!#ref!,"AAAAAFb3MsI=")</f>
        <v>#VALUE!</v>
      </c>
      <c r="GN3" s="8" t="e">
        <f aca="false">AND('tn-seq runs'!#ref!,"AAAAAFb3MsM=")</f>
        <v>#VALUE!</v>
      </c>
      <c r="GO3" s="8" t="e">
        <f aca="false">AND('tn-seq runs'!#ref!,"AAAAAFb3MsQ=")</f>
        <v>#VALUE!</v>
      </c>
      <c r="GP3" s="8" t="e">
        <f aca="false">AND('tn-seq runs'!#ref!,"AAAAAFb3MsU=")</f>
        <v>#VALUE!</v>
      </c>
      <c r="GQ3" s="8" t="e">
        <f aca="false">AND('tn-seq runs'!#ref!,"AAAAAFb3MsY=")</f>
        <v>#VALUE!</v>
      </c>
      <c r="GR3" s="8" t="e">
        <f aca="false">AND('tn-seq runs'!#ref!,"AAAAAFb3Msc=")</f>
        <v>#VALUE!</v>
      </c>
      <c r="GS3" s="8" t="e">
        <f aca="false">AND('tn-seq runs'!#ref!,"AAAAAFb3Msg=")</f>
        <v>#VALUE!</v>
      </c>
      <c r="GT3" s="8" t="e">
        <f aca="false">AND('tn-seq runs'!#ref!,"AAAAAFb3Msk=")</f>
        <v>#VALUE!</v>
      </c>
      <c r="GU3" s="8" t="e">
        <f aca="false">AND('tn-seq runs'!#ref!,"AAAAAFb3Mso=")</f>
        <v>#VALUE!</v>
      </c>
      <c r="GV3" s="8" t="e">
        <f aca="false">AND('tn-seq runs'!#ref!,"AAAAAFb3Mss=")</f>
        <v>#VALUE!</v>
      </c>
      <c r="GW3" s="8" t="e">
        <f aca="false">AND('tn-seq runs'!#ref!,"AAAAAFb3Msw=")</f>
        <v>#VALUE!</v>
      </c>
      <c r="GX3" s="8" t="e">
        <f aca="false">AND('tn-seq runs'!#ref!,"AAAAAFb3Ms0=")</f>
        <v>#VALUE!</v>
      </c>
      <c r="GY3" s="8" t="e">
        <f aca="false">AND('tn-seq runs'!#ref!,"AAAAAFb3Ms4=")</f>
        <v>#VALUE!</v>
      </c>
      <c r="GZ3" s="8" t="e">
        <f aca="false">AND('tn-seq runs'!#ref!,"AAAAAFb3Ms8=")</f>
        <v>#VALUE!</v>
      </c>
      <c r="HA3" s="8" t="e">
        <f aca="false">AND('tn-seq runs'!#ref!,"AAAAAFb3MtA=")</f>
        <v>#VALUE!</v>
      </c>
      <c r="HB3" s="8" t="e">
        <f aca="false">AND('tn-seq runs'!#ref!,"AAAAAFb3MtE=")</f>
        <v>#VALUE!</v>
      </c>
      <c r="HC3" s="8" t="e">
        <f aca="false">AND('tn-seq runs'!#ref!,"AAAAAFb3MtI=")</f>
        <v>#VALUE!</v>
      </c>
      <c r="HD3" s="8" t="e">
        <f aca="false">AND('tn-seq runs'!#ref!,"AAAAAFb3MtM=")</f>
        <v>#VALUE!</v>
      </c>
      <c r="HE3" s="8" t="e">
        <f aca="false">AND('tn-seq runs'!#ref!,"AAAAAFb3MtQ=")</f>
        <v>#VALUE!</v>
      </c>
      <c r="HF3" s="8" t="e">
        <f aca="false">AND('tn-seq runs'!#ref!,"AAAAAFb3MtU=")</f>
        <v>#VALUE!</v>
      </c>
      <c r="HG3" s="8" t="e">
        <f aca="false">AND('tn-seq runs'!#ref!,"AAAAAFb3MtY=")</f>
        <v>#VALUE!</v>
      </c>
      <c r="HH3" s="8" t="e">
        <f aca="false">AND('tn-seq runs'!#ref!,"AAAAAFb3Mtc=")</f>
        <v>#VALUE!</v>
      </c>
      <c r="HI3" s="8" t="e">
        <f aca="false">AND('tn-seq runs'!#ref!,"AAAAAFb3Mtg=")</f>
        <v>#VALUE!</v>
      </c>
      <c r="HJ3" s="8" t="e">
        <f aca="false">AND('tn-seq runs'!#ref!,"AAAAAFb3Mtk=")</f>
        <v>#VALUE!</v>
      </c>
      <c r="HK3" s="8" t="e">
        <f aca="false">AND('tn-seq runs'!#ref!,"AAAAAFb3Mto=")</f>
        <v>#VALUE!</v>
      </c>
      <c r="HL3" s="8" t="e">
        <f aca="false">AND('tn-seq runs'!#ref!,"AAAAAFb3Mts=")</f>
        <v>#VALUE!</v>
      </c>
      <c r="HM3" s="8" t="e">
        <f aca="false">AND('tn-seq runs'!#ref!,"AAAAAFb3Mtw=")</f>
        <v>#VALUE!</v>
      </c>
      <c r="HN3" s="8" t="e">
        <f aca="false">AND('tn-seq runs'!#ref!,"AAAAAFb3Mt0=")</f>
        <v>#VALUE!</v>
      </c>
      <c r="HO3" s="8" t="e">
        <f aca="false">AND('tn-seq runs'!#ref!,"AAAAAFb3Mt4=")</f>
        <v>#VALUE!</v>
      </c>
      <c r="HP3" s="8" t="e">
        <f aca="false">IF(#REF!,"AAAAAFb3Mt8=",0)</f>
        <v>#REF!</v>
      </c>
      <c r="HQ3" s="8" t="e">
        <f aca="false">AND('tn-seq runs'!#ref!,"AAAAAFb3MuA=")</f>
        <v>#VALUE!</v>
      </c>
      <c r="HR3" s="8" t="e">
        <f aca="false">AND('tn-seq runs'!#ref!,"AAAAAFb3MuE=")</f>
        <v>#VALUE!</v>
      </c>
      <c r="HS3" s="8" t="e">
        <f aca="false">AND('tn-seq runs'!#ref!,"AAAAAFb3MuI=")</f>
        <v>#VALUE!</v>
      </c>
      <c r="HT3" s="8" t="e">
        <f aca="false">AND('tn-seq runs'!#ref!,"AAAAAFb3MuM=")</f>
        <v>#VALUE!</v>
      </c>
      <c r="HU3" s="8" t="e">
        <f aca="false">AND('tn-seq runs'!#ref!,"AAAAAFb3MuQ=")</f>
        <v>#VALUE!</v>
      </c>
      <c r="HV3" s="8" t="e">
        <f aca="false">AND('tn-seq runs'!#ref!,"AAAAAFb3MuU=")</f>
        <v>#VALUE!</v>
      </c>
      <c r="HW3" s="8" t="e">
        <f aca="false">AND('tn-seq runs'!#ref!,"AAAAAFb3MuY=")</f>
        <v>#VALUE!</v>
      </c>
      <c r="HX3" s="8" t="e">
        <f aca="false">AND('tn-seq runs'!#ref!,"AAAAAFb3Muc=")</f>
        <v>#VALUE!</v>
      </c>
      <c r="HY3" s="8" t="e">
        <f aca="false">AND('tn-seq runs'!#ref!,"AAAAAFb3Mug=")</f>
        <v>#VALUE!</v>
      </c>
      <c r="HZ3" s="8" t="e">
        <f aca="false">AND('tn-seq runs'!#ref!,"AAAAAFb3Muk=")</f>
        <v>#VALUE!</v>
      </c>
      <c r="IA3" s="8" t="e">
        <f aca="false">AND('tn-seq runs'!#ref!,"AAAAAFb3Muo=")</f>
        <v>#VALUE!</v>
      </c>
      <c r="IB3" s="8" t="e">
        <f aca="false">AND('tn-seq runs'!#ref!,"AAAAAFb3Mus=")</f>
        <v>#VALUE!</v>
      </c>
      <c r="IC3" s="8" t="e">
        <f aca="false">AND('tn-seq runs'!#ref!,"AAAAAFb3Muw=")</f>
        <v>#VALUE!</v>
      </c>
      <c r="ID3" s="8" t="e">
        <f aca="false">AND('tn-seq runs'!#ref!,"AAAAAFb3Mu0=")</f>
        <v>#VALUE!</v>
      </c>
      <c r="IE3" s="8" t="e">
        <f aca="false">AND('tn-seq runs'!#ref!,"AAAAAFb3Mu4=")</f>
        <v>#VALUE!</v>
      </c>
      <c r="IF3" s="8" t="e">
        <f aca="false">AND('tn-seq runs'!#ref!,"AAAAAFb3Mu8=")</f>
        <v>#VALUE!</v>
      </c>
      <c r="IG3" s="8" t="e">
        <f aca="false">AND('tn-seq runs'!#ref!,"AAAAAFb3MvA=")</f>
        <v>#VALUE!</v>
      </c>
      <c r="IH3" s="8" t="e">
        <f aca="false">AND('tn-seq runs'!#ref!,"AAAAAFb3MvE=")</f>
        <v>#VALUE!</v>
      </c>
      <c r="II3" s="8" t="e">
        <f aca="false">AND('tn-seq runs'!#ref!,"AAAAAFb3MvI=")</f>
        <v>#VALUE!</v>
      </c>
      <c r="IJ3" s="8" t="e">
        <f aca="false">AND('tn-seq runs'!#ref!,"AAAAAFb3MvM=")</f>
        <v>#VALUE!</v>
      </c>
      <c r="IK3" s="8" t="e">
        <f aca="false">AND('tn-seq runs'!#ref!,"AAAAAFb3MvQ=")</f>
        <v>#VALUE!</v>
      </c>
      <c r="IL3" s="8" t="e">
        <f aca="false">AND('tn-seq runs'!#ref!,"AAAAAFb3MvU=")</f>
        <v>#VALUE!</v>
      </c>
      <c r="IM3" s="8" t="e">
        <f aca="false">AND('tn-seq runs'!#ref!,"AAAAAFb3MvY=")</f>
        <v>#VALUE!</v>
      </c>
      <c r="IN3" s="8" t="e">
        <f aca="false">AND('tn-seq runs'!#ref!,"AAAAAFb3Mvc=")</f>
        <v>#VALUE!</v>
      </c>
      <c r="IO3" s="8" t="e">
        <f aca="false">AND('tn-seq runs'!#ref!,"AAAAAFb3Mvg=")</f>
        <v>#VALUE!</v>
      </c>
      <c r="IP3" s="8" t="e">
        <f aca="false">AND('tn-seq runs'!#ref!,"AAAAAFb3Mvk=")</f>
        <v>#VALUE!</v>
      </c>
      <c r="IQ3" s="8" t="e">
        <f aca="false">AND('tn-seq runs'!#ref!,"AAAAAFb3Mvo=")</f>
        <v>#VALUE!</v>
      </c>
      <c r="IR3" s="8" t="e">
        <f aca="false">AND('tn-seq runs'!#ref!,"AAAAAFb3Mvs=")</f>
        <v>#VALUE!</v>
      </c>
      <c r="IS3" s="8" t="e">
        <f aca="false">AND('tn-seq runs'!#ref!,"AAAAAFb3Mvw=")</f>
        <v>#VALUE!</v>
      </c>
      <c r="IT3" s="8" t="e">
        <f aca="false">AND('tn-seq runs'!#ref!,"AAAAAFb3Mv0=")</f>
        <v>#VALUE!</v>
      </c>
      <c r="IU3" s="8" t="e">
        <f aca="false">AND('tn-seq runs'!#ref!,"AAAAAFb3Mv4=")</f>
        <v>#VALUE!</v>
      </c>
      <c r="IV3" s="8" t="e">
        <f aca="false">AND('tn-seq runs'!#ref!,"AAAAAFb3Mv8=")</f>
        <v>#VALUE!</v>
      </c>
    </row>
    <row r="4" customFormat="false" ht="15" hidden="false" customHeight="false" outlineLevel="0" collapsed="false">
      <c r="A4" s="8" t="e">
        <f aca="false">AND('tn-seq runs'!#ref!,"AAAAAF/1vAA=")</f>
        <v>#VALUE!</v>
      </c>
      <c r="B4" s="8" t="e">
        <f aca="false">AND('tn-seq runs'!#ref!,"AAAAAF/1vAE=")</f>
        <v>#VALUE!</v>
      </c>
      <c r="C4" s="8" t="e">
        <f aca="false">IF(#REF!,"AAAAAF/1vAI=",0)</f>
        <v>#REF!</v>
      </c>
      <c r="D4" s="8" t="e">
        <f aca="false">AND('tn-seq runs'!#ref!,"AAAAAF/1vAM=")</f>
        <v>#VALUE!</v>
      </c>
      <c r="E4" s="8" t="e">
        <f aca="false">AND('tn-seq runs'!#ref!,"AAAAAF/1vAQ=")</f>
        <v>#VALUE!</v>
      </c>
      <c r="F4" s="8" t="e">
        <f aca="false">AND('tn-seq runs'!#ref!,"AAAAAF/1vAU=")</f>
        <v>#VALUE!</v>
      </c>
      <c r="G4" s="8" t="e">
        <f aca="false">AND('tn-seq runs'!#ref!,"AAAAAF/1vAY=")</f>
        <v>#VALUE!</v>
      </c>
      <c r="H4" s="8" t="e">
        <f aca="false">AND('tn-seq runs'!#ref!,"AAAAAF/1vAc=")</f>
        <v>#VALUE!</v>
      </c>
      <c r="I4" s="8" t="e">
        <f aca="false">AND('tn-seq runs'!#ref!,"AAAAAF/1vAg=")</f>
        <v>#VALUE!</v>
      </c>
      <c r="J4" s="8" t="e">
        <f aca="false">AND('tn-seq runs'!#ref!,"AAAAAF/1vAk=")</f>
        <v>#VALUE!</v>
      </c>
      <c r="K4" s="8" t="e">
        <f aca="false">AND('tn-seq runs'!#ref!,"AAAAAF/1vAo=")</f>
        <v>#VALUE!</v>
      </c>
      <c r="L4" s="8" t="e">
        <f aca="false">AND('tn-seq runs'!#ref!,"AAAAAF/1vAs=")</f>
        <v>#VALUE!</v>
      </c>
      <c r="M4" s="8" t="e">
        <f aca="false">AND('tn-seq runs'!#ref!,"AAAAAF/1vAw=")</f>
        <v>#VALUE!</v>
      </c>
      <c r="N4" s="8" t="e">
        <f aca="false">AND('tn-seq runs'!#ref!,"AAAAAF/1vA0=")</f>
        <v>#VALUE!</v>
      </c>
      <c r="O4" s="8" t="e">
        <f aca="false">AND('tn-seq runs'!#ref!,"AAAAAF/1vA4=")</f>
        <v>#VALUE!</v>
      </c>
      <c r="P4" s="8" t="e">
        <f aca="false">AND('tn-seq runs'!#ref!,"AAAAAF/1vA8=")</f>
        <v>#VALUE!</v>
      </c>
      <c r="Q4" s="8" t="e">
        <f aca="false">AND('tn-seq runs'!#ref!,"AAAAAF/1vBA=")</f>
        <v>#VALUE!</v>
      </c>
      <c r="R4" s="8" t="e">
        <f aca="false">AND('tn-seq runs'!#ref!,"AAAAAF/1vBE=")</f>
        <v>#VALUE!</v>
      </c>
      <c r="S4" s="8" t="e">
        <f aca="false">AND('tn-seq runs'!#ref!,"AAAAAF/1vBI=")</f>
        <v>#VALUE!</v>
      </c>
      <c r="T4" s="8" t="e">
        <f aca="false">AND('tn-seq runs'!#ref!,"AAAAAF/1vBM=")</f>
        <v>#VALUE!</v>
      </c>
      <c r="U4" s="8" t="e">
        <f aca="false">AND('tn-seq runs'!#ref!,"AAAAAF/1vBQ=")</f>
        <v>#VALUE!</v>
      </c>
      <c r="V4" s="8" t="e">
        <f aca="false">AND('tn-seq runs'!#ref!,"AAAAAF/1vBU=")</f>
        <v>#VALUE!</v>
      </c>
      <c r="W4" s="8" t="e">
        <f aca="false">AND('tn-seq runs'!#ref!,"AAAAAF/1vBY=")</f>
        <v>#VALUE!</v>
      </c>
      <c r="X4" s="8" t="e">
        <f aca="false">AND('tn-seq runs'!#ref!,"AAAAAF/1vBc=")</f>
        <v>#VALUE!</v>
      </c>
      <c r="Y4" s="8" t="e">
        <f aca="false">AND('tn-seq runs'!#ref!,"AAAAAF/1vBg=")</f>
        <v>#VALUE!</v>
      </c>
      <c r="Z4" s="8" t="e">
        <f aca="false">AND('tn-seq runs'!#ref!,"AAAAAF/1vBk=")</f>
        <v>#VALUE!</v>
      </c>
      <c r="AA4" s="8" t="e">
        <f aca="false">AND('tn-seq runs'!#ref!,"AAAAAF/1vBo=")</f>
        <v>#VALUE!</v>
      </c>
      <c r="AB4" s="8" t="e">
        <f aca="false">AND('tn-seq runs'!#ref!,"AAAAAF/1vBs=")</f>
        <v>#VALUE!</v>
      </c>
      <c r="AC4" s="8" t="e">
        <f aca="false">AND('tn-seq runs'!#ref!,"AAAAAF/1vBw=")</f>
        <v>#VALUE!</v>
      </c>
      <c r="AD4" s="8" t="e">
        <f aca="false">AND('tn-seq runs'!#ref!,"AAAAAF/1vB0=")</f>
        <v>#VALUE!</v>
      </c>
      <c r="AE4" s="8" t="e">
        <f aca="false">AND('tn-seq runs'!#ref!,"AAAAAF/1vB4=")</f>
        <v>#VALUE!</v>
      </c>
      <c r="AF4" s="8" t="e">
        <f aca="false">AND('tn-seq runs'!#ref!,"AAAAAF/1vB8=")</f>
        <v>#VALUE!</v>
      </c>
      <c r="AG4" s="8" t="e">
        <f aca="false">AND('tn-seq runs'!#ref!,"AAAAAF/1vCA=")</f>
        <v>#VALUE!</v>
      </c>
      <c r="AH4" s="8" t="e">
        <f aca="false">AND('tn-seq runs'!#ref!,"AAAAAF/1vCE=")</f>
        <v>#VALUE!</v>
      </c>
      <c r="AI4" s="8" t="e">
        <f aca="false">AND('tn-seq runs'!#ref!,"AAAAAF/1vCI=")</f>
        <v>#VALUE!</v>
      </c>
      <c r="AJ4" s="8" t="e">
        <f aca="false">AND('tn-seq runs'!#ref!,"AAAAAF/1vCM=")</f>
        <v>#VALUE!</v>
      </c>
      <c r="AK4" s="8" t="e">
        <f aca="false">AND('tn-seq runs'!#ref!,"AAAAAF/1vCQ=")</f>
        <v>#VALUE!</v>
      </c>
      <c r="AL4" s="8" t="e">
        <f aca="false">IF(#REF!,"AAAAAF/1vCU=",0)</f>
        <v>#REF!</v>
      </c>
      <c r="AM4" s="8" t="e">
        <f aca="false">AND('tn-seq runs'!#ref!,"AAAAAF/1vCY=")</f>
        <v>#VALUE!</v>
      </c>
      <c r="AN4" s="8" t="e">
        <f aca="false">AND('tn-seq runs'!#ref!,"AAAAAF/1vCc=")</f>
        <v>#VALUE!</v>
      </c>
      <c r="AO4" s="8" t="e">
        <f aca="false">AND('tn-seq runs'!#ref!,"AAAAAF/1vCg=")</f>
        <v>#VALUE!</v>
      </c>
      <c r="AP4" s="8" t="e">
        <f aca="false">AND('tn-seq runs'!#ref!,"AAAAAF/1vCk=")</f>
        <v>#VALUE!</v>
      </c>
      <c r="AQ4" s="8" t="e">
        <f aca="false">AND('tn-seq runs'!#ref!,"AAAAAF/1vCo=")</f>
        <v>#VALUE!</v>
      </c>
      <c r="AR4" s="8" t="e">
        <f aca="false">AND('tn-seq runs'!#ref!,"AAAAAF/1vCs=")</f>
        <v>#VALUE!</v>
      </c>
      <c r="AS4" s="8" t="e">
        <f aca="false">AND('tn-seq runs'!#ref!,"AAAAAF/1vCw=")</f>
        <v>#VALUE!</v>
      </c>
      <c r="AT4" s="8" t="e">
        <f aca="false">AND('tn-seq runs'!#ref!,"AAAAAF/1vC0=")</f>
        <v>#VALUE!</v>
      </c>
      <c r="AU4" s="8" t="e">
        <f aca="false">AND('tn-seq runs'!#ref!,"AAAAAF/1vC4=")</f>
        <v>#VALUE!</v>
      </c>
      <c r="AV4" s="8" t="e">
        <f aca="false">AND('tn-seq runs'!#ref!,"AAAAAF/1vC8=")</f>
        <v>#VALUE!</v>
      </c>
      <c r="AW4" s="8" t="e">
        <f aca="false">AND('tn-seq runs'!#ref!,"AAAAAF/1vDA=")</f>
        <v>#VALUE!</v>
      </c>
      <c r="AX4" s="8" t="e">
        <f aca="false">AND('tn-seq runs'!#ref!,"AAAAAF/1vDE=")</f>
        <v>#VALUE!</v>
      </c>
      <c r="AY4" s="8" t="e">
        <f aca="false">AND('tn-seq runs'!#ref!,"AAAAAF/1vDI=")</f>
        <v>#VALUE!</v>
      </c>
      <c r="AZ4" s="8" t="e">
        <f aca="false">AND('tn-seq runs'!#ref!,"AAAAAF/1vDM=")</f>
        <v>#VALUE!</v>
      </c>
      <c r="BA4" s="8" t="e">
        <f aca="false">AND('tn-seq runs'!#ref!,"AAAAAF/1vDQ=")</f>
        <v>#VALUE!</v>
      </c>
      <c r="BB4" s="8" t="e">
        <f aca="false">AND('tn-seq runs'!#ref!,"AAAAAF/1vDU=")</f>
        <v>#VALUE!</v>
      </c>
      <c r="BC4" s="8" t="e">
        <f aca="false">AND('tn-seq runs'!#ref!,"AAAAAF/1vDY=")</f>
        <v>#VALUE!</v>
      </c>
      <c r="BD4" s="8" t="e">
        <f aca="false">AND('tn-seq runs'!#ref!,"AAAAAF/1vDc=")</f>
        <v>#VALUE!</v>
      </c>
      <c r="BE4" s="8" t="e">
        <f aca="false">AND('tn-seq runs'!#ref!,"AAAAAF/1vDg=")</f>
        <v>#VALUE!</v>
      </c>
      <c r="BF4" s="8" t="e">
        <f aca="false">AND('tn-seq runs'!#ref!,"AAAAAF/1vDk=")</f>
        <v>#VALUE!</v>
      </c>
      <c r="BG4" s="8" t="e">
        <f aca="false">AND('tn-seq runs'!#ref!,"AAAAAF/1vDo=")</f>
        <v>#VALUE!</v>
      </c>
      <c r="BH4" s="8" t="e">
        <f aca="false">AND('tn-seq runs'!#ref!,"AAAAAF/1vDs=")</f>
        <v>#VALUE!</v>
      </c>
      <c r="BI4" s="8" t="e">
        <f aca="false">AND('tn-seq runs'!#ref!,"AAAAAF/1vDw=")</f>
        <v>#VALUE!</v>
      </c>
      <c r="BJ4" s="8" t="e">
        <f aca="false">AND('tn-seq runs'!#ref!,"AAAAAF/1vD0=")</f>
        <v>#VALUE!</v>
      </c>
      <c r="BK4" s="8" t="e">
        <f aca="false">AND('tn-seq runs'!#ref!,"AAAAAF/1vD4=")</f>
        <v>#VALUE!</v>
      </c>
      <c r="BL4" s="8" t="e">
        <f aca="false">AND('tn-seq runs'!#ref!,"AAAAAF/1vD8=")</f>
        <v>#VALUE!</v>
      </c>
      <c r="BM4" s="8" t="e">
        <f aca="false">AND('tn-seq runs'!#ref!,"AAAAAF/1vEA=")</f>
        <v>#VALUE!</v>
      </c>
      <c r="BN4" s="8" t="e">
        <f aca="false">AND('tn-seq runs'!#ref!,"AAAAAF/1vEE=")</f>
        <v>#VALUE!</v>
      </c>
      <c r="BO4" s="8" t="e">
        <f aca="false">AND('tn-seq runs'!#ref!,"AAAAAF/1vEI=")</f>
        <v>#VALUE!</v>
      </c>
      <c r="BP4" s="8" t="e">
        <f aca="false">AND('tn-seq runs'!#ref!,"AAAAAF/1vEM=")</f>
        <v>#VALUE!</v>
      </c>
      <c r="BQ4" s="8" t="e">
        <f aca="false">AND('tn-seq runs'!#ref!,"AAAAAF/1vEQ=")</f>
        <v>#VALUE!</v>
      </c>
      <c r="BR4" s="8" t="e">
        <f aca="false">AND('tn-seq runs'!#ref!,"AAAAAF/1vEU=")</f>
        <v>#VALUE!</v>
      </c>
      <c r="BS4" s="8" t="e">
        <f aca="false">AND('tn-seq runs'!#ref!,"AAAAAF/1vEY=")</f>
        <v>#VALUE!</v>
      </c>
      <c r="BT4" s="8" t="e">
        <f aca="false">AND('tn-seq runs'!#ref!,"AAAAAF/1vEc=")</f>
        <v>#VALUE!</v>
      </c>
      <c r="BU4" s="8" t="e">
        <f aca="false">IF(#REF!,"AAAAAF/1vEg=",0)</f>
        <v>#REF!</v>
      </c>
      <c r="BV4" s="8" t="e">
        <f aca="false">AND('tn-seq runs'!#ref!,"AAAAAF/1vEk=")</f>
        <v>#VALUE!</v>
      </c>
      <c r="BW4" s="8" t="e">
        <f aca="false">AND('tn-seq runs'!#ref!,"AAAAAF/1vEo=")</f>
        <v>#VALUE!</v>
      </c>
      <c r="BX4" s="8" t="e">
        <f aca="false">AND('tn-seq runs'!#ref!,"AAAAAF/1vEs=")</f>
        <v>#VALUE!</v>
      </c>
      <c r="BY4" s="8" t="e">
        <f aca="false">AND('tn-seq runs'!#ref!,"AAAAAF/1vEw=")</f>
        <v>#VALUE!</v>
      </c>
      <c r="BZ4" s="8" t="e">
        <f aca="false">AND('tn-seq runs'!#ref!,"AAAAAF/1vE0=")</f>
        <v>#VALUE!</v>
      </c>
      <c r="CA4" s="8" t="e">
        <f aca="false">AND('tn-seq runs'!#ref!,"AAAAAF/1vE4=")</f>
        <v>#VALUE!</v>
      </c>
      <c r="CB4" s="8" t="e">
        <f aca="false">AND('tn-seq runs'!#ref!,"AAAAAF/1vE8=")</f>
        <v>#VALUE!</v>
      </c>
      <c r="CC4" s="8" t="e">
        <f aca="false">AND('tn-seq runs'!#ref!,"AAAAAF/1vFA=")</f>
        <v>#VALUE!</v>
      </c>
      <c r="CD4" s="8" t="e">
        <f aca="false">AND('tn-seq runs'!#ref!,"AAAAAF/1vFE=")</f>
        <v>#VALUE!</v>
      </c>
      <c r="CE4" s="8" t="e">
        <f aca="false">AND('tn-seq runs'!#ref!,"AAAAAF/1vFI=")</f>
        <v>#VALUE!</v>
      </c>
      <c r="CF4" s="8" t="e">
        <f aca="false">AND('tn-seq runs'!#ref!,"AAAAAF/1vFM=")</f>
        <v>#VALUE!</v>
      </c>
      <c r="CG4" s="8" t="e">
        <f aca="false">AND('tn-seq runs'!#ref!,"AAAAAF/1vFQ=")</f>
        <v>#VALUE!</v>
      </c>
      <c r="CH4" s="8" t="e">
        <f aca="false">AND('tn-seq runs'!#ref!,"AAAAAF/1vFU=")</f>
        <v>#VALUE!</v>
      </c>
      <c r="CI4" s="8" t="e">
        <f aca="false">AND('tn-seq runs'!#ref!,"AAAAAF/1vFY=")</f>
        <v>#VALUE!</v>
      </c>
      <c r="CJ4" s="8" t="e">
        <f aca="false">AND('tn-seq runs'!#ref!,"AAAAAF/1vFc=")</f>
        <v>#VALUE!</v>
      </c>
      <c r="CK4" s="8" t="e">
        <f aca="false">AND('tn-seq runs'!#ref!,"AAAAAF/1vFg=")</f>
        <v>#VALUE!</v>
      </c>
      <c r="CL4" s="8" t="e">
        <f aca="false">AND('tn-seq runs'!#ref!,"AAAAAF/1vFk=")</f>
        <v>#VALUE!</v>
      </c>
      <c r="CM4" s="8" t="e">
        <f aca="false">AND('tn-seq runs'!#ref!,"AAAAAF/1vFo=")</f>
        <v>#VALUE!</v>
      </c>
      <c r="CN4" s="8" t="e">
        <f aca="false">AND('tn-seq runs'!#ref!,"AAAAAF/1vFs=")</f>
        <v>#VALUE!</v>
      </c>
      <c r="CO4" s="8" t="e">
        <f aca="false">AND('tn-seq runs'!#ref!,"AAAAAF/1vFw=")</f>
        <v>#VALUE!</v>
      </c>
      <c r="CP4" s="8" t="e">
        <f aca="false">AND('tn-seq runs'!#ref!,"AAAAAF/1vF0=")</f>
        <v>#VALUE!</v>
      </c>
      <c r="CQ4" s="8" t="e">
        <f aca="false">AND('tn-seq runs'!#ref!,"AAAAAF/1vF4=")</f>
        <v>#VALUE!</v>
      </c>
      <c r="CR4" s="8" t="e">
        <f aca="false">AND('tn-seq runs'!#ref!,"AAAAAF/1vF8=")</f>
        <v>#VALUE!</v>
      </c>
      <c r="CS4" s="8" t="e">
        <f aca="false">AND('tn-seq runs'!#ref!,"AAAAAF/1vGA=")</f>
        <v>#VALUE!</v>
      </c>
      <c r="CT4" s="8" t="e">
        <f aca="false">AND('tn-seq runs'!#ref!,"AAAAAF/1vGE=")</f>
        <v>#VALUE!</v>
      </c>
      <c r="CU4" s="8" t="e">
        <f aca="false">AND('tn-seq runs'!#ref!,"AAAAAF/1vGI=")</f>
        <v>#VALUE!</v>
      </c>
      <c r="CV4" s="8" t="e">
        <f aca="false">AND('tn-seq runs'!#ref!,"AAAAAF/1vGM=")</f>
        <v>#VALUE!</v>
      </c>
      <c r="CW4" s="8" t="e">
        <f aca="false">AND('tn-seq runs'!#ref!,"AAAAAF/1vGQ=")</f>
        <v>#VALUE!</v>
      </c>
      <c r="CX4" s="8" t="e">
        <f aca="false">AND('tn-seq runs'!#ref!,"AAAAAF/1vGU=")</f>
        <v>#VALUE!</v>
      </c>
      <c r="CY4" s="8" t="e">
        <f aca="false">AND('tn-seq runs'!#ref!,"AAAAAF/1vGY=")</f>
        <v>#VALUE!</v>
      </c>
      <c r="CZ4" s="8" t="e">
        <f aca="false">AND('tn-seq runs'!#ref!,"AAAAAF/1vGc=")</f>
        <v>#VALUE!</v>
      </c>
      <c r="DA4" s="8" t="e">
        <f aca="false">AND('tn-seq runs'!#ref!,"AAAAAF/1vGg=")</f>
        <v>#VALUE!</v>
      </c>
      <c r="DB4" s="8" t="e">
        <f aca="false">AND('tn-seq runs'!#ref!,"AAAAAF/1vGk=")</f>
        <v>#VALUE!</v>
      </c>
      <c r="DC4" s="8" t="e">
        <f aca="false">AND('tn-seq runs'!#ref!,"AAAAAF/1vGo=")</f>
        <v>#VALUE!</v>
      </c>
      <c r="DD4" s="8" t="e">
        <f aca="false">IF('tn-seq runs'!#ref!,"AAAAAF/1vGs=",0)</f>
        <v>#VALUE!</v>
      </c>
      <c r="DE4" s="8" t="e">
        <f aca="false">AND('tn-seq runs'!#ref!,"AAAAAF/1vGw=")</f>
        <v>#VALUE!</v>
      </c>
      <c r="DF4" s="8" t="e">
        <f aca="false">AND('tn-seq runs'!#ref!,"AAAAAF/1vG0=")</f>
        <v>#VALUE!</v>
      </c>
      <c r="DG4" s="8" t="e">
        <f aca="false">AND('tn-seq runs'!#ref!,"AAAAAF/1vG4=")</f>
        <v>#VALUE!</v>
      </c>
      <c r="DH4" s="8" t="e">
        <f aca="false">AND('tn-seq runs'!#ref!,"AAAAAF/1vG8=")</f>
        <v>#VALUE!</v>
      </c>
      <c r="DI4" s="8" t="e">
        <f aca="false">AND('tn-seq runs'!#ref!,"AAAAAF/1vHA=")</f>
        <v>#VALUE!</v>
      </c>
      <c r="DJ4" s="8" t="e">
        <f aca="false">AND('tn-seq runs'!#ref!,"AAAAAF/1vHE=")</f>
        <v>#VALUE!</v>
      </c>
      <c r="DK4" s="8" t="e">
        <f aca="false">AND('tn-seq runs'!#ref!,"AAAAAF/1vHI=")</f>
        <v>#VALUE!</v>
      </c>
      <c r="DL4" s="8" t="e">
        <f aca="false">AND('tn-seq runs'!#ref!,"AAAAAF/1vHM=")</f>
        <v>#VALUE!</v>
      </c>
      <c r="DM4" s="8" t="e">
        <f aca="false">AND('tn-seq runs'!#ref!,"AAAAAF/1vHQ=")</f>
        <v>#VALUE!</v>
      </c>
      <c r="DN4" s="8" t="e">
        <f aca="false">AND('tn-seq runs'!#ref!,"AAAAAF/1vHU=")</f>
        <v>#VALUE!</v>
      </c>
      <c r="DO4" s="8" t="e">
        <f aca="false">AND('tn-seq runs'!#ref!,"AAAAAF/1vHY=")</f>
        <v>#VALUE!</v>
      </c>
      <c r="DP4" s="8" t="e">
        <f aca="false">AND('tn-seq runs'!#ref!,"AAAAAF/1vHc=")</f>
        <v>#VALUE!</v>
      </c>
      <c r="DQ4" s="8" t="e">
        <f aca="false">AND('tn-seq runs'!#ref!,"AAAAAF/1vHg=")</f>
        <v>#VALUE!</v>
      </c>
      <c r="DR4" s="8" t="e">
        <f aca="false">AND('tn-seq runs'!#ref!,"AAAAAF/1vHk=")</f>
        <v>#VALUE!</v>
      </c>
      <c r="DS4" s="8" t="e">
        <f aca="false">AND('tn-seq runs'!#ref!,"AAAAAF/1vHo=")</f>
        <v>#VALUE!</v>
      </c>
      <c r="DT4" s="8" t="e">
        <f aca="false">AND('tn-seq runs'!#ref!,"AAAAAF/1vHs=")</f>
        <v>#VALUE!</v>
      </c>
      <c r="DU4" s="8" t="e">
        <f aca="false">AND('tn-seq runs'!#ref!,"AAAAAF/1vHw=")</f>
        <v>#VALUE!</v>
      </c>
      <c r="DV4" s="8" t="e">
        <f aca="false">AND('tn-seq runs'!#ref!,"AAAAAF/1vH0=")</f>
        <v>#VALUE!</v>
      </c>
      <c r="DW4" s="8" t="e">
        <f aca="false">AND('tn-seq runs'!#ref!,"AAAAAF/1vH4=")</f>
        <v>#VALUE!</v>
      </c>
      <c r="DX4" s="8" t="e">
        <f aca="false">AND('tn-seq runs'!#ref!,"AAAAAF/1vH8=")</f>
        <v>#VALUE!</v>
      </c>
      <c r="DY4" s="8" t="e">
        <f aca="false">AND('tn-seq runs'!#ref!,"AAAAAF/1vIA=")</f>
        <v>#VALUE!</v>
      </c>
      <c r="DZ4" s="8" t="e">
        <f aca="false">AND('tn-seq runs'!#ref!,"AAAAAF/1vIE=")</f>
        <v>#VALUE!</v>
      </c>
      <c r="EA4" s="8" t="e">
        <f aca="false">AND('tn-seq runs'!#ref!,"AAAAAF/1vII=")</f>
        <v>#VALUE!</v>
      </c>
      <c r="EB4" s="8" t="e">
        <f aca="false">AND('tn-seq runs'!#ref!,"AAAAAF/1vIM=")</f>
        <v>#VALUE!</v>
      </c>
      <c r="EC4" s="8" t="e">
        <f aca="false">AND('tn-seq runs'!#ref!,"AAAAAF/1vIQ=")</f>
        <v>#VALUE!</v>
      </c>
      <c r="ED4" s="8" t="e">
        <f aca="false">AND('tn-seq runs'!#ref!,"AAAAAF/1vIU=")</f>
        <v>#VALUE!</v>
      </c>
      <c r="EE4" s="8" t="e">
        <f aca="false">AND('tn-seq runs'!#ref!,"AAAAAF/1vIY=")</f>
        <v>#VALUE!</v>
      </c>
      <c r="EF4" s="8" t="e">
        <f aca="false">AND('tn-seq runs'!#ref!,"AAAAAF/1vIc=")</f>
        <v>#VALUE!</v>
      </c>
      <c r="EG4" s="8" t="e">
        <f aca="false">AND('tn-seq runs'!#ref!,"AAAAAF/1vIg=")</f>
        <v>#VALUE!</v>
      </c>
      <c r="EH4" s="8" t="e">
        <f aca="false">AND('tn-seq runs'!#ref!,"AAAAAF/1vIk=")</f>
        <v>#VALUE!</v>
      </c>
      <c r="EI4" s="8" t="e">
        <f aca="false">AND('tn-seq runs'!#ref!,"AAAAAF/1vIo=")</f>
        <v>#VALUE!</v>
      </c>
      <c r="EJ4" s="8" t="e">
        <f aca="false">AND('tn-seq runs'!#ref!,"AAAAAF/1vIs=")</f>
        <v>#VALUE!</v>
      </c>
      <c r="EK4" s="8" t="e">
        <f aca="false">AND('tn-seq runs'!#ref!,"AAAAAF/1vIw=")</f>
        <v>#VALUE!</v>
      </c>
      <c r="EL4" s="8" t="e">
        <f aca="false">AND('tn-seq runs'!#ref!,"AAAAAF/1vI0=")</f>
        <v>#VALUE!</v>
      </c>
      <c r="EM4" s="8" t="e">
        <f aca="false">IF(#REF!,"AAAAAF/1vI4=",0)</f>
        <v>#REF!</v>
      </c>
      <c r="EN4" s="8" t="e">
        <f aca="false">AND('tn-seq runs'!#ref!,"AAAAAF/1vI8=")</f>
        <v>#VALUE!</v>
      </c>
      <c r="EO4" s="8" t="e">
        <f aca="false">AND('tn-seq runs'!#ref!,"AAAAAF/1vJA=")</f>
        <v>#VALUE!</v>
      </c>
      <c r="EP4" s="8" t="e">
        <f aca="false">AND('tn-seq runs'!#ref!,"AAAAAF/1vJE=")</f>
        <v>#VALUE!</v>
      </c>
      <c r="EQ4" s="8" t="e">
        <f aca="false">AND('tn-seq runs'!#ref!,"AAAAAF/1vJI=")</f>
        <v>#VALUE!</v>
      </c>
      <c r="ER4" s="8" t="e">
        <f aca="false">AND('tn-seq runs'!#ref!,"AAAAAF/1vJM=")</f>
        <v>#VALUE!</v>
      </c>
      <c r="ES4" s="8" t="e">
        <f aca="false">AND('tn-seq runs'!#ref!,"AAAAAF/1vJQ=")</f>
        <v>#VALUE!</v>
      </c>
      <c r="ET4" s="8" t="e">
        <f aca="false">AND('tn-seq runs'!#ref!,"AAAAAF/1vJU=")</f>
        <v>#VALUE!</v>
      </c>
      <c r="EU4" s="8" t="e">
        <f aca="false">AND('tn-seq runs'!#ref!,"AAAAAF/1vJY=")</f>
        <v>#VALUE!</v>
      </c>
      <c r="EV4" s="8" t="e">
        <f aca="false">AND('tn-seq runs'!#ref!,"AAAAAF/1vJc=")</f>
        <v>#VALUE!</v>
      </c>
      <c r="EW4" s="8" t="e">
        <f aca="false">AND('tn-seq runs'!#ref!,"AAAAAF/1vJg=")</f>
        <v>#VALUE!</v>
      </c>
      <c r="EX4" s="8" t="e">
        <f aca="false">AND('tn-seq runs'!#ref!,"AAAAAF/1vJk=")</f>
        <v>#VALUE!</v>
      </c>
      <c r="EY4" s="8" t="e">
        <f aca="false">AND('tn-seq runs'!#ref!,"AAAAAF/1vJo=")</f>
        <v>#VALUE!</v>
      </c>
      <c r="EZ4" s="8" t="e">
        <f aca="false">AND('tn-seq runs'!#ref!,"AAAAAF/1vJs=")</f>
        <v>#VALUE!</v>
      </c>
      <c r="FA4" s="8" t="e">
        <f aca="false">AND('tn-seq runs'!#ref!,"AAAAAF/1vJw=")</f>
        <v>#VALUE!</v>
      </c>
      <c r="FB4" s="8" t="e">
        <f aca="false">AND('tn-seq runs'!#ref!,"AAAAAF/1vJ0=")</f>
        <v>#VALUE!</v>
      </c>
      <c r="FC4" s="8" t="e">
        <f aca="false">AND('tn-seq runs'!#ref!,"AAAAAF/1vJ4=")</f>
        <v>#VALUE!</v>
      </c>
      <c r="FD4" s="8" t="e">
        <f aca="false">AND('tn-seq runs'!#ref!,"AAAAAF/1vJ8=")</f>
        <v>#VALUE!</v>
      </c>
      <c r="FE4" s="8" t="e">
        <f aca="false">AND('tn-seq runs'!#ref!,"AAAAAF/1vKA=")</f>
        <v>#VALUE!</v>
      </c>
      <c r="FF4" s="8" t="e">
        <f aca="false">AND('tn-seq runs'!#ref!,"AAAAAF/1vKE=")</f>
        <v>#VALUE!</v>
      </c>
      <c r="FG4" s="8" t="e">
        <f aca="false">AND('tn-seq runs'!#ref!,"AAAAAF/1vKI=")</f>
        <v>#VALUE!</v>
      </c>
      <c r="FH4" s="8" t="e">
        <f aca="false">AND('tn-seq runs'!#ref!,"AAAAAF/1vKM=")</f>
        <v>#VALUE!</v>
      </c>
      <c r="FI4" s="8" t="e">
        <f aca="false">AND('tn-seq runs'!#ref!,"AAAAAF/1vKQ=")</f>
        <v>#VALUE!</v>
      </c>
      <c r="FJ4" s="8" t="e">
        <f aca="false">AND('tn-seq runs'!#ref!,"AAAAAF/1vKU=")</f>
        <v>#VALUE!</v>
      </c>
      <c r="FK4" s="8" t="e">
        <f aca="false">AND('tn-seq runs'!#ref!,"AAAAAF/1vKY=")</f>
        <v>#VALUE!</v>
      </c>
      <c r="FL4" s="8" t="e">
        <f aca="false">AND('tn-seq runs'!#ref!,"AAAAAF/1vKc=")</f>
        <v>#VALUE!</v>
      </c>
      <c r="FM4" s="8" t="e">
        <f aca="false">AND('tn-seq runs'!#ref!,"AAAAAF/1vKg=")</f>
        <v>#VALUE!</v>
      </c>
      <c r="FN4" s="8" t="e">
        <f aca="false">AND('tn-seq runs'!#ref!,"AAAAAF/1vKk=")</f>
        <v>#VALUE!</v>
      </c>
      <c r="FO4" s="8" t="e">
        <f aca="false">AND('tn-seq runs'!#ref!,"AAAAAF/1vKo=")</f>
        <v>#VALUE!</v>
      </c>
      <c r="FP4" s="8" t="e">
        <f aca="false">AND('tn-seq runs'!#ref!,"AAAAAF/1vKs=")</f>
        <v>#VALUE!</v>
      </c>
      <c r="FQ4" s="8" t="e">
        <f aca="false">AND('tn-seq runs'!#ref!,"AAAAAF/1vKw=")</f>
        <v>#VALUE!</v>
      </c>
      <c r="FR4" s="8" t="e">
        <f aca="false">AND('tn-seq runs'!#ref!,"AAAAAF/1vK0=")</f>
        <v>#VALUE!</v>
      </c>
      <c r="FS4" s="8" t="e">
        <f aca="false">AND('tn-seq runs'!#ref!,"AAAAAF/1vK4=")</f>
        <v>#VALUE!</v>
      </c>
      <c r="FT4" s="8" t="e">
        <f aca="false">AND('tn-seq runs'!#ref!,"AAAAAF/1vK8=")</f>
        <v>#VALUE!</v>
      </c>
      <c r="FU4" s="8" t="e">
        <f aca="false">AND('tn-seq runs'!#ref!,"AAAAAF/1vLA=")</f>
        <v>#VALUE!</v>
      </c>
      <c r="FV4" s="8" t="e">
        <f aca="false">IF(#REF!,"AAAAAF/1vLE=",0)</f>
        <v>#REF!</v>
      </c>
      <c r="FW4" s="8" t="e">
        <f aca="false">AND('tn-seq runs'!#ref!,"AAAAAF/1vLI=")</f>
        <v>#VALUE!</v>
      </c>
      <c r="FX4" s="8" t="e">
        <f aca="false">AND('tn-seq runs'!#ref!,"AAAAAF/1vLM=")</f>
        <v>#VALUE!</v>
      </c>
      <c r="FY4" s="8" t="e">
        <f aca="false">AND('tn-seq runs'!#ref!,"AAAAAF/1vLQ=")</f>
        <v>#VALUE!</v>
      </c>
      <c r="FZ4" s="8" t="e">
        <f aca="false">AND('tn-seq runs'!#ref!,"AAAAAF/1vLU=")</f>
        <v>#VALUE!</v>
      </c>
      <c r="GA4" s="8" t="e">
        <f aca="false">AND('tn-seq runs'!#ref!,"AAAAAF/1vLY=")</f>
        <v>#VALUE!</v>
      </c>
      <c r="GB4" s="8" t="e">
        <f aca="false">AND('tn-seq runs'!#ref!,"AAAAAF/1vLc=")</f>
        <v>#VALUE!</v>
      </c>
      <c r="GC4" s="8" t="e">
        <f aca="false">AND('tn-seq runs'!#ref!,"AAAAAF/1vLg=")</f>
        <v>#VALUE!</v>
      </c>
      <c r="GD4" s="8" t="e">
        <f aca="false">AND('tn-seq runs'!#ref!,"AAAAAF/1vLk=")</f>
        <v>#VALUE!</v>
      </c>
      <c r="GE4" s="8" t="e">
        <f aca="false">AND('tn-seq runs'!#ref!,"AAAAAF/1vLo=")</f>
        <v>#VALUE!</v>
      </c>
      <c r="GF4" s="8" t="e">
        <f aca="false">AND('tn-seq runs'!#ref!,"AAAAAF/1vLs=")</f>
        <v>#VALUE!</v>
      </c>
      <c r="GG4" s="8" t="e">
        <f aca="false">AND('tn-seq runs'!#ref!,"AAAAAF/1vLw=")</f>
        <v>#VALUE!</v>
      </c>
      <c r="GH4" s="8" t="e">
        <f aca="false">AND('tn-seq runs'!#ref!,"AAAAAF/1vL0=")</f>
        <v>#VALUE!</v>
      </c>
      <c r="GI4" s="8" t="e">
        <f aca="false">AND('tn-seq runs'!#ref!,"AAAAAF/1vL4=")</f>
        <v>#VALUE!</v>
      </c>
      <c r="GJ4" s="8" t="e">
        <f aca="false">AND('tn-seq runs'!#ref!,"AAAAAF/1vL8=")</f>
        <v>#VALUE!</v>
      </c>
      <c r="GK4" s="8" t="e">
        <f aca="false">AND('tn-seq runs'!#ref!,"AAAAAF/1vMA=")</f>
        <v>#VALUE!</v>
      </c>
      <c r="GL4" s="8" t="e">
        <f aca="false">AND('tn-seq runs'!#ref!,"AAAAAF/1vME=")</f>
        <v>#VALUE!</v>
      </c>
      <c r="GM4" s="8" t="e">
        <f aca="false">AND('tn-seq runs'!#ref!,"AAAAAF/1vMI=")</f>
        <v>#VALUE!</v>
      </c>
      <c r="GN4" s="8" t="e">
        <f aca="false">AND('tn-seq runs'!#ref!,"AAAAAF/1vMM=")</f>
        <v>#VALUE!</v>
      </c>
      <c r="GO4" s="8" t="e">
        <f aca="false">AND('tn-seq runs'!#ref!,"AAAAAF/1vMQ=")</f>
        <v>#VALUE!</v>
      </c>
      <c r="GP4" s="8" t="e">
        <f aca="false">AND('tn-seq runs'!#ref!,"AAAAAF/1vMU=")</f>
        <v>#VALUE!</v>
      </c>
      <c r="GQ4" s="8" t="e">
        <f aca="false">AND('tn-seq runs'!#ref!,"AAAAAF/1vMY=")</f>
        <v>#VALUE!</v>
      </c>
      <c r="GR4" s="8" t="e">
        <f aca="false">AND('tn-seq runs'!#ref!,"AAAAAF/1vMc=")</f>
        <v>#VALUE!</v>
      </c>
      <c r="GS4" s="8" t="e">
        <f aca="false">AND('tn-seq runs'!#ref!,"AAAAAF/1vMg=")</f>
        <v>#VALUE!</v>
      </c>
      <c r="GT4" s="8" t="e">
        <f aca="false">AND('tn-seq runs'!#ref!,"AAAAAF/1vMk=")</f>
        <v>#VALUE!</v>
      </c>
      <c r="GU4" s="8" t="e">
        <f aca="false">AND('tn-seq runs'!#ref!,"AAAAAF/1vMo=")</f>
        <v>#VALUE!</v>
      </c>
      <c r="GV4" s="8" t="e">
        <f aca="false">AND('tn-seq runs'!#ref!,"AAAAAF/1vMs=")</f>
        <v>#VALUE!</v>
      </c>
      <c r="GW4" s="8" t="e">
        <f aca="false">AND('tn-seq runs'!#ref!,"AAAAAF/1vMw=")</f>
        <v>#VALUE!</v>
      </c>
      <c r="GX4" s="8" t="e">
        <f aca="false">AND('tn-seq runs'!#ref!,"AAAAAF/1vM0=")</f>
        <v>#VALUE!</v>
      </c>
      <c r="GY4" s="8" t="e">
        <f aca="false">AND('tn-seq runs'!#ref!,"AAAAAF/1vM4=")</f>
        <v>#VALUE!</v>
      </c>
      <c r="GZ4" s="8" t="e">
        <f aca="false">AND('tn-seq runs'!#ref!,"AAAAAF/1vM8=")</f>
        <v>#VALUE!</v>
      </c>
      <c r="HA4" s="8" t="e">
        <f aca="false">AND('tn-seq runs'!#ref!,"AAAAAF/1vNA=")</f>
        <v>#VALUE!</v>
      </c>
      <c r="HB4" s="8" t="e">
        <f aca="false">AND('tn-seq runs'!#ref!,"AAAAAF/1vNE=")</f>
        <v>#VALUE!</v>
      </c>
      <c r="HC4" s="8" t="e">
        <f aca="false">AND('tn-seq runs'!#ref!,"AAAAAF/1vNI=")</f>
        <v>#VALUE!</v>
      </c>
      <c r="HD4" s="8" t="e">
        <f aca="false">AND('tn-seq runs'!#ref!,"AAAAAF/1vNM=")</f>
        <v>#VALUE!</v>
      </c>
      <c r="HE4" s="8" t="e">
        <f aca="false">IF(#REF!,"AAAAAF/1vNQ=",0)</f>
        <v>#REF!</v>
      </c>
      <c r="HF4" s="8" t="e">
        <f aca="false">AND('tn-seq runs'!#ref!,"AAAAAF/1vNU=")</f>
        <v>#VALUE!</v>
      </c>
      <c r="HG4" s="8" t="e">
        <f aca="false">AND('tn-seq runs'!#ref!,"AAAAAF/1vNY=")</f>
        <v>#VALUE!</v>
      </c>
      <c r="HH4" s="8" t="e">
        <f aca="false">IF(#REF!,"AAAAAF/1vNc=",0)</f>
        <v>#REF!</v>
      </c>
      <c r="HI4" s="8" t="e">
        <f aca="false">AND('tn-seq runs'!#ref!,"AAAAAF/1vNg=")</f>
        <v>#VALUE!</v>
      </c>
      <c r="HJ4" s="8" t="e">
        <f aca="false">AND('tn-seq runs'!#ref!,"AAAAAF/1vNk=")</f>
        <v>#VALUE!</v>
      </c>
      <c r="HK4" s="8" t="n">
        <f aca="false">IF('Tn-seq runs'!AM:AM,"AAAAAF/1vNo=",0)</f>
        <v>0</v>
      </c>
      <c r="HL4" s="8" t="e">
        <f aca="false">IF('Tn-seq runs'!C:C,"AAAAAF/1vNs=",0)</f>
        <v>#VALUE!</v>
      </c>
      <c r="HM4" s="8" t="e">
        <f aca="false">IF('tn-seq runs'!#ref!,"AAAAAF/1vNw=",0)</f>
        <v>#VALUE!</v>
      </c>
      <c r="HN4" s="8" t="e">
        <f aca="false">IF('Tn-seq runs'!G:G,"AAAAAF/1vN0=",0)</f>
        <v>#VALUE!</v>
      </c>
      <c r="HO4" s="8" t="e">
        <f aca="false">IF('Tn-seq runs'!H:H,"AAAAAF/1vN4=",0)</f>
        <v>#VALUE!</v>
      </c>
      <c r="HP4" s="8" t="e">
        <f aca="false">IF('Tn-seq runs'!I:I,"AAAAAF/1vN8=",0)</f>
        <v>#VALUE!</v>
      </c>
      <c r="HQ4" s="8" t="e">
        <f aca="false">IF('Tn-seq runs'!J:J,"AAAAAF/1vOA=",0)</f>
        <v>#VALUE!</v>
      </c>
      <c r="HR4" s="8" t="e">
        <f aca="false">IF(#REF!,"AAAAAF/1vOE=",0)</f>
        <v>#REF!</v>
      </c>
      <c r="HS4" s="8" t="e">
        <f aca="false">IF(#REF!,"AAAAAF/1vOI=",0)</f>
        <v>#REF!</v>
      </c>
      <c r="HT4" s="8" t="e">
        <f aca="false">IF('Tn-seq runs'!K:K,"AAAAAF/1vOM=",0)</f>
        <v>#VALUE!</v>
      </c>
      <c r="HU4" s="8" t="n">
        <f aca="false">IF('Tn-seq runs'!M:M,"AAAAAF/1vOQ=",0)</f>
        <v>0</v>
      </c>
      <c r="HV4" s="8" t="e">
        <f aca="false">IF('tn-seq runs'!#ref!,"AAAAAF/1vOU=",0)</f>
        <v>#VALUE!</v>
      </c>
      <c r="HW4" s="8" t="e">
        <f aca="false">IF('tn-seq runs'!#ref!,"AAAAAF/1vOY=",0)</f>
        <v>#VALUE!</v>
      </c>
      <c r="HX4" s="8" t="e">
        <f aca="false">IF('tn-seq runs'!#ref!,"AAAAAF/1vOc=",0)</f>
        <v>#VALUE!</v>
      </c>
      <c r="HY4" s="8" t="e">
        <f aca="false">IF('tn-seq runs'!#ref!,"AAAAAF/1vOg=",0)</f>
        <v>#VALUE!</v>
      </c>
      <c r="HZ4" s="8" t="e">
        <f aca="false">IF('tn-seq runs'!#ref!,"AAAAAF/1vOk=",0)</f>
        <v>#VALUE!</v>
      </c>
      <c r="IA4" s="8" t="e">
        <f aca="false">IF('tn-seq runs'!#ref!,"AAAAAF/1vOo=",0)</f>
        <v>#VALUE!</v>
      </c>
      <c r="IB4" s="8" t="e">
        <f aca="false">IF('tn-seq runs'!#ref!,"AAAAAF/1vOs=",0)</f>
        <v>#VALUE!</v>
      </c>
      <c r="IC4" s="8" t="e">
        <f aca="false">IF('tn-seq runs'!#ref!,"AAAAAF/1vOw=",0)</f>
        <v>#VALUE!</v>
      </c>
      <c r="ID4" s="8" t="n">
        <f aca="false">IF('Tn-seq runs'!N:N,"AAAAAF/1vO0=",0)</f>
        <v>0</v>
      </c>
      <c r="IE4" s="8" t="n">
        <f aca="false">IF('Tn-seq runs'!P:P,"AAAAAF/1vO4=",0)</f>
        <v>0</v>
      </c>
      <c r="IF4" s="8" t="e">
        <f aca="false">IF('tn-seq runs'!#ref!,"AAAAAF/1vO8=",0)</f>
        <v>#VALUE!</v>
      </c>
      <c r="IG4" s="8" t="n">
        <f aca="false">IF('Tn-seq runs'!Q:Q,"AAAAAF/1vPA=",0)</f>
        <v>0</v>
      </c>
      <c r="IH4" s="8" t="n">
        <f aca="false">IF('Tn-seq runs'!R:R,"AAAAAF/1vPE=",0)</f>
        <v>0</v>
      </c>
      <c r="II4" s="8" t="n">
        <f aca="false">IF('Tn-seq runs'!V:V,"AAAAAF/1vPI=",0)</f>
        <v>0</v>
      </c>
      <c r="IJ4" s="8" t="n">
        <f aca="false">IF('Tn-seq runs'!AB:AB,"AAAAAF/1vPM=",0)</f>
        <v>0</v>
      </c>
      <c r="IK4" s="8" t="n">
        <f aca="false">IF('Tn-seq runs'!AF:AF,"AAAAAF/1vPQ=",0)</f>
        <v>0</v>
      </c>
      <c r="IL4" s="8" t="n">
        <f aca="false">IF('Tn-seq runs'!AG:AG,"AAAAAF/1vPU=",0)</f>
        <v>0</v>
      </c>
      <c r="IM4" s="8" t="e">
        <f aca="false">IF('tn-seq runs'!#ref!,"AAAAAF/1vPY=",0)</f>
        <v>#VALUE!</v>
      </c>
      <c r="IN4" s="8" t="n">
        <f aca="false">IF('Tn-seq runs'!AH:AH,"AAAAAF/1vPc=",0)</f>
        <v>0</v>
      </c>
      <c r="IO4" s="8" t="n">
        <f aca="false">IF('Tn-seq runs'!AI:AI,"AAAAAF/1vPg=",0)</f>
        <v>0</v>
      </c>
      <c r="IP4" s="8" t="n">
        <f aca="false">IF('Tn-seq runs'!AJ:AJ,"AAAAAF/1vPk=",0)</f>
        <v>0</v>
      </c>
      <c r="IQ4" s="8" t="n">
        <f aca="false">IF('Tn-seq runs'!AK:AK,"AAAAAF/1vPo=",0)</f>
        <v>0</v>
      </c>
      <c r="IR4" s="8" t="n">
        <f aca="false">IF('Tn-seq runs'!AL:AL,"AAAAAF/1vPs=",0)</f>
        <v>0</v>
      </c>
      <c r="IS4" s="8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LibreOffice/6.4.1.1$Linux_X86_64 LibreOffice_project/40$Build-1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2013-04-22T16:22:55Z</dcterms:created>
  <dc:creator>trey</dc:creator>
  <dc:description/>
  <dc:language>en-US</dc:language>
  <cp:lastModifiedBy>Ashton Belew</cp:lastModifiedBy>
  <dcterms:modified xsi:type="dcterms:W3CDTF">2020-02-10T12:29:00Z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