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Project Model" sheetId="2" r:id="rId1"/>
    <sheet name="Solution Solver Summary" sheetId="8" r:id="rId2"/>
    <sheet name="Approved Line Charts" sheetId="6" r:id="rId3"/>
  </sheets>
  <definedNames>
    <definedName name="_xlnm.Print_Area" localSheetId="1">'Solution Solver Summary'!$A$1:$U$28</definedName>
    <definedName name="solver_adj" localSheetId="0" hidden="1">'Project Model'!$K$19:$K$23,'Project Model'!$K$26:$K$29,'Project Model'!$K$32:$K$34,'Project Model'!$C$71:$J$82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'Project Model'!$C$71:$J$82</definedName>
    <definedName name="solver_lhs2" localSheetId="0" hidden="1">'Project Model'!$C$83:$J$83</definedName>
    <definedName name="solver_lhs3" localSheetId="0" hidden="1">'Project Model'!$D$38:$G$38</definedName>
    <definedName name="solver_lhs4" localSheetId="0" hidden="1">'Project Model'!$K$19:$K$23</definedName>
    <definedName name="solver_lhs5" localSheetId="0" hidden="1">'Project Model'!$K$26:$K$29</definedName>
    <definedName name="solver_lhs6" localSheetId="0" hidden="1">'Project Model'!$K$32:$K$34</definedName>
    <definedName name="solver_lhs7" localSheetId="0" hidden="1">'Project Model'!$K$71:$K$82</definedName>
    <definedName name="solver_lhs8" localSheetId="0" hidden="1">'Project Model'!$N$15:$N$18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8</definedName>
    <definedName name="solver_num" localSheetId="1" hidden="1">0</definedName>
    <definedName name="solver_nwt" localSheetId="0" hidden="1">1</definedName>
    <definedName name="solver_opt" localSheetId="0" hidden="1">'Project Model'!$I$41</definedName>
    <definedName name="solver_opt" localSheetId="1" hidden="1">'Solution Solver Summary'!$A$2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2</definedName>
    <definedName name="solver_rel8" localSheetId="0" hidden="1">3</definedName>
    <definedName name="solver_rhs1" localSheetId="0" hidden="1">"binary"</definedName>
    <definedName name="solver_rhs2" localSheetId="0" hidden="1">'Project Model'!$C$85:$J$85</definedName>
    <definedName name="solver_rhs3" localSheetId="0" hidden="1">'Project Model'!$D$40:$G$40</definedName>
    <definedName name="solver_rhs4" localSheetId="0" hidden="1">"binary"</definedName>
    <definedName name="solver_rhs5" localSheetId="0" hidden="1">"binary"</definedName>
    <definedName name="solver_rhs6" localSheetId="0" hidden="1">"binary"</definedName>
    <definedName name="solver_rhs7" localSheetId="0" hidden="1">'Project Model'!$M$71:$M$82</definedName>
    <definedName name="solver_rhs8" localSheetId="0" hidden="1">'Project Model'!$P$15:$P$18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J18" authorId="0">
      <text>
        <r>
          <rPr>
            <b/>
            <sz val="9"/>
            <rFont val="Tahoma"/>
            <charset val="134"/>
          </rPr>
          <t xml:space="preserve">Based on Adjusted ROI; not based on % partnership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<sst xmlns="http://schemas.openxmlformats.org/spreadsheetml/2006/main" count="127" uniqueCount="67">
  <si>
    <t>Bluejay Natural Gas Financials (in millions)</t>
  </si>
  <si>
    <t>Given:</t>
  </si>
  <si>
    <t>Project Index</t>
  </si>
  <si>
    <t>Functional Area</t>
  </si>
  <si>
    <t>Partnership %</t>
  </si>
  <si>
    <t>Capex Year 1</t>
  </si>
  <si>
    <t>Capex Year 2</t>
  </si>
  <si>
    <t>Capex Year 3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</si>
  <si>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</si>
  <si>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</si>
  <si>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</si>
  <si>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</si>
  <si>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</si>
  <si>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</si>
  <si>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</si>
  <si>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</si>
  <si>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</si>
  <si>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</si>
  <si>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</si>
  <si>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</si>
  <si>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</si>
  <si>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</si>
  <si>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</si>
  <si>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</si>
  <si>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&gt;=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</si>
  <si>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</si>
  <si>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</si>
  <si>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</si>
  <si>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</si>
  <si>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</si>
  <si>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</si>
  <si>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</si>
  <si>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</si>
  <si>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>ROI</t>
  </si>
  <si>
    <t xml:space="preserve">Approval Rating </t>
  </si>
  <si>
    <t>Manager: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</si>
  <si>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</si>
  <si>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</si>
  <si>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</si>
  <si>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</si>
  <si>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</si>
  <si>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</si>
  <si>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</si>
  <si>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</si>
  <si>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</si>
  <si>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</si>
  <si>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</si>
  <si>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</si>
  <si>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</si>
  <si>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>&lt;---use as objective for first question</t>
  </si>
  <si>
    <t>&lt;=</t>
  </si>
  <si>
    <t xml:space="preserve">ROI </t>
  </si>
  <si>
    <t xml:space="preserve">% Change </t>
  </si>
  <si>
    <t>Average</t>
  </si>
  <si>
    <t>Minimum</t>
  </si>
  <si>
    <t>Maximum</t>
  </si>
  <si>
    <t>Qualified Managers:</t>
  </si>
  <si>
    <t>Manager</t>
  </si>
  <si>
    <t>Project</t>
  </si>
  <si>
    <t>Totals:</t>
  </si>
  <si>
    <t xml:space="preserve">Approved? </t>
  </si>
  <si>
    <t>=</t>
  </si>
  <si>
    <t xml:space="preserve">Without the restriction of assigning qualified managers, based on this spreadsheet, solver looks like this: </t>
  </si>
  <si>
    <t>With the addition of assigning managers, based on this spreadsheet, solver looks like this:</t>
  </si>
  <si>
    <t xml:space="preserve">To give a maximum NPV of $2024 with all projects approved except 1, 10, and 12. </t>
  </si>
  <si>
    <t xml:space="preserve">This gives a maximum NPV of $1954 meeting all constraints for all approved projects except 1, 3 and 12. </t>
  </si>
  <si>
    <t xml:space="preserve">The manager assignment is given in L19 - L34 for each approved project. 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</si>
</sst>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32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theme="0" tint="-0.499984740745262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6"/>
      <color rgb="FF24588D"/>
      <name val="Helvetica Neue"/>
      <charset val="134"/>
    </font>
    <font>
      <sz val="12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19" borderId="1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/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1" borderId="1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2" xfId="0" applyFont="1" applyFill="1" applyBorder="1"/>
    <xf numFmtId="0" fontId="0" fillId="2" borderId="2" xfId="0" applyFill="1" applyBorder="1"/>
    <xf numFmtId="9" fontId="0" fillId="2" borderId="2" xfId="6" applyFont="1" applyFill="1" applyBorder="1"/>
    <xf numFmtId="177" fontId="0" fillId="2" borderId="2" xfId="5" applyNumberFormat="1" applyFont="1" applyFill="1" applyBorder="1"/>
    <xf numFmtId="177" fontId="0" fillId="2" borderId="3" xfId="5" applyNumberFormat="1" applyFont="1" applyFill="1" applyBorder="1"/>
    <xf numFmtId="0" fontId="4" fillId="3" borderId="2" xfId="0" applyFont="1" applyFill="1" applyBorder="1"/>
    <xf numFmtId="0" fontId="0" fillId="3" borderId="2" xfId="0" applyFill="1" applyBorder="1"/>
    <xf numFmtId="9" fontId="0" fillId="3" borderId="2" xfId="6" applyFont="1" applyFill="1" applyBorder="1"/>
    <xf numFmtId="177" fontId="0" fillId="3" borderId="2" xfId="5" applyNumberFormat="1" applyFont="1" applyFill="1" applyBorder="1"/>
    <xf numFmtId="177" fontId="0" fillId="3" borderId="3" xfId="5" applyNumberFormat="1" applyFont="1" applyFill="1" applyBorder="1"/>
    <xf numFmtId="0" fontId="4" fillId="4" borderId="2" xfId="0" applyFont="1" applyFill="1" applyBorder="1"/>
    <xf numFmtId="0" fontId="0" fillId="4" borderId="2" xfId="0" applyFill="1" applyBorder="1"/>
    <xf numFmtId="9" fontId="0" fillId="4" borderId="2" xfId="6" applyFont="1" applyFill="1" applyBorder="1"/>
    <xf numFmtId="177" fontId="0" fillId="4" borderId="2" xfId="5" applyNumberFormat="1" applyFont="1" applyFill="1" applyBorder="1"/>
    <xf numFmtId="177" fontId="0" fillId="4" borderId="3" xfId="5" applyNumberFormat="1" applyFont="1" applyFill="1" applyBorder="1"/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/>
    <xf numFmtId="0" fontId="0" fillId="5" borderId="2" xfId="0" applyFill="1" applyBorder="1"/>
    <xf numFmtId="9" fontId="0" fillId="0" borderId="2" xfId="6" applyFont="1" applyBorder="1"/>
    <xf numFmtId="177" fontId="0" fillId="0" borderId="2" xfId="5" applyNumberFormat="1" applyFont="1" applyBorder="1"/>
    <xf numFmtId="177" fontId="0" fillId="0" borderId="3" xfId="5" applyNumberFormat="1" applyFont="1" applyBorder="1"/>
    <xf numFmtId="9" fontId="0" fillId="0" borderId="2" xfId="6" applyFont="1" applyFill="1" applyBorder="1"/>
    <xf numFmtId="9" fontId="0" fillId="0" borderId="3" xfId="6" applyFont="1" applyBorder="1"/>
    <xf numFmtId="0" fontId="2" fillId="0" borderId="0" xfId="0" applyFont="1" applyAlignment="1">
      <alignment horizontal="right"/>
    </xf>
    <xf numFmtId="177" fontId="0" fillId="0" borderId="2" xfId="5" applyNumberFormat="1" applyFont="1" applyFill="1" applyBorder="1"/>
    <xf numFmtId="0" fontId="0" fillId="6" borderId="2" xfId="0" applyFill="1" applyBorder="1"/>
    <xf numFmtId="177" fontId="0" fillId="0" borderId="2" xfId="0" applyNumberFormat="1" applyBorder="1"/>
    <xf numFmtId="0" fontId="0" fillId="7" borderId="2" xfId="0" applyFill="1" applyBorder="1"/>
    <xf numFmtId="177" fontId="0" fillId="0" borderId="5" xfId="5" applyNumberFormat="1" applyFont="1" applyBorder="1"/>
    <xf numFmtId="177" fontId="0" fillId="0" borderId="0" xfId="5" applyNumberFormat="1" applyFont="1"/>
    <xf numFmtId="177" fontId="0" fillId="0" borderId="6" xfId="5" applyNumberFormat="1" applyFont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9" fontId="5" fillId="0" borderId="2" xfId="0" applyNumberFormat="1" applyFont="1" applyBorder="1"/>
    <xf numFmtId="0" fontId="6" fillId="0" borderId="7" xfId="18"/>
    <xf numFmtId="0" fontId="0" fillId="0" borderId="2" xfId="0" applyBorder="1"/>
    <xf numFmtId="0" fontId="2" fillId="0" borderId="8" xfId="0" applyFont="1" applyBorder="1"/>
    <xf numFmtId="0" fontId="2" fillId="0" borderId="2" xfId="0" applyFont="1" applyBorder="1" applyAlignment="1">
      <alignment horizontal="center" vertical="center" textRotation="90"/>
    </xf>
    <xf numFmtId="0" fontId="0" fillId="0" borderId="9" xfId="0" applyBorder="1"/>
    <xf numFmtId="0" fontId="7" fillId="0" borderId="2" xfId="0" applyFont="1" applyBorder="1" applyAlignment="1">
      <alignment horizontal="center"/>
    </xf>
    <xf numFmtId="0" fontId="8" fillId="0" borderId="2" xfId="0" applyFont="1" applyBorder="1"/>
    <xf numFmtId="177" fontId="8" fillId="0" borderId="2" xfId="0" applyNumberFormat="1" applyFont="1" applyBorder="1"/>
    <xf numFmtId="0" fontId="9" fillId="0" borderId="0" xfId="0" applyFont="1"/>
    <xf numFmtId="9" fontId="10" fillId="8" borderId="2" xfId="0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77" fontId="0" fillId="9" borderId="0" xfId="5" applyNumberFormat="1" applyFont="1" applyFill="1"/>
    <xf numFmtId="0" fontId="2" fillId="0" borderId="8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Fill="1"/>
    <xf numFmtId="177" fontId="0" fillId="0" borderId="0" xfId="5" applyNumberFormat="1" applyFont="1" applyFill="1"/>
    <xf numFmtId="177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Model'!$O$26:$Q$26</c:f>
              <c:numCache>
                <c:formatCode>_("$"* #,##0_);_("$"* \(#,##0\);_("$"* "-"??_);_(@_)</c:formatCode>
                <c:ptCount val="3"/>
                <c:pt idx="0">
                  <c:v>1065</c:v>
                </c:pt>
                <c:pt idx="1">
                  <c:v>899</c:v>
                </c:pt>
                <c:pt idx="2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Model'!$O$27:$Q$27</c:f>
              <c:numCache>
                <c:formatCode>_("$"* #,##0_);_("$"* \(#,##0\);_("$"* "-"??_);_(@_)</c:formatCode>
                <c:ptCount val="3"/>
                <c:pt idx="0">
                  <c:v>2318</c:v>
                </c:pt>
                <c:pt idx="1">
                  <c:v>2002</c:v>
                </c:pt>
                <c:pt idx="2">
                  <c:v>1586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Model'!$O$28:$Q$28</c:f>
              <c:numCache>
                <c:formatCode>_("$"* #,##0_);_("$"* \(#,##0\);_("$"* "-"??_);_(@_)</c:formatCode>
                <c:ptCount val="3"/>
                <c:pt idx="0">
                  <c:v>350</c:v>
                </c:pt>
                <c:pt idx="1">
                  <c:v>250</c:v>
                </c:pt>
                <c:pt idx="2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Model'!$O$26:$Q$26</c:f>
              <c:numCache>
                <c:formatCode>_("$"* #,##0_);_("$"* \(#,##0\);_("$"* "-"??_);_(@_)</c:formatCode>
                <c:ptCount val="3"/>
                <c:pt idx="0">
                  <c:v>1065</c:v>
                </c:pt>
                <c:pt idx="1">
                  <c:v>899</c:v>
                </c:pt>
                <c:pt idx="2">
                  <c:v>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Model'!$O$27:$Q$27</c:f>
              <c:numCache>
                <c:formatCode>_("$"* #,##0_);_("$"* \(#,##0\);_("$"* "-"??_);_(@_)</c:formatCode>
                <c:ptCount val="3"/>
                <c:pt idx="0">
                  <c:v>2318</c:v>
                </c:pt>
                <c:pt idx="1">
                  <c:v>2002</c:v>
                </c:pt>
                <c:pt idx="2">
                  <c:v>1586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'Project Model'!$O$28:$Q$28</c:f>
              <c:numCache>
                <c:formatCode>_("$"* #,##0_);_("$"* \(#,##0\);_("$"* "-"??_);_(@_)</c:formatCode>
                <c:ptCount val="3"/>
                <c:pt idx="0">
                  <c:v>350</c:v>
                </c:pt>
                <c:pt idx="1">
                  <c:v>250</c:v>
                </c:pt>
                <c:pt idx="2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>
      <xdr:nvSpPr>
        <xdr:cNvPr id="6" name="Alternate Process 1"/>
        <xdr:cNvSpPr/>
      </xdr:nvSpPr>
      <xdr:spPr>
        <a:xfrm>
          <a:off x="10139045" y="2355850"/>
          <a:ext cx="1807210" cy="6159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>
      <xdr:nvSpPr>
        <xdr:cNvPr id="104" name="Alternate Process 5"/>
        <xdr:cNvSpPr/>
      </xdr:nvSpPr>
      <xdr:spPr>
        <a:xfrm>
          <a:off x="16985615" y="1011555"/>
          <a:ext cx="1865630" cy="87185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  <a:endParaRPr lang="en-US" sz="1400" baseline="0"/>
        </a:p>
        <a:p>
          <a:pPr algn="ctr"/>
          <a:r>
            <a:rPr lang="en-US" sz="1400" baseline="0"/>
            <a:t>Here.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>
      <xdr:nvSpPr>
        <xdr:cNvPr id="107" name="Left Arrow 6"/>
        <xdr:cNvSpPr/>
      </xdr:nvSpPr>
      <xdr:spPr>
        <a:xfrm>
          <a:off x="16431260" y="1301750"/>
          <a:ext cx="508000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>
      <xdr:nvSpPr>
        <xdr:cNvPr id="110" name="Down Arrow 7"/>
        <xdr:cNvSpPr/>
      </xdr:nvSpPr>
      <xdr:spPr>
        <a:xfrm>
          <a:off x="10814050" y="3022600"/>
          <a:ext cx="342900" cy="412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1</xdr:row>
      <xdr:rowOff>12701</xdr:rowOff>
    </xdr:from>
    <xdr:to>
      <xdr:col>7</xdr:col>
      <xdr:colOff>618163</xdr:colOff>
      <xdr:row>25</xdr:row>
      <xdr:rowOff>101601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6850" y="209550"/>
          <a:ext cx="5221605" cy="481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</xdr:colOff>
      <xdr:row>1</xdr:row>
      <xdr:rowOff>101204</xdr:rowOff>
    </xdr:from>
    <xdr:to>
      <xdr:col>18</xdr:col>
      <xdr:colOff>508441</xdr:colOff>
      <xdr:row>26</xdr:row>
      <xdr:rowOff>192716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79360" y="297815"/>
          <a:ext cx="5273040" cy="5012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349250</xdr:colOff>
      <xdr:row>0</xdr:row>
      <xdr:rowOff>63500</xdr:rowOff>
    </xdr:from>
    <xdr:to>
      <xdr:col>9</xdr:col>
      <xdr:colOff>508000</xdr:colOff>
      <xdr:row>21</xdr:row>
      <xdr:rowOff>12700</xdr:rowOff>
    </xdr:to>
    <xdr:graphicFrame>
      <xdr:nvGraphicFramePr>
        <xdr:cNvPr id="55" name="Chart 1"/>
        <xdr:cNvGraphicFramePr/>
      </xdr:nvGraphicFramePr>
      <xdr:xfrm>
        <a:off x="349250" y="63500"/>
        <a:ext cx="7462520" cy="408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76200</xdr:rowOff>
    </xdr:from>
    <xdr:to>
      <xdr:col>20</xdr:col>
      <xdr:colOff>0</xdr:colOff>
      <xdr:row>21</xdr:row>
      <xdr:rowOff>25400</xdr:rowOff>
    </xdr:to>
    <xdr:graphicFrame>
      <xdr:nvGraphicFramePr>
        <xdr:cNvPr id="3" name="Chart 2"/>
        <xdr:cNvGraphicFramePr/>
      </xdr:nvGraphicFramePr>
      <xdr:xfrm>
        <a:off x="8933180" y="76200"/>
        <a:ext cx="7332345" cy="408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22</xdr:row>
      <xdr:rowOff>165100</xdr:rowOff>
    </xdr:from>
    <xdr:to>
      <xdr:col>9</xdr:col>
      <xdr:colOff>508000</xdr:colOff>
      <xdr:row>44</xdr:row>
      <xdr:rowOff>25400</xdr:rowOff>
    </xdr:to>
    <xdr:graphicFrame>
      <xdr:nvGraphicFramePr>
        <xdr:cNvPr id="4" name="Chart 3"/>
        <xdr:cNvGraphicFramePr/>
      </xdr:nvGraphicFramePr>
      <xdr:xfrm>
        <a:off x="317500" y="4495800"/>
        <a:ext cx="7494270" cy="41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23</xdr:row>
      <xdr:rowOff>12700</xdr:rowOff>
    </xdr:from>
    <xdr:to>
      <xdr:col>20</xdr:col>
      <xdr:colOff>76200</xdr:colOff>
      <xdr:row>44</xdr:row>
      <xdr:rowOff>0</xdr:rowOff>
    </xdr:to>
    <xdr:graphicFrame>
      <xdr:nvGraphicFramePr>
        <xdr:cNvPr id="154" name="Chart 4"/>
        <xdr:cNvGraphicFramePr/>
      </xdr:nvGraphicFramePr>
      <xdr:xfrm>
        <a:off x="8945880" y="4540250"/>
        <a:ext cx="7395845" cy="412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zoomScale="70" zoomScaleNormal="70" workbookViewId="0">
      <selection activeCell="A87" sqref="$A87:$XFD88"/>
    </sheetView>
  </sheetViews>
  <sheetFormatPr defaultColWidth="8.81666666666667" defaultRowHeight="15.5"/>
  <cols>
    <col min="1" max="1" width="12" customWidth="1"/>
    <col min="2" max="2" width="14" customWidth="1"/>
    <col min="3" max="3" width="14.3166666666667" customWidth="1"/>
    <col min="4" max="4" width="18" customWidth="1"/>
    <col min="5" max="5" width="17" customWidth="1"/>
    <col min="6" max="7" width="17.3166666666667" customWidth="1"/>
    <col min="8" max="8" width="9" customWidth="1"/>
    <col min="9" max="9" width="9.94166666666667" customWidth="1"/>
    <col min="10" max="10" width="7.19166666666667" customWidth="1"/>
    <col min="11" max="11" width="14.6916666666667" customWidth="1"/>
    <col min="12" max="12" width="9.69166666666667" customWidth="1"/>
    <col min="13" max="13" width="34" customWidth="1"/>
    <col min="14" max="14" width="18.5" customWidth="1"/>
    <col min="15" max="15" width="16.5" customWidth="1"/>
    <col min="16" max="16" width="14.3166666666667" customWidth="1"/>
  </cols>
  <sheetData>
    <row r="1" ht="2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">
      <c r="A2" s="3" t="s">
        <v>1</v>
      </c>
    </row>
    <row r="3" spans="2:14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8</v>
      </c>
      <c r="I3" s="3"/>
      <c r="J3" s="3"/>
      <c r="M3" s="49" t="s">
        <v>9</v>
      </c>
      <c r="N3" s="49"/>
    </row>
    <row r="4" ht="21" spans="2:16">
      <c r="B4" s="7">
        <v>1</v>
      </c>
      <c r="C4" s="8" t="s">
        <v>10</v>
      </c>
      <c r="D4" s="9">
        <v>1</v>
      </c>
      <c r="E4" s="10">
        <v>250</v>
      </c>
      <c r="F4" s="10">
        <v>100</v>
      </c>
      <c r="G4" s="11">
        <v>100</v>
      </c>
      <c r="H4" s="8">
        <v>60</v>
      </c>
      <c r="M4" s="50" t="s">
        <v>11</v>
      </c>
      <c r="N4" s="51">
        <v>50000</v>
      </c>
      <c r="P4" s="52"/>
    </row>
    <row r="5" spans="2:14">
      <c r="B5" s="7">
        <v>2</v>
      </c>
      <c r="C5" s="8" t="s">
        <v>10</v>
      </c>
      <c r="D5" s="9">
        <v>0.33</v>
      </c>
      <c r="E5" s="10">
        <v>500</v>
      </c>
      <c r="F5" s="10">
        <v>300</v>
      </c>
      <c r="G5" s="11">
        <v>300</v>
      </c>
      <c r="H5" s="8">
        <v>180</v>
      </c>
      <c r="M5" s="50" t="s">
        <v>12</v>
      </c>
      <c r="N5" s="51">
        <v>10000</v>
      </c>
    </row>
    <row r="6" spans="2:14">
      <c r="B6" s="7">
        <v>3</v>
      </c>
      <c r="C6" s="8" t="s">
        <v>10</v>
      </c>
      <c r="D6" s="9">
        <v>0.5</v>
      </c>
      <c r="E6" s="10">
        <v>100</v>
      </c>
      <c r="F6" s="10">
        <v>200</v>
      </c>
      <c r="G6" s="11">
        <v>400</v>
      </c>
      <c r="H6" s="8">
        <v>80</v>
      </c>
      <c r="M6" s="50" t="s">
        <v>13</v>
      </c>
      <c r="N6" s="51">
        <v>4000</v>
      </c>
    </row>
    <row r="7" spans="2:14">
      <c r="B7" s="7">
        <v>4</v>
      </c>
      <c r="C7" s="8" t="s">
        <v>10</v>
      </c>
      <c r="D7" s="9">
        <v>1</v>
      </c>
      <c r="E7" s="10">
        <v>750</v>
      </c>
      <c r="F7" s="10">
        <v>500</v>
      </c>
      <c r="G7" s="11">
        <v>300</v>
      </c>
      <c r="H7" s="8">
        <v>310</v>
      </c>
      <c r="M7" s="50" t="s">
        <v>14</v>
      </c>
      <c r="N7" s="53">
        <v>0.12</v>
      </c>
    </row>
    <row r="8" spans="2:8">
      <c r="B8" s="7">
        <v>5</v>
      </c>
      <c r="C8" s="8" t="s">
        <v>10</v>
      </c>
      <c r="D8" s="9">
        <v>0.75</v>
      </c>
      <c r="E8" s="10">
        <v>200</v>
      </c>
      <c r="F8" s="10">
        <v>400</v>
      </c>
      <c r="G8" s="11">
        <v>800</v>
      </c>
      <c r="H8" s="8">
        <v>220</v>
      </c>
    </row>
    <row r="9" spans="2:14">
      <c r="B9" s="12">
        <v>6</v>
      </c>
      <c r="C9" s="13" t="s">
        <v>15</v>
      </c>
      <c r="D9" s="14">
        <v>0.5</v>
      </c>
      <c r="E9" s="15">
        <v>1000</v>
      </c>
      <c r="F9" s="15">
        <v>300</v>
      </c>
      <c r="G9" s="16">
        <v>300</v>
      </c>
      <c r="H9" s="13">
        <v>180</v>
      </c>
      <c r="M9" s="54" t="s">
        <v>16</v>
      </c>
      <c r="N9" s="55"/>
    </row>
    <row r="10" spans="2:14">
      <c r="B10" s="12">
        <v>7</v>
      </c>
      <c r="C10" s="13" t="s">
        <v>15</v>
      </c>
      <c r="D10" s="14">
        <v>1</v>
      </c>
      <c r="E10" s="15">
        <v>750</v>
      </c>
      <c r="F10" s="15">
        <v>750</v>
      </c>
      <c r="G10" s="16">
        <v>300</v>
      </c>
      <c r="H10" s="13">
        <v>410</v>
      </c>
      <c r="M10" s="45" t="s">
        <v>17</v>
      </c>
      <c r="N10" s="45">
        <f>IF(D38&lt;4000,1,0)</f>
        <v>1</v>
      </c>
    </row>
    <row r="11" spans="2:14">
      <c r="B11" s="12">
        <v>8</v>
      </c>
      <c r="C11" s="13" t="s">
        <v>15</v>
      </c>
      <c r="D11" s="14">
        <v>1</v>
      </c>
      <c r="E11" s="15">
        <v>800</v>
      </c>
      <c r="F11" s="15">
        <v>700</v>
      </c>
      <c r="G11" s="16">
        <v>600</v>
      </c>
      <c r="H11" s="13">
        <v>280</v>
      </c>
      <c r="M11" s="45" t="s">
        <v>18</v>
      </c>
      <c r="N11" s="45">
        <f>IF(E38&lt;4000,1,0)</f>
        <v>1</v>
      </c>
    </row>
    <row r="12" spans="2:14">
      <c r="B12" s="12">
        <v>9</v>
      </c>
      <c r="C12" s="13" t="s">
        <v>15</v>
      </c>
      <c r="D12" s="14">
        <v>0.67</v>
      </c>
      <c r="E12" s="15">
        <v>400</v>
      </c>
      <c r="F12" s="15">
        <v>600</v>
      </c>
      <c r="G12" s="16">
        <v>800</v>
      </c>
      <c r="H12" s="13">
        <v>380</v>
      </c>
      <c r="M12" s="45" t="s">
        <v>19</v>
      </c>
      <c r="N12" s="45">
        <f>IF(F38&lt;4000,1,0)</f>
        <v>1</v>
      </c>
    </row>
    <row r="13" spans="2:14">
      <c r="B13" s="17">
        <v>10</v>
      </c>
      <c r="C13" s="18" t="s">
        <v>20</v>
      </c>
      <c r="D13" s="19">
        <v>1</v>
      </c>
      <c r="E13" s="20">
        <v>100</v>
      </c>
      <c r="F13" s="20">
        <v>200</v>
      </c>
      <c r="G13" s="21">
        <v>400</v>
      </c>
      <c r="H13" s="18">
        <v>100</v>
      </c>
      <c r="M13" s="45" t="s">
        <v>21</v>
      </c>
      <c r="N13" s="45">
        <f>IF(G38&lt;10000,1,0)</f>
        <v>1</v>
      </c>
    </row>
    <row r="14" spans="2:15">
      <c r="B14" s="17">
        <v>11</v>
      </c>
      <c r="C14" s="18" t="s">
        <v>20</v>
      </c>
      <c r="D14" s="19">
        <v>0.5</v>
      </c>
      <c r="E14" s="20">
        <v>700</v>
      </c>
      <c r="F14" s="20">
        <v>500</v>
      </c>
      <c r="G14" s="21">
        <v>300</v>
      </c>
      <c r="H14" s="18">
        <v>260</v>
      </c>
      <c r="M14" s="45" t="s">
        <v>22</v>
      </c>
      <c r="N14" s="45">
        <f>IF(AND(N15&gt;=1,N16&gt;=1,N17&gt;=1),1,0)</f>
        <v>1</v>
      </c>
      <c r="O14" s="45" t="s">
        <v>22</v>
      </c>
    </row>
    <row r="15" spans="2:16">
      <c r="B15" s="17">
        <v>12</v>
      </c>
      <c r="C15" s="18" t="s">
        <v>20</v>
      </c>
      <c r="D15" s="19">
        <v>1</v>
      </c>
      <c r="E15" s="20">
        <v>1500</v>
      </c>
      <c r="F15" s="20">
        <v>400</v>
      </c>
      <c r="G15" s="21">
        <v>400</v>
      </c>
      <c r="H15" s="18">
        <v>340</v>
      </c>
      <c r="M15" s="45" t="s">
        <v>23</v>
      </c>
      <c r="N15" s="45">
        <f>SUM(K19:K23)</f>
        <v>3</v>
      </c>
      <c r="O15" s="41" t="s">
        <v>24</v>
      </c>
      <c r="P15">
        <v>1</v>
      </c>
    </row>
    <row r="16" ht="17" customHeight="1" spans="13:16">
      <c r="M16" s="45" t="s">
        <v>25</v>
      </c>
      <c r="N16" s="45">
        <f>SUM(K26:K29)</f>
        <v>4</v>
      </c>
      <c r="O16" s="41" t="s">
        <v>24</v>
      </c>
      <c r="P16">
        <v>1</v>
      </c>
    </row>
    <row r="17" spans="4:16">
      <c r="D17" s="22" t="s">
        <v>26</v>
      </c>
      <c r="E17" s="22"/>
      <c r="F17" s="22"/>
      <c r="G17" s="22"/>
      <c r="M17" s="45" t="s">
        <v>27</v>
      </c>
      <c r="N17" s="45">
        <f>SUM(K32:K34)</f>
        <v>1</v>
      </c>
      <c r="O17" s="41" t="s">
        <v>24</v>
      </c>
      <c r="P17">
        <v>1</v>
      </c>
    </row>
    <row r="18" spans="1:16">
      <c r="A18" s="23" t="s">
        <v>2</v>
      </c>
      <c r="B18" s="24" t="s">
        <v>3</v>
      </c>
      <c r="C18" s="24" t="s">
        <v>4</v>
      </c>
      <c r="D18" s="24" t="s">
        <v>28</v>
      </c>
      <c r="E18" s="24" t="s">
        <v>29</v>
      </c>
      <c r="F18" s="25" t="s">
        <v>30</v>
      </c>
      <c r="G18" s="24" t="s">
        <v>31</v>
      </c>
      <c r="H18" s="25" t="s">
        <v>8</v>
      </c>
      <c r="I18" s="24" t="s">
        <v>32</v>
      </c>
      <c r="J18" s="24" t="s">
        <v>33</v>
      </c>
      <c r="K18" s="56" t="s">
        <v>34</v>
      </c>
      <c r="L18" s="57" t="s">
        <v>35</v>
      </c>
      <c r="M18" s="45" t="s">
        <v>36</v>
      </c>
      <c r="N18" s="45">
        <f>SUM(N15:N17)</f>
        <v>8</v>
      </c>
      <c r="O18" s="41" t="s">
        <v>24</v>
      </c>
      <c r="P18">
        <v>1</v>
      </c>
    </row>
    <row r="19" spans="1:12">
      <c r="A19" s="26">
        <v>1</v>
      </c>
      <c r="B19" s="27" t="s">
        <v>10</v>
      </c>
      <c r="C19" s="28">
        <v>1</v>
      </c>
      <c r="D19" s="29">
        <f>E4*C19</f>
        <v>250</v>
      </c>
      <c r="E19" s="29">
        <f>F4*C19</f>
        <v>100</v>
      </c>
      <c r="F19" s="30">
        <f>G4*C19</f>
        <v>100</v>
      </c>
      <c r="G19" s="30">
        <f>SUM(D19,E19,F19)</f>
        <v>450</v>
      </c>
      <c r="H19" s="30">
        <f>H4</f>
        <v>60</v>
      </c>
      <c r="I19" s="29">
        <f>H19*(1-$N$7)</f>
        <v>52.8</v>
      </c>
      <c r="J19" s="28" t="str">
        <f>IF(K19=0,"",I19/SUM(E4:G4))</f>
        <v/>
      </c>
      <c r="K19" s="58">
        <v>0</v>
      </c>
      <c r="L19" s="41" t="e">
        <f>MATCH(1,C71:J71,0)</f>
        <v>#N/A</v>
      </c>
    </row>
    <row r="20" spans="1:14">
      <c r="A20" s="26">
        <v>2</v>
      </c>
      <c r="B20" s="27" t="s">
        <v>10</v>
      </c>
      <c r="C20" s="28">
        <v>0.33</v>
      </c>
      <c r="D20" s="29">
        <f>E5*C20</f>
        <v>165</v>
      </c>
      <c r="E20" s="29">
        <f>F5*C20</f>
        <v>99</v>
      </c>
      <c r="F20" s="30">
        <f>G5*C20</f>
        <v>99</v>
      </c>
      <c r="G20" s="30">
        <f>SUM(D20,E20,F20)</f>
        <v>363</v>
      </c>
      <c r="H20" s="30">
        <f>H5</f>
        <v>180</v>
      </c>
      <c r="I20" s="29">
        <f>H20*(1-$N$7)</f>
        <v>158.4</v>
      </c>
      <c r="J20" s="28">
        <f>IF(K20=0,"",I20/SUM(E5:G5))</f>
        <v>0.144</v>
      </c>
      <c r="K20" s="58">
        <v>1</v>
      </c>
      <c r="L20" s="41">
        <f>_xlfn.XMATCH(1,C72:J72,0)</f>
        <v>1</v>
      </c>
      <c r="M20" s="24" t="s">
        <v>37</v>
      </c>
      <c r="N20" s="5">
        <f>IF(SUM(N10:N14)=5,1,0)</f>
        <v>1</v>
      </c>
    </row>
    <row r="21" spans="1:12">
      <c r="A21" s="26">
        <v>3</v>
      </c>
      <c r="B21" s="27" t="s">
        <v>10</v>
      </c>
      <c r="C21" s="28">
        <v>0.5</v>
      </c>
      <c r="D21" s="29">
        <f>E6*C21</f>
        <v>50</v>
      </c>
      <c r="E21" s="29">
        <f>F6*C21</f>
        <v>100</v>
      </c>
      <c r="F21" s="30">
        <f>G6*C21</f>
        <v>200</v>
      </c>
      <c r="G21" s="30">
        <f t="shared" ref="G21:G34" si="0">SUM(D21,E21,F21)</f>
        <v>350</v>
      </c>
      <c r="H21" s="30">
        <f>H6</f>
        <v>80</v>
      </c>
      <c r="I21" s="29">
        <f>H21*(1-$N$7)</f>
        <v>70.4</v>
      </c>
      <c r="J21" s="28" t="str">
        <f>IF(K21=0,"",I21/SUM(E6:G6))</f>
        <v/>
      </c>
      <c r="K21" s="58">
        <v>0</v>
      </c>
      <c r="L21" s="41" t="e">
        <f>_xlfn.XMATCH(1,C73:J73,0)</f>
        <v>#N/A</v>
      </c>
    </row>
    <row r="22" spans="1:12">
      <c r="A22" s="26">
        <v>4</v>
      </c>
      <c r="B22" s="27" t="s">
        <v>10</v>
      </c>
      <c r="C22" s="31">
        <v>1</v>
      </c>
      <c r="D22" s="29">
        <f>E7*C22</f>
        <v>750</v>
      </c>
      <c r="E22" s="29">
        <f>F7*C22</f>
        <v>500</v>
      </c>
      <c r="F22" s="30">
        <f>G7*C22</f>
        <v>300</v>
      </c>
      <c r="G22" s="30">
        <f t="shared" si="0"/>
        <v>1550</v>
      </c>
      <c r="H22" s="30">
        <f>H7</f>
        <v>310</v>
      </c>
      <c r="I22" s="29">
        <f>H22*(1-$N$7)</f>
        <v>272.8</v>
      </c>
      <c r="J22" s="28">
        <f>IF(K22=0,"",I22/SUM(E7:G7))</f>
        <v>0.176</v>
      </c>
      <c r="K22" s="58">
        <v>1</v>
      </c>
      <c r="L22" s="41">
        <f>_xlfn.XMATCH(1,C74:J74,0)</f>
        <v>7</v>
      </c>
    </row>
    <row r="23" spans="1:13">
      <c r="A23" s="26">
        <v>5</v>
      </c>
      <c r="B23" s="27" t="s">
        <v>10</v>
      </c>
      <c r="C23" s="32">
        <v>0.75</v>
      </c>
      <c r="D23" s="29">
        <f>E8*C23</f>
        <v>150</v>
      </c>
      <c r="E23" s="29">
        <f>F8*C23</f>
        <v>300</v>
      </c>
      <c r="F23" s="30">
        <f>G8*C23</f>
        <v>600</v>
      </c>
      <c r="G23" s="29">
        <f t="shared" si="0"/>
        <v>1050</v>
      </c>
      <c r="H23" s="30">
        <f>H8</f>
        <v>220</v>
      </c>
      <c r="I23" s="29">
        <f>H23*(1-$N$7)</f>
        <v>193.6</v>
      </c>
      <c r="J23" s="28">
        <f>IF(K23=0,"",I23/SUM(E8:G8))</f>
        <v>0.138285714285714</v>
      </c>
      <c r="K23" s="58">
        <v>1</v>
      </c>
      <c r="L23" s="41">
        <f t="shared" ref="L23" si="1">_xlfn.XMATCH(1,C75:J75,0)</f>
        <v>5</v>
      </c>
      <c r="M23" s="59"/>
    </row>
    <row r="24" spans="3:17">
      <c r="C24" s="33" t="s">
        <v>38</v>
      </c>
      <c r="D24" s="34">
        <f>SUMPRODUCT(D19:D23,K19:K23)</f>
        <v>1065</v>
      </c>
      <c r="E24" s="34">
        <f>SUMPRODUCT(E19:E23,K19:K23)</f>
        <v>899</v>
      </c>
      <c r="F24" s="34">
        <f>SUMPRODUCT(F19:F23,K19:K23)</f>
        <v>999</v>
      </c>
      <c r="G24" s="34">
        <f t="shared" si="0"/>
        <v>2963</v>
      </c>
      <c r="K24" s="41"/>
      <c r="L24" s="41"/>
      <c r="M24" s="59"/>
      <c r="N24" s="59"/>
      <c r="O24" s="60" t="s">
        <v>39</v>
      </c>
      <c r="P24" s="60"/>
      <c r="Q24" s="60"/>
    </row>
    <row r="25" spans="11:17">
      <c r="K25" s="41"/>
      <c r="L25" s="41"/>
      <c r="M25" s="59"/>
      <c r="N25" s="45"/>
      <c r="O25" s="60" t="s">
        <v>40</v>
      </c>
      <c r="P25" s="60" t="s">
        <v>41</v>
      </c>
      <c r="Q25" s="60" t="s">
        <v>42</v>
      </c>
    </row>
    <row r="26" spans="1:17">
      <c r="A26" s="26">
        <v>6</v>
      </c>
      <c r="B26" s="35" t="s">
        <v>15</v>
      </c>
      <c r="C26" s="28">
        <v>0.5</v>
      </c>
      <c r="D26" s="29">
        <f>E9*C26</f>
        <v>500</v>
      </c>
      <c r="E26" s="29">
        <f>F9*C26</f>
        <v>150</v>
      </c>
      <c r="F26" s="30">
        <f>G9*C26</f>
        <v>150</v>
      </c>
      <c r="G26" s="30">
        <f t="shared" si="0"/>
        <v>800</v>
      </c>
      <c r="H26" s="30">
        <f>H9</f>
        <v>180</v>
      </c>
      <c r="I26" s="29">
        <f>H26*(1-$N$7)</f>
        <v>158.4</v>
      </c>
      <c r="J26" s="28">
        <f>IF(K26=0,"",I26/SUM(E9:G9))</f>
        <v>0.099</v>
      </c>
      <c r="K26" s="58">
        <v>1</v>
      </c>
      <c r="L26" s="41">
        <f>_xlfn.XMATCH(1,C76:J76,0)</f>
        <v>2</v>
      </c>
      <c r="M26" s="61" t="s">
        <v>43</v>
      </c>
      <c r="N26" s="60" t="s">
        <v>44</v>
      </c>
      <c r="O26" s="36">
        <f>D24</f>
        <v>1065</v>
      </c>
      <c r="P26" s="36">
        <f>E24</f>
        <v>899</v>
      </c>
      <c r="Q26" s="36">
        <f>F24</f>
        <v>999</v>
      </c>
    </row>
    <row r="27" spans="1:17">
      <c r="A27" s="26">
        <v>7</v>
      </c>
      <c r="B27" s="35" t="s">
        <v>15</v>
      </c>
      <c r="C27" s="28">
        <v>1</v>
      </c>
      <c r="D27" s="29">
        <f>E10*C27</f>
        <v>750</v>
      </c>
      <c r="E27" s="29">
        <f>F10*C27</f>
        <v>750</v>
      </c>
      <c r="F27" s="30">
        <f>G10*C27</f>
        <v>300</v>
      </c>
      <c r="G27" s="30">
        <f t="shared" si="0"/>
        <v>1800</v>
      </c>
      <c r="H27" s="30">
        <f>H10</f>
        <v>410</v>
      </c>
      <c r="I27" s="29">
        <f>H27*(1-$N$7)</f>
        <v>360.8</v>
      </c>
      <c r="J27" s="28">
        <f>IF(K27=0,"",I27/SUM(E10:G10))</f>
        <v>0.200444444444444</v>
      </c>
      <c r="K27" s="58">
        <v>1</v>
      </c>
      <c r="L27" s="41">
        <f t="shared" ref="L27:L29" si="2">_xlfn.XMATCH(1,C77:J77,0)</f>
        <v>6</v>
      </c>
      <c r="M27" s="61"/>
      <c r="N27" s="60" t="s">
        <v>15</v>
      </c>
      <c r="O27" s="36">
        <f>D30</f>
        <v>2318</v>
      </c>
      <c r="P27" s="36">
        <f>E30</f>
        <v>2002</v>
      </c>
      <c r="Q27" s="36">
        <f>F30</f>
        <v>1586</v>
      </c>
    </row>
    <row r="28" spans="1:17">
      <c r="A28" s="26">
        <v>8</v>
      </c>
      <c r="B28" s="35" t="s">
        <v>15</v>
      </c>
      <c r="C28" s="28">
        <v>1</v>
      </c>
      <c r="D28" s="29">
        <f>E11*C28</f>
        <v>800</v>
      </c>
      <c r="E28" s="29">
        <f>F11*C28</f>
        <v>700</v>
      </c>
      <c r="F28" s="30">
        <f>G11*C28</f>
        <v>600</v>
      </c>
      <c r="G28" s="30">
        <f t="shared" si="0"/>
        <v>2100</v>
      </c>
      <c r="H28" s="30">
        <f>H11</f>
        <v>280</v>
      </c>
      <c r="I28" s="29">
        <f>H28*(1-$N$7)</f>
        <v>246.4</v>
      </c>
      <c r="J28" s="28">
        <f>IF(K28=0,"",I28/SUM(E11:G11))</f>
        <v>0.117333333333333</v>
      </c>
      <c r="K28" s="58">
        <v>1</v>
      </c>
      <c r="L28" s="41">
        <f t="shared" si="2"/>
        <v>4</v>
      </c>
      <c r="M28" s="61"/>
      <c r="N28" s="60" t="s">
        <v>20</v>
      </c>
      <c r="O28" s="36">
        <f>D35</f>
        <v>350</v>
      </c>
      <c r="P28" s="36">
        <f>E35</f>
        <v>250</v>
      </c>
      <c r="Q28" s="36">
        <f>F35</f>
        <v>150</v>
      </c>
    </row>
    <row r="29" spans="1:12">
      <c r="A29" s="26">
        <v>9</v>
      </c>
      <c r="B29" s="35" t="s">
        <v>15</v>
      </c>
      <c r="C29" s="28">
        <v>0.67</v>
      </c>
      <c r="D29" s="29">
        <f>E12*C29</f>
        <v>268</v>
      </c>
      <c r="E29" s="29">
        <f>F12*C29</f>
        <v>402</v>
      </c>
      <c r="F29" s="30">
        <f>G12*C29</f>
        <v>536</v>
      </c>
      <c r="G29" s="30">
        <f t="shared" si="0"/>
        <v>1206</v>
      </c>
      <c r="H29" s="30">
        <f>H12</f>
        <v>380</v>
      </c>
      <c r="I29" s="29">
        <f>H29*(1-$N$7)</f>
        <v>334.4</v>
      </c>
      <c r="J29" s="28">
        <f>IF(K29=0,"",I29/SUM(E12:G12))</f>
        <v>0.185777777777778</v>
      </c>
      <c r="K29" s="58">
        <v>1</v>
      </c>
      <c r="L29" s="41">
        <f t="shared" si="2"/>
        <v>3</v>
      </c>
    </row>
    <row r="30" spans="3:12">
      <c r="C30" s="33" t="s">
        <v>45</v>
      </c>
      <c r="D30" s="34">
        <f>SUMPRODUCT(D26:D29,$K$26:$K$29)</f>
        <v>2318</v>
      </c>
      <c r="E30" s="34">
        <f>SUMPRODUCT(E26:E29,$K$26:$K$29)</f>
        <v>2002</v>
      </c>
      <c r="F30" s="34">
        <f>SUMPRODUCT(F26:F29,$K$26:$K$29)</f>
        <v>1586</v>
      </c>
      <c r="G30" s="36">
        <f>SUM(D30:F30)</f>
        <v>5906</v>
      </c>
      <c r="K30" s="41"/>
      <c r="L30" s="41"/>
    </row>
    <row r="31" spans="11:14">
      <c r="K31" s="41"/>
      <c r="L31" s="41"/>
      <c r="N31" s="59"/>
    </row>
    <row r="32" spans="1:14">
      <c r="A32" s="26">
        <v>10</v>
      </c>
      <c r="B32" s="37" t="s">
        <v>20</v>
      </c>
      <c r="C32" s="28">
        <v>1</v>
      </c>
      <c r="D32" s="29">
        <f>E13*C32</f>
        <v>100</v>
      </c>
      <c r="E32" s="29">
        <f>F13*C32</f>
        <v>200</v>
      </c>
      <c r="F32" s="30">
        <f>G13*C32</f>
        <v>400</v>
      </c>
      <c r="G32" s="30">
        <f t="shared" si="0"/>
        <v>700</v>
      </c>
      <c r="H32" s="38">
        <f>H13</f>
        <v>100</v>
      </c>
      <c r="I32" s="29">
        <f>H32*(1-$N$7)</f>
        <v>88</v>
      </c>
      <c r="J32" s="28" t="str">
        <f>IF(K32=0,"",I32/SUM(E13:G13))</f>
        <v/>
      </c>
      <c r="K32" s="58">
        <v>0</v>
      </c>
      <c r="L32" s="41" t="e">
        <f>_xlfn.XMATCH(1,C80:J80,0)</f>
        <v>#N/A</v>
      </c>
      <c r="N32" s="59"/>
    </row>
    <row r="33" spans="1:14">
      <c r="A33" s="26">
        <v>11</v>
      </c>
      <c r="B33" s="37" t="s">
        <v>20</v>
      </c>
      <c r="C33" s="28">
        <v>0.5</v>
      </c>
      <c r="D33" s="29">
        <f>E14*C33</f>
        <v>350</v>
      </c>
      <c r="E33" s="29">
        <f>F14*C33</f>
        <v>250</v>
      </c>
      <c r="F33" s="30">
        <f>G14*C33</f>
        <v>150</v>
      </c>
      <c r="G33" s="30">
        <f t="shared" si="0"/>
        <v>750</v>
      </c>
      <c r="H33" s="38">
        <f>H14</f>
        <v>260</v>
      </c>
      <c r="I33" s="29">
        <f>H33*(1-$N$7)</f>
        <v>228.8</v>
      </c>
      <c r="J33" s="28">
        <f>IF(K33=0,"",I33/SUM(E14:G14))</f>
        <v>0.152533333333333</v>
      </c>
      <c r="K33" s="58">
        <v>1</v>
      </c>
      <c r="L33" s="41">
        <f t="shared" ref="L33:L34" si="3">_xlfn.XMATCH(1,C81:J81,0)</f>
        <v>8</v>
      </c>
      <c r="N33" s="59"/>
    </row>
    <row r="34" spans="1:12">
      <c r="A34" s="26">
        <v>12</v>
      </c>
      <c r="B34" s="37" t="s">
        <v>20</v>
      </c>
      <c r="C34" s="28">
        <v>1</v>
      </c>
      <c r="D34" s="29">
        <f>E15*C34</f>
        <v>1500</v>
      </c>
      <c r="E34" s="29">
        <f>F15*C34</f>
        <v>400</v>
      </c>
      <c r="F34" s="30">
        <f>G15*C34</f>
        <v>400</v>
      </c>
      <c r="G34" s="30">
        <f t="shared" si="0"/>
        <v>2300</v>
      </c>
      <c r="H34" s="38">
        <f>H15</f>
        <v>340</v>
      </c>
      <c r="I34" s="29">
        <f>H34*(1-$N$7)</f>
        <v>299.2</v>
      </c>
      <c r="J34" s="28" t="str">
        <f>IF(K34=0,"",I34/SUM(E15:G15))</f>
        <v/>
      </c>
      <c r="K34" s="58">
        <v>0</v>
      </c>
      <c r="L34" s="41" t="e">
        <f t="shared" si="3"/>
        <v>#N/A</v>
      </c>
    </row>
    <row r="35" spans="3:7">
      <c r="C35" s="33" t="s">
        <v>46</v>
      </c>
      <c r="D35" s="29">
        <f>SUMPRODUCT(D32:D34,$K$32:$K$34)</f>
        <v>350</v>
      </c>
      <c r="E35" s="29">
        <f>SUMPRODUCT(E32:E34,$K$32:$K$34)</f>
        <v>250</v>
      </c>
      <c r="F35" s="29">
        <f>SUMPRODUCT(F32:F34,$K$32:$K$34)</f>
        <v>150</v>
      </c>
      <c r="G35" s="29">
        <f>SUM(D35:F35)</f>
        <v>750</v>
      </c>
    </row>
    <row r="36" spans="6:7">
      <c r="F36" s="39"/>
      <c r="G36" s="39"/>
    </row>
    <row r="37" spans="4:9">
      <c r="D37" s="24" t="s">
        <v>28</v>
      </c>
      <c r="E37" s="24" t="s">
        <v>29</v>
      </c>
      <c r="F37" s="25" t="s">
        <v>30</v>
      </c>
      <c r="G37" s="24" t="s">
        <v>31</v>
      </c>
      <c r="I37" s="62" t="s">
        <v>47</v>
      </c>
    </row>
    <row r="38" spans="3:10">
      <c r="C38" s="33" t="s">
        <v>48</v>
      </c>
      <c r="D38" s="40">
        <f>SUMPRODUCT(D19:D23,$K$19:$K$23)+SUMPRODUCT(D26:D29,$K$26:$K$29)+SUMPRODUCT(D32:D34,$K$32:$K$34)</f>
        <v>3733</v>
      </c>
      <c r="E38" s="40">
        <f>SUMPRODUCT(E19:E23,$K$19:$K$23)+SUMPRODUCT(E26:E29,$K$26:$K$29)+SUMPRODUCT(E32:E34,$K$32:$K$34)</f>
        <v>3151</v>
      </c>
      <c r="F38" s="40">
        <f>SUMPRODUCT(F19:F23,$K$19:$K$23)+SUMPRODUCT(F26:F29,$K$26:$K$29)+SUMPRODUCT(F32:F34,$K$32:$K$34)</f>
        <v>2735</v>
      </c>
      <c r="G38" s="40">
        <f>SUM(D38:F38)</f>
        <v>9619</v>
      </c>
      <c r="I38" s="63">
        <f>SUMPRODUCT(I19:I34,K19:K34)</f>
        <v>1953.6</v>
      </c>
      <c r="J38" t="s">
        <v>49</v>
      </c>
    </row>
    <row r="39" spans="4:7">
      <c r="D39" s="41" t="s">
        <v>50</v>
      </c>
      <c r="E39" s="41" t="s">
        <v>50</v>
      </c>
      <c r="F39" s="41" t="s">
        <v>50</v>
      </c>
      <c r="G39" s="41" t="s">
        <v>50</v>
      </c>
    </row>
    <row r="40" spans="4:7">
      <c r="D40" s="41">
        <v>4000</v>
      </c>
      <c r="E40" s="41">
        <v>4000</v>
      </c>
      <c r="F40" s="41">
        <v>4000</v>
      </c>
      <c r="G40" s="41">
        <v>10000</v>
      </c>
    </row>
    <row r="42" spans="5:7">
      <c r="E42" s="24" t="s">
        <v>51</v>
      </c>
      <c r="F42" s="24"/>
      <c r="G42" s="24"/>
    </row>
    <row r="43" spans="4:7">
      <c r="D43" s="24" t="s">
        <v>52</v>
      </c>
      <c r="E43" s="24" t="s">
        <v>53</v>
      </c>
      <c r="F43" s="24" t="s">
        <v>54</v>
      </c>
      <c r="G43" s="24" t="s">
        <v>55</v>
      </c>
    </row>
    <row r="44" spans="4:7">
      <c r="D44" s="42"/>
      <c r="E44" s="43">
        <f>AVERAGE(J19:J34)</f>
        <v>0.151671825396825</v>
      </c>
      <c r="F44" s="43">
        <f>MIN(J19:J34)</f>
        <v>0.099</v>
      </c>
      <c r="G44" s="43">
        <f>MAX(J19:J34)</f>
        <v>0.200444444444444</v>
      </c>
    </row>
    <row r="45" spans="4:7">
      <c r="D45" s="28">
        <v>0</v>
      </c>
      <c r="E45" s="28">
        <v>0.172354347041847</v>
      </c>
      <c r="F45" s="28">
        <v>0.1125</v>
      </c>
      <c r="G45" s="28">
        <v>0.227777777777778</v>
      </c>
    </row>
    <row r="46" spans="4:7">
      <c r="D46" s="28">
        <v>0.05</v>
      </c>
      <c r="E46" s="28">
        <v>0.163736629689755</v>
      </c>
      <c r="F46" s="28">
        <v>0.106875</v>
      </c>
      <c r="G46" s="28">
        <v>0.216388888888889</v>
      </c>
    </row>
    <row r="47" spans="4:7">
      <c r="D47" s="28">
        <v>0.1</v>
      </c>
      <c r="E47" s="28">
        <v>0.155118912337662</v>
      </c>
      <c r="F47" s="28">
        <v>0.10125</v>
      </c>
      <c r="G47" s="28">
        <v>0.205</v>
      </c>
    </row>
    <row r="48" spans="4:7">
      <c r="D48" s="28">
        <v>0.15</v>
      </c>
      <c r="E48" s="28">
        <v>0.14650119498557</v>
      </c>
      <c r="F48" s="28">
        <v>0.095625</v>
      </c>
      <c r="G48" s="28">
        <v>0.193611111111111</v>
      </c>
    </row>
    <row r="49" spans="4:7">
      <c r="D49" s="28">
        <v>0.2</v>
      </c>
      <c r="E49" s="28">
        <v>0.137883477633478</v>
      </c>
      <c r="F49" s="28">
        <v>0.09</v>
      </c>
      <c r="G49" s="28">
        <v>0.182222222222222</v>
      </c>
    </row>
    <row r="50" spans="4:7">
      <c r="D50" s="28">
        <v>0.25</v>
      </c>
      <c r="E50" s="28">
        <v>0.129265760281385</v>
      </c>
      <c r="F50" s="28">
        <v>0.084375</v>
      </c>
      <c r="G50" s="28">
        <v>0.170833333333333</v>
      </c>
    </row>
    <row r="51" spans="4:7">
      <c r="D51" s="28">
        <v>0.3</v>
      </c>
      <c r="E51" s="28">
        <v>0.120648042929293</v>
      </c>
      <c r="F51" s="28">
        <v>0.07875</v>
      </c>
      <c r="G51" s="28">
        <v>0.159444444444444</v>
      </c>
    </row>
    <row r="53" ht="20.25" spans="1:1">
      <c r="A53" s="44" t="s">
        <v>56</v>
      </c>
    </row>
    <row r="54" ht="16.25" spans="1:10">
      <c r="A54" s="45"/>
      <c r="B54" s="24" t="s">
        <v>57</v>
      </c>
      <c r="C54" s="24"/>
      <c r="D54" s="24"/>
      <c r="E54" s="24"/>
      <c r="F54" s="24"/>
      <c r="G54" s="24"/>
      <c r="H54" s="24"/>
      <c r="I54" s="24"/>
      <c r="J54" s="45"/>
    </row>
    <row r="55" ht="16.25" spans="1:10">
      <c r="A55" s="45"/>
      <c r="B55" s="45"/>
      <c r="C55" s="46">
        <v>1</v>
      </c>
      <c r="D55" s="46">
        <v>2</v>
      </c>
      <c r="E55" s="46">
        <v>3</v>
      </c>
      <c r="F55" s="46">
        <v>4</v>
      </c>
      <c r="G55" s="46">
        <v>5</v>
      </c>
      <c r="H55" s="46">
        <v>6</v>
      </c>
      <c r="I55" s="46">
        <v>7</v>
      </c>
      <c r="J55" s="46">
        <v>8</v>
      </c>
    </row>
    <row r="56" ht="16.25" spans="1:10">
      <c r="A56" s="47" t="s">
        <v>58</v>
      </c>
      <c r="B56" s="24">
        <v>1</v>
      </c>
      <c r="C56" s="48">
        <v>1</v>
      </c>
      <c r="D56" s="48">
        <v>1</v>
      </c>
      <c r="E56" s="48">
        <v>1</v>
      </c>
      <c r="F56" s="48">
        <v>1</v>
      </c>
      <c r="G56" s="48">
        <v>1</v>
      </c>
      <c r="H56" s="48">
        <v>0</v>
      </c>
      <c r="I56" s="48">
        <v>0</v>
      </c>
      <c r="J56" s="48">
        <v>0</v>
      </c>
    </row>
    <row r="57" spans="1:10">
      <c r="A57" s="47"/>
      <c r="B57" s="24">
        <v>2</v>
      </c>
      <c r="C57" s="45">
        <v>1</v>
      </c>
      <c r="D57" s="45">
        <v>1</v>
      </c>
      <c r="E57" s="45">
        <v>1</v>
      </c>
      <c r="F57" s="45">
        <v>1</v>
      </c>
      <c r="G57" s="45">
        <v>0</v>
      </c>
      <c r="H57" s="45">
        <v>1</v>
      </c>
      <c r="I57" s="45">
        <v>0</v>
      </c>
      <c r="J57" s="45">
        <v>1</v>
      </c>
    </row>
    <row r="58" spans="1:10">
      <c r="A58" s="47"/>
      <c r="B58" s="24">
        <v>3</v>
      </c>
      <c r="C58" s="45">
        <v>1</v>
      </c>
      <c r="D58" s="45">
        <v>0</v>
      </c>
      <c r="E58" s="45">
        <v>0</v>
      </c>
      <c r="F58" s="45">
        <v>1</v>
      </c>
      <c r="G58" s="45">
        <v>1</v>
      </c>
      <c r="H58" s="45">
        <v>1</v>
      </c>
      <c r="I58" s="45">
        <v>0</v>
      </c>
      <c r="J58" s="45">
        <v>1</v>
      </c>
    </row>
    <row r="59" spans="1:10">
      <c r="A59" s="47"/>
      <c r="B59" s="24">
        <v>4</v>
      </c>
      <c r="C59" s="45">
        <v>0</v>
      </c>
      <c r="D59" s="45">
        <v>1</v>
      </c>
      <c r="E59" s="45">
        <v>0</v>
      </c>
      <c r="F59" s="45">
        <v>0</v>
      </c>
      <c r="G59" s="45">
        <v>1</v>
      </c>
      <c r="H59" s="45">
        <v>1</v>
      </c>
      <c r="I59" s="45">
        <v>1</v>
      </c>
      <c r="J59" s="45">
        <v>1</v>
      </c>
    </row>
    <row r="60" spans="1:10">
      <c r="A60" s="47"/>
      <c r="B60" s="24">
        <v>5</v>
      </c>
      <c r="C60" s="45">
        <v>1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0</v>
      </c>
    </row>
    <row r="61" spans="1:10">
      <c r="A61" s="47"/>
      <c r="B61" s="24">
        <v>6</v>
      </c>
      <c r="C61" s="45">
        <v>1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</row>
    <row r="62" spans="1:10">
      <c r="A62" s="47"/>
      <c r="B62" s="24">
        <v>7</v>
      </c>
      <c r="C62" s="45">
        <v>1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0</v>
      </c>
      <c r="J62" s="45">
        <v>1</v>
      </c>
    </row>
    <row r="63" spans="1:10">
      <c r="A63" s="47"/>
      <c r="B63" s="24">
        <v>8</v>
      </c>
      <c r="C63" s="45">
        <v>1</v>
      </c>
      <c r="D63" s="45">
        <v>1</v>
      </c>
      <c r="E63" s="45">
        <v>1</v>
      </c>
      <c r="F63" s="45">
        <v>1</v>
      </c>
      <c r="G63" s="45">
        <v>0</v>
      </c>
      <c r="H63" s="45">
        <v>1</v>
      </c>
      <c r="I63" s="45">
        <v>1</v>
      </c>
      <c r="J63" s="45">
        <v>0</v>
      </c>
    </row>
    <row r="64" spans="1:10">
      <c r="A64" s="47"/>
      <c r="B64" s="24">
        <v>9</v>
      </c>
      <c r="C64" s="45">
        <v>1</v>
      </c>
      <c r="D64" s="45">
        <v>1</v>
      </c>
      <c r="E64" s="45">
        <v>1</v>
      </c>
      <c r="F64" s="45">
        <v>1</v>
      </c>
      <c r="G64" s="45">
        <v>0</v>
      </c>
      <c r="H64" s="45">
        <v>0</v>
      </c>
      <c r="I64" s="45">
        <v>0</v>
      </c>
      <c r="J64" s="45">
        <v>1</v>
      </c>
    </row>
    <row r="65" spans="1:10">
      <c r="A65" s="47"/>
      <c r="B65" s="24">
        <v>10</v>
      </c>
      <c r="C65" s="45">
        <v>1</v>
      </c>
      <c r="D65" s="45">
        <v>1</v>
      </c>
      <c r="E65" s="45">
        <v>1</v>
      </c>
      <c r="F65" s="45">
        <v>1</v>
      </c>
      <c r="G65" s="45">
        <v>0</v>
      </c>
      <c r="H65" s="45">
        <v>1</v>
      </c>
      <c r="I65" s="45">
        <v>1</v>
      </c>
      <c r="J65" s="45">
        <v>1</v>
      </c>
    </row>
    <row r="66" spans="1:10">
      <c r="A66" s="47"/>
      <c r="B66" s="24">
        <v>11</v>
      </c>
      <c r="C66" s="45">
        <v>1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0</v>
      </c>
      <c r="J66" s="45">
        <v>1</v>
      </c>
    </row>
    <row r="67" spans="1:10">
      <c r="A67" s="47"/>
      <c r="B67" s="24">
        <v>12</v>
      </c>
      <c r="C67" s="45">
        <v>0</v>
      </c>
      <c r="D67" s="45">
        <v>0</v>
      </c>
      <c r="E67" s="45">
        <v>0</v>
      </c>
      <c r="F67" s="45">
        <v>1</v>
      </c>
      <c r="G67" s="45">
        <v>1</v>
      </c>
      <c r="H67" s="45">
        <v>0</v>
      </c>
      <c r="I67" s="45">
        <v>1</v>
      </c>
      <c r="J67" s="45">
        <v>1</v>
      </c>
    </row>
    <row r="69" spans="1:10">
      <c r="A69" s="45"/>
      <c r="B69" s="24" t="s">
        <v>57</v>
      </c>
      <c r="C69" s="24"/>
      <c r="D69" s="24"/>
      <c r="E69" s="24"/>
      <c r="F69" s="24"/>
      <c r="G69" s="24"/>
      <c r="H69" s="24"/>
      <c r="I69" s="24"/>
      <c r="J69" s="45"/>
    </row>
    <row r="70" ht="16.25" spans="1:13">
      <c r="A70" s="45"/>
      <c r="B70" s="45"/>
      <c r="C70" s="64">
        <v>1</v>
      </c>
      <c r="D70" s="64">
        <v>2</v>
      </c>
      <c r="E70" s="64">
        <v>3</v>
      </c>
      <c r="F70" s="64">
        <v>4</v>
      </c>
      <c r="G70" s="64">
        <v>5</v>
      </c>
      <c r="H70" s="64">
        <v>6</v>
      </c>
      <c r="I70" s="64">
        <v>7</v>
      </c>
      <c r="J70" s="64">
        <v>8</v>
      </c>
      <c r="K70" s="41" t="s">
        <v>59</v>
      </c>
      <c r="M70" s="41" t="s">
        <v>60</v>
      </c>
    </row>
    <row r="71" ht="16.25" spans="1:14">
      <c r="A71" s="47" t="s">
        <v>58</v>
      </c>
      <c r="B71" s="24">
        <v>1</v>
      </c>
      <c r="C71" s="65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5">
        <v>0</v>
      </c>
      <c r="J71" s="65">
        <v>0</v>
      </c>
      <c r="K71" s="41">
        <f t="shared" ref="K71:K82" si="4">SUM(C71:J71)</f>
        <v>0</v>
      </c>
      <c r="L71" s="41" t="s">
        <v>50</v>
      </c>
      <c r="M71" s="41">
        <f>'Project Model'!K19</f>
        <v>0</v>
      </c>
      <c r="N71" t="str">
        <f t="shared" ref="N71:N82" si="5">_xlfn.FORMULATEXT(M71)</f>
        <v>='Project Model'!K19</v>
      </c>
    </row>
    <row r="72" spans="1:14">
      <c r="A72" s="47"/>
      <c r="B72" s="24">
        <v>2</v>
      </c>
      <c r="C72" s="66">
        <v>1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41">
        <f t="shared" si="4"/>
        <v>1</v>
      </c>
      <c r="L72" s="41" t="s">
        <v>50</v>
      </c>
      <c r="M72" s="41">
        <f>'Project Model'!K20</f>
        <v>1</v>
      </c>
      <c r="N72" t="str">
        <f t="shared" si="5"/>
        <v>='Project Model'!K20</v>
      </c>
    </row>
    <row r="73" spans="1:14">
      <c r="A73" s="47"/>
      <c r="B73" s="24">
        <v>3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41">
        <f t="shared" si="4"/>
        <v>0</v>
      </c>
      <c r="L73" s="41" t="s">
        <v>50</v>
      </c>
      <c r="M73" s="41">
        <f>'Project Model'!K21</f>
        <v>0</v>
      </c>
      <c r="N73" t="str">
        <f t="shared" si="5"/>
        <v>='Project Model'!K21</v>
      </c>
    </row>
    <row r="74" spans="1:14">
      <c r="A74" s="47"/>
      <c r="B74" s="24">
        <v>4</v>
      </c>
      <c r="C74" s="66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1</v>
      </c>
      <c r="J74" s="66">
        <v>0</v>
      </c>
      <c r="K74" s="41">
        <f t="shared" si="4"/>
        <v>1</v>
      </c>
      <c r="L74" s="41" t="s">
        <v>50</v>
      </c>
      <c r="M74" s="41">
        <f>'Project Model'!K22</f>
        <v>1</v>
      </c>
      <c r="N74" t="str">
        <f t="shared" si="5"/>
        <v>='Project Model'!K22</v>
      </c>
    </row>
    <row r="75" spans="1:14">
      <c r="A75" s="47"/>
      <c r="B75" s="24">
        <v>5</v>
      </c>
      <c r="C75" s="66">
        <v>0</v>
      </c>
      <c r="D75" s="66">
        <v>0</v>
      </c>
      <c r="E75" s="66">
        <v>0</v>
      </c>
      <c r="F75" s="66">
        <v>0</v>
      </c>
      <c r="G75" s="66">
        <v>1</v>
      </c>
      <c r="H75" s="66">
        <v>0</v>
      </c>
      <c r="I75" s="66">
        <v>0</v>
      </c>
      <c r="J75" s="66">
        <v>0</v>
      </c>
      <c r="K75" s="41">
        <f t="shared" si="4"/>
        <v>1</v>
      </c>
      <c r="L75" s="41" t="s">
        <v>50</v>
      </c>
      <c r="M75" s="41">
        <f>'Project Model'!K23</f>
        <v>1</v>
      </c>
      <c r="N75" t="str">
        <f t="shared" si="5"/>
        <v>='Project Model'!K23</v>
      </c>
    </row>
    <row r="76" spans="1:14">
      <c r="A76" s="47"/>
      <c r="B76" s="24">
        <v>6</v>
      </c>
      <c r="C76" s="66">
        <v>0</v>
      </c>
      <c r="D76" s="66">
        <v>1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41">
        <f t="shared" si="4"/>
        <v>1</v>
      </c>
      <c r="L76" s="41" t="s">
        <v>50</v>
      </c>
      <c r="M76" s="41">
        <f>'Project Model'!K26</f>
        <v>1</v>
      </c>
      <c r="N76" t="str">
        <f t="shared" si="5"/>
        <v>='Project Model'!K26</v>
      </c>
    </row>
    <row r="77" spans="1:14">
      <c r="A77" s="47"/>
      <c r="B77" s="24">
        <v>7</v>
      </c>
      <c r="C77" s="66">
        <v>0</v>
      </c>
      <c r="D77" s="66">
        <v>0</v>
      </c>
      <c r="E77" s="66">
        <v>0</v>
      </c>
      <c r="F77" s="66">
        <v>0</v>
      </c>
      <c r="G77" s="66">
        <v>0</v>
      </c>
      <c r="H77" s="66">
        <v>1</v>
      </c>
      <c r="I77" s="66">
        <v>0</v>
      </c>
      <c r="J77" s="66">
        <v>0</v>
      </c>
      <c r="K77" s="41">
        <f t="shared" si="4"/>
        <v>1</v>
      </c>
      <c r="L77" s="41" t="s">
        <v>50</v>
      </c>
      <c r="M77" s="41">
        <f>'Project Model'!K27</f>
        <v>1</v>
      </c>
      <c r="N77" t="str">
        <f t="shared" si="5"/>
        <v>='Project Model'!K27</v>
      </c>
    </row>
    <row r="78" spans="1:14">
      <c r="A78" s="47"/>
      <c r="B78" s="24">
        <v>8</v>
      </c>
      <c r="C78" s="66">
        <v>0</v>
      </c>
      <c r="D78" s="66">
        <v>0</v>
      </c>
      <c r="E78" s="66">
        <v>0</v>
      </c>
      <c r="F78" s="66">
        <v>1</v>
      </c>
      <c r="G78" s="66">
        <v>0</v>
      </c>
      <c r="H78" s="66">
        <v>0</v>
      </c>
      <c r="I78" s="66">
        <v>0</v>
      </c>
      <c r="J78" s="66">
        <v>0</v>
      </c>
      <c r="K78" s="41">
        <f t="shared" si="4"/>
        <v>1</v>
      </c>
      <c r="L78" s="41" t="s">
        <v>50</v>
      </c>
      <c r="M78" s="41">
        <f>'Project Model'!K28</f>
        <v>1</v>
      </c>
      <c r="N78" t="str">
        <f t="shared" si="5"/>
        <v>='Project Model'!K28</v>
      </c>
    </row>
    <row r="79" spans="1:14">
      <c r="A79" s="47"/>
      <c r="B79" s="24">
        <v>9</v>
      </c>
      <c r="C79" s="66">
        <v>0</v>
      </c>
      <c r="D79" s="66">
        <v>0</v>
      </c>
      <c r="E79" s="66">
        <v>1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41">
        <f t="shared" si="4"/>
        <v>1</v>
      </c>
      <c r="L79" s="41" t="s">
        <v>50</v>
      </c>
      <c r="M79" s="41">
        <f>'Project Model'!K29</f>
        <v>1</v>
      </c>
      <c r="N79" t="str">
        <f t="shared" si="5"/>
        <v>='Project Model'!K29</v>
      </c>
    </row>
    <row r="80" spans="1:14">
      <c r="A80" s="47"/>
      <c r="B80" s="24">
        <v>10</v>
      </c>
      <c r="C80" s="66">
        <v>0</v>
      </c>
      <c r="D80" s="66">
        <v>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41">
        <f t="shared" si="4"/>
        <v>0</v>
      </c>
      <c r="L80" s="41" t="s">
        <v>50</v>
      </c>
      <c r="M80" s="41">
        <f>'Project Model'!K30</f>
        <v>0</v>
      </c>
      <c r="N80" t="str">
        <f t="shared" si="5"/>
        <v>='Project Model'!K30</v>
      </c>
    </row>
    <row r="81" spans="1:14">
      <c r="A81" s="47"/>
      <c r="B81" s="24">
        <v>11</v>
      </c>
      <c r="C81" s="66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1</v>
      </c>
      <c r="K81" s="41">
        <f t="shared" si="4"/>
        <v>1</v>
      </c>
      <c r="L81" s="41" t="s">
        <v>50</v>
      </c>
      <c r="M81" s="41">
        <f>'Project Model'!K33</f>
        <v>1</v>
      </c>
      <c r="N81" t="str">
        <f t="shared" si="5"/>
        <v>='Project Model'!K33</v>
      </c>
    </row>
    <row r="82" spans="1:14">
      <c r="A82" s="47"/>
      <c r="B82" s="24">
        <v>12</v>
      </c>
      <c r="C82" s="66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41">
        <f t="shared" si="4"/>
        <v>0</v>
      </c>
      <c r="L82" s="41" t="s">
        <v>50</v>
      </c>
      <c r="M82" s="41">
        <f>'Project Model'!K34</f>
        <v>0</v>
      </c>
      <c r="N82" t="str">
        <f t="shared" si="5"/>
        <v>='Project Model'!K34</v>
      </c>
    </row>
    <row r="83" spans="2:10">
      <c r="B83" t="s">
        <v>59</v>
      </c>
      <c r="C83" s="41">
        <f t="shared" ref="C83:J83" si="6">SUM(C71:C82)</f>
        <v>1</v>
      </c>
      <c r="D83" s="41">
        <f t="shared" si="6"/>
        <v>1</v>
      </c>
      <c r="E83" s="41">
        <f t="shared" si="6"/>
        <v>1</v>
      </c>
      <c r="F83" s="41">
        <f t="shared" si="6"/>
        <v>1</v>
      </c>
      <c r="G83" s="41">
        <f t="shared" si="6"/>
        <v>1</v>
      </c>
      <c r="H83" s="41">
        <f t="shared" si="6"/>
        <v>1</v>
      </c>
      <c r="I83" s="41">
        <f t="shared" si="6"/>
        <v>1</v>
      </c>
      <c r="J83" s="41">
        <f t="shared" si="6"/>
        <v>1</v>
      </c>
    </row>
    <row r="84" spans="3:10">
      <c r="C84" s="41" t="s">
        <v>61</v>
      </c>
      <c r="D84" s="41" t="s">
        <v>61</v>
      </c>
      <c r="E84" s="41" t="s">
        <v>61</v>
      </c>
      <c r="F84" s="41" t="s">
        <v>61</v>
      </c>
      <c r="G84" s="41" t="s">
        <v>61</v>
      </c>
      <c r="H84" s="41" t="s">
        <v>61</v>
      </c>
      <c r="I84" s="41" t="s">
        <v>61</v>
      </c>
      <c r="J84" s="41" t="s">
        <v>61</v>
      </c>
    </row>
    <row r="85" spans="3:10">
      <c r="C85" s="41">
        <v>1</v>
      </c>
      <c r="D85" s="41">
        <v>1</v>
      </c>
      <c r="E85" s="41">
        <v>1</v>
      </c>
      <c r="F85" s="41">
        <v>1</v>
      </c>
      <c r="G85" s="41">
        <v>1</v>
      </c>
      <c r="H85" s="41">
        <v>1</v>
      </c>
      <c r="I85" s="41">
        <v>1</v>
      </c>
      <c r="J85" s="41">
        <v>1</v>
      </c>
    </row>
    <row r="87" spans="2:4">
      <c r="B87" s="67"/>
      <c r="C87" s="67"/>
      <c r="D87" s="68"/>
    </row>
    <row r="88" spans="2:4">
      <c r="B88" s="67"/>
      <c r="C88" s="67"/>
      <c r="D88" s="69"/>
    </row>
  </sheetData>
  <mergeCells count="11">
    <mergeCell ref="A1:L1"/>
    <mergeCell ref="M3:N3"/>
    <mergeCell ref="M9:N9"/>
    <mergeCell ref="D17:G17"/>
    <mergeCell ref="O24:Q24"/>
    <mergeCell ref="E42:G42"/>
    <mergeCell ref="B54:I54"/>
    <mergeCell ref="B69:I69"/>
    <mergeCell ref="A56:A67"/>
    <mergeCell ref="A71:A82"/>
    <mergeCell ref="M26:M28"/>
  </mergeCells>
  <conditionalFormatting sqref="N14">
    <cfRule type="cellIs" dxfId="0" priority="5" operator="lessThan">
      <formula>1</formula>
    </cfRule>
    <cfRule type="cellIs" dxfId="1" priority="6" operator="greaterThan">
      <formula>0</formula>
    </cfRule>
  </conditionalFormatting>
  <conditionalFormatting sqref="M20:N20">
    <cfRule type="cellIs" dxfId="0" priority="3" operator="lessThan">
      <formula>1</formula>
    </cfRule>
    <cfRule type="cellIs" dxfId="1" priority="4" operator="equal">
      <formula>1</formula>
    </cfRule>
  </conditionalFormatting>
  <conditionalFormatting sqref="D38:F38">
    <cfRule type="cellIs" dxfId="0" priority="9" operator="greaterThan">
      <formula>4000</formula>
    </cfRule>
    <cfRule type="cellIs" dxfId="1" priority="10" operator="lessThan">
      <formula>4000</formula>
    </cfRule>
  </conditionalFormatting>
  <conditionalFormatting sqref="G38">
    <cfRule type="cellIs" dxfId="0" priority="1" operator="greaterThan">
      <formula>10000</formula>
    </cfRule>
    <cfRule type="cellIs" dxfId="1" priority="2" operator="lessThan">
      <formula>10000</formula>
    </cfRule>
  </conditionalFormatting>
  <conditionalFormatting sqref="N10:N13">
    <cfRule type="cellIs" dxfId="1" priority="24" operator="equal">
      <formula>1</formula>
    </cfRule>
    <cfRule type="cellIs" dxfId="0" priority="23" operator="lessThan">
      <formula>1</formula>
    </cfRule>
  </conditionalFormatting>
  <conditionalFormatting sqref="H26:H29 H32:H34">
    <cfRule type="cellIs" dxfId="1" priority="33" operator="equal">
      <formula>MIN($K$19:$K$29)</formula>
    </cfRule>
    <cfRule type="cellIs" dxfId="0" priority="34" operator="equal">
      <formula>MAX($K$19:$K$29)</formula>
    </cfRule>
  </conditionalFormatting>
  <pageMargins left="0.7" right="0.7" top="0.75" bottom="0.75" header="0.3" footer="0.3"/>
  <pageSetup paperSize="1" orientation="portrait" horizontalDpi="300" verticalDpi="300"/>
  <headerFooter/>
  <ignoredErrors>
    <ignoredError sqref="J32:J34 J26:J29 J19:J23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zoomScale="80" zoomScaleNormal="80" zoomScaleSheetLayoutView="80" topLeftCell="A5" workbookViewId="0">
      <selection activeCell="L29" sqref="L29"/>
    </sheetView>
  </sheetViews>
  <sheetFormatPr defaultColWidth="9" defaultRowHeight="15.5"/>
  <sheetData>
    <row r="1" spans="1:12">
      <c r="A1" t="s">
        <v>62</v>
      </c>
      <c r="L1" t="s">
        <v>63</v>
      </c>
    </row>
    <row r="28" spans="1:12">
      <c r="A28" t="s">
        <v>64</v>
      </c>
      <c r="L28" t="s">
        <v>65</v>
      </c>
    </row>
    <row r="29" spans="12:12">
      <c r="L29" t="s">
        <v>66</v>
      </c>
    </row>
  </sheetData>
  <pageMargins left="0.7" right="0.7" top="0.75" bottom="0.75" header="0.3" footer="0.3"/>
  <pageSetup paperSize="1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5" sqref="K15"/>
    </sheetView>
  </sheetViews>
  <sheetFormatPr defaultColWidth="10.6916666666667" defaultRowHeight="15.5"/>
  <cols>
    <col min="4" max="4" width="10.3166666666667" customWidth="1"/>
  </cols>
  <sheetData/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Model</vt:lpstr>
      <vt:lpstr>Solution Solver Summary</vt:lpstr>
      <vt:lpstr>Approved Line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1</cp:revision>
  <dcterms:created xsi:type="dcterms:W3CDTF">2023-01-19T15:45:00Z</dcterms:created>
  <dcterms:modified xsi:type="dcterms:W3CDTF">2023-09-07T16:50:03Z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52BD4D9E6A7043D1B9F0983348C5708A</vt:lpwstr>
  </property>
  <property fmtid="{D5CDD505-2E9C-101B-9397-08002B2CF9AE}" pid="3" name="KSOProductBuildVer">
    <vt:lpwstr>2057-11.2.0.11417</vt:lpwstr>
  </property>
</Properties>
</file>