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kuto\Dropbox\MATLAB\CCES SSDN\INFINIT\"/>
    </mc:Choice>
  </mc:AlternateContent>
  <bookViews>
    <workbookView xWindow="0" yWindow="1332" windowWidth="15360" windowHeight="7680" tabRatio="721"/>
  </bookViews>
  <sheets>
    <sheet name="Dashboard" sheetId="9" r:id="rId1"/>
    <sheet name="City" sheetId="1" r:id="rId2"/>
    <sheet name="Desal" sheetId="2" r:id="rId3"/>
    <sheet name="Desal_Candid" sheetId="7" r:id="rId4"/>
    <sheet name="Power" sheetId="3" r:id="rId5"/>
    <sheet name="Pipeline" sheetId="6" r:id="rId6"/>
    <sheet name="Pipeline_Candid" sheetId="8" r:id="rId7"/>
    <sheet name="Powerline" sheetId="10" r:id="rId8"/>
    <sheet name="Node_List" sheetId="11" r:id="rId9"/>
  </sheets>
  <calcPr calcId="152511"/>
</workbook>
</file>

<file path=xl/calcChain.xml><?xml version="1.0" encoding="utf-8"?>
<calcChain xmlns="http://schemas.openxmlformats.org/spreadsheetml/2006/main">
  <c r="L4" i="7" l="1"/>
  <c r="L5" i="7"/>
  <c r="L6" i="7"/>
  <c r="L7" i="7"/>
  <c r="L8" i="7"/>
  <c r="L9" i="7"/>
  <c r="L10" i="7"/>
  <c r="L11" i="7"/>
  <c r="L12" i="7"/>
  <c r="L3" i="7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" i="2"/>
  <c r="O49" i="9" l="1"/>
  <c r="N49" i="9"/>
  <c r="P49" i="9" s="1"/>
  <c r="N48" i="9"/>
  <c r="P48" i="9" s="1"/>
  <c r="G49" i="9"/>
  <c r="G48" i="9"/>
  <c r="D48" i="9"/>
  <c r="F48" i="9" s="1"/>
  <c r="D49" i="9"/>
  <c r="E49" i="9" s="1"/>
  <c r="K49" i="9" s="1"/>
  <c r="F49" i="9" l="1"/>
  <c r="H48" i="9"/>
  <c r="I48" i="9" s="1"/>
  <c r="L48" i="9" s="1"/>
  <c r="H49" i="9"/>
  <c r="E48" i="9"/>
  <c r="I119" i="8"/>
  <c r="J119" i="8"/>
  <c r="I120" i="8"/>
  <c r="J120" i="8"/>
  <c r="D119" i="8"/>
  <c r="E119" i="8"/>
  <c r="D120" i="8"/>
  <c r="E120" i="8"/>
  <c r="I49" i="9" l="1"/>
  <c r="L49" i="9" s="1"/>
  <c r="K48" i="9"/>
  <c r="S48" i="9"/>
  <c r="S32" i="1"/>
  <c r="S33" i="1"/>
  <c r="S34" i="1"/>
  <c r="S35" i="1"/>
  <c r="S36" i="1"/>
  <c r="S37" i="1"/>
  <c r="S38" i="1"/>
  <c r="S39" i="1"/>
  <c r="Q48" i="9" l="1"/>
  <c r="M48" i="9"/>
  <c r="Q49" i="9"/>
  <c r="M49" i="9"/>
  <c r="S49" i="9"/>
  <c r="B26" i="9"/>
  <c r="B8" i="9"/>
  <c r="B4" i="9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3" i="1"/>
  <c r="T4" i="7"/>
  <c r="N10" i="7"/>
  <c r="T11" i="7"/>
  <c r="N4" i="7" l="1"/>
  <c r="T10" i="7"/>
  <c r="N11" i="7"/>
  <c r="M31" i="2"/>
  <c r="N29" i="2" l="1"/>
  <c r="T29" i="2"/>
  <c r="N23" i="2"/>
  <c r="T23" i="2"/>
  <c r="N15" i="2"/>
  <c r="T15" i="2"/>
  <c r="N11" i="2"/>
  <c r="T11" i="2"/>
  <c r="N3" i="2"/>
  <c r="T3" i="2"/>
  <c r="N31" i="2"/>
  <c r="N28" i="2"/>
  <c r="T28" i="2"/>
  <c r="N26" i="2"/>
  <c r="T26" i="2"/>
  <c r="N22" i="2"/>
  <c r="T22" i="2"/>
  <c r="T18" i="2"/>
  <c r="N14" i="2"/>
  <c r="T14" i="2"/>
  <c r="N10" i="2"/>
  <c r="T10" i="2"/>
  <c r="N6" i="2"/>
  <c r="T6" i="2"/>
  <c r="N34" i="2"/>
  <c r="T34" i="2"/>
  <c r="T30" i="2"/>
  <c r="N25" i="2"/>
  <c r="T25" i="2"/>
  <c r="N21" i="2"/>
  <c r="T21" i="2"/>
  <c r="N17" i="2"/>
  <c r="T17" i="2"/>
  <c r="N13" i="2"/>
  <c r="T13" i="2"/>
  <c r="N9" i="2"/>
  <c r="T9" i="2"/>
  <c r="T5" i="2"/>
  <c r="N33" i="2"/>
  <c r="T33" i="2"/>
  <c r="N24" i="2"/>
  <c r="T24" i="2"/>
  <c r="N20" i="2"/>
  <c r="T20" i="2"/>
  <c r="N16" i="2"/>
  <c r="T16" i="2"/>
  <c r="T12" i="2"/>
  <c r="N8" i="2"/>
  <c r="T8" i="2"/>
  <c r="T4" i="2"/>
  <c r="T32" i="2"/>
  <c r="N27" i="2"/>
  <c r="T27" i="2"/>
  <c r="N19" i="2"/>
  <c r="T19" i="2"/>
  <c r="N7" i="2"/>
  <c r="T7" i="2"/>
  <c r="Y10" i="7"/>
  <c r="Z10" i="7" s="1"/>
  <c r="Y11" i="7"/>
  <c r="Z11" i="7" s="1"/>
  <c r="X5" i="7"/>
  <c r="X6" i="7"/>
  <c r="X7" i="7"/>
  <c r="X8" i="7"/>
  <c r="X9" i="7"/>
  <c r="X12" i="7"/>
  <c r="X3" i="7"/>
  <c r="Z4" i="7"/>
  <c r="N5" i="7" l="1"/>
  <c r="T5" i="7"/>
  <c r="Z7" i="7"/>
  <c r="N3" i="7"/>
  <c r="T3" i="7"/>
  <c r="N12" i="7"/>
  <c r="T12" i="7"/>
  <c r="N6" i="7"/>
  <c r="T6" i="7"/>
  <c r="Z9" i="7"/>
  <c r="N8" i="7"/>
  <c r="T8" i="7"/>
  <c r="W4" i="7"/>
  <c r="W5" i="7"/>
  <c r="W6" i="7"/>
  <c r="W7" i="7"/>
  <c r="W8" i="7"/>
  <c r="W9" i="7"/>
  <c r="W10" i="7"/>
  <c r="W11" i="7"/>
  <c r="W12" i="7"/>
  <c r="W3" i="7"/>
  <c r="V4" i="7"/>
  <c r="V5" i="7"/>
  <c r="V6" i="7"/>
  <c r="V7" i="7"/>
  <c r="V8" i="7"/>
  <c r="V9" i="7"/>
  <c r="V10" i="7"/>
  <c r="V11" i="7"/>
  <c r="V12" i="7"/>
  <c r="V3" i="7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" i="2"/>
  <c r="V4" i="2"/>
  <c r="V5" i="2"/>
  <c r="V6" i="2"/>
  <c r="V7" i="2"/>
  <c r="V8" i="2"/>
  <c r="N9" i="7" l="1"/>
  <c r="T9" i="7"/>
  <c r="N7" i="7"/>
  <c r="T7" i="7"/>
  <c r="J118" i="8"/>
  <c r="I118" i="8"/>
  <c r="E118" i="8"/>
  <c r="D118" i="8"/>
  <c r="J117" i="8"/>
  <c r="I117" i="8"/>
  <c r="E117" i="8"/>
  <c r="D117" i="8"/>
  <c r="J116" i="8"/>
  <c r="I116" i="8"/>
  <c r="E116" i="8"/>
  <c r="D116" i="8"/>
  <c r="J115" i="8"/>
  <c r="I115" i="8"/>
  <c r="E115" i="8"/>
  <c r="D115" i="8"/>
  <c r="J114" i="8"/>
  <c r="I114" i="8"/>
  <c r="E114" i="8"/>
  <c r="D114" i="8"/>
  <c r="J113" i="8"/>
  <c r="I113" i="8"/>
  <c r="E113" i="8"/>
  <c r="D113" i="8"/>
  <c r="J112" i="8"/>
  <c r="I112" i="8"/>
  <c r="E112" i="8"/>
  <c r="D112" i="8"/>
  <c r="J111" i="8"/>
  <c r="I111" i="8"/>
  <c r="E111" i="8"/>
  <c r="D111" i="8"/>
  <c r="J39" i="8"/>
  <c r="I39" i="8"/>
  <c r="E39" i="8"/>
  <c r="D39" i="8"/>
  <c r="I80" i="8"/>
  <c r="J80" i="8"/>
  <c r="I68" i="8"/>
  <c r="J68" i="8"/>
  <c r="I69" i="8"/>
  <c r="J69" i="8"/>
  <c r="I70" i="8"/>
  <c r="J70" i="8"/>
  <c r="I71" i="8"/>
  <c r="J71" i="8"/>
  <c r="J21" i="8"/>
  <c r="J20" i="8"/>
  <c r="I21" i="8"/>
  <c r="I20" i="8"/>
  <c r="E80" i="8"/>
  <c r="D80" i="8"/>
  <c r="E70" i="8"/>
  <c r="D70" i="8"/>
  <c r="E69" i="8"/>
  <c r="D69" i="8"/>
  <c r="E68" i="8"/>
  <c r="D68" i="8"/>
  <c r="E71" i="8"/>
  <c r="D71" i="8"/>
  <c r="E21" i="8"/>
  <c r="E20" i="8"/>
  <c r="D21" i="8"/>
  <c r="D20" i="8"/>
  <c r="J24" i="8"/>
  <c r="I24" i="8"/>
  <c r="E24" i="8"/>
  <c r="D24" i="8"/>
  <c r="D103" i="8" l="1"/>
  <c r="E103" i="8"/>
  <c r="I103" i="8"/>
  <c r="J103" i="8"/>
  <c r="D104" i="8"/>
  <c r="E104" i="8"/>
  <c r="I104" i="8"/>
  <c r="J104" i="8"/>
  <c r="D105" i="8"/>
  <c r="E105" i="8"/>
  <c r="I105" i="8"/>
  <c r="J105" i="8"/>
  <c r="D106" i="8"/>
  <c r="E106" i="8"/>
  <c r="I106" i="8"/>
  <c r="J106" i="8"/>
  <c r="D107" i="8"/>
  <c r="E107" i="8"/>
  <c r="I107" i="8"/>
  <c r="J107" i="8"/>
  <c r="D108" i="8"/>
  <c r="E108" i="8"/>
  <c r="I108" i="8"/>
  <c r="J108" i="8"/>
  <c r="D109" i="8"/>
  <c r="E109" i="8"/>
  <c r="I109" i="8"/>
  <c r="J109" i="8"/>
  <c r="D110" i="8"/>
  <c r="E110" i="8"/>
  <c r="I110" i="8"/>
  <c r="J110" i="8"/>
  <c r="J102" i="8"/>
  <c r="I102" i="8"/>
  <c r="E102" i="8"/>
  <c r="D102" i="8"/>
  <c r="D95" i="8"/>
  <c r="E95" i="8"/>
  <c r="I95" i="8"/>
  <c r="J95" i="8"/>
  <c r="D96" i="8"/>
  <c r="E96" i="8"/>
  <c r="I96" i="8"/>
  <c r="J96" i="8"/>
  <c r="D97" i="8"/>
  <c r="E97" i="8"/>
  <c r="I97" i="8"/>
  <c r="J97" i="8"/>
  <c r="D98" i="8"/>
  <c r="E98" i="8"/>
  <c r="I98" i="8"/>
  <c r="J98" i="8"/>
  <c r="D99" i="8"/>
  <c r="E99" i="8"/>
  <c r="I99" i="8"/>
  <c r="J99" i="8"/>
  <c r="D100" i="8"/>
  <c r="E100" i="8"/>
  <c r="I100" i="8"/>
  <c r="J100" i="8"/>
  <c r="D101" i="8"/>
  <c r="E101" i="8"/>
  <c r="I101" i="8"/>
  <c r="J101" i="8"/>
  <c r="D91" i="8"/>
  <c r="E91" i="8"/>
  <c r="D92" i="8"/>
  <c r="E92" i="8"/>
  <c r="D93" i="8"/>
  <c r="E93" i="8"/>
  <c r="D94" i="8"/>
  <c r="E94" i="8"/>
  <c r="I90" i="8"/>
  <c r="J90" i="8"/>
  <c r="I91" i="8"/>
  <c r="J91" i="8"/>
  <c r="I92" i="8"/>
  <c r="J92" i="8"/>
  <c r="I93" i="8"/>
  <c r="J93" i="8"/>
  <c r="I94" i="8"/>
  <c r="J94" i="8"/>
  <c r="E90" i="8"/>
  <c r="D90" i="8"/>
  <c r="J43" i="8"/>
  <c r="I43" i="8"/>
  <c r="E43" i="8"/>
  <c r="D43" i="8"/>
  <c r="J60" i="8"/>
  <c r="I60" i="8"/>
  <c r="E60" i="8"/>
  <c r="D60" i="8"/>
  <c r="J75" i="6"/>
  <c r="I75" i="6"/>
  <c r="E75" i="6"/>
  <c r="D75" i="6"/>
  <c r="J62" i="8"/>
  <c r="I62" i="8"/>
  <c r="E62" i="8"/>
  <c r="D62" i="8"/>
  <c r="I57" i="8"/>
  <c r="J57" i="8"/>
  <c r="E57" i="8"/>
  <c r="D57" i="8"/>
  <c r="J26" i="8"/>
  <c r="I26" i="8"/>
  <c r="E26" i="8"/>
  <c r="D26" i="8"/>
  <c r="J25" i="8"/>
  <c r="I25" i="8"/>
  <c r="E25" i="8"/>
  <c r="D25" i="8"/>
  <c r="J79" i="8"/>
  <c r="J48" i="8" l="1"/>
  <c r="I48" i="8"/>
  <c r="E48" i="8"/>
  <c r="D48" i="8"/>
  <c r="D50" i="8"/>
  <c r="E50" i="8"/>
  <c r="I50" i="8"/>
  <c r="J50" i="8"/>
  <c r="D51" i="8"/>
  <c r="E51" i="8"/>
  <c r="I51" i="8"/>
  <c r="J51" i="8"/>
  <c r="D52" i="8"/>
  <c r="E52" i="8"/>
  <c r="I52" i="8"/>
  <c r="J52" i="8"/>
  <c r="D53" i="8"/>
  <c r="E53" i="8"/>
  <c r="I53" i="8"/>
  <c r="J53" i="8"/>
  <c r="D54" i="8"/>
  <c r="E54" i="8"/>
  <c r="I54" i="8"/>
  <c r="J54" i="8"/>
  <c r="D55" i="8"/>
  <c r="E55" i="8"/>
  <c r="I55" i="8"/>
  <c r="J55" i="8"/>
  <c r="D56" i="8"/>
  <c r="E56" i="8"/>
  <c r="I56" i="8"/>
  <c r="J56" i="8"/>
  <c r="D58" i="8"/>
  <c r="E58" i="8"/>
  <c r="I58" i="8"/>
  <c r="J58" i="8"/>
  <c r="D59" i="8"/>
  <c r="E59" i="8"/>
  <c r="I59" i="8"/>
  <c r="J59" i="8"/>
  <c r="D61" i="8"/>
  <c r="E61" i="8"/>
  <c r="I61" i="8"/>
  <c r="J61" i="8"/>
  <c r="D63" i="8"/>
  <c r="E63" i="8"/>
  <c r="I63" i="8"/>
  <c r="J63" i="8"/>
  <c r="D64" i="8"/>
  <c r="E64" i="8"/>
  <c r="I64" i="8"/>
  <c r="J64" i="8"/>
  <c r="D65" i="8"/>
  <c r="E65" i="8"/>
  <c r="I65" i="8"/>
  <c r="J65" i="8"/>
  <c r="D66" i="8"/>
  <c r="E66" i="8"/>
  <c r="I66" i="8"/>
  <c r="J66" i="8"/>
  <c r="D67" i="8"/>
  <c r="E67" i="8"/>
  <c r="I67" i="8"/>
  <c r="J67" i="8"/>
  <c r="D72" i="8"/>
  <c r="E72" i="8"/>
  <c r="I72" i="8"/>
  <c r="J72" i="8"/>
  <c r="D74" i="8"/>
  <c r="E74" i="8"/>
  <c r="I74" i="8"/>
  <c r="J74" i="8"/>
  <c r="D75" i="8"/>
  <c r="E75" i="8"/>
  <c r="I75" i="8"/>
  <c r="J75" i="8"/>
  <c r="D76" i="8"/>
  <c r="E76" i="8"/>
  <c r="I76" i="8"/>
  <c r="J76" i="8"/>
  <c r="D73" i="8"/>
  <c r="E73" i="8"/>
  <c r="I73" i="8"/>
  <c r="J73" i="8"/>
  <c r="D16" i="8"/>
  <c r="E16" i="8"/>
  <c r="I16" i="8"/>
  <c r="J16" i="8"/>
  <c r="D77" i="8"/>
  <c r="E77" i="8"/>
  <c r="I77" i="8"/>
  <c r="J77" i="8"/>
  <c r="D78" i="8"/>
  <c r="E78" i="8"/>
  <c r="I78" i="8"/>
  <c r="J78" i="8"/>
  <c r="D79" i="8"/>
  <c r="E79" i="8"/>
  <c r="I79" i="8"/>
  <c r="D81" i="8"/>
  <c r="E81" i="8"/>
  <c r="I81" i="8"/>
  <c r="J81" i="8"/>
  <c r="D82" i="8"/>
  <c r="E82" i="8"/>
  <c r="I82" i="8"/>
  <c r="J82" i="8"/>
  <c r="D83" i="8"/>
  <c r="E83" i="8"/>
  <c r="I83" i="8"/>
  <c r="J83" i="8"/>
  <c r="D84" i="8"/>
  <c r="E84" i="8"/>
  <c r="I84" i="8"/>
  <c r="J84" i="8"/>
  <c r="D85" i="8"/>
  <c r="E85" i="8"/>
  <c r="I85" i="8"/>
  <c r="J85" i="8"/>
  <c r="D86" i="8"/>
  <c r="E86" i="8"/>
  <c r="I86" i="8"/>
  <c r="J86" i="8"/>
  <c r="D87" i="8"/>
  <c r="E87" i="8"/>
  <c r="I87" i="8"/>
  <c r="J87" i="8"/>
  <c r="D88" i="8"/>
  <c r="E88" i="8"/>
  <c r="I88" i="8"/>
  <c r="J88" i="8"/>
  <c r="D89" i="8"/>
  <c r="E89" i="8"/>
  <c r="I89" i="8"/>
  <c r="J89" i="8"/>
  <c r="D38" i="8"/>
  <c r="E38" i="8"/>
  <c r="I38" i="8"/>
  <c r="J38" i="8"/>
  <c r="D40" i="8"/>
  <c r="E40" i="8"/>
  <c r="I40" i="8"/>
  <c r="J40" i="8"/>
  <c r="D41" i="8"/>
  <c r="E41" i="8"/>
  <c r="I41" i="8"/>
  <c r="J41" i="8"/>
  <c r="D42" i="8"/>
  <c r="E42" i="8"/>
  <c r="I42" i="8"/>
  <c r="J42" i="8"/>
  <c r="D44" i="8"/>
  <c r="E44" i="8"/>
  <c r="I44" i="8"/>
  <c r="J44" i="8"/>
  <c r="D45" i="8"/>
  <c r="E45" i="8"/>
  <c r="I45" i="8"/>
  <c r="J45" i="8"/>
  <c r="D46" i="8"/>
  <c r="E46" i="8"/>
  <c r="I46" i="8"/>
  <c r="J46" i="8"/>
  <c r="D47" i="8"/>
  <c r="E47" i="8"/>
  <c r="I47" i="8"/>
  <c r="J47" i="8"/>
  <c r="D49" i="8"/>
  <c r="E49" i="8"/>
  <c r="I49" i="8"/>
  <c r="J49" i="8"/>
  <c r="D23" i="8"/>
  <c r="E23" i="8"/>
  <c r="I23" i="8"/>
  <c r="J23" i="8"/>
  <c r="I3" i="8" l="1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7" i="8"/>
  <c r="J17" i="8"/>
  <c r="I18" i="8"/>
  <c r="J18" i="8"/>
  <c r="I19" i="8"/>
  <c r="J19" i="8"/>
  <c r="I22" i="8"/>
  <c r="J22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7" i="8"/>
  <c r="E17" i="8"/>
  <c r="D18" i="8"/>
  <c r="E18" i="8"/>
  <c r="D19" i="8"/>
  <c r="E19" i="8"/>
  <c r="D22" i="8"/>
  <c r="E22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14" i="10" l="1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167" i="6"/>
  <c r="E167" i="6"/>
  <c r="I167" i="6"/>
  <c r="J167" i="6"/>
  <c r="D160" i="6"/>
  <c r="E160" i="6"/>
  <c r="I160" i="6"/>
  <c r="J160" i="6"/>
  <c r="D161" i="6"/>
  <c r="E161" i="6"/>
  <c r="I161" i="6"/>
  <c r="J161" i="6"/>
  <c r="D162" i="6"/>
  <c r="E162" i="6"/>
  <c r="I162" i="6"/>
  <c r="J162" i="6"/>
  <c r="D163" i="6"/>
  <c r="E163" i="6"/>
  <c r="I163" i="6"/>
  <c r="J163" i="6"/>
  <c r="D164" i="6"/>
  <c r="E164" i="6"/>
  <c r="I164" i="6"/>
  <c r="J164" i="6"/>
  <c r="D165" i="6"/>
  <c r="E165" i="6"/>
  <c r="I165" i="6"/>
  <c r="J165" i="6"/>
  <c r="D166" i="6"/>
  <c r="E166" i="6"/>
  <c r="I166" i="6"/>
  <c r="J166" i="6"/>
  <c r="D155" i="6"/>
  <c r="E155" i="6"/>
  <c r="I155" i="6"/>
  <c r="J155" i="6"/>
  <c r="D156" i="6"/>
  <c r="E156" i="6"/>
  <c r="I156" i="6"/>
  <c r="J156" i="6"/>
  <c r="D157" i="6"/>
  <c r="E157" i="6"/>
  <c r="I157" i="6"/>
  <c r="J157" i="6"/>
  <c r="D158" i="6"/>
  <c r="E158" i="6"/>
  <c r="I158" i="6"/>
  <c r="J158" i="6"/>
  <c r="D159" i="6"/>
  <c r="E159" i="6"/>
  <c r="I159" i="6"/>
  <c r="J159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J145" i="6"/>
  <c r="J146" i="6"/>
  <c r="J147" i="6"/>
  <c r="J148" i="6"/>
  <c r="J149" i="6"/>
  <c r="J150" i="6"/>
  <c r="J151" i="6"/>
  <c r="J152" i="6"/>
  <c r="J153" i="6"/>
  <c r="I145" i="6"/>
  <c r="I146" i="6"/>
  <c r="I147" i="6"/>
  <c r="I148" i="6"/>
  <c r="I149" i="6"/>
  <c r="I150" i="6"/>
  <c r="I151" i="6"/>
  <c r="I152" i="6"/>
  <c r="I153" i="6"/>
  <c r="I128" i="6"/>
  <c r="J128" i="6"/>
  <c r="I129" i="6"/>
  <c r="J129" i="6"/>
  <c r="D128" i="6"/>
  <c r="E128" i="6"/>
  <c r="D129" i="6"/>
  <c r="E129" i="6"/>
  <c r="I131" i="6"/>
  <c r="J131" i="6"/>
  <c r="D133" i="6"/>
  <c r="E133" i="6"/>
  <c r="I133" i="6"/>
  <c r="J133" i="6"/>
  <c r="D134" i="6"/>
  <c r="E134" i="6"/>
  <c r="I134" i="6"/>
  <c r="J134" i="6"/>
  <c r="D135" i="6"/>
  <c r="E135" i="6"/>
  <c r="I135" i="6"/>
  <c r="J135" i="6"/>
  <c r="D136" i="6"/>
  <c r="E136" i="6"/>
  <c r="I136" i="6"/>
  <c r="J136" i="6"/>
  <c r="D137" i="6"/>
  <c r="E137" i="6"/>
  <c r="I137" i="6"/>
  <c r="J137" i="6"/>
  <c r="D138" i="6"/>
  <c r="E138" i="6"/>
  <c r="I138" i="6"/>
  <c r="J138" i="6"/>
  <c r="D139" i="6"/>
  <c r="E139" i="6"/>
  <c r="I139" i="6"/>
  <c r="J139" i="6"/>
  <c r="D140" i="6"/>
  <c r="E140" i="6"/>
  <c r="I140" i="6"/>
  <c r="J140" i="6"/>
  <c r="D141" i="6"/>
  <c r="E141" i="6"/>
  <c r="I141" i="6"/>
  <c r="J141" i="6"/>
  <c r="D142" i="6"/>
  <c r="E142" i="6"/>
  <c r="I142" i="6"/>
  <c r="J142" i="6"/>
  <c r="D143" i="6"/>
  <c r="E143" i="6"/>
  <c r="I143" i="6"/>
  <c r="J143" i="6"/>
  <c r="D144" i="6"/>
  <c r="E144" i="6"/>
  <c r="I144" i="6"/>
  <c r="J144" i="6"/>
  <c r="D154" i="6"/>
  <c r="E154" i="6"/>
  <c r="I154" i="6"/>
  <c r="J154" i="6"/>
  <c r="I124" i="6"/>
  <c r="J124" i="6"/>
  <c r="I125" i="6"/>
  <c r="J125" i="6"/>
  <c r="I126" i="6"/>
  <c r="J126" i="6"/>
  <c r="I127" i="6"/>
  <c r="J127" i="6"/>
  <c r="I130" i="6"/>
  <c r="J130" i="6"/>
  <c r="I132" i="6"/>
  <c r="J132" i="6"/>
  <c r="D124" i="6"/>
  <c r="E124" i="6"/>
  <c r="D125" i="6"/>
  <c r="E125" i="6"/>
  <c r="D126" i="6"/>
  <c r="E126" i="6"/>
  <c r="D127" i="6"/>
  <c r="E127" i="6"/>
  <c r="D130" i="6"/>
  <c r="E130" i="6"/>
  <c r="D131" i="6"/>
  <c r="E131" i="6"/>
  <c r="D132" i="6"/>
  <c r="E132" i="6"/>
  <c r="I123" i="6"/>
  <c r="J123" i="6"/>
  <c r="D123" i="6"/>
  <c r="E123" i="6"/>
  <c r="D113" i="6"/>
  <c r="E113" i="6"/>
  <c r="I113" i="6"/>
  <c r="J113" i="6"/>
  <c r="D116" i="6"/>
  <c r="E116" i="6"/>
  <c r="I116" i="6"/>
  <c r="J116" i="6"/>
  <c r="D117" i="6"/>
  <c r="E117" i="6"/>
  <c r="I117" i="6"/>
  <c r="J117" i="6"/>
  <c r="D118" i="6"/>
  <c r="E118" i="6"/>
  <c r="I118" i="6"/>
  <c r="J118" i="6"/>
  <c r="D119" i="6"/>
  <c r="E119" i="6"/>
  <c r="I119" i="6"/>
  <c r="J119" i="6"/>
  <c r="D120" i="6"/>
  <c r="E120" i="6"/>
  <c r="I120" i="6"/>
  <c r="J120" i="6"/>
  <c r="D121" i="6"/>
  <c r="E121" i="6"/>
  <c r="I121" i="6"/>
  <c r="J121" i="6"/>
  <c r="D122" i="6"/>
  <c r="E122" i="6"/>
  <c r="I122" i="6"/>
  <c r="J122" i="6"/>
  <c r="D107" i="6"/>
  <c r="E107" i="6"/>
  <c r="I107" i="6"/>
  <c r="J107" i="6"/>
  <c r="D108" i="6"/>
  <c r="E108" i="6"/>
  <c r="I108" i="6"/>
  <c r="J108" i="6"/>
  <c r="D109" i="6"/>
  <c r="E109" i="6"/>
  <c r="I109" i="6"/>
  <c r="J109" i="6"/>
  <c r="D110" i="6"/>
  <c r="E110" i="6"/>
  <c r="I110" i="6"/>
  <c r="J110" i="6"/>
  <c r="D111" i="6"/>
  <c r="E111" i="6"/>
  <c r="I111" i="6"/>
  <c r="J111" i="6"/>
  <c r="D99" i="6"/>
  <c r="E99" i="6"/>
  <c r="I99" i="6"/>
  <c r="J99" i="6"/>
  <c r="D100" i="6"/>
  <c r="E100" i="6"/>
  <c r="I100" i="6"/>
  <c r="J100" i="6"/>
  <c r="D101" i="6"/>
  <c r="E101" i="6"/>
  <c r="I101" i="6"/>
  <c r="J101" i="6"/>
  <c r="D102" i="6"/>
  <c r="E102" i="6"/>
  <c r="I102" i="6"/>
  <c r="J102" i="6"/>
  <c r="D103" i="6"/>
  <c r="E103" i="6"/>
  <c r="I103" i="6"/>
  <c r="J103" i="6"/>
  <c r="D104" i="6"/>
  <c r="E104" i="6"/>
  <c r="I104" i="6"/>
  <c r="J104" i="6"/>
  <c r="D105" i="6"/>
  <c r="E105" i="6"/>
  <c r="I105" i="6"/>
  <c r="J105" i="6"/>
  <c r="D106" i="6"/>
  <c r="E106" i="6"/>
  <c r="I106" i="6"/>
  <c r="J106" i="6"/>
  <c r="D112" i="6"/>
  <c r="E112" i="6"/>
  <c r="I112" i="6"/>
  <c r="J112" i="6"/>
  <c r="D114" i="6"/>
  <c r="E114" i="6"/>
  <c r="I114" i="6"/>
  <c r="J114" i="6"/>
  <c r="D115" i="6"/>
  <c r="E115" i="6"/>
  <c r="I115" i="6"/>
  <c r="J115" i="6"/>
  <c r="D85" i="6"/>
  <c r="E85" i="6"/>
  <c r="I85" i="6"/>
  <c r="J85" i="6"/>
  <c r="D86" i="6"/>
  <c r="E86" i="6"/>
  <c r="I86" i="6"/>
  <c r="J86" i="6"/>
  <c r="D87" i="6"/>
  <c r="E87" i="6"/>
  <c r="I87" i="6"/>
  <c r="J87" i="6"/>
  <c r="D88" i="6"/>
  <c r="E88" i="6"/>
  <c r="I88" i="6"/>
  <c r="J88" i="6"/>
  <c r="D89" i="6"/>
  <c r="E89" i="6"/>
  <c r="I89" i="6"/>
  <c r="J89" i="6"/>
  <c r="D90" i="6"/>
  <c r="E90" i="6"/>
  <c r="I90" i="6"/>
  <c r="J90" i="6"/>
  <c r="D91" i="6"/>
  <c r="E91" i="6"/>
  <c r="I91" i="6"/>
  <c r="J91" i="6"/>
  <c r="D92" i="6"/>
  <c r="E92" i="6"/>
  <c r="I92" i="6"/>
  <c r="J92" i="6"/>
  <c r="D93" i="6"/>
  <c r="E93" i="6"/>
  <c r="I93" i="6"/>
  <c r="J93" i="6"/>
  <c r="D94" i="6"/>
  <c r="E94" i="6"/>
  <c r="I94" i="6"/>
  <c r="J94" i="6"/>
  <c r="D95" i="6"/>
  <c r="E95" i="6"/>
  <c r="I95" i="6"/>
  <c r="J95" i="6"/>
  <c r="D96" i="6"/>
  <c r="E96" i="6"/>
  <c r="I96" i="6"/>
  <c r="J96" i="6"/>
  <c r="D97" i="6"/>
  <c r="E97" i="6"/>
  <c r="I97" i="6"/>
  <c r="J97" i="6"/>
  <c r="D98" i="6"/>
  <c r="E98" i="6"/>
  <c r="I98" i="6"/>
  <c r="J98" i="6"/>
  <c r="D73" i="6"/>
  <c r="E73" i="6"/>
  <c r="I73" i="6"/>
  <c r="J73" i="6"/>
  <c r="D74" i="6"/>
  <c r="E74" i="6"/>
  <c r="I74" i="6"/>
  <c r="J74" i="6"/>
  <c r="D76" i="6"/>
  <c r="E76" i="6"/>
  <c r="I76" i="6"/>
  <c r="J76" i="6"/>
  <c r="D77" i="6"/>
  <c r="E77" i="6"/>
  <c r="I77" i="6"/>
  <c r="J77" i="6"/>
  <c r="D78" i="6"/>
  <c r="E78" i="6"/>
  <c r="I78" i="6"/>
  <c r="J78" i="6"/>
  <c r="D79" i="6"/>
  <c r="E79" i="6"/>
  <c r="I79" i="6"/>
  <c r="J79" i="6"/>
  <c r="D80" i="6"/>
  <c r="E80" i="6"/>
  <c r="I80" i="6"/>
  <c r="J80" i="6"/>
  <c r="D81" i="6"/>
  <c r="E81" i="6"/>
  <c r="I81" i="6"/>
  <c r="J81" i="6"/>
  <c r="D82" i="6"/>
  <c r="E82" i="6"/>
  <c r="I82" i="6"/>
  <c r="J82" i="6"/>
  <c r="D83" i="6"/>
  <c r="E83" i="6"/>
  <c r="I83" i="6"/>
  <c r="J83" i="6"/>
  <c r="D84" i="6"/>
  <c r="E84" i="6"/>
  <c r="I84" i="6"/>
  <c r="J84" i="6"/>
  <c r="D69" i="6"/>
  <c r="E69" i="6"/>
  <c r="I69" i="6"/>
  <c r="J69" i="6"/>
  <c r="D70" i="6"/>
  <c r="E70" i="6"/>
  <c r="I70" i="6"/>
  <c r="J70" i="6"/>
  <c r="D71" i="6"/>
  <c r="E71" i="6"/>
  <c r="I71" i="6"/>
  <c r="J71" i="6"/>
  <c r="D72" i="6"/>
  <c r="E72" i="6"/>
  <c r="I72" i="6"/>
  <c r="J72" i="6"/>
  <c r="D55" i="6"/>
  <c r="E55" i="6"/>
  <c r="I55" i="6"/>
  <c r="J55" i="6"/>
  <c r="D56" i="6"/>
  <c r="E56" i="6"/>
  <c r="I56" i="6"/>
  <c r="J56" i="6"/>
  <c r="D57" i="6"/>
  <c r="E57" i="6"/>
  <c r="I57" i="6"/>
  <c r="J57" i="6"/>
  <c r="D58" i="6"/>
  <c r="E58" i="6"/>
  <c r="I58" i="6"/>
  <c r="J58" i="6"/>
  <c r="D59" i="6"/>
  <c r="E59" i="6"/>
  <c r="I59" i="6"/>
  <c r="J59" i="6"/>
  <c r="D60" i="6"/>
  <c r="E60" i="6"/>
  <c r="I60" i="6"/>
  <c r="J60" i="6"/>
  <c r="D61" i="6"/>
  <c r="E61" i="6"/>
  <c r="I61" i="6"/>
  <c r="J61" i="6"/>
  <c r="D62" i="6"/>
  <c r="E62" i="6"/>
  <c r="I62" i="6"/>
  <c r="J62" i="6"/>
  <c r="D63" i="6"/>
  <c r="E63" i="6"/>
  <c r="I63" i="6"/>
  <c r="J63" i="6"/>
  <c r="D64" i="6"/>
  <c r="E64" i="6"/>
  <c r="I64" i="6"/>
  <c r="J64" i="6"/>
  <c r="D65" i="6"/>
  <c r="E65" i="6"/>
  <c r="I65" i="6"/>
  <c r="J65" i="6"/>
  <c r="D66" i="6"/>
  <c r="E66" i="6"/>
  <c r="I66" i="6"/>
  <c r="J66" i="6"/>
  <c r="D67" i="6"/>
  <c r="E67" i="6"/>
  <c r="I67" i="6"/>
  <c r="J67" i="6"/>
  <c r="D68" i="6"/>
  <c r="E68" i="6"/>
  <c r="I68" i="6"/>
  <c r="J68" i="6"/>
  <c r="D47" i="6"/>
  <c r="E47" i="6"/>
  <c r="I47" i="6"/>
  <c r="J47" i="6"/>
  <c r="D48" i="6"/>
  <c r="E48" i="6"/>
  <c r="I48" i="6"/>
  <c r="J48" i="6"/>
  <c r="D49" i="6"/>
  <c r="E49" i="6"/>
  <c r="I49" i="6"/>
  <c r="J49" i="6"/>
  <c r="D50" i="6"/>
  <c r="E50" i="6"/>
  <c r="I50" i="6"/>
  <c r="J50" i="6"/>
  <c r="D51" i="6"/>
  <c r="E51" i="6"/>
  <c r="I51" i="6"/>
  <c r="J51" i="6"/>
  <c r="D52" i="6"/>
  <c r="E52" i="6"/>
  <c r="I52" i="6"/>
  <c r="J52" i="6"/>
  <c r="D53" i="6"/>
  <c r="E53" i="6"/>
  <c r="I53" i="6"/>
  <c r="J53" i="6"/>
  <c r="D54" i="6"/>
  <c r="E54" i="6"/>
  <c r="I54" i="6"/>
  <c r="J54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D46" i="6"/>
  <c r="E46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25" i="6"/>
  <c r="E25" i="6"/>
  <c r="I25" i="6"/>
  <c r="J25" i="6"/>
  <c r="D26" i="6"/>
  <c r="E26" i="6"/>
  <c r="I26" i="6"/>
  <c r="J26" i="6"/>
  <c r="D27" i="6"/>
  <c r="E27" i="6"/>
  <c r="I27" i="6"/>
  <c r="J27" i="6"/>
  <c r="D28" i="6"/>
  <c r="E28" i="6"/>
  <c r="I28" i="6"/>
  <c r="J28" i="6"/>
  <c r="D29" i="6"/>
  <c r="E29" i="6"/>
  <c r="I29" i="6"/>
  <c r="J29" i="6"/>
  <c r="D30" i="6"/>
  <c r="E30" i="6"/>
  <c r="I30" i="6"/>
  <c r="J30" i="6"/>
  <c r="D31" i="6"/>
  <c r="E31" i="6"/>
  <c r="I31" i="6"/>
  <c r="J31" i="6"/>
  <c r="D32" i="6"/>
  <c r="E32" i="6"/>
  <c r="I32" i="6"/>
  <c r="J32" i="6"/>
  <c r="D33" i="6"/>
  <c r="E33" i="6"/>
  <c r="I33" i="6"/>
  <c r="J33" i="6"/>
  <c r="I13" i="6"/>
  <c r="J13" i="6"/>
  <c r="D13" i="6"/>
  <c r="E13" i="6"/>
  <c r="I4" i="6"/>
  <c r="J4" i="6"/>
  <c r="I5" i="6"/>
  <c r="J5" i="6"/>
  <c r="E5" i="6"/>
  <c r="D5" i="6"/>
  <c r="E4" i="6"/>
  <c r="D4" i="6"/>
  <c r="E5" i="10"/>
  <c r="D5" i="10"/>
  <c r="D4" i="10"/>
  <c r="E4" i="10"/>
  <c r="D3" i="10"/>
  <c r="E3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8" i="6"/>
  <c r="E8" i="6"/>
  <c r="I8" i="6"/>
  <c r="J8" i="6"/>
  <c r="D9" i="6"/>
  <c r="E9" i="6"/>
  <c r="I9" i="6"/>
  <c r="J9" i="6"/>
  <c r="D10" i="6"/>
  <c r="E10" i="6"/>
  <c r="I10" i="6"/>
  <c r="J10" i="6"/>
  <c r="D11" i="6"/>
  <c r="E11" i="6"/>
  <c r="I11" i="6"/>
  <c r="J11" i="6"/>
  <c r="D12" i="6"/>
  <c r="E12" i="6"/>
  <c r="I12" i="6"/>
  <c r="J12" i="6"/>
  <c r="D14" i="6"/>
  <c r="E14" i="6"/>
  <c r="I14" i="6"/>
  <c r="J14" i="6"/>
  <c r="D15" i="6"/>
  <c r="E15" i="6"/>
  <c r="I15" i="6"/>
  <c r="J15" i="6"/>
  <c r="D16" i="6"/>
  <c r="E16" i="6"/>
  <c r="I16" i="6"/>
  <c r="J16" i="6"/>
  <c r="D17" i="6"/>
  <c r="E17" i="6"/>
  <c r="I17" i="6"/>
  <c r="J17" i="6"/>
  <c r="D18" i="6"/>
  <c r="E18" i="6"/>
  <c r="I18" i="6"/>
  <c r="J18" i="6"/>
  <c r="D19" i="6"/>
  <c r="E19" i="6"/>
  <c r="I19" i="6"/>
  <c r="J19" i="6"/>
  <c r="D20" i="6"/>
  <c r="E20" i="6"/>
  <c r="I20" i="6"/>
  <c r="J20" i="6"/>
  <c r="D21" i="6"/>
  <c r="E21" i="6"/>
  <c r="I21" i="6"/>
  <c r="J21" i="6"/>
  <c r="D22" i="6"/>
  <c r="E22" i="6"/>
  <c r="I22" i="6"/>
  <c r="J22" i="6"/>
  <c r="D3" i="6"/>
  <c r="E3" i="6"/>
  <c r="D6" i="6"/>
  <c r="E6" i="6"/>
  <c r="D7" i="6"/>
  <c r="E7" i="6"/>
  <c r="D23" i="6"/>
  <c r="E23" i="6"/>
  <c r="D24" i="6"/>
  <c r="E24" i="6"/>
  <c r="I3" i="6"/>
  <c r="J3" i="6"/>
  <c r="I6" i="6"/>
  <c r="J6" i="6"/>
  <c r="I7" i="6"/>
  <c r="J7" i="6"/>
  <c r="I23" i="6"/>
  <c r="J23" i="6"/>
  <c r="I24" i="6"/>
  <c r="J24" i="6"/>
  <c r="M18" i="2" l="1"/>
  <c r="N18" i="2" s="1"/>
  <c r="O3" i="2"/>
  <c r="Q3" i="2"/>
  <c r="R3" i="2"/>
  <c r="O18" i="2"/>
  <c r="Q18" i="2"/>
  <c r="R18" i="2"/>
  <c r="O24" i="2"/>
  <c r="R24" i="2"/>
  <c r="M12" i="2"/>
  <c r="N12" i="2" s="1"/>
  <c r="O19" i="2"/>
  <c r="Q19" i="2"/>
  <c r="R19" i="2"/>
  <c r="O25" i="2"/>
  <c r="Q25" i="2"/>
  <c r="R25" i="2"/>
  <c r="O3" i="7"/>
  <c r="Q3" i="7"/>
  <c r="R3" i="7"/>
  <c r="O12" i="7"/>
  <c r="Q12" i="7"/>
  <c r="R12" i="7"/>
  <c r="O6" i="7"/>
  <c r="Q6" i="7"/>
  <c r="R6" i="7"/>
  <c r="O7" i="7"/>
  <c r="Q7" i="7"/>
  <c r="R7" i="7"/>
  <c r="O5" i="7"/>
  <c r="Q5" i="7"/>
  <c r="R5" i="7"/>
  <c r="O9" i="7"/>
  <c r="Q9" i="7"/>
  <c r="R9" i="7"/>
  <c r="O4" i="7"/>
  <c r="Q4" i="7"/>
  <c r="R4" i="7"/>
  <c r="Q8" i="7"/>
  <c r="O8" i="7"/>
  <c r="R8" i="7"/>
  <c r="R11" i="7"/>
  <c r="R10" i="7"/>
  <c r="O11" i="7"/>
  <c r="O10" i="7"/>
  <c r="O13" i="2" l="1"/>
  <c r="Q13" i="2"/>
  <c r="R13" i="2"/>
  <c r="O27" i="2"/>
  <c r="Q27" i="2"/>
  <c r="R27" i="2"/>
  <c r="O32" i="2"/>
  <c r="Q32" i="2"/>
  <c r="R32" i="2"/>
  <c r="M32" i="2"/>
  <c r="N32" i="2" s="1"/>
  <c r="O31" i="2"/>
  <c r="Q31" i="2"/>
  <c r="R31" i="2"/>
  <c r="S31" i="2"/>
  <c r="T31" i="2" s="1"/>
  <c r="O30" i="2"/>
  <c r="Q30" i="2"/>
  <c r="R30" i="2"/>
  <c r="M30" i="2"/>
  <c r="N30" i="2" s="1"/>
  <c r="O7" i="2"/>
  <c r="Q7" i="2"/>
  <c r="R7" i="2"/>
  <c r="O6" i="2"/>
  <c r="Q6" i="2"/>
  <c r="R6" i="2"/>
  <c r="M4" i="2"/>
  <c r="N4" i="2" s="1"/>
  <c r="O26" i="2"/>
  <c r="Q26" i="2"/>
  <c r="R26" i="2"/>
  <c r="O12" i="2"/>
  <c r="Q12" i="2"/>
  <c r="R12" i="2"/>
  <c r="O11" i="2"/>
  <c r="Q11" i="2"/>
  <c r="R11" i="2"/>
  <c r="O10" i="2"/>
  <c r="Q10" i="2"/>
  <c r="R10" i="2"/>
  <c r="O8" i="2"/>
  <c r="Q8" i="2"/>
  <c r="R8" i="2"/>
  <c r="O9" i="2"/>
  <c r="Q9" i="2"/>
  <c r="R9" i="2"/>
  <c r="O28" i="2"/>
  <c r="Q28" i="2"/>
  <c r="R28" i="2"/>
  <c r="O29" i="2"/>
  <c r="Q29" i="2"/>
  <c r="R29" i="2"/>
  <c r="O14" i="2"/>
  <c r="Q14" i="2"/>
  <c r="R14" i="2"/>
  <c r="O15" i="2"/>
  <c r="Q15" i="2"/>
  <c r="R15" i="2"/>
  <c r="O16" i="2"/>
  <c r="Q16" i="2"/>
  <c r="R16" i="2"/>
  <c r="O17" i="2"/>
  <c r="Q17" i="2"/>
  <c r="R17" i="2"/>
  <c r="O33" i="2" l="1"/>
  <c r="Q33" i="2"/>
  <c r="R33" i="2"/>
  <c r="O34" i="2"/>
  <c r="Q34" i="2"/>
  <c r="R34" i="2"/>
  <c r="O5" i="2"/>
  <c r="Q5" i="2"/>
  <c r="R5" i="2"/>
  <c r="M5" i="2"/>
  <c r="N5" i="2" s="1"/>
  <c r="O4" i="2"/>
  <c r="Q4" i="2"/>
  <c r="R4" i="2"/>
  <c r="O21" i="2"/>
  <c r="Q21" i="2"/>
  <c r="R21" i="2"/>
  <c r="O23" i="2"/>
  <c r="Q23" i="2"/>
  <c r="R23" i="2"/>
  <c r="O22" i="2"/>
  <c r="Q22" i="2"/>
  <c r="R22" i="2"/>
  <c r="O20" i="2"/>
  <c r="Q20" i="2"/>
  <c r="R20" i="2"/>
  <c r="L4" i="3"/>
  <c r="K52" i="3"/>
  <c r="L52" i="3"/>
  <c r="K55" i="3"/>
  <c r="L55" i="3"/>
  <c r="K54" i="3"/>
  <c r="L54" i="3"/>
  <c r="K53" i="3"/>
  <c r="L53" i="3"/>
  <c r="K57" i="3"/>
  <c r="L57" i="3"/>
  <c r="K56" i="3"/>
  <c r="L56" i="3"/>
  <c r="K58" i="3"/>
  <c r="L58" i="3"/>
  <c r="K59" i="3"/>
  <c r="L59" i="3"/>
  <c r="I64" i="3"/>
  <c r="K62" i="3"/>
  <c r="L62" i="3"/>
  <c r="K30" i="3"/>
  <c r="L30" i="3"/>
  <c r="K49" i="3"/>
  <c r="L49" i="3"/>
  <c r="K50" i="3"/>
  <c r="L50" i="3"/>
  <c r="K47" i="3"/>
  <c r="L47" i="3"/>
  <c r="K48" i="3"/>
  <c r="L48" i="3"/>
  <c r="K45" i="3"/>
  <c r="L45" i="3"/>
  <c r="K46" i="3"/>
  <c r="L46" i="3"/>
  <c r="K32" i="3"/>
  <c r="L32" i="3"/>
  <c r="K33" i="3"/>
  <c r="L33" i="3"/>
  <c r="K34" i="3"/>
  <c r="L34" i="3"/>
  <c r="K36" i="3"/>
  <c r="L36" i="3"/>
  <c r="K37" i="3"/>
  <c r="L37" i="3"/>
  <c r="K38" i="3"/>
  <c r="L38" i="3"/>
  <c r="K31" i="3"/>
  <c r="L31" i="3"/>
  <c r="K23" i="3"/>
  <c r="L23" i="3"/>
  <c r="K18" i="3"/>
  <c r="L18" i="3"/>
  <c r="K14" i="3"/>
  <c r="L14" i="3"/>
  <c r="K15" i="3"/>
  <c r="L15" i="3"/>
  <c r="K13" i="3"/>
  <c r="L13" i="3"/>
  <c r="K9" i="3" l="1"/>
  <c r="L9" i="3"/>
  <c r="K10" i="3"/>
  <c r="L10" i="3"/>
  <c r="K11" i="3"/>
  <c r="L11" i="3"/>
  <c r="N6" i="1" l="1"/>
  <c r="P6" i="1"/>
  <c r="V6" i="1"/>
  <c r="X6" i="1"/>
  <c r="Z6" i="1"/>
  <c r="N5" i="1"/>
  <c r="P5" i="1"/>
  <c r="V5" i="1"/>
  <c r="X5" i="1"/>
  <c r="Z5" i="1"/>
  <c r="N7" i="1"/>
  <c r="P7" i="1"/>
  <c r="V7" i="1"/>
  <c r="X7" i="1"/>
  <c r="Z7" i="1"/>
  <c r="N8" i="1"/>
  <c r="P8" i="1"/>
  <c r="V8" i="1"/>
  <c r="X8" i="1"/>
  <c r="Z8" i="1"/>
  <c r="N3" i="1"/>
  <c r="P3" i="1"/>
  <c r="V3" i="1"/>
  <c r="X3" i="1"/>
  <c r="Z3" i="1"/>
  <c r="N9" i="1"/>
  <c r="P9" i="1"/>
  <c r="V9" i="1"/>
  <c r="X9" i="1"/>
  <c r="Z9" i="1"/>
  <c r="N10" i="1"/>
  <c r="P10" i="1"/>
  <c r="V10" i="1"/>
  <c r="X10" i="1"/>
  <c r="Z10" i="1"/>
  <c r="N11" i="1"/>
  <c r="P11" i="1"/>
  <c r="V11" i="1"/>
  <c r="X11" i="1"/>
  <c r="Z11" i="1"/>
  <c r="N12" i="1"/>
  <c r="P12" i="1"/>
  <c r="V12" i="1"/>
  <c r="X12" i="1"/>
  <c r="Z12" i="1"/>
  <c r="N13" i="1"/>
  <c r="P13" i="1"/>
  <c r="V13" i="1"/>
  <c r="X13" i="1"/>
  <c r="Z13" i="1"/>
  <c r="N14" i="1"/>
  <c r="P14" i="1"/>
  <c r="V14" i="1"/>
  <c r="X14" i="1"/>
  <c r="Z14" i="1"/>
  <c r="N15" i="1"/>
  <c r="P15" i="1"/>
  <c r="V15" i="1"/>
  <c r="X15" i="1"/>
  <c r="Z15" i="1"/>
  <c r="N16" i="1"/>
  <c r="P16" i="1"/>
  <c r="V16" i="1"/>
  <c r="X16" i="1"/>
  <c r="Z16" i="1"/>
  <c r="N17" i="1"/>
  <c r="P17" i="1"/>
  <c r="V17" i="1"/>
  <c r="X17" i="1"/>
  <c r="Z17" i="1"/>
  <c r="N18" i="1"/>
  <c r="P18" i="1"/>
  <c r="V18" i="1"/>
  <c r="X18" i="1"/>
  <c r="Z18" i="1"/>
  <c r="N19" i="1"/>
  <c r="P19" i="1"/>
  <c r="V19" i="1"/>
  <c r="X19" i="1"/>
  <c r="Z19" i="1"/>
  <c r="N20" i="1"/>
  <c r="P20" i="1"/>
  <c r="V20" i="1"/>
  <c r="X20" i="1"/>
  <c r="Z20" i="1"/>
  <c r="N21" i="1"/>
  <c r="P21" i="1"/>
  <c r="V21" i="1"/>
  <c r="X21" i="1"/>
  <c r="Z21" i="1"/>
  <c r="N22" i="1"/>
  <c r="P22" i="1"/>
  <c r="V22" i="1"/>
  <c r="X22" i="1"/>
  <c r="Z22" i="1"/>
  <c r="N23" i="1"/>
  <c r="P23" i="1"/>
  <c r="V23" i="1"/>
  <c r="X23" i="1"/>
  <c r="Z23" i="1"/>
  <c r="N24" i="1"/>
  <c r="P24" i="1"/>
  <c r="V24" i="1"/>
  <c r="X24" i="1"/>
  <c r="Z24" i="1"/>
  <c r="N25" i="1"/>
  <c r="P25" i="1"/>
  <c r="V25" i="1"/>
  <c r="X25" i="1"/>
  <c r="Z25" i="1"/>
  <c r="N26" i="1"/>
  <c r="P26" i="1"/>
  <c r="V26" i="1"/>
  <c r="X26" i="1"/>
  <c r="Z26" i="1"/>
  <c r="N27" i="1"/>
  <c r="P27" i="1"/>
  <c r="V27" i="1"/>
  <c r="X27" i="1"/>
  <c r="Z27" i="1"/>
  <c r="N28" i="1"/>
  <c r="P28" i="1"/>
  <c r="V28" i="1"/>
  <c r="X28" i="1"/>
  <c r="Z28" i="1"/>
  <c r="N29" i="1"/>
  <c r="P29" i="1"/>
  <c r="V29" i="1"/>
  <c r="X29" i="1"/>
  <c r="Z29" i="1"/>
  <c r="N30" i="1"/>
  <c r="P30" i="1"/>
  <c r="V30" i="1"/>
  <c r="X30" i="1"/>
  <c r="Z30" i="1"/>
  <c r="N31" i="1"/>
  <c r="P31" i="1"/>
  <c r="V31" i="1"/>
  <c r="X31" i="1"/>
  <c r="Z31" i="1"/>
  <c r="N32" i="1"/>
  <c r="P32" i="1"/>
  <c r="V32" i="1"/>
  <c r="X32" i="1"/>
  <c r="Z32" i="1"/>
  <c r="N33" i="1"/>
  <c r="P33" i="1"/>
  <c r="V33" i="1"/>
  <c r="X33" i="1"/>
  <c r="Z33" i="1"/>
  <c r="N34" i="1"/>
  <c r="P34" i="1"/>
  <c r="V34" i="1"/>
  <c r="X34" i="1"/>
  <c r="Z34" i="1"/>
  <c r="N35" i="1"/>
  <c r="P35" i="1"/>
  <c r="V35" i="1"/>
  <c r="X35" i="1"/>
  <c r="Z35" i="1"/>
  <c r="N36" i="1"/>
  <c r="P36" i="1"/>
  <c r="V36" i="1"/>
  <c r="X36" i="1"/>
  <c r="Z36" i="1"/>
  <c r="N37" i="1"/>
  <c r="P37" i="1"/>
  <c r="V37" i="1"/>
  <c r="X37" i="1"/>
  <c r="Z37" i="1"/>
  <c r="N38" i="1"/>
  <c r="P38" i="1"/>
  <c r="V38" i="1"/>
  <c r="X38" i="1"/>
  <c r="Z38" i="1"/>
  <c r="N39" i="1"/>
  <c r="P39" i="1"/>
  <c r="V39" i="1"/>
  <c r="X39" i="1"/>
  <c r="Z39" i="1"/>
  <c r="N40" i="1"/>
  <c r="P40" i="1"/>
  <c r="V40" i="1"/>
  <c r="X40" i="1"/>
  <c r="Z40" i="1"/>
  <c r="N41" i="1"/>
  <c r="P41" i="1"/>
  <c r="V41" i="1"/>
  <c r="X41" i="1"/>
  <c r="Z41" i="1"/>
  <c r="N42" i="1"/>
  <c r="P42" i="1"/>
  <c r="V42" i="1"/>
  <c r="X42" i="1"/>
  <c r="Z42" i="1"/>
  <c r="N43" i="1"/>
  <c r="P43" i="1"/>
  <c r="V43" i="1"/>
  <c r="X43" i="1"/>
  <c r="Z43" i="1"/>
  <c r="N44" i="1"/>
  <c r="P44" i="1"/>
  <c r="V44" i="1"/>
  <c r="X44" i="1"/>
  <c r="Z44" i="1"/>
  <c r="N45" i="1"/>
  <c r="P45" i="1"/>
  <c r="V45" i="1"/>
  <c r="X45" i="1"/>
  <c r="Z45" i="1"/>
  <c r="N46" i="1"/>
  <c r="P46" i="1"/>
  <c r="V46" i="1"/>
  <c r="X46" i="1"/>
  <c r="Z46" i="1"/>
  <c r="N47" i="1"/>
  <c r="P47" i="1"/>
  <c r="V47" i="1"/>
  <c r="X47" i="1"/>
  <c r="Z47" i="1"/>
  <c r="N48" i="1"/>
  <c r="P48" i="1"/>
  <c r="V48" i="1"/>
  <c r="X48" i="1"/>
  <c r="Z48" i="1"/>
  <c r="N49" i="1"/>
  <c r="P49" i="1"/>
  <c r="S49" i="1"/>
  <c r="V49" i="1"/>
  <c r="X49" i="1"/>
  <c r="Z49" i="1"/>
  <c r="N50" i="1"/>
  <c r="P50" i="1"/>
  <c r="S50" i="1"/>
  <c r="V50" i="1"/>
  <c r="X50" i="1"/>
  <c r="Z50" i="1"/>
  <c r="N51" i="1"/>
  <c r="P51" i="1"/>
  <c r="S51" i="1"/>
  <c r="V51" i="1"/>
  <c r="X51" i="1"/>
  <c r="Z51" i="1"/>
  <c r="N52" i="1"/>
  <c r="P52" i="1"/>
  <c r="S52" i="1"/>
  <c r="V52" i="1"/>
  <c r="X52" i="1"/>
  <c r="Z52" i="1"/>
  <c r="N53" i="1"/>
  <c r="P53" i="1"/>
  <c r="S53" i="1"/>
  <c r="V53" i="1"/>
  <c r="X53" i="1"/>
  <c r="Z53" i="1"/>
  <c r="N54" i="1"/>
  <c r="P54" i="1"/>
  <c r="S54" i="1"/>
  <c r="V54" i="1"/>
  <c r="X54" i="1"/>
  <c r="Z54" i="1"/>
  <c r="N55" i="1"/>
  <c r="P55" i="1"/>
  <c r="S55" i="1"/>
  <c r="V55" i="1"/>
  <c r="X55" i="1"/>
  <c r="Z55" i="1"/>
  <c r="N56" i="1"/>
  <c r="P56" i="1"/>
  <c r="S56" i="1"/>
  <c r="V56" i="1"/>
  <c r="X56" i="1"/>
  <c r="Z56" i="1"/>
  <c r="N57" i="1"/>
  <c r="P57" i="1"/>
  <c r="V57" i="1"/>
  <c r="X57" i="1"/>
  <c r="Z57" i="1"/>
  <c r="N58" i="1"/>
  <c r="P58" i="1"/>
  <c r="S58" i="1"/>
  <c r="V58" i="1"/>
  <c r="X58" i="1"/>
  <c r="Z58" i="1"/>
  <c r="N59" i="1"/>
  <c r="P59" i="1"/>
  <c r="S59" i="1"/>
  <c r="V59" i="1"/>
  <c r="X59" i="1"/>
  <c r="Z59" i="1"/>
  <c r="N60" i="1"/>
  <c r="P60" i="1"/>
  <c r="S60" i="1"/>
  <c r="V60" i="1"/>
  <c r="X60" i="1"/>
  <c r="Z60" i="1"/>
  <c r="N61" i="1"/>
  <c r="P61" i="1"/>
  <c r="S61" i="1"/>
  <c r="V61" i="1"/>
  <c r="X61" i="1"/>
  <c r="Z61" i="1"/>
  <c r="N62" i="1"/>
  <c r="P62" i="1"/>
  <c r="V62" i="1"/>
  <c r="X62" i="1"/>
  <c r="Z62" i="1"/>
  <c r="N63" i="1"/>
  <c r="P63" i="1"/>
  <c r="S63" i="1"/>
  <c r="V63" i="1"/>
  <c r="X63" i="1"/>
  <c r="Z63" i="1"/>
  <c r="N64" i="1"/>
  <c r="P64" i="1"/>
  <c r="S64" i="1"/>
  <c r="V64" i="1"/>
  <c r="X64" i="1"/>
  <c r="Z64" i="1"/>
  <c r="N65" i="1"/>
  <c r="P65" i="1"/>
  <c r="S65" i="1"/>
  <c r="V65" i="1"/>
  <c r="X65" i="1"/>
  <c r="Z65" i="1"/>
  <c r="N66" i="1"/>
  <c r="P66" i="1"/>
  <c r="S66" i="1"/>
  <c r="V66" i="1"/>
  <c r="X66" i="1"/>
  <c r="Z66" i="1"/>
  <c r="N67" i="1"/>
  <c r="P67" i="1"/>
  <c r="S67" i="1"/>
  <c r="V67" i="1"/>
  <c r="X67" i="1"/>
  <c r="Z67" i="1"/>
  <c r="N68" i="1"/>
  <c r="P68" i="1"/>
  <c r="S68" i="1"/>
  <c r="V68" i="1"/>
  <c r="X68" i="1"/>
  <c r="Z68" i="1"/>
  <c r="N69" i="1"/>
  <c r="P69" i="1"/>
  <c r="S69" i="1"/>
  <c r="V69" i="1"/>
  <c r="X69" i="1"/>
  <c r="Z69" i="1"/>
  <c r="N70" i="1"/>
  <c r="P70" i="1"/>
  <c r="S70" i="1"/>
  <c r="V70" i="1"/>
  <c r="X70" i="1"/>
  <c r="Z70" i="1"/>
  <c r="N71" i="1"/>
  <c r="P71" i="1"/>
  <c r="S71" i="1"/>
  <c r="V71" i="1"/>
  <c r="X71" i="1"/>
  <c r="Z71" i="1"/>
  <c r="N72" i="1"/>
  <c r="P72" i="1"/>
  <c r="S72" i="1"/>
  <c r="V72" i="1"/>
  <c r="X72" i="1"/>
  <c r="Z72" i="1"/>
  <c r="N73" i="1"/>
  <c r="P73" i="1"/>
  <c r="S73" i="1"/>
  <c r="V73" i="1"/>
  <c r="X73" i="1"/>
  <c r="Z73" i="1"/>
  <c r="N74" i="1"/>
  <c r="P74" i="1"/>
  <c r="S74" i="1"/>
  <c r="V74" i="1"/>
  <c r="X74" i="1"/>
  <c r="Z74" i="1"/>
  <c r="N75" i="1"/>
  <c r="P75" i="1"/>
  <c r="S75" i="1"/>
  <c r="V75" i="1"/>
  <c r="X75" i="1"/>
  <c r="Z75" i="1"/>
  <c r="N76" i="1"/>
  <c r="P76" i="1"/>
  <c r="S76" i="1"/>
  <c r="V76" i="1"/>
  <c r="X76" i="1"/>
  <c r="Z76" i="1"/>
  <c r="N77" i="1"/>
  <c r="P77" i="1"/>
  <c r="S77" i="1"/>
  <c r="V77" i="1"/>
  <c r="X77" i="1"/>
  <c r="Z77" i="1"/>
  <c r="N78" i="1"/>
  <c r="P78" i="1"/>
  <c r="S78" i="1"/>
  <c r="V78" i="1"/>
  <c r="X78" i="1"/>
  <c r="Z78" i="1"/>
  <c r="N79" i="1"/>
  <c r="P79" i="1"/>
  <c r="S79" i="1"/>
  <c r="V79" i="1"/>
  <c r="X79" i="1"/>
  <c r="Z79" i="1"/>
  <c r="N80" i="1"/>
  <c r="P80" i="1"/>
  <c r="S80" i="1"/>
  <c r="V80" i="1"/>
  <c r="X80" i="1"/>
  <c r="Z80" i="1"/>
  <c r="N81" i="1"/>
  <c r="P81" i="1"/>
  <c r="S81" i="1"/>
  <c r="V81" i="1"/>
  <c r="X81" i="1"/>
  <c r="Z81" i="1"/>
  <c r="N82" i="1"/>
  <c r="P82" i="1"/>
  <c r="S82" i="1"/>
  <c r="V82" i="1"/>
  <c r="X82" i="1"/>
  <c r="Z82" i="1"/>
  <c r="N83" i="1"/>
  <c r="P83" i="1"/>
  <c r="S83" i="1"/>
  <c r="V83" i="1"/>
  <c r="X83" i="1"/>
  <c r="Z83" i="1"/>
  <c r="N84" i="1"/>
  <c r="P84" i="1"/>
  <c r="S84" i="1"/>
  <c r="V84" i="1"/>
  <c r="X84" i="1"/>
  <c r="Z84" i="1"/>
  <c r="N85" i="1"/>
  <c r="P85" i="1"/>
  <c r="S85" i="1"/>
  <c r="V85" i="1"/>
  <c r="X85" i="1"/>
  <c r="Z85" i="1"/>
  <c r="N86" i="1"/>
  <c r="P86" i="1"/>
  <c r="S86" i="1"/>
  <c r="V86" i="1"/>
  <c r="X86" i="1"/>
  <c r="Z86" i="1"/>
  <c r="N87" i="1"/>
  <c r="P87" i="1"/>
  <c r="S87" i="1"/>
  <c r="V87" i="1"/>
  <c r="X87" i="1"/>
  <c r="Z87" i="1"/>
  <c r="N88" i="1"/>
  <c r="P88" i="1"/>
  <c r="S88" i="1"/>
  <c r="V88" i="1"/>
  <c r="X88" i="1"/>
  <c r="Z88" i="1"/>
  <c r="N89" i="1"/>
  <c r="P89" i="1"/>
  <c r="S89" i="1"/>
  <c r="V89" i="1"/>
  <c r="X89" i="1"/>
  <c r="Z89" i="1"/>
  <c r="N90" i="1"/>
  <c r="P90" i="1"/>
  <c r="S90" i="1"/>
  <c r="V90" i="1"/>
  <c r="X90" i="1"/>
  <c r="Z90" i="1"/>
  <c r="N91" i="1"/>
  <c r="P91" i="1"/>
  <c r="S91" i="1"/>
  <c r="V91" i="1"/>
  <c r="X91" i="1"/>
  <c r="Z91" i="1"/>
  <c r="N92" i="1"/>
  <c r="P92" i="1"/>
  <c r="S92" i="1"/>
  <c r="V92" i="1"/>
  <c r="X92" i="1"/>
  <c r="Z92" i="1"/>
  <c r="N93" i="1"/>
  <c r="P93" i="1"/>
  <c r="S93" i="1"/>
  <c r="V93" i="1"/>
  <c r="X93" i="1"/>
  <c r="Z93" i="1"/>
  <c r="N94" i="1"/>
  <c r="P94" i="1"/>
  <c r="S94" i="1"/>
  <c r="V94" i="1"/>
  <c r="X94" i="1"/>
  <c r="Z94" i="1"/>
  <c r="N95" i="1"/>
  <c r="P95" i="1"/>
  <c r="S95" i="1"/>
  <c r="V95" i="1"/>
  <c r="X95" i="1"/>
  <c r="Z95" i="1"/>
  <c r="N96" i="1"/>
  <c r="P96" i="1"/>
  <c r="S96" i="1"/>
  <c r="V96" i="1"/>
  <c r="X96" i="1"/>
  <c r="Z96" i="1"/>
  <c r="N97" i="1"/>
  <c r="P97" i="1"/>
  <c r="S97" i="1"/>
  <c r="V97" i="1"/>
  <c r="X97" i="1"/>
  <c r="Z97" i="1"/>
  <c r="N98" i="1"/>
  <c r="P98" i="1"/>
  <c r="S98" i="1"/>
  <c r="V98" i="1"/>
  <c r="X98" i="1"/>
  <c r="Z98" i="1"/>
  <c r="N99" i="1"/>
  <c r="P99" i="1"/>
  <c r="S99" i="1"/>
  <c r="V99" i="1"/>
  <c r="X99" i="1"/>
  <c r="Z99" i="1"/>
  <c r="H57" i="1"/>
  <c r="S57" i="1" l="1"/>
  <c r="L5" i="3"/>
  <c r="L6" i="3"/>
  <c r="L8" i="3"/>
  <c r="L7" i="3"/>
  <c r="L12" i="3"/>
  <c r="L16" i="3"/>
  <c r="L17" i="3"/>
  <c r="L19" i="3"/>
  <c r="L20" i="3"/>
  <c r="L21" i="3"/>
  <c r="L22" i="3"/>
  <c r="L24" i="3"/>
  <c r="L25" i="3"/>
  <c r="L26" i="3"/>
  <c r="L27" i="3"/>
  <c r="L29" i="3"/>
  <c r="L35" i="3"/>
  <c r="L40" i="3"/>
  <c r="L39" i="3"/>
  <c r="L41" i="3"/>
  <c r="L44" i="3"/>
  <c r="L42" i="3"/>
  <c r="L43" i="3"/>
  <c r="L51" i="3"/>
  <c r="L28" i="3"/>
  <c r="L60" i="3"/>
  <c r="L61" i="3"/>
  <c r="L64" i="3"/>
  <c r="L63" i="3"/>
  <c r="L65" i="3"/>
  <c r="L66" i="3"/>
  <c r="L68" i="3"/>
  <c r="L67" i="3"/>
  <c r="L71" i="3"/>
  <c r="L70" i="3"/>
  <c r="L69" i="3"/>
  <c r="L3" i="3"/>
  <c r="B76" i="9" l="1"/>
  <c r="B75" i="9"/>
  <c r="P119" i="8" l="1"/>
  <c r="P120" i="8"/>
  <c r="N104" i="8"/>
  <c r="N119" i="8"/>
  <c r="N120" i="8"/>
  <c r="P118" i="8"/>
  <c r="P117" i="8"/>
  <c r="P116" i="8"/>
  <c r="P115" i="8"/>
  <c r="P114" i="8"/>
  <c r="P113" i="8"/>
  <c r="P112" i="8"/>
  <c r="P111" i="8"/>
  <c r="P39" i="8"/>
  <c r="P80" i="8"/>
  <c r="P24" i="8"/>
  <c r="P68" i="8"/>
  <c r="P69" i="8"/>
  <c r="P71" i="8"/>
  <c r="P21" i="8"/>
  <c r="P20" i="8"/>
  <c r="P70" i="8"/>
  <c r="P102" i="8"/>
  <c r="P43" i="8"/>
  <c r="P60" i="8"/>
  <c r="P90" i="8"/>
  <c r="P92" i="8"/>
  <c r="P94" i="8"/>
  <c r="P57" i="8"/>
  <c r="P26" i="8"/>
  <c r="P27" i="8"/>
  <c r="P103" i="8"/>
  <c r="P104" i="8"/>
  <c r="P105" i="8"/>
  <c r="P106" i="8"/>
  <c r="P107" i="8"/>
  <c r="P108" i="8"/>
  <c r="P109" i="8"/>
  <c r="P110" i="8"/>
  <c r="P95" i="8"/>
  <c r="P99" i="8"/>
  <c r="P91" i="8"/>
  <c r="P62" i="8"/>
  <c r="P25" i="8"/>
  <c r="P96" i="8"/>
  <c r="P100" i="8"/>
  <c r="P97" i="8"/>
  <c r="P101" i="8"/>
  <c r="P93" i="8"/>
  <c r="N75" i="6"/>
  <c r="P98" i="8"/>
  <c r="P48" i="8"/>
  <c r="P79" i="8"/>
  <c r="P81" i="8"/>
  <c r="P82" i="8"/>
  <c r="P83" i="8"/>
  <c r="P84" i="8"/>
  <c r="P85" i="8"/>
  <c r="P86" i="8"/>
  <c r="P87" i="8"/>
  <c r="P88" i="8"/>
  <c r="P89" i="8"/>
  <c r="P38" i="8"/>
  <c r="P40" i="8"/>
  <c r="P41" i="8"/>
  <c r="P42" i="8"/>
  <c r="P44" i="8"/>
  <c r="P45" i="8"/>
  <c r="P46" i="8"/>
  <c r="P47" i="8"/>
  <c r="P49" i="8"/>
  <c r="P23" i="8"/>
  <c r="P50" i="8"/>
  <c r="P51" i="8"/>
  <c r="P52" i="8"/>
  <c r="P53" i="8"/>
  <c r="P54" i="8"/>
  <c r="P55" i="8"/>
  <c r="P56" i="8"/>
  <c r="P58" i="8"/>
  <c r="P59" i="8"/>
  <c r="P61" i="8"/>
  <c r="P63" i="8"/>
  <c r="P64" i="8"/>
  <c r="P65" i="8"/>
  <c r="P66" i="8"/>
  <c r="P67" i="8"/>
  <c r="P72" i="8"/>
  <c r="P74" i="8"/>
  <c r="P75" i="8"/>
  <c r="P76" i="8"/>
  <c r="P73" i="8"/>
  <c r="P16" i="8"/>
  <c r="P77" i="8"/>
  <c r="P78" i="8"/>
  <c r="P6" i="8"/>
  <c r="P10" i="8"/>
  <c r="P14" i="8"/>
  <c r="P19" i="8"/>
  <c r="P28" i="8"/>
  <c r="P32" i="8"/>
  <c r="P36" i="8"/>
  <c r="P3" i="8"/>
  <c r="P5" i="8"/>
  <c r="P7" i="8"/>
  <c r="P9" i="8"/>
  <c r="P11" i="8"/>
  <c r="P13" i="8"/>
  <c r="P15" i="8"/>
  <c r="P18" i="8"/>
  <c r="P22" i="8"/>
  <c r="P29" i="8"/>
  <c r="P31" i="8"/>
  <c r="P33" i="8"/>
  <c r="P35" i="8"/>
  <c r="P37" i="8"/>
  <c r="P4" i="8"/>
  <c r="P8" i="8"/>
  <c r="P12" i="8"/>
  <c r="P17" i="8"/>
  <c r="P30" i="8"/>
  <c r="P34" i="8"/>
  <c r="N145" i="6"/>
  <c r="N149" i="6"/>
  <c r="N147" i="6"/>
  <c r="N151" i="6"/>
  <c r="H15" i="10"/>
  <c r="H19" i="10"/>
  <c r="N167" i="6"/>
  <c r="N160" i="6"/>
  <c r="N165" i="6"/>
  <c r="N155" i="6"/>
  <c r="N156" i="6"/>
  <c r="N158" i="6"/>
  <c r="N148" i="6"/>
  <c r="N152" i="6"/>
  <c r="N153" i="6"/>
  <c r="N133" i="6"/>
  <c r="N135" i="6"/>
  <c r="N137" i="6"/>
  <c r="N139" i="6"/>
  <c r="N141" i="6"/>
  <c r="N143" i="6"/>
  <c r="N116" i="6"/>
  <c r="N118" i="6"/>
  <c r="N120" i="6"/>
  <c r="N122" i="6"/>
  <c r="N108" i="6"/>
  <c r="N110" i="6"/>
  <c r="N99" i="6"/>
  <c r="N102" i="6"/>
  <c r="N106" i="6"/>
  <c r="N85" i="6"/>
  <c r="N89" i="6"/>
  <c r="N93" i="6"/>
  <c r="N97" i="6"/>
  <c r="N76" i="6"/>
  <c r="N80" i="6"/>
  <c r="N83" i="6"/>
  <c r="N71" i="6"/>
  <c r="N57" i="6"/>
  <c r="N63" i="6"/>
  <c r="N67" i="6"/>
  <c r="N49" i="6"/>
  <c r="N53" i="6"/>
  <c r="N34" i="6"/>
  <c r="N38" i="6"/>
  <c r="N42" i="6"/>
  <c r="N46" i="6"/>
  <c r="N26" i="6"/>
  <c r="N30" i="6"/>
  <c r="N31" i="6"/>
  <c r="N32" i="6"/>
  <c r="N33" i="6"/>
  <c r="N5" i="6"/>
  <c r="H3" i="10"/>
  <c r="H7" i="10"/>
  <c r="H9" i="10"/>
  <c r="H11" i="10"/>
  <c r="H13" i="10"/>
  <c r="N8" i="6"/>
  <c r="N9" i="6"/>
  <c r="N10" i="6"/>
  <c r="N11" i="6"/>
  <c r="N12" i="6"/>
  <c r="N14" i="6"/>
  <c r="N15" i="6"/>
  <c r="N16" i="6"/>
  <c r="N17" i="6"/>
  <c r="N18" i="6"/>
  <c r="N19" i="6"/>
  <c r="N20" i="6"/>
  <c r="N21" i="6"/>
  <c r="N22" i="6"/>
  <c r="N3" i="6"/>
  <c r="N7" i="6"/>
  <c r="N24" i="6"/>
  <c r="N84" i="6"/>
  <c r="N72" i="6"/>
  <c r="N58" i="6"/>
  <c r="H14" i="10"/>
  <c r="H18" i="10"/>
  <c r="N101" i="6"/>
  <c r="N105" i="6"/>
  <c r="N115" i="6"/>
  <c r="N88" i="6"/>
  <c r="N92" i="6"/>
  <c r="N96" i="6"/>
  <c r="N74" i="6"/>
  <c r="N79" i="6"/>
  <c r="N82" i="6"/>
  <c r="N70" i="6"/>
  <c r="N56" i="6"/>
  <c r="N59" i="6"/>
  <c r="N62" i="6"/>
  <c r="N66" i="6"/>
  <c r="N48" i="6"/>
  <c r="N52" i="6"/>
  <c r="N35" i="6"/>
  <c r="N39" i="6"/>
  <c r="N43" i="6"/>
  <c r="N25" i="6"/>
  <c r="N29" i="6"/>
  <c r="H4" i="10"/>
  <c r="H17" i="10"/>
  <c r="H21" i="10"/>
  <c r="N161" i="6"/>
  <c r="N162" i="6"/>
  <c r="N163" i="6"/>
  <c r="N164" i="6"/>
  <c r="N166" i="6"/>
  <c r="N157" i="6"/>
  <c r="N159" i="6"/>
  <c r="N146" i="6"/>
  <c r="N150" i="6"/>
  <c r="N128" i="6"/>
  <c r="N129" i="6"/>
  <c r="N131" i="6"/>
  <c r="N134" i="6"/>
  <c r="N136" i="6"/>
  <c r="N138" i="6"/>
  <c r="N140" i="6"/>
  <c r="N142" i="6"/>
  <c r="N144" i="6"/>
  <c r="N154" i="6"/>
  <c r="N124" i="6"/>
  <c r="N125" i="6"/>
  <c r="N126" i="6"/>
  <c r="N127" i="6"/>
  <c r="N130" i="6"/>
  <c r="N132" i="6"/>
  <c r="N123" i="6"/>
  <c r="N113" i="6"/>
  <c r="N117" i="6"/>
  <c r="N119" i="6"/>
  <c r="N121" i="6"/>
  <c r="N107" i="6"/>
  <c r="N109" i="6"/>
  <c r="N111" i="6"/>
  <c r="N100" i="6"/>
  <c r="N104" i="6"/>
  <c r="N114" i="6"/>
  <c r="N87" i="6"/>
  <c r="N91" i="6"/>
  <c r="N95" i="6"/>
  <c r="N73" i="6"/>
  <c r="N78" i="6"/>
  <c r="N69" i="6"/>
  <c r="N55" i="6"/>
  <c r="N61" i="6"/>
  <c r="N65" i="6"/>
  <c r="N47" i="6"/>
  <c r="N51" i="6"/>
  <c r="N36" i="6"/>
  <c r="N40" i="6"/>
  <c r="N44" i="6"/>
  <c r="N28" i="6"/>
  <c r="N13" i="6"/>
  <c r="N4" i="6"/>
  <c r="H5" i="10"/>
  <c r="H6" i="10"/>
  <c r="H8" i="10"/>
  <c r="H10" i="10"/>
  <c r="H12" i="10"/>
  <c r="N6" i="6"/>
  <c r="N23" i="6"/>
  <c r="H16" i="10"/>
  <c r="H20" i="10"/>
  <c r="N103" i="6"/>
  <c r="N112" i="6"/>
  <c r="N86" i="6"/>
  <c r="N90" i="6"/>
  <c r="N94" i="6"/>
  <c r="N98" i="6"/>
  <c r="N77" i="6"/>
  <c r="N81" i="6"/>
  <c r="N64" i="6"/>
  <c r="N37" i="6"/>
  <c r="N60" i="6"/>
  <c r="N54" i="6"/>
  <c r="N50" i="6"/>
  <c r="N45" i="6"/>
  <c r="N27" i="6"/>
  <c r="N68" i="6"/>
  <c r="N41" i="6"/>
  <c r="N69" i="8"/>
  <c r="N71" i="8"/>
  <c r="N21" i="8"/>
  <c r="N24" i="8"/>
  <c r="N68" i="8"/>
  <c r="N20" i="8"/>
  <c r="N118" i="8"/>
  <c r="N117" i="8"/>
  <c r="N116" i="8"/>
  <c r="N115" i="8"/>
  <c r="N114" i="8"/>
  <c r="N113" i="8"/>
  <c r="N112" i="8"/>
  <c r="N111" i="8"/>
  <c r="N39" i="8"/>
  <c r="N80" i="8"/>
  <c r="N70" i="8"/>
  <c r="N90" i="8"/>
  <c r="N92" i="8"/>
  <c r="N94" i="8"/>
  <c r="N102" i="8"/>
  <c r="N43" i="8"/>
  <c r="N60" i="8"/>
  <c r="M75" i="6"/>
  <c r="N62" i="8"/>
  <c r="N27" i="8"/>
  <c r="N103" i="8"/>
  <c r="N105" i="8"/>
  <c r="N106" i="8"/>
  <c r="N107" i="8"/>
  <c r="N108" i="8"/>
  <c r="N109" i="8"/>
  <c r="N110" i="8"/>
  <c r="N95" i="8"/>
  <c r="N96" i="8"/>
  <c r="N97" i="8"/>
  <c r="N98" i="8"/>
  <c r="N99" i="8"/>
  <c r="N100" i="8"/>
  <c r="N101" i="8"/>
  <c r="N91" i="8"/>
  <c r="N93" i="8"/>
  <c r="N57" i="8"/>
  <c r="N25" i="8"/>
  <c r="N26" i="8"/>
  <c r="N50" i="8"/>
  <c r="N51" i="8"/>
  <c r="N52" i="8"/>
  <c r="N53" i="8"/>
  <c r="N54" i="8"/>
  <c r="N55" i="8"/>
  <c r="N56" i="8"/>
  <c r="N58" i="8"/>
  <c r="N59" i="8"/>
  <c r="N61" i="8"/>
  <c r="N63" i="8"/>
  <c r="N64" i="8"/>
  <c r="N65" i="8"/>
  <c r="N66" i="8"/>
  <c r="N67" i="8"/>
  <c r="N72" i="8"/>
  <c r="N74" i="8"/>
  <c r="N75" i="8"/>
  <c r="N76" i="8"/>
  <c r="N73" i="8"/>
  <c r="N16" i="8"/>
  <c r="N77" i="8"/>
  <c r="N78" i="8"/>
  <c r="N48" i="8"/>
  <c r="N47" i="8"/>
  <c r="N83" i="8"/>
  <c r="N87" i="8"/>
  <c r="N89" i="8"/>
  <c r="N40" i="8"/>
  <c r="N45" i="8"/>
  <c r="N49" i="8"/>
  <c r="N79" i="8"/>
  <c r="N82" i="8"/>
  <c r="N84" i="8"/>
  <c r="N86" i="8"/>
  <c r="N88" i="8"/>
  <c r="N38" i="8"/>
  <c r="N41" i="8"/>
  <c r="N44" i="8"/>
  <c r="N46" i="8"/>
  <c r="N23" i="8"/>
  <c r="N81" i="8"/>
  <c r="N85" i="8"/>
  <c r="N42" i="8"/>
  <c r="N3" i="8"/>
  <c r="N5" i="8"/>
  <c r="N7" i="8"/>
  <c r="N9" i="8"/>
  <c r="N11" i="8"/>
  <c r="N13" i="8"/>
  <c r="N15" i="8"/>
  <c r="N18" i="8"/>
  <c r="N22" i="8"/>
  <c r="N29" i="8"/>
  <c r="N31" i="8"/>
  <c r="N33" i="8"/>
  <c r="N35" i="8"/>
  <c r="N37" i="8"/>
  <c r="N4" i="8"/>
  <c r="N6" i="8"/>
  <c r="N10" i="8"/>
  <c r="N17" i="8"/>
  <c r="N19" i="8"/>
  <c r="N28" i="8"/>
  <c r="N30" i="8"/>
  <c r="N34" i="8"/>
  <c r="N8" i="8"/>
  <c r="N12" i="8"/>
  <c r="N14" i="8"/>
  <c r="N32" i="8"/>
  <c r="N36" i="8"/>
  <c r="M146" i="6"/>
  <c r="M150" i="6"/>
  <c r="M128" i="6"/>
  <c r="M131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54" i="6"/>
  <c r="M125" i="6"/>
  <c r="M127" i="6"/>
  <c r="M130" i="6"/>
  <c r="M123" i="6"/>
  <c r="M167" i="6"/>
  <c r="M160" i="6"/>
  <c r="M161" i="6"/>
  <c r="M162" i="6"/>
  <c r="M163" i="6"/>
  <c r="M164" i="6"/>
  <c r="M165" i="6"/>
  <c r="M166" i="6"/>
  <c r="M155" i="6"/>
  <c r="M156" i="6"/>
  <c r="M157" i="6"/>
  <c r="M158" i="6"/>
  <c r="M159" i="6"/>
  <c r="M148" i="6"/>
  <c r="M152" i="6"/>
  <c r="M153" i="6"/>
  <c r="M129" i="6"/>
  <c r="M124" i="6"/>
  <c r="M126" i="6"/>
  <c r="M132" i="6"/>
  <c r="M113" i="6"/>
  <c r="M116" i="6"/>
  <c r="M117" i="6"/>
  <c r="M118" i="6"/>
  <c r="M119" i="6"/>
  <c r="M120" i="6"/>
  <c r="M121" i="6"/>
  <c r="M122" i="6"/>
  <c r="M107" i="6"/>
  <c r="M108" i="6"/>
  <c r="M109" i="6"/>
  <c r="M110" i="6"/>
  <c r="M111" i="6"/>
  <c r="M99" i="6"/>
  <c r="M100" i="6"/>
  <c r="M101" i="6"/>
  <c r="M102" i="6"/>
  <c r="M103" i="6"/>
  <c r="M104" i="6"/>
  <c r="M105" i="6"/>
  <c r="M106" i="6"/>
  <c r="M112" i="6"/>
  <c r="M114" i="6"/>
  <c r="M115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73" i="6"/>
  <c r="M74" i="6"/>
  <c r="M76" i="6"/>
  <c r="M77" i="6"/>
  <c r="M78" i="6"/>
  <c r="M79" i="6"/>
  <c r="M80" i="6"/>
  <c r="M81" i="6"/>
  <c r="M82" i="6"/>
  <c r="M83" i="6"/>
  <c r="M84" i="6"/>
  <c r="M69" i="6"/>
  <c r="M70" i="6"/>
  <c r="M71" i="6"/>
  <c r="M72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47" i="6"/>
  <c r="M48" i="6"/>
  <c r="M49" i="6"/>
  <c r="M50" i="6"/>
  <c r="M51" i="6"/>
  <c r="M52" i="6"/>
  <c r="M53" i="6"/>
  <c r="M54" i="6"/>
  <c r="M35" i="6"/>
  <c r="M37" i="6"/>
  <c r="M39" i="6"/>
  <c r="M41" i="6"/>
  <c r="M43" i="6"/>
  <c r="M45" i="6"/>
  <c r="M25" i="6"/>
  <c r="M26" i="6"/>
  <c r="M27" i="6"/>
  <c r="M28" i="6"/>
  <c r="M29" i="6"/>
  <c r="M30" i="6"/>
  <c r="M147" i="6"/>
  <c r="M151" i="6"/>
  <c r="M36" i="6"/>
  <c r="M40" i="6"/>
  <c r="M44" i="6"/>
  <c r="M13" i="6"/>
  <c r="M4" i="6"/>
  <c r="M6" i="6"/>
  <c r="M23" i="6"/>
  <c r="M145" i="6"/>
  <c r="M149" i="6"/>
  <c r="M34" i="6"/>
  <c r="M10" i="6"/>
  <c r="M15" i="6"/>
  <c r="M19" i="6"/>
  <c r="M3" i="6"/>
  <c r="M24" i="6"/>
  <c r="M46" i="6"/>
  <c r="M31" i="6"/>
  <c r="M11" i="6"/>
  <c r="M16" i="6"/>
  <c r="M20" i="6"/>
  <c r="M42" i="6"/>
  <c r="M32" i="6"/>
  <c r="M5" i="6"/>
  <c r="M8" i="6"/>
  <c r="M12" i="6"/>
  <c r="M17" i="6"/>
  <c r="M21" i="6"/>
  <c r="M7" i="6"/>
  <c r="M38" i="6"/>
  <c r="M33" i="6"/>
  <c r="M9" i="6"/>
  <c r="M14" i="6"/>
  <c r="M18" i="6"/>
  <c r="M22" i="6"/>
  <c r="C67" i="9"/>
  <c r="C69" i="9"/>
  <c r="C68" i="9"/>
  <c r="C66" i="9"/>
  <c r="C65" i="9"/>
  <c r="C64" i="9"/>
  <c r="M103" i="8" l="1"/>
  <c r="M119" i="8"/>
  <c r="M120" i="8"/>
  <c r="M77" i="8"/>
  <c r="M3" i="8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3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71" i="1"/>
  <c r="O87" i="1"/>
  <c r="O59" i="1"/>
  <c r="O75" i="1"/>
  <c r="O91" i="1"/>
  <c r="O63" i="1"/>
  <c r="O79" i="1"/>
  <c r="O95" i="1"/>
  <c r="O67" i="1"/>
  <c r="O83" i="1"/>
  <c r="O99" i="1"/>
  <c r="U7" i="7"/>
  <c r="U11" i="7"/>
  <c r="U4" i="7"/>
  <c r="U8" i="7"/>
  <c r="U12" i="7"/>
  <c r="U5" i="7"/>
  <c r="U9" i="7"/>
  <c r="U3" i="7"/>
  <c r="U6" i="7"/>
  <c r="U10" i="7"/>
  <c r="O119" i="8"/>
  <c r="O120" i="8"/>
  <c r="P5" i="7"/>
  <c r="P9" i="7"/>
  <c r="P3" i="7"/>
  <c r="P6" i="7"/>
  <c r="P10" i="7"/>
  <c r="P7" i="7"/>
  <c r="P11" i="7"/>
  <c r="P4" i="7"/>
  <c r="P8" i="7"/>
  <c r="P12" i="7"/>
  <c r="O68" i="8"/>
  <c r="O69" i="8"/>
  <c r="O70" i="8"/>
  <c r="O71" i="8"/>
  <c r="O118" i="8"/>
  <c r="O116" i="8"/>
  <c r="O114" i="8"/>
  <c r="O112" i="8"/>
  <c r="O39" i="8"/>
  <c r="O80" i="8"/>
  <c r="O20" i="8"/>
  <c r="O21" i="8"/>
  <c r="O117" i="8"/>
  <c r="O115" i="8"/>
  <c r="O113" i="8"/>
  <c r="O111" i="8"/>
  <c r="O24" i="8"/>
  <c r="O103" i="8"/>
  <c r="O105" i="8"/>
  <c r="O107" i="8"/>
  <c r="O109" i="8"/>
  <c r="O110" i="8"/>
  <c r="O95" i="8"/>
  <c r="O97" i="8"/>
  <c r="O99" i="8"/>
  <c r="O101" i="8"/>
  <c r="O90" i="8"/>
  <c r="O91" i="8"/>
  <c r="O92" i="8"/>
  <c r="O93" i="8"/>
  <c r="O94" i="8"/>
  <c r="O57" i="8"/>
  <c r="O25" i="8"/>
  <c r="O29" i="8"/>
  <c r="O96" i="8"/>
  <c r="O98" i="8"/>
  <c r="O100" i="8"/>
  <c r="O43" i="8"/>
  <c r="O62" i="8"/>
  <c r="O26" i="8"/>
  <c r="O104" i="8"/>
  <c r="O106" i="8"/>
  <c r="O108" i="8"/>
  <c r="O27" i="8"/>
  <c r="O102" i="8"/>
  <c r="O60" i="8"/>
  <c r="O28" i="8"/>
  <c r="O51" i="8"/>
  <c r="O53" i="8"/>
  <c r="O55" i="8"/>
  <c r="O58" i="8"/>
  <c r="O61" i="8"/>
  <c r="O64" i="8"/>
  <c r="O66" i="8"/>
  <c r="O72" i="8"/>
  <c r="O75" i="8"/>
  <c r="O73" i="8"/>
  <c r="O77" i="8"/>
  <c r="O48" i="8"/>
  <c r="O81" i="8"/>
  <c r="O83" i="8"/>
  <c r="O85" i="8"/>
  <c r="O87" i="8"/>
  <c r="O89" i="8"/>
  <c r="O40" i="8"/>
  <c r="O42" i="8"/>
  <c r="O45" i="8"/>
  <c r="O47" i="8"/>
  <c r="O23" i="8"/>
  <c r="O44" i="8"/>
  <c r="O49" i="8"/>
  <c r="O50" i="8"/>
  <c r="O52" i="8"/>
  <c r="O54" i="8"/>
  <c r="O56" i="8"/>
  <c r="O59" i="8"/>
  <c r="O63" i="8"/>
  <c r="O65" i="8"/>
  <c r="O67" i="8"/>
  <c r="O74" i="8"/>
  <c r="O76" i="8"/>
  <c r="O16" i="8"/>
  <c r="O78" i="8"/>
  <c r="O79" i="8"/>
  <c r="O82" i="8"/>
  <c r="O84" i="8"/>
  <c r="O86" i="8"/>
  <c r="O88" i="8"/>
  <c r="O38" i="8"/>
  <c r="O41" i="8"/>
  <c r="O46" i="8"/>
  <c r="O3" i="8"/>
  <c r="O4" i="8"/>
  <c r="O5" i="8"/>
  <c r="O6" i="8"/>
  <c r="O7" i="8"/>
  <c r="O8" i="8"/>
  <c r="O10" i="8"/>
  <c r="O11" i="8"/>
  <c r="O12" i="8"/>
  <c r="O13" i="8"/>
  <c r="O14" i="8"/>
  <c r="O15" i="8"/>
  <c r="O17" i="8"/>
  <c r="O18" i="8"/>
  <c r="O19" i="8"/>
  <c r="O22" i="8"/>
  <c r="O30" i="8"/>
  <c r="O32" i="8"/>
  <c r="O34" i="8"/>
  <c r="O35" i="8"/>
  <c r="O9" i="8"/>
  <c r="O31" i="8"/>
  <c r="O33" i="8"/>
  <c r="O36" i="8"/>
  <c r="O37" i="8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83" i="1"/>
  <c r="W84" i="1"/>
  <c r="W85" i="1"/>
  <c r="W86" i="1"/>
  <c r="W35" i="1"/>
  <c r="W36" i="1"/>
  <c r="W37" i="1"/>
  <c r="W38" i="1"/>
  <c r="W39" i="1"/>
  <c r="W40" i="1"/>
  <c r="W41" i="1"/>
  <c r="W42" i="1"/>
  <c r="W62" i="1"/>
  <c r="W87" i="1"/>
  <c r="W88" i="1"/>
  <c r="W89" i="1"/>
  <c r="W90" i="1"/>
  <c r="W43" i="1"/>
  <c r="W44" i="1"/>
  <c r="W45" i="1"/>
  <c r="W46" i="1"/>
  <c r="W57" i="1"/>
  <c r="W58" i="1"/>
  <c r="W6" i="1"/>
  <c r="W5" i="1"/>
  <c r="W7" i="1"/>
  <c r="W8" i="1"/>
  <c r="W3" i="1"/>
  <c r="W9" i="1"/>
  <c r="W10" i="1"/>
  <c r="W11" i="1"/>
  <c r="W12" i="1"/>
  <c r="W13" i="1"/>
  <c r="W14" i="1"/>
  <c r="W47" i="1"/>
  <c r="W48" i="1"/>
  <c r="W49" i="1"/>
  <c r="W50" i="1"/>
  <c r="W51" i="1"/>
  <c r="W52" i="1"/>
  <c r="W53" i="1"/>
  <c r="W54" i="1"/>
  <c r="W55" i="1"/>
  <c r="W56" i="1"/>
  <c r="W59" i="1"/>
  <c r="W60" i="1"/>
  <c r="W61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91" i="1"/>
  <c r="W92" i="1"/>
  <c r="W97" i="1"/>
  <c r="W98" i="1"/>
  <c r="W99" i="1"/>
  <c r="W79" i="1"/>
  <c r="W80" i="1"/>
  <c r="W81" i="1"/>
  <c r="W82" i="1"/>
  <c r="W93" i="1"/>
  <c r="W94" i="1"/>
  <c r="W95" i="1"/>
  <c r="W96" i="1"/>
  <c r="U11" i="2"/>
  <c r="U15" i="2"/>
  <c r="U19" i="2"/>
  <c r="U23" i="2"/>
  <c r="U27" i="2"/>
  <c r="U29" i="2"/>
  <c r="U32" i="2"/>
  <c r="U4" i="2"/>
  <c r="U8" i="2"/>
  <c r="U12" i="2"/>
  <c r="U20" i="2"/>
  <c r="U24" i="2"/>
  <c r="U9" i="2"/>
  <c r="U13" i="2"/>
  <c r="U17" i="2"/>
  <c r="U21" i="2"/>
  <c r="U25" i="2"/>
  <c r="U30" i="2"/>
  <c r="U34" i="2"/>
  <c r="U6" i="2"/>
  <c r="U10" i="2"/>
  <c r="U14" i="2"/>
  <c r="U18" i="2"/>
  <c r="U22" i="2"/>
  <c r="U26" i="2"/>
  <c r="U28" i="2"/>
  <c r="U31" i="2"/>
  <c r="U3" i="2"/>
  <c r="U7" i="2"/>
  <c r="U16" i="2"/>
  <c r="U33" i="2"/>
  <c r="U5" i="2"/>
  <c r="J52" i="3"/>
  <c r="J57" i="3"/>
  <c r="J30" i="3"/>
  <c r="J48" i="3"/>
  <c r="J33" i="3"/>
  <c r="J38" i="3"/>
  <c r="J14" i="3"/>
  <c r="J53" i="3"/>
  <c r="J59" i="3"/>
  <c r="J62" i="3"/>
  <c r="J47" i="3"/>
  <c r="J32" i="3"/>
  <c r="J37" i="3"/>
  <c r="J18" i="3"/>
  <c r="J54" i="3"/>
  <c r="J58" i="3"/>
  <c r="J50" i="3"/>
  <c r="J46" i="3"/>
  <c r="J36" i="3"/>
  <c r="J23" i="3"/>
  <c r="J13" i="3"/>
  <c r="J55" i="3"/>
  <c r="J56" i="3"/>
  <c r="J49" i="3"/>
  <c r="J45" i="3"/>
  <c r="J34" i="3"/>
  <c r="J31" i="3"/>
  <c r="J15" i="3"/>
  <c r="J11" i="3"/>
  <c r="J10" i="3"/>
  <c r="J9" i="3"/>
  <c r="P3" i="2"/>
  <c r="P18" i="2"/>
  <c r="P24" i="2"/>
  <c r="P25" i="2"/>
  <c r="P19" i="2"/>
  <c r="P31" i="2"/>
  <c r="P26" i="2"/>
  <c r="P12" i="2"/>
  <c r="P11" i="2"/>
  <c r="P10" i="2"/>
  <c r="P8" i="2"/>
  <c r="P9" i="2"/>
  <c r="P28" i="2"/>
  <c r="P29" i="2"/>
  <c r="P14" i="2"/>
  <c r="P15" i="2"/>
  <c r="P16" i="2"/>
  <c r="P17" i="2"/>
  <c r="P30" i="2"/>
  <c r="P13" i="2"/>
  <c r="P27" i="2"/>
  <c r="P32" i="2"/>
  <c r="P7" i="2"/>
  <c r="P6" i="2"/>
  <c r="P4" i="2"/>
  <c r="P21" i="2"/>
  <c r="P23" i="2"/>
  <c r="P22" i="2"/>
  <c r="P20" i="2"/>
  <c r="P33" i="2"/>
  <c r="P34" i="2"/>
  <c r="P5" i="2"/>
  <c r="M21" i="8"/>
  <c r="M117" i="8"/>
  <c r="M115" i="8"/>
  <c r="M113" i="8"/>
  <c r="M111" i="8"/>
  <c r="M68" i="8"/>
  <c r="M69" i="8"/>
  <c r="M70" i="8"/>
  <c r="M71" i="8"/>
  <c r="M118" i="8"/>
  <c r="M116" i="8"/>
  <c r="M114" i="8"/>
  <c r="M112" i="8"/>
  <c r="M39" i="8"/>
  <c r="M80" i="8"/>
  <c r="M20" i="8"/>
  <c r="M24" i="8"/>
  <c r="M104" i="8"/>
  <c r="M106" i="8"/>
  <c r="M108" i="8"/>
  <c r="M96" i="8"/>
  <c r="M98" i="8"/>
  <c r="M100" i="8"/>
  <c r="M25" i="8"/>
  <c r="M29" i="8"/>
  <c r="M97" i="8"/>
  <c r="M99" i="8"/>
  <c r="M101" i="8"/>
  <c r="M91" i="8"/>
  <c r="M92" i="8"/>
  <c r="M57" i="8"/>
  <c r="M62" i="8"/>
  <c r="M102" i="8"/>
  <c r="M60" i="8"/>
  <c r="M26" i="8"/>
  <c r="M105" i="8"/>
  <c r="M107" i="8"/>
  <c r="M109" i="8"/>
  <c r="M110" i="8"/>
  <c r="M95" i="8"/>
  <c r="M90" i="8"/>
  <c r="M93" i="8"/>
  <c r="M94" i="8"/>
  <c r="M27" i="8"/>
  <c r="M43" i="8"/>
  <c r="M28" i="8"/>
  <c r="M50" i="8"/>
  <c r="M52" i="8"/>
  <c r="M54" i="8"/>
  <c r="M56" i="8"/>
  <c r="M59" i="8"/>
  <c r="M63" i="8"/>
  <c r="M65" i="8"/>
  <c r="M67" i="8"/>
  <c r="M74" i="8"/>
  <c r="M76" i="8"/>
  <c r="M16" i="8"/>
  <c r="M78" i="8"/>
  <c r="M79" i="8"/>
  <c r="M82" i="8"/>
  <c r="M84" i="8"/>
  <c r="M86" i="8"/>
  <c r="M88" i="8"/>
  <c r="M38" i="8"/>
  <c r="M41" i="8"/>
  <c r="M44" i="8"/>
  <c r="M46" i="8"/>
  <c r="M49" i="8"/>
  <c r="M23" i="8"/>
  <c r="M51" i="8"/>
  <c r="M53" i="8"/>
  <c r="M55" i="8"/>
  <c r="M58" i="8"/>
  <c r="M61" i="8"/>
  <c r="M64" i="8"/>
  <c r="M66" i="8"/>
  <c r="M72" i="8"/>
  <c r="M75" i="8"/>
  <c r="M73" i="8"/>
  <c r="M48" i="8"/>
  <c r="M81" i="8"/>
  <c r="M83" i="8"/>
  <c r="M85" i="8"/>
  <c r="M87" i="8"/>
  <c r="M89" i="8"/>
  <c r="M40" i="8"/>
  <c r="M42" i="8"/>
  <c r="M45" i="8"/>
  <c r="M47" i="8"/>
  <c r="M4" i="8"/>
  <c r="M5" i="8"/>
  <c r="M6" i="8"/>
  <c r="M7" i="8"/>
  <c r="M8" i="8"/>
  <c r="M9" i="8"/>
  <c r="M10" i="8"/>
  <c r="M11" i="8"/>
  <c r="M12" i="8"/>
  <c r="M13" i="8"/>
  <c r="M14" i="8"/>
  <c r="M15" i="8"/>
  <c r="M17" i="8"/>
  <c r="M18" i="8"/>
  <c r="M19" i="8"/>
  <c r="M22" i="8"/>
  <c r="M30" i="8"/>
  <c r="M31" i="8"/>
  <c r="M32" i="8"/>
  <c r="M33" i="8"/>
  <c r="M34" i="8"/>
  <c r="M35" i="8"/>
  <c r="M36" i="8"/>
  <c r="M37" i="8"/>
  <c r="X4" i="1"/>
  <c r="P4" i="1"/>
  <c r="J6" i="3"/>
  <c r="K4" i="3"/>
  <c r="K5" i="3"/>
  <c r="K6" i="3"/>
  <c r="K8" i="3"/>
  <c r="J7" i="3"/>
  <c r="K7" i="3"/>
  <c r="K12" i="3"/>
  <c r="K16" i="3"/>
  <c r="K17" i="3"/>
  <c r="K19" i="3"/>
  <c r="K20" i="3"/>
  <c r="J21" i="3"/>
  <c r="K21" i="3"/>
  <c r="K22" i="3"/>
  <c r="J24" i="3"/>
  <c r="K24" i="3"/>
  <c r="K25" i="3"/>
  <c r="K26" i="3"/>
  <c r="K27" i="3"/>
  <c r="K29" i="3"/>
  <c r="K35" i="3"/>
  <c r="K40" i="3"/>
  <c r="K39" i="3"/>
  <c r="K41" i="3"/>
  <c r="K44" i="3"/>
  <c r="K42" i="3"/>
  <c r="J43" i="3"/>
  <c r="K43" i="3"/>
  <c r="K51" i="3"/>
  <c r="K28" i="3"/>
  <c r="K60" i="3"/>
  <c r="J61" i="3"/>
  <c r="K61" i="3"/>
  <c r="K64" i="3"/>
  <c r="J63" i="3"/>
  <c r="K63" i="3"/>
  <c r="K65" i="3"/>
  <c r="K66" i="3"/>
  <c r="K68" i="3"/>
  <c r="K67" i="3"/>
  <c r="K71" i="3"/>
  <c r="J70" i="3"/>
  <c r="K70" i="3"/>
  <c r="K69" i="3"/>
  <c r="K3" i="3"/>
  <c r="Z12" i="7" l="1"/>
  <c r="Z6" i="7"/>
  <c r="Z8" i="7"/>
  <c r="Z3" i="7"/>
  <c r="Z5" i="7"/>
  <c r="J66" i="3"/>
  <c r="J51" i="3"/>
  <c r="J39" i="3"/>
  <c r="J26" i="3"/>
  <c r="J17" i="3"/>
  <c r="J4" i="3"/>
  <c r="J3" i="3"/>
  <c r="J67" i="3"/>
  <c r="J44" i="3"/>
  <c r="J29" i="3"/>
  <c r="J19" i="3"/>
  <c r="J69" i="3"/>
  <c r="J71" i="3"/>
  <c r="J68" i="3"/>
  <c r="J65" i="3"/>
  <c r="J64" i="3"/>
  <c r="J60" i="3"/>
  <c r="J28" i="3"/>
  <c r="J42" i="3"/>
  <c r="J41" i="3"/>
  <c r="J40" i="3"/>
  <c r="J35" i="3"/>
  <c r="J27" i="3"/>
  <c r="J25" i="3"/>
  <c r="J22" i="3"/>
  <c r="J20" i="3"/>
  <c r="J16" i="3"/>
  <c r="J12" i="3"/>
  <c r="J8" i="3"/>
  <c r="J5" i="3"/>
  <c r="W4" i="1"/>
  <c r="N4" i="1"/>
  <c r="V4" i="1"/>
  <c r="B9" i="9" l="1"/>
  <c r="B27" i="9"/>
  <c r="Z4" i="1"/>
  <c r="B14" i="9"/>
  <c r="B32" i="9"/>
  <c r="B10" i="9"/>
  <c r="B19" i="9"/>
  <c r="B13" i="9"/>
  <c r="B17" i="9"/>
  <c r="B18" i="9"/>
  <c r="B12" i="9"/>
  <c r="B11" i="9"/>
  <c r="B15" i="9"/>
  <c r="J92" i="1" s="1"/>
  <c r="B16" i="9"/>
  <c r="B20" i="9"/>
  <c r="B38" i="9"/>
  <c r="I5" i="9"/>
  <c r="J5" i="9"/>
  <c r="K5" i="9"/>
  <c r="L5" i="9"/>
  <c r="B5" i="9" s="1"/>
  <c r="I41" i="3"/>
  <c r="I44" i="3"/>
  <c r="I5" i="3"/>
  <c r="E5" i="9"/>
  <c r="F5" i="9"/>
  <c r="G5" i="9"/>
  <c r="H5" i="9"/>
  <c r="D5" i="9"/>
  <c r="B28" i="9"/>
  <c r="B29" i="9"/>
  <c r="B30" i="9"/>
  <c r="B31" i="9"/>
  <c r="B33" i="9"/>
  <c r="B34" i="9"/>
  <c r="B35" i="9"/>
  <c r="B36" i="9"/>
  <c r="B37" i="9"/>
  <c r="B39" i="9"/>
  <c r="B21" i="9"/>
  <c r="B59" i="9"/>
  <c r="B60" i="9"/>
  <c r="B45" i="9"/>
  <c r="B44" i="9"/>
  <c r="B43" i="9"/>
  <c r="H62" i="1"/>
  <c r="K119" i="8" l="1"/>
  <c r="K120" i="8"/>
  <c r="T5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T73" i="1"/>
  <c r="T77" i="1"/>
  <c r="T81" i="1"/>
  <c r="T85" i="1"/>
  <c r="T89" i="1"/>
  <c r="T93" i="1"/>
  <c r="T97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4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3" i="1"/>
  <c r="O4" i="9"/>
  <c r="N4" i="9"/>
  <c r="L119" i="8"/>
  <c r="L120" i="8"/>
  <c r="M92" i="1"/>
  <c r="I6" i="1"/>
  <c r="AA6" i="1" s="1"/>
  <c r="I20" i="1"/>
  <c r="AA20" i="1" s="1"/>
  <c r="I36" i="1"/>
  <c r="I9" i="1"/>
  <c r="AA9" i="1" s="1"/>
  <c r="I25" i="1"/>
  <c r="AA25" i="1" s="1"/>
  <c r="I41" i="1"/>
  <c r="AA41" i="1" s="1"/>
  <c r="I18" i="1"/>
  <c r="AA18" i="1" s="1"/>
  <c r="I34" i="1"/>
  <c r="AA34" i="1" s="1"/>
  <c r="I11" i="1"/>
  <c r="AA11" i="1" s="1"/>
  <c r="I27" i="1"/>
  <c r="AA27" i="1" s="1"/>
  <c r="I43" i="1"/>
  <c r="AA43" i="1" s="1"/>
  <c r="I60" i="1"/>
  <c r="AA60" i="1" s="1"/>
  <c r="I76" i="1"/>
  <c r="AA76" i="1" s="1"/>
  <c r="I49" i="1"/>
  <c r="AA49" i="1" s="1"/>
  <c r="I65" i="1"/>
  <c r="AA65" i="1" s="1"/>
  <c r="I46" i="1"/>
  <c r="AA46" i="1" s="1"/>
  <c r="I66" i="1"/>
  <c r="AA66" i="1" s="1"/>
  <c r="I82" i="1"/>
  <c r="AA82" i="1" s="1"/>
  <c r="I59" i="1"/>
  <c r="AA59" i="1" s="1"/>
  <c r="I75" i="1"/>
  <c r="AA75" i="1" s="1"/>
  <c r="I92" i="1"/>
  <c r="AA92" i="1" s="1"/>
  <c r="I97" i="1"/>
  <c r="AA97" i="1" s="1"/>
  <c r="I94" i="1"/>
  <c r="AA94" i="1" s="1"/>
  <c r="I87" i="1"/>
  <c r="AA87" i="1" s="1"/>
  <c r="I84" i="1"/>
  <c r="AA84" i="1" s="1"/>
  <c r="I73" i="1"/>
  <c r="AA73" i="1" s="1"/>
  <c r="I51" i="1"/>
  <c r="AA51" i="1" s="1"/>
  <c r="I83" i="1"/>
  <c r="AA83" i="1" s="1"/>
  <c r="I89" i="1"/>
  <c r="AA89" i="1" s="1"/>
  <c r="I99" i="1"/>
  <c r="AA99" i="1" s="1"/>
  <c r="I16" i="1"/>
  <c r="AA16" i="1" s="1"/>
  <c r="I5" i="1"/>
  <c r="AA5" i="1" s="1"/>
  <c r="I37" i="1"/>
  <c r="AA37" i="1" s="1"/>
  <c r="I30" i="1"/>
  <c r="AA30" i="1" s="1"/>
  <c r="I23" i="1"/>
  <c r="AA23" i="1" s="1"/>
  <c r="I56" i="1"/>
  <c r="AA56" i="1" s="1"/>
  <c r="I45" i="1"/>
  <c r="AA45" i="1" s="1"/>
  <c r="I77" i="1"/>
  <c r="AA77" i="1" s="1"/>
  <c r="I78" i="1"/>
  <c r="AA78" i="1" s="1"/>
  <c r="I71" i="1"/>
  <c r="AA71" i="1" s="1"/>
  <c r="I93" i="1"/>
  <c r="AA93" i="1" s="1"/>
  <c r="I81" i="1"/>
  <c r="AA81" i="1" s="1"/>
  <c r="I3" i="1"/>
  <c r="I24" i="1"/>
  <c r="AA24" i="1" s="1"/>
  <c r="I40" i="1"/>
  <c r="AA40" i="1" s="1"/>
  <c r="I13" i="1"/>
  <c r="AA13" i="1" s="1"/>
  <c r="I29" i="1"/>
  <c r="AA29" i="1" s="1"/>
  <c r="I7" i="1"/>
  <c r="AA7" i="1" s="1"/>
  <c r="I22" i="1"/>
  <c r="AA22" i="1" s="1"/>
  <c r="I38" i="1"/>
  <c r="AA38" i="1" s="1"/>
  <c r="I15" i="1"/>
  <c r="AA15" i="1" s="1"/>
  <c r="I31" i="1"/>
  <c r="AA31" i="1" s="1"/>
  <c r="I48" i="1"/>
  <c r="AA48" i="1" s="1"/>
  <c r="I64" i="1"/>
  <c r="AA64" i="1" s="1"/>
  <c r="I80" i="1"/>
  <c r="AA80" i="1" s="1"/>
  <c r="I53" i="1"/>
  <c r="AA53" i="1" s="1"/>
  <c r="I69" i="1"/>
  <c r="AA69" i="1" s="1"/>
  <c r="I50" i="1"/>
  <c r="AA50" i="1" s="1"/>
  <c r="I70" i="1"/>
  <c r="AA70" i="1" s="1"/>
  <c r="I47" i="1"/>
  <c r="AA47" i="1" s="1"/>
  <c r="I63" i="1"/>
  <c r="AA63" i="1" s="1"/>
  <c r="I79" i="1"/>
  <c r="AA79" i="1" s="1"/>
  <c r="I96" i="1"/>
  <c r="AA96" i="1" s="1"/>
  <c r="I85" i="1"/>
  <c r="AA85" i="1" s="1"/>
  <c r="I98" i="1"/>
  <c r="AA98" i="1" s="1"/>
  <c r="I91" i="1"/>
  <c r="AA91" i="1" s="1"/>
  <c r="I12" i="1"/>
  <c r="AA12" i="1" s="1"/>
  <c r="I28" i="1"/>
  <c r="AA28" i="1" s="1"/>
  <c r="I44" i="1"/>
  <c r="AA44" i="1" s="1"/>
  <c r="I17" i="1"/>
  <c r="AA17" i="1" s="1"/>
  <c r="I33" i="1"/>
  <c r="AA33" i="1" s="1"/>
  <c r="I10" i="1"/>
  <c r="AA10" i="1" s="1"/>
  <c r="I26" i="1"/>
  <c r="AA26" i="1" s="1"/>
  <c r="I42" i="1"/>
  <c r="AA42" i="1" s="1"/>
  <c r="I19" i="1"/>
  <c r="AA19" i="1" s="1"/>
  <c r="I35" i="1"/>
  <c r="AA35" i="1" s="1"/>
  <c r="I52" i="1"/>
  <c r="AA52" i="1" s="1"/>
  <c r="I68" i="1"/>
  <c r="AA68" i="1" s="1"/>
  <c r="I57" i="1"/>
  <c r="AA57" i="1" s="1"/>
  <c r="I54" i="1"/>
  <c r="AA54" i="1" s="1"/>
  <c r="I74" i="1"/>
  <c r="AA74" i="1" s="1"/>
  <c r="I67" i="1"/>
  <c r="AA67" i="1" s="1"/>
  <c r="I86" i="1"/>
  <c r="AA86" i="1" s="1"/>
  <c r="I95" i="1"/>
  <c r="AA95" i="1" s="1"/>
  <c r="I32" i="1"/>
  <c r="AA32" i="1" s="1"/>
  <c r="I21" i="1"/>
  <c r="AA21" i="1" s="1"/>
  <c r="I14" i="1"/>
  <c r="AA14" i="1" s="1"/>
  <c r="I8" i="1"/>
  <c r="AA8" i="1" s="1"/>
  <c r="I39" i="1"/>
  <c r="AA39" i="1" s="1"/>
  <c r="I72" i="1"/>
  <c r="AA72" i="1" s="1"/>
  <c r="I61" i="1"/>
  <c r="AA61" i="1" s="1"/>
  <c r="I58" i="1"/>
  <c r="AA58" i="1" s="1"/>
  <c r="I55" i="1"/>
  <c r="AA55" i="1" s="1"/>
  <c r="I88" i="1"/>
  <c r="AA88" i="1" s="1"/>
  <c r="I90" i="1"/>
  <c r="AA90" i="1" s="1"/>
  <c r="I4" i="1"/>
  <c r="AA4" i="1" s="1"/>
  <c r="K68" i="8"/>
  <c r="K70" i="8"/>
  <c r="K69" i="8"/>
  <c r="K21" i="8"/>
  <c r="K115" i="8"/>
  <c r="K113" i="8"/>
  <c r="K111" i="8"/>
  <c r="K80" i="8"/>
  <c r="K20" i="8"/>
  <c r="K71" i="8"/>
  <c r="K118" i="8"/>
  <c r="K117" i="8"/>
  <c r="K116" i="8"/>
  <c r="K114" i="8"/>
  <c r="K112" i="8"/>
  <c r="K39" i="8"/>
  <c r="K24" i="8"/>
  <c r="K103" i="8"/>
  <c r="K104" i="8"/>
  <c r="K105" i="8"/>
  <c r="K106" i="8"/>
  <c r="K107" i="8"/>
  <c r="K108" i="8"/>
  <c r="K109" i="8"/>
  <c r="K110" i="8"/>
  <c r="K95" i="8"/>
  <c r="K96" i="8"/>
  <c r="K97" i="8"/>
  <c r="K98" i="8"/>
  <c r="K99" i="8"/>
  <c r="K100" i="8"/>
  <c r="K101" i="8"/>
  <c r="K91" i="8"/>
  <c r="K93" i="8"/>
  <c r="K25" i="8"/>
  <c r="K90" i="8"/>
  <c r="K92" i="8"/>
  <c r="K94" i="8"/>
  <c r="K57" i="8"/>
  <c r="K43" i="8"/>
  <c r="K60" i="8"/>
  <c r="K102" i="8"/>
  <c r="K75" i="6"/>
  <c r="K26" i="8"/>
  <c r="K62" i="8"/>
  <c r="K50" i="8"/>
  <c r="K51" i="8"/>
  <c r="K52" i="8"/>
  <c r="K53" i="8"/>
  <c r="K54" i="8"/>
  <c r="K55" i="8"/>
  <c r="K56" i="8"/>
  <c r="K58" i="8"/>
  <c r="K59" i="8"/>
  <c r="K61" i="8"/>
  <c r="K63" i="8"/>
  <c r="K64" i="8"/>
  <c r="K65" i="8"/>
  <c r="K66" i="8"/>
  <c r="K67" i="8"/>
  <c r="K72" i="8"/>
  <c r="K74" i="8"/>
  <c r="K75" i="8"/>
  <c r="K76" i="8"/>
  <c r="K73" i="8"/>
  <c r="K16" i="8"/>
  <c r="K77" i="8"/>
  <c r="K48" i="8"/>
  <c r="K79" i="8"/>
  <c r="K81" i="8"/>
  <c r="K82" i="8"/>
  <c r="K83" i="8"/>
  <c r="K84" i="8"/>
  <c r="K85" i="8"/>
  <c r="K86" i="8"/>
  <c r="K87" i="8"/>
  <c r="K88" i="8"/>
  <c r="K89" i="8"/>
  <c r="K38" i="8"/>
  <c r="K40" i="8"/>
  <c r="K41" i="8"/>
  <c r="K42" i="8"/>
  <c r="K44" i="8"/>
  <c r="K45" i="8"/>
  <c r="K46" i="8"/>
  <c r="K23" i="8"/>
  <c r="K47" i="8"/>
  <c r="K78" i="8"/>
  <c r="K49" i="8"/>
  <c r="K4" i="8"/>
  <c r="K6" i="8"/>
  <c r="K8" i="8"/>
  <c r="K10" i="8"/>
  <c r="K12" i="8"/>
  <c r="K14" i="8"/>
  <c r="K17" i="8"/>
  <c r="K19" i="8"/>
  <c r="K27" i="8"/>
  <c r="K28" i="8"/>
  <c r="K30" i="8"/>
  <c r="K32" i="8"/>
  <c r="K34" i="8"/>
  <c r="K36" i="8"/>
  <c r="K3" i="8"/>
  <c r="K5" i="8"/>
  <c r="K7" i="8"/>
  <c r="K9" i="8"/>
  <c r="K11" i="8"/>
  <c r="K18" i="8"/>
  <c r="K22" i="8"/>
  <c r="K29" i="8"/>
  <c r="K31" i="8"/>
  <c r="K35" i="8"/>
  <c r="K13" i="8"/>
  <c r="K15" i="8"/>
  <c r="K33" i="8"/>
  <c r="K37" i="8"/>
  <c r="K167" i="6"/>
  <c r="K160" i="6"/>
  <c r="K161" i="6"/>
  <c r="K162" i="6"/>
  <c r="K163" i="6"/>
  <c r="K164" i="6"/>
  <c r="K165" i="6"/>
  <c r="K166" i="6"/>
  <c r="K155" i="6"/>
  <c r="K156" i="6"/>
  <c r="K157" i="6"/>
  <c r="K158" i="6"/>
  <c r="K159" i="6"/>
  <c r="K148" i="6"/>
  <c r="K152" i="6"/>
  <c r="K153" i="6"/>
  <c r="K129" i="6"/>
  <c r="K124" i="6"/>
  <c r="K126" i="6"/>
  <c r="K132" i="6"/>
  <c r="K113" i="6"/>
  <c r="K116" i="6"/>
  <c r="K117" i="6"/>
  <c r="K118" i="6"/>
  <c r="K119" i="6"/>
  <c r="K120" i="6"/>
  <c r="K121" i="6"/>
  <c r="K122" i="6"/>
  <c r="K107" i="6"/>
  <c r="K108" i="6"/>
  <c r="K109" i="6"/>
  <c r="K110" i="6"/>
  <c r="K111" i="6"/>
  <c r="K99" i="6"/>
  <c r="K100" i="6"/>
  <c r="K146" i="6"/>
  <c r="K150" i="6"/>
  <c r="K128" i="6"/>
  <c r="K131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54" i="6"/>
  <c r="K125" i="6"/>
  <c r="K127" i="6"/>
  <c r="K130" i="6"/>
  <c r="K123" i="6"/>
  <c r="K34" i="6"/>
  <c r="K36" i="6"/>
  <c r="K38" i="6"/>
  <c r="K40" i="6"/>
  <c r="K42" i="6"/>
  <c r="K44" i="6"/>
  <c r="K46" i="6"/>
  <c r="K147" i="6"/>
  <c r="K151" i="6"/>
  <c r="K104" i="6"/>
  <c r="K114" i="6"/>
  <c r="K87" i="6"/>
  <c r="K91" i="6"/>
  <c r="K95" i="6"/>
  <c r="K73" i="6"/>
  <c r="K78" i="6"/>
  <c r="K69" i="6"/>
  <c r="K55" i="6"/>
  <c r="K61" i="6"/>
  <c r="K65" i="6"/>
  <c r="K47" i="6"/>
  <c r="K51" i="6"/>
  <c r="K28" i="6"/>
  <c r="K82" i="6"/>
  <c r="K56" i="6"/>
  <c r="K103" i="6"/>
  <c r="K112" i="6"/>
  <c r="K86" i="6"/>
  <c r="K90" i="6"/>
  <c r="K94" i="6"/>
  <c r="K98" i="6"/>
  <c r="K77" i="6"/>
  <c r="K81" i="6"/>
  <c r="K84" i="6"/>
  <c r="K72" i="6"/>
  <c r="K58" i="6"/>
  <c r="K60" i="6"/>
  <c r="K64" i="6"/>
  <c r="K68" i="6"/>
  <c r="K50" i="6"/>
  <c r="K54" i="6"/>
  <c r="K37" i="6"/>
  <c r="K41" i="6"/>
  <c r="K45" i="6"/>
  <c r="K27" i="6"/>
  <c r="K31" i="6"/>
  <c r="K32" i="6"/>
  <c r="K33" i="6"/>
  <c r="K5" i="6"/>
  <c r="K8" i="6"/>
  <c r="K9" i="6"/>
  <c r="K10" i="6"/>
  <c r="K11" i="6"/>
  <c r="K12" i="6"/>
  <c r="K14" i="6"/>
  <c r="K15" i="6"/>
  <c r="K16" i="6"/>
  <c r="K17" i="6"/>
  <c r="K18" i="6"/>
  <c r="K19" i="6"/>
  <c r="K20" i="6"/>
  <c r="K21" i="6"/>
  <c r="K22" i="6"/>
  <c r="K3" i="6"/>
  <c r="K7" i="6"/>
  <c r="K24" i="6"/>
  <c r="K145" i="6"/>
  <c r="K149" i="6"/>
  <c r="K102" i="6"/>
  <c r="K106" i="6"/>
  <c r="K85" i="6"/>
  <c r="K89" i="6"/>
  <c r="K93" i="6"/>
  <c r="K97" i="6"/>
  <c r="K76" i="6"/>
  <c r="K80" i="6"/>
  <c r="K83" i="6"/>
  <c r="K71" i="6"/>
  <c r="K57" i="6"/>
  <c r="K63" i="6"/>
  <c r="K67" i="6"/>
  <c r="K49" i="6"/>
  <c r="K53" i="6"/>
  <c r="K26" i="6"/>
  <c r="K30" i="6"/>
  <c r="K101" i="6"/>
  <c r="K105" i="6"/>
  <c r="K115" i="6"/>
  <c r="K88" i="6"/>
  <c r="K92" i="6"/>
  <c r="K96" i="6"/>
  <c r="K74" i="6"/>
  <c r="K79" i="6"/>
  <c r="K70" i="6"/>
  <c r="K59" i="6"/>
  <c r="K48" i="6"/>
  <c r="K25" i="6"/>
  <c r="K66" i="6"/>
  <c r="K43" i="6"/>
  <c r="K23" i="6"/>
  <c r="K62" i="6"/>
  <c r="K39" i="6"/>
  <c r="K13" i="6"/>
  <c r="K52" i="6"/>
  <c r="K35" i="6"/>
  <c r="K29" i="6"/>
  <c r="K4" i="6"/>
  <c r="K6" i="6"/>
  <c r="L80" i="8"/>
  <c r="L20" i="8"/>
  <c r="L118" i="8"/>
  <c r="L116" i="8"/>
  <c r="L113" i="8"/>
  <c r="L111" i="8"/>
  <c r="L24" i="8"/>
  <c r="L69" i="8"/>
  <c r="L71" i="8"/>
  <c r="L68" i="8"/>
  <c r="L70" i="8"/>
  <c r="L117" i="8"/>
  <c r="L115" i="8"/>
  <c r="L114" i="8"/>
  <c r="L112" i="8"/>
  <c r="L39" i="8"/>
  <c r="L21" i="8"/>
  <c r="L103" i="8"/>
  <c r="L104" i="8"/>
  <c r="L105" i="8"/>
  <c r="L106" i="8"/>
  <c r="L107" i="8"/>
  <c r="L108" i="8"/>
  <c r="L109" i="8"/>
  <c r="L110" i="8"/>
  <c r="L95" i="8"/>
  <c r="L96" i="8"/>
  <c r="L97" i="8"/>
  <c r="L98" i="8"/>
  <c r="L99" i="8"/>
  <c r="L100" i="8"/>
  <c r="L101" i="8"/>
  <c r="L91" i="8"/>
  <c r="L93" i="8"/>
  <c r="L102" i="8"/>
  <c r="L43" i="8"/>
  <c r="L60" i="8"/>
  <c r="L75" i="6"/>
  <c r="L62" i="8"/>
  <c r="L26" i="8"/>
  <c r="L57" i="8"/>
  <c r="L25" i="8"/>
  <c r="L90" i="8"/>
  <c r="L94" i="8"/>
  <c r="L92" i="8"/>
  <c r="L48" i="8"/>
  <c r="L53" i="8"/>
  <c r="L58" i="8"/>
  <c r="L64" i="8"/>
  <c r="L72" i="8"/>
  <c r="L73" i="8"/>
  <c r="L78" i="8"/>
  <c r="L79" i="8"/>
  <c r="L82" i="8"/>
  <c r="L84" i="8"/>
  <c r="L86" i="8"/>
  <c r="L88" i="8"/>
  <c r="L38" i="8"/>
  <c r="L41" i="8"/>
  <c r="L44" i="8"/>
  <c r="L46" i="8"/>
  <c r="L66" i="8"/>
  <c r="L75" i="8"/>
  <c r="L77" i="8"/>
  <c r="L85" i="8"/>
  <c r="L87" i="8"/>
  <c r="L40" i="8"/>
  <c r="L45" i="8"/>
  <c r="L56" i="8"/>
  <c r="L76" i="8"/>
  <c r="L47" i="8"/>
  <c r="L50" i="8"/>
  <c r="L54" i="8"/>
  <c r="L59" i="8"/>
  <c r="L65" i="8"/>
  <c r="L74" i="8"/>
  <c r="L16" i="8"/>
  <c r="L23" i="8"/>
  <c r="L51" i="8"/>
  <c r="L55" i="8"/>
  <c r="L61" i="8"/>
  <c r="L81" i="8"/>
  <c r="L83" i="8"/>
  <c r="L89" i="8"/>
  <c r="L42" i="8"/>
  <c r="L49" i="8"/>
  <c r="L52" i="8"/>
  <c r="L63" i="8"/>
  <c r="L67" i="8"/>
  <c r="L7" i="8"/>
  <c r="L11" i="8"/>
  <c r="L15" i="8"/>
  <c r="L22" i="8"/>
  <c r="L33" i="8"/>
  <c r="L37" i="8"/>
  <c r="L4" i="8"/>
  <c r="L6" i="8"/>
  <c r="L8" i="8"/>
  <c r="L10" i="8"/>
  <c r="L12" i="8"/>
  <c r="L14" i="8"/>
  <c r="L17" i="8"/>
  <c r="L19" i="8"/>
  <c r="L27" i="8"/>
  <c r="L28" i="8"/>
  <c r="L30" i="8"/>
  <c r="L32" i="8"/>
  <c r="L34" i="8"/>
  <c r="L36" i="8"/>
  <c r="L3" i="8"/>
  <c r="L5" i="8"/>
  <c r="L9" i="8"/>
  <c r="L13" i="8"/>
  <c r="L18" i="8"/>
  <c r="L29" i="8"/>
  <c r="L31" i="8"/>
  <c r="L35" i="8"/>
  <c r="L147" i="6"/>
  <c r="L151" i="6"/>
  <c r="G14" i="10"/>
  <c r="G15" i="10"/>
  <c r="G16" i="10"/>
  <c r="G17" i="10"/>
  <c r="G18" i="10"/>
  <c r="G19" i="10"/>
  <c r="G20" i="10"/>
  <c r="G21" i="10"/>
  <c r="L145" i="6"/>
  <c r="L149" i="6"/>
  <c r="L101" i="6"/>
  <c r="L105" i="6"/>
  <c r="L115" i="6"/>
  <c r="L88" i="6"/>
  <c r="L92" i="6"/>
  <c r="L96" i="6"/>
  <c r="L74" i="6"/>
  <c r="L79" i="6"/>
  <c r="L82" i="6"/>
  <c r="L70" i="6"/>
  <c r="L56" i="6"/>
  <c r="L59" i="6"/>
  <c r="L62" i="6"/>
  <c r="L66" i="6"/>
  <c r="L48" i="6"/>
  <c r="L52" i="6"/>
  <c r="L35" i="6"/>
  <c r="L36" i="6"/>
  <c r="L39" i="6"/>
  <c r="L40" i="6"/>
  <c r="L43" i="6"/>
  <c r="L44" i="6"/>
  <c r="L25" i="6"/>
  <c r="L29" i="6"/>
  <c r="L13" i="6"/>
  <c r="L4" i="6"/>
  <c r="L6" i="6"/>
  <c r="L23" i="6"/>
  <c r="L83" i="6"/>
  <c r="L71" i="6"/>
  <c r="L161" i="6"/>
  <c r="L162" i="6"/>
  <c r="L163" i="6"/>
  <c r="L164" i="6"/>
  <c r="L166" i="6"/>
  <c r="L157" i="6"/>
  <c r="L159" i="6"/>
  <c r="L146" i="6"/>
  <c r="L150" i="6"/>
  <c r="L128" i="6"/>
  <c r="L129" i="6"/>
  <c r="L131" i="6"/>
  <c r="L134" i="6"/>
  <c r="L136" i="6"/>
  <c r="L138" i="6"/>
  <c r="L140" i="6"/>
  <c r="L142" i="6"/>
  <c r="L144" i="6"/>
  <c r="L154" i="6"/>
  <c r="L124" i="6"/>
  <c r="L125" i="6"/>
  <c r="L126" i="6"/>
  <c r="L127" i="6"/>
  <c r="L130" i="6"/>
  <c r="L132" i="6"/>
  <c r="L123" i="6"/>
  <c r="L113" i="6"/>
  <c r="L117" i="6"/>
  <c r="L119" i="6"/>
  <c r="L121" i="6"/>
  <c r="L107" i="6"/>
  <c r="L109" i="6"/>
  <c r="L111" i="6"/>
  <c r="L100" i="6"/>
  <c r="L104" i="6"/>
  <c r="L114" i="6"/>
  <c r="L87" i="6"/>
  <c r="L91" i="6"/>
  <c r="L95" i="6"/>
  <c r="L73" i="6"/>
  <c r="L78" i="6"/>
  <c r="L69" i="6"/>
  <c r="L55" i="6"/>
  <c r="L61" i="6"/>
  <c r="L65" i="6"/>
  <c r="L47" i="6"/>
  <c r="L51" i="6"/>
  <c r="L28" i="6"/>
  <c r="G5" i="10"/>
  <c r="G6" i="10"/>
  <c r="G8" i="10"/>
  <c r="G10" i="10"/>
  <c r="G12" i="10"/>
  <c r="L103" i="6"/>
  <c r="L112" i="6"/>
  <c r="L86" i="6"/>
  <c r="L90" i="6"/>
  <c r="L94" i="6"/>
  <c r="L98" i="6"/>
  <c r="L77" i="6"/>
  <c r="L81" i="6"/>
  <c r="L84" i="6"/>
  <c r="L72" i="6"/>
  <c r="L58" i="6"/>
  <c r="L60" i="6"/>
  <c r="L64" i="6"/>
  <c r="L68" i="6"/>
  <c r="L50" i="6"/>
  <c r="L54" i="6"/>
  <c r="L34" i="6"/>
  <c r="L37" i="6"/>
  <c r="L38" i="6"/>
  <c r="L41" i="6"/>
  <c r="L42" i="6"/>
  <c r="L45" i="6"/>
  <c r="L46" i="6"/>
  <c r="L27" i="6"/>
  <c r="L31" i="6"/>
  <c r="L32" i="6"/>
  <c r="L33" i="6"/>
  <c r="L5" i="6"/>
  <c r="G4" i="10"/>
  <c r="L8" i="6"/>
  <c r="L9" i="6"/>
  <c r="L10" i="6"/>
  <c r="L11" i="6"/>
  <c r="L12" i="6"/>
  <c r="L14" i="6"/>
  <c r="L15" i="6"/>
  <c r="L16" i="6"/>
  <c r="L17" i="6"/>
  <c r="L18" i="6"/>
  <c r="L19" i="6"/>
  <c r="L20" i="6"/>
  <c r="L21" i="6"/>
  <c r="L22" i="6"/>
  <c r="L3" i="6"/>
  <c r="L7" i="6"/>
  <c r="L24" i="6"/>
  <c r="L167" i="6"/>
  <c r="L160" i="6"/>
  <c r="L165" i="6"/>
  <c r="L155" i="6"/>
  <c r="L156" i="6"/>
  <c r="L158" i="6"/>
  <c r="L148" i="6"/>
  <c r="L152" i="6"/>
  <c r="L153" i="6"/>
  <c r="L133" i="6"/>
  <c r="L135" i="6"/>
  <c r="L137" i="6"/>
  <c r="L139" i="6"/>
  <c r="L141" i="6"/>
  <c r="L143" i="6"/>
  <c r="L116" i="6"/>
  <c r="L118" i="6"/>
  <c r="L120" i="6"/>
  <c r="L122" i="6"/>
  <c r="L108" i="6"/>
  <c r="L110" i="6"/>
  <c r="L99" i="6"/>
  <c r="L102" i="6"/>
  <c r="L106" i="6"/>
  <c r="L85" i="6"/>
  <c r="L89" i="6"/>
  <c r="L93" i="6"/>
  <c r="L97" i="6"/>
  <c r="L76" i="6"/>
  <c r="L80" i="6"/>
  <c r="L57" i="6"/>
  <c r="L53" i="6"/>
  <c r="L30" i="6"/>
  <c r="G11" i="10"/>
  <c r="L49" i="6"/>
  <c r="L26" i="6"/>
  <c r="G3" i="10"/>
  <c r="G13" i="10"/>
  <c r="L67" i="6"/>
  <c r="G7" i="10"/>
  <c r="L63" i="6"/>
  <c r="G9" i="10"/>
  <c r="S62" i="1"/>
  <c r="I62" i="1"/>
  <c r="AA62" i="1" s="1"/>
  <c r="J47" i="1"/>
  <c r="M47" i="1" s="1"/>
  <c r="J48" i="1"/>
  <c r="M48" i="1" s="1"/>
  <c r="J11" i="1"/>
  <c r="M11" i="1" s="1"/>
  <c r="J12" i="1"/>
  <c r="M12" i="1" s="1"/>
  <c r="J9" i="1"/>
  <c r="M9" i="1" s="1"/>
  <c r="J13" i="1"/>
  <c r="M13" i="1" s="1"/>
  <c r="J10" i="1"/>
  <c r="M10" i="1" s="1"/>
  <c r="J87" i="1"/>
  <c r="M87" i="1" s="1"/>
  <c r="J91" i="1"/>
  <c r="M91" i="1" s="1"/>
  <c r="J88" i="1"/>
  <c r="M88" i="1" s="1"/>
  <c r="J89" i="1"/>
  <c r="M89" i="1" s="1"/>
  <c r="J85" i="1"/>
  <c r="M85" i="1" s="1"/>
  <c r="J86" i="1"/>
  <c r="M86" i="1" s="1"/>
  <c r="J90" i="1"/>
  <c r="M90" i="1" s="1"/>
  <c r="J43" i="1"/>
  <c r="M43" i="1" s="1"/>
  <c r="J40" i="1"/>
  <c r="M40" i="1" s="1"/>
  <c r="J41" i="1"/>
  <c r="M41" i="1" s="1"/>
  <c r="J42" i="1"/>
  <c r="M42" i="1" s="1"/>
  <c r="J44" i="1"/>
  <c r="M44" i="1" s="1"/>
  <c r="J45" i="1"/>
  <c r="M45" i="1" s="1"/>
  <c r="J46" i="1"/>
  <c r="M46" i="1" s="1"/>
  <c r="J15" i="1"/>
  <c r="M15" i="1" s="1"/>
  <c r="J19" i="1"/>
  <c r="M19" i="1" s="1"/>
  <c r="J23" i="1"/>
  <c r="M23" i="1" s="1"/>
  <c r="J27" i="1"/>
  <c r="M27" i="1" s="1"/>
  <c r="J16" i="1"/>
  <c r="M16" i="1" s="1"/>
  <c r="J20" i="1"/>
  <c r="M20" i="1" s="1"/>
  <c r="J24" i="1"/>
  <c r="M24" i="1" s="1"/>
  <c r="J28" i="1"/>
  <c r="M28" i="1" s="1"/>
  <c r="J17" i="1"/>
  <c r="M17" i="1" s="1"/>
  <c r="J21" i="1"/>
  <c r="M21" i="1" s="1"/>
  <c r="J25" i="1"/>
  <c r="M25" i="1" s="1"/>
  <c r="J14" i="1"/>
  <c r="M14" i="1" s="1"/>
  <c r="J18" i="1"/>
  <c r="M18" i="1" s="1"/>
  <c r="J22" i="1"/>
  <c r="M22" i="1" s="1"/>
  <c r="J26" i="1"/>
  <c r="M26" i="1" s="1"/>
  <c r="J99" i="1"/>
  <c r="M99" i="1" s="1"/>
  <c r="J96" i="1"/>
  <c r="M96" i="1" s="1"/>
  <c r="J97" i="1"/>
  <c r="M97" i="1" s="1"/>
  <c r="J98" i="1"/>
  <c r="M98" i="1" s="1"/>
  <c r="J67" i="1"/>
  <c r="M67" i="1" s="1"/>
  <c r="J71" i="1"/>
  <c r="M71" i="1" s="1"/>
  <c r="J75" i="1"/>
  <c r="M75" i="1" s="1"/>
  <c r="J79" i="1"/>
  <c r="M79" i="1" s="1"/>
  <c r="J83" i="1"/>
  <c r="M83" i="1" s="1"/>
  <c r="J68" i="1"/>
  <c r="M68" i="1" s="1"/>
  <c r="J72" i="1"/>
  <c r="M72" i="1" s="1"/>
  <c r="J76" i="1"/>
  <c r="M76" i="1" s="1"/>
  <c r="J69" i="1"/>
  <c r="M69" i="1" s="1"/>
  <c r="J73" i="1"/>
  <c r="M73" i="1" s="1"/>
  <c r="J77" i="1"/>
  <c r="M77" i="1" s="1"/>
  <c r="J81" i="1"/>
  <c r="M81" i="1" s="1"/>
  <c r="J70" i="1"/>
  <c r="M70" i="1" s="1"/>
  <c r="J74" i="1"/>
  <c r="M74" i="1" s="1"/>
  <c r="J78" i="1"/>
  <c r="M78" i="1" s="1"/>
  <c r="J82" i="1"/>
  <c r="M82" i="1" s="1"/>
  <c r="J84" i="1"/>
  <c r="M84" i="1" s="1"/>
  <c r="J80" i="1"/>
  <c r="M80" i="1" s="1"/>
  <c r="J35" i="1"/>
  <c r="M35" i="1" s="1"/>
  <c r="J39" i="1"/>
  <c r="M39" i="1" s="1"/>
  <c r="J32" i="1"/>
  <c r="M32" i="1" s="1"/>
  <c r="J36" i="1"/>
  <c r="M36" i="1" s="1"/>
  <c r="J33" i="1"/>
  <c r="M33" i="1" s="1"/>
  <c r="J37" i="1"/>
  <c r="M37" i="1" s="1"/>
  <c r="J34" i="1"/>
  <c r="M34" i="1" s="1"/>
  <c r="J38" i="1"/>
  <c r="M38" i="1" s="1"/>
  <c r="J8" i="1"/>
  <c r="M8" i="1" s="1"/>
  <c r="J6" i="1"/>
  <c r="M6" i="1" s="1"/>
  <c r="J3" i="1"/>
  <c r="M3" i="1" s="1"/>
  <c r="J5" i="1"/>
  <c r="M5" i="1" s="1"/>
  <c r="J7" i="1"/>
  <c r="M7" i="1" s="1"/>
  <c r="J95" i="1"/>
  <c r="M95" i="1" s="1"/>
  <c r="J93" i="1"/>
  <c r="M93" i="1" s="1"/>
  <c r="J94" i="1"/>
  <c r="M94" i="1" s="1"/>
  <c r="J51" i="1"/>
  <c r="M51" i="1" s="1"/>
  <c r="J55" i="1"/>
  <c r="M55" i="1" s="1"/>
  <c r="J59" i="1"/>
  <c r="M59" i="1" s="1"/>
  <c r="J63" i="1"/>
  <c r="M63" i="1" s="1"/>
  <c r="J52" i="1"/>
  <c r="M52" i="1" s="1"/>
  <c r="J56" i="1"/>
  <c r="M56" i="1" s="1"/>
  <c r="J60" i="1"/>
  <c r="M60" i="1" s="1"/>
  <c r="J64" i="1"/>
  <c r="M64" i="1" s="1"/>
  <c r="J49" i="1"/>
  <c r="M49" i="1" s="1"/>
  <c r="J53" i="1"/>
  <c r="M53" i="1" s="1"/>
  <c r="J57" i="1"/>
  <c r="M57" i="1" s="1"/>
  <c r="J61" i="1"/>
  <c r="M61" i="1" s="1"/>
  <c r="J65" i="1"/>
  <c r="M65" i="1" s="1"/>
  <c r="J50" i="1"/>
  <c r="M50" i="1" s="1"/>
  <c r="J54" i="1"/>
  <c r="M54" i="1" s="1"/>
  <c r="J58" i="1"/>
  <c r="M58" i="1" s="1"/>
  <c r="J62" i="1"/>
  <c r="M62" i="1" s="1"/>
  <c r="J66" i="1"/>
  <c r="M66" i="1" s="1"/>
  <c r="J31" i="1"/>
  <c r="M31" i="1" s="1"/>
  <c r="J29" i="1"/>
  <c r="M29" i="1" s="1"/>
  <c r="J30" i="1"/>
  <c r="M30" i="1" s="1"/>
  <c r="J4" i="1"/>
  <c r="M4" i="1" s="1"/>
  <c r="AA36" i="1" l="1"/>
  <c r="K36" i="1"/>
  <c r="AA3" i="1"/>
  <c r="K3" i="1"/>
  <c r="L92" i="1"/>
  <c r="K92" i="1"/>
  <c r="L29" i="1"/>
  <c r="K29" i="1"/>
  <c r="K58" i="1"/>
  <c r="L58" i="1"/>
  <c r="K61" i="1"/>
  <c r="L61" i="1"/>
  <c r="K64" i="1"/>
  <c r="L64" i="1"/>
  <c r="L63" i="1"/>
  <c r="K63" i="1"/>
  <c r="L94" i="1"/>
  <c r="K94" i="1"/>
  <c r="K5" i="1"/>
  <c r="L5" i="1"/>
  <c r="K38" i="1"/>
  <c r="L38" i="1"/>
  <c r="L36" i="1"/>
  <c r="K80" i="1"/>
  <c r="L80" i="1"/>
  <c r="K74" i="1"/>
  <c r="L74" i="1"/>
  <c r="K73" i="1"/>
  <c r="L73" i="1"/>
  <c r="K68" i="1"/>
  <c r="L68" i="1"/>
  <c r="K71" i="1"/>
  <c r="L71" i="1"/>
  <c r="K96" i="1"/>
  <c r="L96" i="1"/>
  <c r="L18" i="1"/>
  <c r="K18" i="1"/>
  <c r="L17" i="1"/>
  <c r="K17" i="1"/>
  <c r="K16" i="1"/>
  <c r="L16" i="1"/>
  <c r="K15" i="1"/>
  <c r="L15" i="1"/>
  <c r="K42" i="1"/>
  <c r="L42" i="1"/>
  <c r="L90" i="1"/>
  <c r="K90" i="1"/>
  <c r="K88" i="1"/>
  <c r="L88" i="1"/>
  <c r="L13" i="1"/>
  <c r="K13" i="1"/>
  <c r="K48" i="1"/>
  <c r="L48" i="1"/>
  <c r="K54" i="1"/>
  <c r="L54" i="1"/>
  <c r="K57" i="1"/>
  <c r="L57" i="1"/>
  <c r="K60" i="1"/>
  <c r="L60" i="1"/>
  <c r="L59" i="1"/>
  <c r="K59" i="1"/>
  <c r="K93" i="1"/>
  <c r="L93" i="1"/>
  <c r="L3" i="1"/>
  <c r="K34" i="1"/>
  <c r="L34" i="1"/>
  <c r="L32" i="1"/>
  <c r="K32" i="1"/>
  <c r="K84" i="1"/>
  <c r="L84" i="1"/>
  <c r="K70" i="1"/>
  <c r="L70" i="1"/>
  <c r="K69" i="1"/>
  <c r="L69" i="1"/>
  <c r="L83" i="1"/>
  <c r="K83" i="1"/>
  <c r="L67" i="1"/>
  <c r="K67" i="1"/>
  <c r="K99" i="1"/>
  <c r="L99" i="1"/>
  <c r="K14" i="1"/>
  <c r="L14" i="1"/>
  <c r="L28" i="1"/>
  <c r="K28" i="1"/>
  <c r="K27" i="1"/>
  <c r="L27" i="1"/>
  <c r="K46" i="1"/>
  <c r="L46" i="1"/>
  <c r="K41" i="1"/>
  <c r="L41" i="1"/>
  <c r="K86" i="1"/>
  <c r="L86" i="1"/>
  <c r="K91" i="1"/>
  <c r="L91" i="1"/>
  <c r="L9" i="1"/>
  <c r="K9" i="1"/>
  <c r="K47" i="1"/>
  <c r="L47" i="1"/>
  <c r="K31" i="1"/>
  <c r="L31" i="1"/>
  <c r="K66" i="1"/>
  <c r="L66" i="1"/>
  <c r="K50" i="1"/>
  <c r="L50" i="1"/>
  <c r="K53" i="1"/>
  <c r="L53" i="1"/>
  <c r="K56" i="1"/>
  <c r="L56" i="1"/>
  <c r="L55" i="1"/>
  <c r="K55" i="1"/>
  <c r="K95" i="1"/>
  <c r="L95" i="1"/>
  <c r="K6" i="1"/>
  <c r="L6" i="1"/>
  <c r="L37" i="1"/>
  <c r="K37" i="1"/>
  <c r="K39" i="1"/>
  <c r="L39" i="1"/>
  <c r="L82" i="1"/>
  <c r="K82" i="1"/>
  <c r="L81" i="1"/>
  <c r="K81" i="1"/>
  <c r="K76" i="1"/>
  <c r="L76" i="1"/>
  <c r="L79" i="1"/>
  <c r="K79" i="1"/>
  <c r="L98" i="1"/>
  <c r="K98" i="1"/>
  <c r="L26" i="1"/>
  <c r="K26" i="1"/>
  <c r="L25" i="1"/>
  <c r="K25" i="1"/>
  <c r="L24" i="1"/>
  <c r="K24" i="1"/>
  <c r="K23" i="1"/>
  <c r="L23" i="1"/>
  <c r="L45" i="1"/>
  <c r="K45" i="1"/>
  <c r="K40" i="1"/>
  <c r="L40" i="1"/>
  <c r="L85" i="1"/>
  <c r="K85" i="1"/>
  <c r="K87" i="1"/>
  <c r="L87" i="1"/>
  <c r="K12" i="1"/>
  <c r="L12" i="1"/>
  <c r="L30" i="1"/>
  <c r="K30" i="1"/>
  <c r="K62" i="1"/>
  <c r="L62" i="1"/>
  <c r="K65" i="1"/>
  <c r="L65" i="1"/>
  <c r="K49" i="1"/>
  <c r="L49" i="1"/>
  <c r="K52" i="1"/>
  <c r="L52" i="1"/>
  <c r="K51" i="1"/>
  <c r="L51" i="1"/>
  <c r="K7" i="1"/>
  <c r="L7" i="1"/>
  <c r="K8" i="1"/>
  <c r="L8" i="1"/>
  <c r="L33" i="1"/>
  <c r="K33" i="1"/>
  <c r="K35" i="1"/>
  <c r="L35" i="1"/>
  <c r="L78" i="1"/>
  <c r="K78" i="1"/>
  <c r="K77" i="1"/>
  <c r="L77" i="1"/>
  <c r="K72" i="1"/>
  <c r="L72" i="1"/>
  <c r="K75" i="1"/>
  <c r="L75" i="1"/>
  <c r="K97" i="1"/>
  <c r="L97" i="1"/>
  <c r="L22" i="1"/>
  <c r="K22" i="1"/>
  <c r="L21" i="1"/>
  <c r="K21" i="1"/>
  <c r="L20" i="1"/>
  <c r="K20" i="1"/>
  <c r="K19" i="1"/>
  <c r="L19" i="1"/>
  <c r="K44" i="1"/>
  <c r="L44" i="1"/>
  <c r="L43" i="1"/>
  <c r="K43" i="1"/>
  <c r="L89" i="1"/>
  <c r="K89" i="1"/>
  <c r="K10" i="1"/>
  <c r="L10" i="1"/>
  <c r="K11" i="1"/>
  <c r="L11" i="1"/>
  <c r="L4" i="1"/>
  <c r="K4" i="1"/>
  <c r="R92" i="1" l="1"/>
  <c r="R89" i="1"/>
  <c r="R20" i="1"/>
  <c r="R85" i="1"/>
  <c r="R45" i="1"/>
  <c r="R24" i="1"/>
  <c r="R26" i="1"/>
  <c r="R79" i="1"/>
  <c r="R81" i="1"/>
  <c r="R55" i="1"/>
  <c r="R67" i="1"/>
  <c r="R13" i="1"/>
  <c r="R63" i="1"/>
  <c r="R43" i="1"/>
  <c r="R21" i="1"/>
  <c r="R78" i="1"/>
  <c r="R98" i="1"/>
  <c r="R82" i="1"/>
  <c r="R9" i="1"/>
  <c r="R28" i="1"/>
  <c r="R83" i="1"/>
  <c r="R59" i="1"/>
  <c r="R18" i="1"/>
  <c r="R94" i="1"/>
  <c r="R90" i="1"/>
  <c r="R17" i="1"/>
  <c r="R33" i="1"/>
  <c r="R30" i="1"/>
  <c r="R25" i="1"/>
  <c r="R37" i="1"/>
  <c r="R32" i="1"/>
  <c r="R10" i="1"/>
  <c r="R19" i="1"/>
  <c r="R97" i="1"/>
  <c r="R72" i="1"/>
  <c r="R7" i="1"/>
  <c r="R52" i="1"/>
  <c r="R65" i="1"/>
  <c r="R87" i="1"/>
  <c r="R40" i="1"/>
  <c r="R23" i="1"/>
  <c r="R76" i="1"/>
  <c r="R95" i="1"/>
  <c r="R56" i="1"/>
  <c r="R50" i="1"/>
  <c r="R31" i="1"/>
  <c r="R86" i="1"/>
  <c r="R46" i="1"/>
  <c r="R99" i="1"/>
  <c r="R70" i="1"/>
  <c r="R3" i="1"/>
  <c r="R57" i="1"/>
  <c r="R48" i="1"/>
  <c r="R88" i="1"/>
  <c r="R42" i="1"/>
  <c r="R16" i="1"/>
  <c r="R71" i="1"/>
  <c r="R73" i="1"/>
  <c r="R80" i="1"/>
  <c r="R38" i="1"/>
  <c r="R64" i="1"/>
  <c r="R58" i="1"/>
  <c r="R22" i="1"/>
  <c r="R29" i="1"/>
  <c r="R11" i="1"/>
  <c r="R44" i="1"/>
  <c r="R75" i="1"/>
  <c r="R77" i="1"/>
  <c r="R35" i="1"/>
  <c r="R8" i="1"/>
  <c r="R51" i="1"/>
  <c r="R49" i="1"/>
  <c r="R62" i="1"/>
  <c r="R12" i="1"/>
  <c r="R39" i="1"/>
  <c r="R6" i="1"/>
  <c r="R53" i="1"/>
  <c r="R66" i="1"/>
  <c r="R47" i="1"/>
  <c r="R91" i="1"/>
  <c r="R41" i="1"/>
  <c r="R27" i="1"/>
  <c r="R14" i="1"/>
  <c r="R69" i="1"/>
  <c r="R84" i="1"/>
  <c r="R34" i="1"/>
  <c r="R93" i="1"/>
  <c r="R60" i="1"/>
  <c r="R54" i="1"/>
  <c r="R15" i="1"/>
  <c r="R96" i="1"/>
  <c r="R68" i="1"/>
  <c r="R74" i="1"/>
  <c r="R36" i="1"/>
  <c r="R5" i="1"/>
  <c r="R61" i="1"/>
  <c r="R4" i="1"/>
  <c r="U93" i="1" l="1"/>
  <c r="U95" i="1"/>
  <c r="U12" i="1"/>
  <c r="U96" i="1"/>
  <c r="U97" i="1"/>
  <c r="U99" i="1"/>
  <c r="U98" i="1"/>
  <c r="U86" i="1"/>
  <c r="U94" i="1"/>
  <c r="U89" i="1"/>
  <c r="U90" i="1"/>
  <c r="U87" i="1"/>
  <c r="U88" i="1"/>
  <c r="U91" i="1"/>
  <c r="U85" i="1"/>
  <c r="U75" i="1"/>
  <c r="U80" i="1"/>
  <c r="U72" i="1"/>
  <c r="U73" i="1"/>
  <c r="U70" i="1"/>
  <c r="U76" i="1"/>
  <c r="U82" i="1"/>
  <c r="U74" i="1"/>
  <c r="U84" i="1"/>
  <c r="U71" i="1"/>
  <c r="U83" i="1"/>
  <c r="U81" i="1"/>
  <c r="U68" i="1"/>
  <c r="U69" i="1"/>
  <c r="U77" i="1"/>
  <c r="U78" i="1"/>
  <c r="U79" i="1"/>
  <c r="U67" i="1"/>
  <c r="U61" i="1"/>
  <c r="U60" i="1"/>
  <c r="U57" i="1"/>
  <c r="U56" i="1"/>
  <c r="U51" i="1"/>
  <c r="U66" i="1"/>
  <c r="U58" i="1"/>
  <c r="U65" i="1"/>
  <c r="U59" i="1"/>
  <c r="U55" i="1"/>
  <c r="U54" i="1"/>
  <c r="U53" i="1"/>
  <c r="U62" i="1"/>
  <c r="U64" i="1"/>
  <c r="U50" i="1"/>
  <c r="U52" i="1"/>
  <c r="U63" i="1"/>
  <c r="U49" i="1"/>
  <c r="U42" i="1"/>
  <c r="U44" i="1"/>
  <c r="U43" i="1"/>
  <c r="U41" i="1"/>
  <c r="U45" i="1"/>
  <c r="U46" i="1"/>
  <c r="U40" i="1"/>
  <c r="U14" i="1"/>
  <c r="U22" i="1"/>
  <c r="U9" i="1"/>
  <c r="U11" i="1"/>
  <c r="U10" i="1"/>
  <c r="U13" i="1"/>
  <c r="U21" i="1"/>
  <c r="U26" i="1"/>
  <c r="U27" i="1"/>
  <c r="U23" i="1"/>
  <c r="U19" i="1"/>
  <c r="U25" i="1"/>
  <c r="U20" i="1"/>
  <c r="U24" i="1"/>
  <c r="U28" i="1"/>
  <c r="U15" i="1"/>
  <c r="U17" i="1"/>
  <c r="U16" i="1"/>
  <c r="U39" i="1"/>
  <c r="U33" i="1"/>
  <c r="U18" i="1"/>
  <c r="U36" i="1"/>
  <c r="U34" i="1"/>
  <c r="U37" i="1"/>
  <c r="U35" i="1"/>
  <c r="U38" i="1"/>
  <c r="U32" i="1"/>
</calcChain>
</file>

<file path=xl/sharedStrings.xml><?xml version="1.0" encoding="utf-8"?>
<sst xmlns="http://schemas.openxmlformats.org/spreadsheetml/2006/main" count="1863" uniqueCount="369">
  <si>
    <t>City</t>
  </si>
  <si>
    <t>Potable</t>
  </si>
  <si>
    <t>Non-Potable</t>
  </si>
  <si>
    <t>Elevation
[m]</t>
  </si>
  <si>
    <t>Abha</t>
  </si>
  <si>
    <t>Abqaiq</t>
  </si>
  <si>
    <t>Buraydah</t>
  </si>
  <si>
    <t>Dammam</t>
  </si>
  <si>
    <t>Hofuf</t>
  </si>
  <si>
    <t>Hafr Al-Batin</t>
  </si>
  <si>
    <t>Jeddah</t>
  </si>
  <si>
    <t>Jubail</t>
  </si>
  <si>
    <t>Khafji</t>
  </si>
  <si>
    <t>Khamis Mushayt</t>
  </si>
  <si>
    <t>Mecca</t>
  </si>
  <si>
    <t>Medina</t>
  </si>
  <si>
    <t>Qatif</t>
  </si>
  <si>
    <t>Ras Tanura</t>
  </si>
  <si>
    <t>Riyadh</t>
  </si>
  <si>
    <t>Saihat</t>
  </si>
  <si>
    <t>Taif</t>
  </si>
  <si>
    <t>Unaizah</t>
  </si>
  <si>
    <t>Yanbu</t>
  </si>
  <si>
    <t>Dhahran</t>
  </si>
  <si>
    <t>Al-Bahah</t>
  </si>
  <si>
    <t>Latitude
[deg N]</t>
  </si>
  <si>
    <t>Longitude
[deg E]</t>
  </si>
  <si>
    <t>RYD</t>
  </si>
  <si>
    <t>MKM</t>
  </si>
  <si>
    <t>MDM</t>
  </si>
  <si>
    <t>SHQ</t>
  </si>
  <si>
    <t>Administration</t>
  </si>
  <si>
    <t>QSM</t>
  </si>
  <si>
    <t>ASI</t>
  </si>
  <si>
    <t>BAH</t>
  </si>
  <si>
    <t>Region</t>
  </si>
  <si>
    <t>Abbr.</t>
  </si>
  <si>
    <t>Makkah</t>
  </si>
  <si>
    <t>Madinah</t>
  </si>
  <si>
    <t>Jazan</t>
  </si>
  <si>
    <t>Al-Qassim</t>
  </si>
  <si>
    <t>Asir</t>
  </si>
  <si>
    <t>Eastern Province</t>
  </si>
  <si>
    <t>Ave. Daily Water
[liters/day/capita]</t>
  </si>
  <si>
    <t>Population
(2010)</t>
  </si>
  <si>
    <t>Desal Plant</t>
  </si>
  <si>
    <t>Power Capacity
[MW] (if any)</t>
  </si>
  <si>
    <t>Power Plant</t>
  </si>
  <si>
    <t>Power Capacity
[MW]</t>
  </si>
  <si>
    <t>Technology</t>
  </si>
  <si>
    <t>Rabigh</t>
  </si>
  <si>
    <t>Masturah</t>
  </si>
  <si>
    <t>Thuwal</t>
  </si>
  <si>
    <t>Khaybar</t>
  </si>
  <si>
    <t>Ahad Rafidah</t>
  </si>
  <si>
    <t>Safwa</t>
  </si>
  <si>
    <t>Shaqra</t>
  </si>
  <si>
    <t>Nairyah</t>
  </si>
  <si>
    <t>ID</t>
  </si>
  <si>
    <t>Pipeline</t>
  </si>
  <si>
    <t>Origin_ID</t>
  </si>
  <si>
    <t>Destination_ID</t>
  </si>
  <si>
    <t>Distance
[km]</t>
  </si>
  <si>
    <t>Diameter
[mm]</t>
  </si>
  <si>
    <t>Khobar</t>
  </si>
  <si>
    <t>Sudair</t>
  </si>
  <si>
    <r>
      <t>Water Demand 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/day]</t>
    </r>
  </si>
  <si>
    <r>
      <t>Wastewater
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/day]</t>
    </r>
  </si>
  <si>
    <r>
      <t>Water Capacity
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/day]</t>
    </r>
  </si>
  <si>
    <r>
      <t>Power Consumption
[kWh/m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</si>
  <si>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Wastewater
Treatment?</t>
  </si>
  <si>
    <t>Hali</t>
  </si>
  <si>
    <t>Muzahmiyya</t>
  </si>
  <si>
    <t>Al-Kharj</t>
  </si>
  <si>
    <t>Hawtah Bani Tamim</t>
  </si>
  <si>
    <t>MED</t>
  </si>
  <si>
    <t>Input Parameter</t>
  </si>
  <si>
    <t>Value</t>
  </si>
  <si>
    <t>Tabuk</t>
  </si>
  <si>
    <t>Ha'il</t>
  </si>
  <si>
    <t>Northern Borders</t>
  </si>
  <si>
    <t>Najran</t>
  </si>
  <si>
    <t>Kingdom of Saudi Arabia</t>
  </si>
  <si>
    <t>?</t>
  </si>
  <si>
    <t>…</t>
  </si>
  <si>
    <t>Al-Jouf</t>
  </si>
  <si>
    <r>
      <t>Power consumption for wastewater treatment [kWh/m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</si>
  <si>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Power consumption for water desalination by technology [kWh/m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</si>
  <si>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MSF</t>
  </si>
  <si>
    <t>JAZ</t>
  </si>
  <si>
    <t>Population</t>
  </si>
  <si>
    <t>Ave. daily power consumption per capita [kWh/capita/day]</t>
  </si>
  <si>
    <t>Ave. daily water consumption per capita by region [liters/capita/day]</t>
  </si>
  <si>
    <t>normalized by 2010</t>
  </si>
  <si>
    <t>Estimated
Population</t>
  </si>
  <si>
    <t>Recovery Rate [%]</t>
  </si>
  <si>
    <t>Samtah</t>
  </si>
  <si>
    <t>Bisha</t>
  </si>
  <si>
    <t>Duba</t>
  </si>
  <si>
    <t>Al-Wajh</t>
  </si>
  <si>
    <t>Tabarjal</t>
  </si>
  <si>
    <t>Rafha</t>
  </si>
  <si>
    <t>Layla</t>
  </si>
  <si>
    <t>Ar'ar</t>
  </si>
  <si>
    <t>TBK</t>
  </si>
  <si>
    <t>Origin</t>
  </si>
  <si>
    <t>Destination</t>
  </si>
  <si>
    <t>Powerline</t>
  </si>
  <si>
    <t>Sharurah</t>
  </si>
  <si>
    <t>NJR</t>
  </si>
  <si>
    <t>Al-Qaisumah</t>
  </si>
  <si>
    <t>JWF</t>
  </si>
  <si>
    <t>Al-Qurayyat</t>
  </si>
  <si>
    <t>HDS</t>
  </si>
  <si>
    <t>HAL</t>
  </si>
  <si>
    <t>Al-Uyun</t>
  </si>
  <si>
    <t>Al-Majma'ah</t>
  </si>
  <si>
    <t>Al-Zilfi</t>
  </si>
  <si>
    <t>Node</t>
  </si>
  <si>
    <t>Al-Qunfudhah</t>
  </si>
  <si>
    <t>Al-Qouz</t>
  </si>
  <si>
    <t>Dhahran Al-Janub</t>
  </si>
  <si>
    <t>Uyun Al-Jiwa</t>
  </si>
  <si>
    <t>Al-Ghat</t>
  </si>
  <si>
    <t>Wadi Ad-Dawasir</t>
  </si>
  <si>
    <t>Ave. Daily Power
[kWh/day/capita]</t>
  </si>
  <si>
    <t>Dumat Al-Jandal</t>
  </si>
  <si>
    <t>Sakakah</t>
  </si>
  <si>
    <t>Al-Hawiyah</t>
  </si>
  <si>
    <r>
      <t>Treatment Capacity
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/day]</t>
    </r>
  </si>
  <si>
    <r>
      <t>Groundwater Capacity
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/day]</t>
    </r>
  </si>
  <si>
    <r>
      <t>Power consumption for groundwater processing [kWh/m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</si>
  <si>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Operation Cost
[USD/m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</si>
  <si>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Operation Cost
[USD/kWh]</t>
  </si>
  <si>
    <t>CAPEX</t>
  </si>
  <si>
    <t>Power plant capacity expansion [USD/MW]</t>
  </si>
  <si>
    <t>Water pipeline [USD/km]</t>
  </si>
  <si>
    <t>OPEX</t>
  </si>
  <si>
    <r>
      <t>Groundwater processing [USD/m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</si>
  <si>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Wastewater treatment [USD/m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</si>
  <si>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Desal plant [USD/m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</si>
  <si>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Power plant [USD/kWh]</t>
  </si>
  <si>
    <t>Powerline [USD/km]</t>
  </si>
  <si>
    <t>Average lifetime [year]</t>
  </si>
  <si>
    <r>
      <t>Wastewater treatment capacity expansion [USD/(m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/day)]</t>
    </r>
  </si>
  <si>
    <r>
      <t>Desal plant capacity expansion [USD/(m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/day)]</t>
    </r>
  </si>
  <si>
    <t>annualized</t>
  </si>
  <si>
    <r>
      <t>USD/(m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/day)/year</t>
    </r>
  </si>
  <si>
    <t>USD/MW/year</t>
  </si>
  <si>
    <t>USD/km/year</t>
  </si>
  <si>
    <r>
      <t>Cap. Expansion Cost
[USD/(m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/day)/year]</t>
    </r>
  </si>
  <si>
    <t>Cap. Expansion Cost
[USD/MW/year]</t>
  </si>
  <si>
    <t>Ratio of wastewater generated to potable water consumed [%]</t>
  </si>
  <si>
    <t>Ratio of wastewater treated to wastewater generated [%]</t>
  </si>
  <si>
    <t>Ratio of non-potable water generated to wastewater treated [%]</t>
  </si>
  <si>
    <t>Water loss during transmission [%/km]</t>
  </si>
  <si>
    <t>Resistive loss of electricity transmission [%/km]</t>
  </si>
  <si>
    <t>Friction head loss coefficient</t>
  </si>
  <si>
    <r>
      <t>Friction Head Loss
[m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/s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]</t>
    </r>
  </si>
  <si>
    <t>Water pipeline [USD/km/year]</t>
  </si>
  <si>
    <t>Powerline [USD/km/year]</t>
  </si>
  <si>
    <t>Water Loss
[%]</t>
  </si>
  <si>
    <t>Electricity Loss
[%]</t>
  </si>
  <si>
    <r>
      <t>Water Capacity
[m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/day]</t>
    </r>
  </si>
  <si>
    <t>Water Operation Cost
[USD/year]</t>
  </si>
  <si>
    <t>Power Operation Cost
[USD/year]</t>
  </si>
  <si>
    <t>Water Capital Cost
[USD/year]</t>
  </si>
  <si>
    <t>Power Capital Cost
[USD/year]</t>
  </si>
  <si>
    <t>Typical water transmission speed [m/s]</t>
  </si>
  <si>
    <t>Ground water and other contribution by region [%]</t>
  </si>
  <si>
    <t>Percentage of non-drinking use (non-potable water) [%]</t>
  </si>
  <si>
    <t>Power Demand
[kWh/day]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</si>
  <si>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 for water desalination by technology [kg/m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</si>
  <si>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Gas</t>
  </si>
  <si>
    <t>Diesel</t>
  </si>
  <si>
    <t>Crude</t>
  </si>
  <si>
    <t>HFO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</si>
  <si>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 for waste water treatment [kg/m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</si>
  <si>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
[kg/kWh]</t>
    </r>
  </si>
  <si>
    <t>Fuel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</si>
  <si>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 for power generation by fuel [kg/kWh]</t>
    </r>
  </si>
  <si>
    <t>Haql</t>
  </si>
  <si>
    <t>Tayma</t>
  </si>
  <si>
    <t>Umluj</t>
  </si>
  <si>
    <t>Al-Ula</t>
  </si>
  <si>
    <t>Badr</t>
  </si>
  <si>
    <t>Al-Jumum</t>
  </si>
  <si>
    <t>Al-Khurmah</t>
  </si>
  <si>
    <t>Bahrah</t>
  </si>
  <si>
    <t>Ranyah</t>
  </si>
  <si>
    <t>Turabah</t>
  </si>
  <si>
    <t>Al-Makhwah</t>
  </si>
  <si>
    <t>Baljurashi</t>
  </si>
  <si>
    <t>An-Nimas</t>
  </si>
  <si>
    <t>Sabt Alalayah</t>
  </si>
  <si>
    <t>Muhayil</t>
  </si>
  <si>
    <t>Abu Arish</t>
  </si>
  <si>
    <t>Ahad Al-Masarihah</t>
  </si>
  <si>
    <t>Baish</t>
  </si>
  <si>
    <t>Damad</t>
  </si>
  <si>
    <t>Sabya</t>
  </si>
  <si>
    <t>Ank</t>
  </si>
  <si>
    <t>Al-Taraf</t>
  </si>
  <si>
    <t>Tarout</t>
  </si>
  <si>
    <t>Dawadmi</t>
  </si>
  <si>
    <t>Dilam</t>
  </si>
  <si>
    <t>Ad-Diriyah</t>
  </si>
  <si>
    <t>Afif</t>
  </si>
  <si>
    <t>Al-Quwaiiyah</t>
  </si>
  <si>
    <t>As-Sullayyil</t>
  </si>
  <si>
    <t>Rumah</t>
  </si>
  <si>
    <t>Albadaye</t>
  </si>
  <si>
    <t>Al-Bukairyah</t>
  </si>
  <si>
    <t>Al-Mithnab</t>
  </si>
  <si>
    <t>Turaif</t>
  </si>
  <si>
    <t>Duba P SEC</t>
  </si>
  <si>
    <t>Tabuk 1 P SEC</t>
  </si>
  <si>
    <t>Tabuk 2 P SEC</t>
  </si>
  <si>
    <t>Al-Wajh P SEC</t>
  </si>
  <si>
    <t>Yanbu P Aramco</t>
  </si>
  <si>
    <t>Yanbu P SEC</t>
  </si>
  <si>
    <t>Yanbu P Marafiq G</t>
  </si>
  <si>
    <t>Yanbu P Marafiq H</t>
  </si>
  <si>
    <t>Medina P SEC</t>
  </si>
  <si>
    <t>Rabigh P SEC C</t>
  </si>
  <si>
    <t>Rabigh P SEC H</t>
  </si>
  <si>
    <t>Jeddah P SEC C</t>
  </si>
  <si>
    <t>Jeddah P SEC D</t>
  </si>
  <si>
    <t>Mecca P SEC</t>
  </si>
  <si>
    <t>Taif P SEC</t>
  </si>
  <si>
    <t>Shoaiba P SEC</t>
  </si>
  <si>
    <t>Tihama P SEC</t>
  </si>
  <si>
    <t>Al-Bahah P SEC</t>
  </si>
  <si>
    <t>Bisha P SEC</t>
  </si>
  <si>
    <t>Asir CPS P SEC</t>
  </si>
  <si>
    <t>Baish P SEC</t>
  </si>
  <si>
    <t>Jazan P SEC</t>
  </si>
  <si>
    <t>Samtah P SEC</t>
  </si>
  <si>
    <t>Najran P SEC</t>
  </si>
  <si>
    <t>Sharurah P SEC</t>
  </si>
  <si>
    <t>Safaniyah P SEC</t>
  </si>
  <si>
    <t>Qaisumah P SEC</t>
  </si>
  <si>
    <t>Jubail P JEC</t>
  </si>
  <si>
    <t>Jubail P JWPC</t>
  </si>
  <si>
    <t>Berri P SEC</t>
  </si>
  <si>
    <t>Ghazlan P SEC</t>
  </si>
  <si>
    <t>Juaymah P SEC G</t>
  </si>
  <si>
    <t>Juaymah P SEC D</t>
  </si>
  <si>
    <t>Juaymah P TPGC</t>
  </si>
  <si>
    <t>Qatif P Aramco</t>
  </si>
  <si>
    <t>Ras Tanura P TPGC</t>
  </si>
  <si>
    <t>Dammam P SEC</t>
  </si>
  <si>
    <t>Abqaiq P Aramco</t>
  </si>
  <si>
    <t>Ain Dar P SCC</t>
  </si>
  <si>
    <t>Qurayyah P SEC</t>
  </si>
  <si>
    <t>Shedgum P TPGC</t>
  </si>
  <si>
    <t>Hofuf P SCC G</t>
  </si>
  <si>
    <t>Hofuf P SCC C</t>
  </si>
  <si>
    <t>Uthmaniyah P SEC</t>
  </si>
  <si>
    <t>Uthmaniyah P TPGC</t>
  </si>
  <si>
    <t>Faras P SEC</t>
  </si>
  <si>
    <t>Shedgum P SEC</t>
  </si>
  <si>
    <t>Khursaniyah P Aramco</t>
  </si>
  <si>
    <t>Layla P SEC</t>
  </si>
  <si>
    <t>Juba P SEC D</t>
  </si>
  <si>
    <t>Juba P SEC C</t>
  </si>
  <si>
    <t>Buraydah P SEC</t>
  </si>
  <si>
    <t>Qassim Central P SEC</t>
  </si>
  <si>
    <t>Ha'il 1 P SEC</t>
  </si>
  <si>
    <t>Ha'il 2 P SEC</t>
  </si>
  <si>
    <t>Ar'ar P SEC</t>
  </si>
  <si>
    <t>Rafha P SEC</t>
  </si>
  <si>
    <t>Qurayyat P SEC</t>
  </si>
  <si>
    <t>Tabarjal P SEC</t>
  </si>
  <si>
    <t>Al-Jouf P SEC</t>
  </si>
  <si>
    <t>Riyadh PP10 P SEC</t>
  </si>
  <si>
    <t>Riyadh P Aramco</t>
  </si>
  <si>
    <t>Riyadh PP8 P SEC</t>
  </si>
  <si>
    <t>Riyadh PP7 P SEC</t>
  </si>
  <si>
    <t>Riyadh PP5 P SEC</t>
  </si>
  <si>
    <t>Riyadh PP3 P SEC</t>
  </si>
  <si>
    <t>Riyadh PP4 P SEC</t>
  </si>
  <si>
    <t>Riyadh PP9 P SEC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</si>
  <si>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
[kg/m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</si>
  <si>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Shoaiba 3 DP SWEC</t>
  </si>
  <si>
    <t>Shoaiba 1 DP SWCC</t>
  </si>
  <si>
    <t>Shoaiba 2 DP SWCC</t>
  </si>
  <si>
    <t>Shoaiba Ex D SEPC</t>
  </si>
  <si>
    <t>Feed Water</t>
  </si>
  <si>
    <t>brackish water</t>
  </si>
  <si>
    <t>sea water</t>
  </si>
  <si>
    <t>Duba D SWCC</t>
  </si>
  <si>
    <t>Al-Wajh D SWCC</t>
  </si>
  <si>
    <t>Jeddah RO2 D SWCC</t>
  </si>
  <si>
    <t>Jeddah RO1 D SWCC</t>
  </si>
  <si>
    <t>Jeddah 4 DP SWCC</t>
  </si>
  <si>
    <t>Jeddah 3 DP SWCC</t>
  </si>
  <si>
    <t>Khobar 2 DP SWCC</t>
  </si>
  <si>
    <t>Khobar 3 DP SWCC</t>
  </si>
  <si>
    <t>Shuqaiq 2 DP SqWEC</t>
  </si>
  <si>
    <t>Shuqaiq 1 DP SWCC</t>
  </si>
  <si>
    <t>Yanbu 1 DP SWCC</t>
  </si>
  <si>
    <t>Yanbu 2 DP SWCC</t>
  </si>
  <si>
    <t>Yanbu RO D SWCC</t>
  </si>
  <si>
    <t>Rabigh D SWCC</t>
  </si>
  <si>
    <t>Rabigh D Huta</t>
  </si>
  <si>
    <t>river water</t>
  </si>
  <si>
    <t>Khafji D SWCC</t>
  </si>
  <si>
    <t>Jubail RO D SWCC</t>
  </si>
  <si>
    <t>Jubail MSF DP SWCC</t>
  </si>
  <si>
    <t>Al-Birk D SWCC</t>
  </si>
  <si>
    <t>Aziziyah D SWCC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</si>
  <si>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
[kg/kWh</t>
    </r>
    <r>
      <rPr>
        <b/>
        <sz val="11"/>
        <color theme="1"/>
        <rFont val="Calibri"/>
        <family val="2"/>
        <scheme val="minor"/>
      </rPr>
      <t>]</t>
    </r>
  </si>
  <si>
    <t>Ras Al-Khair RO D SWCC</t>
  </si>
  <si>
    <t>Ras Al-Khair DP SWCC</t>
  </si>
  <si>
    <t>Yanbu 3 DP SWCC</t>
  </si>
  <si>
    <t>Jeddah RO3 D SWCC</t>
  </si>
  <si>
    <t>Rabigh 4 D SWCC</t>
  </si>
  <si>
    <t>Yanbu 1 D Marafiq</t>
  </si>
  <si>
    <t>Yanbu MED D SWCC</t>
  </si>
  <si>
    <t>Yanbu 2 DP Marafiq</t>
  </si>
  <si>
    <t>Jubail RO2 D Marafiq</t>
  </si>
  <si>
    <t>Al-Wajh 4 D SWCC</t>
  </si>
  <si>
    <t>Al-Lith D SWCC</t>
  </si>
  <si>
    <t>NF</t>
  </si>
  <si>
    <t>Qunfudhah D SWCC</t>
  </si>
  <si>
    <t>Ar-Rass</t>
  </si>
  <si>
    <t>Jeddah WW D GOV</t>
  </si>
  <si>
    <t>waste water</t>
  </si>
  <si>
    <t>Shoaiba Barge D RAKA</t>
  </si>
  <si>
    <t>Jeddah RO D</t>
  </si>
  <si>
    <t>Haql D SWCC</t>
  </si>
  <si>
    <t>ED</t>
  </si>
  <si>
    <t>Umluj MED D SWCC</t>
  </si>
  <si>
    <t>Umluj RO D SWCC</t>
  </si>
  <si>
    <t>Berri P Aramco</t>
  </si>
  <si>
    <t>Pipeline Candidate</t>
  </si>
  <si>
    <t>http://libraries.mit.edu/get/desaldata</t>
  </si>
  <si>
    <t>Desal plant</t>
  </si>
  <si>
    <t>Lifetime
[year]</t>
  </si>
  <si>
    <t>Annum Capital Cost
[USD/year]</t>
  </si>
  <si>
    <t>Online Year</t>
  </si>
  <si>
    <t>Online?</t>
  </si>
  <si>
    <r>
      <t>Water Capacity Online
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/day]</t>
    </r>
  </si>
  <si>
    <t>Power Capacity Online
[MW] (if any)</t>
  </si>
  <si>
    <t>Est. Project Cost
[USD]</t>
  </si>
  <si>
    <t>SWRO</t>
  </si>
  <si>
    <t>BWRO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</si>
  <si>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 for ground water processing [kg/m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</si>
  <si>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Highest Elevation
[m]</t>
  </si>
  <si>
    <t>FHL</t>
  </si>
  <si>
    <t>usd/year</t>
  </si>
  <si>
    <t>m3/d</t>
  </si>
  <si>
    <t>kWh/d</t>
  </si>
  <si>
    <t>desal</t>
  </si>
  <si>
    <t>trans</t>
  </si>
  <si>
    <t>pipe op</t>
  </si>
  <si>
    <t>pipe cap</t>
  </si>
  <si>
    <t>m3</t>
  </si>
  <si>
    <t>kwh</t>
  </si>
  <si>
    <t>total usd/year</t>
  </si>
  <si>
    <t>co2 kg</t>
  </si>
  <si>
    <t>m3/year</t>
  </si>
  <si>
    <t>total</t>
  </si>
  <si>
    <t>kWh/year</t>
  </si>
  <si>
    <t>Basis Time</t>
  </si>
  <si>
    <t>Target Time</t>
  </si>
  <si>
    <r>
      <t>Groundwater capacity expansion [USD/(m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/day)]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</si>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</sst>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%"/>
    <numFmt numFmtId="165" formatCode="0.0%"/>
    <numFmt numFmtId="166" formatCode="0.0"/>
    <numFmt numFmtId="167" formatCode="0.000"/>
    <numFmt numFmtId="168" formatCode="0.00000000"/>
    <numFmt numFmtId="169" formatCode="0.0000%"/>
  </numFmts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9" fontId="3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338">
    <xf numFmtId="0" fontId="0" fillId="0" borderId="0" xfId="0"/>
    <xf numFmtId="0" fontId="0" fillId="0" borderId="0" xfId="0" applyFill="1"/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 applyAlignment="1">
      <alignment horizontal="center" vertical="center" wrapText="1"/>
    </xf>
    <xf numFmtId="0" fontId="2" fillId="0" borderId="0" xfId="0" applyFont="1" applyFill="1"/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/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0" fillId="0" borderId="11" xfId="0" applyBorder="1"/>
    <xf numFmtId="0" fontId="0" fillId="0" borderId="11" xfId="0" applyFill="1" applyBorder="1"/>
    <xf numFmtId="0" fontId="0" fillId="0" borderId="0" xfId="0" applyFill="1" applyBorder="1"/>
    <xf numFmtId="0" fontId="1" fillId="0" borderId="11" xfId="0" applyFont="1" applyFill="1" applyBorder="1"/>
    <xf numFmtId="0" fontId="2" fillId="0" borderId="11" xfId="0" applyFont="1" applyFill="1" applyBorder="1"/>
    <xf numFmtId="0" fontId="17" fillId="0" borderId="11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vertical="center"/>
    </xf>
    <xf numFmtId="0" fontId="0" fillId="0" borderId="11" xfId="0" applyFill="1" applyBorder="1" applyAlignment="1"/>
    <xf numFmtId="0" fontId="2" fillId="0" borderId="11" xfId="0" applyFont="1" applyFill="1" applyBorder="1" applyAlignment="1"/>
    <xf numFmtId="0" fontId="17" fillId="0" borderId="11" xfId="0" applyFont="1" applyFill="1" applyBorder="1" applyAlignment="1">
      <alignment horizontal="center" vertical="center"/>
    </xf>
    <xf numFmtId="0" fontId="17" fillId="0" borderId="10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34" borderId="10" xfId="0" applyFill="1" applyBorder="1" applyAlignment="1">
      <alignment vertical="center"/>
    </xf>
    <xf numFmtId="0" fontId="0" fillId="33" borderId="0" xfId="0" applyFill="1" applyAlignment="1">
      <alignment horizontal="right" vertical="center"/>
    </xf>
    <xf numFmtId="0" fontId="0" fillId="34" borderId="10" xfId="0" applyFill="1" applyBorder="1" applyAlignment="1">
      <alignment horizontal="right" vertical="center"/>
    </xf>
    <xf numFmtId="0" fontId="0" fillId="0" borderId="10" xfId="0" applyBorder="1" applyAlignment="1">
      <alignment vertical="center"/>
    </xf>
    <xf numFmtId="165" fontId="0" fillId="34" borderId="10" xfId="0" applyNumberFormat="1" applyFill="1" applyBorder="1" applyAlignment="1">
      <alignment vertical="center"/>
    </xf>
    <xf numFmtId="165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vertical="center"/>
    </xf>
    <xf numFmtId="165" fontId="0" fillId="34" borderId="10" xfId="0" applyNumberFormat="1" applyFill="1" applyBorder="1" applyAlignment="1">
      <alignment horizontal="right" vertical="center"/>
    </xf>
    <xf numFmtId="165" fontId="0" fillId="33" borderId="0" xfId="46" applyNumberFormat="1" applyFont="1" applyFill="1" applyAlignment="1">
      <alignment horizontal="right" vertical="center"/>
    </xf>
    <xf numFmtId="0" fontId="0" fillId="34" borderId="10" xfId="0" applyFill="1" applyBorder="1" applyAlignment="1">
      <alignment horizontal="left" vertical="center"/>
    </xf>
    <xf numFmtId="166" fontId="1" fillId="33" borderId="10" xfId="0" applyNumberFormat="1" applyFont="1" applyFill="1" applyBorder="1" applyAlignment="1">
      <alignment horizontal="right" vertical="center"/>
    </xf>
    <xf numFmtId="166" fontId="0" fillId="33" borderId="10" xfId="0" applyNumberFormat="1" applyFill="1" applyBorder="1" applyAlignment="1">
      <alignment horizontal="right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Fill="1" applyAlignment="1">
      <alignment horizontal="right" vertical="center"/>
    </xf>
    <xf numFmtId="164" fontId="0" fillId="33" borderId="10" xfId="46" applyNumberFormat="1" applyFont="1" applyFill="1" applyBorder="1" applyAlignment="1">
      <alignment horizontal="right" vertical="center"/>
    </xf>
    <xf numFmtId="0" fontId="1" fillId="33" borderId="10" xfId="0" applyFont="1" applyFill="1" applyBorder="1" applyAlignment="1">
      <alignment horizontal="right" vertical="center"/>
    </xf>
    <xf numFmtId="2" fontId="17" fillId="0" borderId="10" xfId="0" applyNumberFormat="1" applyFont="1" applyBorder="1" applyAlignment="1">
      <alignment horizontal="center" vertical="center"/>
    </xf>
    <xf numFmtId="2" fontId="0" fillId="33" borderId="10" xfId="0" applyNumberFormat="1" applyFill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" fontId="0" fillId="0" borderId="10" xfId="0" applyNumberFormat="1" applyFill="1" applyBorder="1" applyAlignment="1">
      <alignment horizontal="right" vertical="center"/>
    </xf>
    <xf numFmtId="2" fontId="0" fillId="0" borderId="0" xfId="0" applyNumberFormat="1" applyAlignment="1">
      <alignment horizontal="right"/>
    </xf>
    <xf numFmtId="1" fontId="0" fillId="33" borderId="10" xfId="0" applyNumberFormat="1" applyFill="1" applyBorder="1" applyAlignment="1">
      <alignment horizontal="right" vertical="center"/>
    </xf>
    <xf numFmtId="1" fontId="0" fillId="0" borderId="10" xfId="0" applyNumberFormat="1" applyBorder="1" applyAlignment="1">
      <alignment horizontal="right" vertical="center"/>
    </xf>
    <xf numFmtId="9" fontId="0" fillId="0" borderId="10" xfId="46" applyFont="1" applyBorder="1" applyAlignment="1">
      <alignment horizontal="right" vertical="center"/>
    </xf>
    <xf numFmtId="1" fontId="1" fillId="33" borderId="10" xfId="0" applyNumberFormat="1" applyFont="1" applyFill="1" applyBorder="1" applyAlignment="1">
      <alignment horizontal="right" vertical="center"/>
    </xf>
    <xf numFmtId="166" fontId="0" fillId="0" borderId="0" xfId="0" applyNumberFormat="1" applyFill="1" applyAlignment="1">
      <alignment vertical="center"/>
    </xf>
    <xf numFmtId="166" fontId="0" fillId="0" borderId="0" xfId="0" applyNumberFormat="1" applyFill="1" applyAlignment="1"/>
    <xf numFmtId="166" fontId="0" fillId="0" borderId="0" xfId="0" applyNumberFormat="1" applyBorder="1"/>
    <xf numFmtId="166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 applyAlignment="1"/>
    <xf numFmtId="0" fontId="1" fillId="0" borderId="11" xfId="0" applyFont="1" applyBorder="1"/>
    <xf numFmtId="0" fontId="2" fillId="0" borderId="11" xfId="0" applyFont="1" applyBorder="1"/>
    <xf numFmtId="1" fontId="2" fillId="0" borderId="11" xfId="0" applyNumberFormat="1" applyFont="1" applyBorder="1"/>
    <xf numFmtId="0" fontId="17" fillId="0" borderId="11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9" fontId="0" fillId="33" borderId="10" xfId="0" applyNumberFormat="1" applyFill="1" applyBorder="1" applyAlignment="1">
      <alignment horizontal="right" vertical="center"/>
    </xf>
    <xf numFmtId="1" fontId="2" fillId="0" borderId="0" xfId="0" applyNumberFormat="1" applyFont="1" applyBorder="1"/>
    <xf numFmtId="0" fontId="2" fillId="0" borderId="0" xfId="0" applyFont="1" applyBorder="1"/>
    <xf numFmtId="1" fontId="2" fillId="0" borderId="12" xfId="0" applyNumberFormat="1" applyFont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10" fontId="2" fillId="0" borderId="12" xfId="0" applyNumberFormat="1" applyFont="1" applyBorder="1"/>
    <xf numFmtId="10" fontId="0" fillId="0" borderId="12" xfId="0" applyNumberFormat="1" applyBorder="1"/>
    <xf numFmtId="10" fontId="2" fillId="0" borderId="0" xfId="0" applyNumberFormat="1" applyFont="1" applyFill="1"/>
    <xf numFmtId="10" fontId="2" fillId="0" borderId="0" xfId="0" applyNumberFormat="1" applyFont="1"/>
    <xf numFmtId="1" fontId="2" fillId="0" borderId="11" xfId="0" applyNumberFormat="1" applyFont="1" applyFill="1" applyBorder="1"/>
    <xf numFmtId="1" fontId="2" fillId="0" borderId="0" xfId="0" applyNumberFormat="1" applyFont="1" applyFill="1" applyBorder="1"/>
    <xf numFmtId="0" fontId="2" fillId="0" borderId="0" xfId="0" applyFont="1" applyFill="1" applyBorder="1"/>
    <xf numFmtId="1" fontId="0" fillId="0" borderId="0" xfId="0" applyNumberFormat="1" applyFill="1" applyBorder="1"/>
    <xf numFmtId="2" fontId="2" fillId="0" borderId="10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vertical="center"/>
    </xf>
    <xf numFmtId="1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Border="1"/>
    <xf numFmtId="0" fontId="0" fillId="0" borderId="10" xfId="0" applyFill="1" applyBorder="1" applyAlignment="1">
      <alignment horizontal="right" vertical="center"/>
    </xf>
    <xf numFmtId="9" fontId="1" fillId="33" borderId="10" xfId="0" applyNumberFormat="1" applyFont="1" applyFill="1" applyBorder="1" applyAlignment="1">
      <alignment horizontal="right" vertical="center"/>
    </xf>
    <xf numFmtId="0" fontId="1" fillId="33" borderId="0" xfId="0" applyFont="1" applyFill="1" applyAlignment="1">
      <alignment horizontal="right" vertical="center"/>
    </xf>
    <xf numFmtId="165" fontId="1" fillId="33" borderId="0" xfId="46" applyNumberFormat="1" applyFont="1" applyFill="1" applyAlignment="1">
      <alignment horizontal="right" vertical="center"/>
    </xf>
    <xf numFmtId="0" fontId="2" fillId="0" borderId="1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64" fontId="0" fillId="0" borderId="0" xfId="0" applyNumberFormat="1" applyAlignment="1">
      <alignment horizontal="right" vertical="center"/>
    </xf>
    <xf numFmtId="168" fontId="0" fillId="0" borderId="1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/>
    </xf>
    <xf numFmtId="2" fontId="0" fillId="33" borderId="10" xfId="0" applyNumberFormat="1" applyFill="1" applyBorder="1" applyAlignment="1">
      <alignment horizontal="right"/>
    </xf>
    <xf numFmtId="167" fontId="0" fillId="33" borderId="10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167" fontId="0" fillId="0" borderId="12" xfId="0" applyNumberFormat="1" applyBorder="1"/>
    <xf numFmtId="0" fontId="17" fillId="0" borderId="0" xfId="0" applyFont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0" fontId="2" fillId="0" borderId="14" xfId="0" applyFont="1" applyFill="1" applyBorder="1"/>
    <xf numFmtId="0" fontId="0" fillId="0" borderId="15" xfId="0" applyFill="1" applyBorder="1"/>
    <xf numFmtId="0" fontId="0" fillId="0" borderId="14" xfId="0" applyFill="1" applyBorder="1"/>
    <xf numFmtId="0" fontId="1" fillId="0" borderId="15" xfId="0" applyFont="1" applyFill="1" applyBorder="1"/>
    <xf numFmtId="0" fontId="0" fillId="0" borderId="15" xfId="0" applyBorder="1"/>
    <xf numFmtId="0" fontId="0" fillId="0" borderId="14" xfId="0" applyBorder="1"/>
    <xf numFmtId="0" fontId="0" fillId="0" borderId="17" xfId="0" applyBorder="1"/>
    <xf numFmtId="0" fontId="0" fillId="0" borderId="16" xfId="0" applyBorder="1"/>
    <xf numFmtId="0" fontId="0" fillId="0" borderId="17" xfId="0" applyFill="1" applyBorder="1"/>
    <xf numFmtId="0" fontId="0" fillId="0" borderId="16" xfId="0" applyFill="1" applyBorder="1"/>
    <xf numFmtId="0" fontId="0" fillId="0" borderId="0" xfId="0" applyFill="1" applyBorder="1" applyAlignment="1">
      <alignment vertical="center"/>
    </xf>
    <xf numFmtId="0" fontId="17" fillId="0" borderId="15" xfId="0" applyFont="1" applyFill="1" applyBorder="1" applyAlignment="1">
      <alignment horizontal="center" vertical="center"/>
    </xf>
    <xf numFmtId="1" fontId="0" fillId="0" borderId="14" xfId="0" applyNumberFormat="1" applyFill="1" applyBorder="1"/>
    <xf numFmtId="1" fontId="0" fillId="0" borderId="16" xfId="0" applyNumberFormat="1" applyFill="1" applyBorder="1"/>
    <xf numFmtId="1" fontId="0" fillId="0" borderId="14" xfId="0" applyNumberFormat="1" applyBorder="1"/>
    <xf numFmtId="1" fontId="0" fillId="0" borderId="16" xfId="0" applyNumberFormat="1" applyBorder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2" fontId="0" fillId="0" borderId="11" xfId="0" applyNumberFormat="1" applyBorder="1"/>
    <xf numFmtId="2" fontId="0" fillId="0" borderId="11" xfId="0" applyNumberFormat="1" applyFill="1" applyBorder="1"/>
    <xf numFmtId="0" fontId="1" fillId="0" borderId="11" xfId="0" applyFont="1" applyFill="1" applyBorder="1" applyAlignment="1"/>
    <xf numFmtId="2" fontId="2" fillId="0" borderId="11" xfId="0" applyNumberFormat="1" applyFont="1" applyFill="1" applyBorder="1"/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2" fontId="0" fillId="0" borderId="15" xfId="0" applyNumberFormat="1" applyBorder="1"/>
    <xf numFmtId="166" fontId="0" fillId="0" borderId="14" xfId="0" applyNumberFormat="1" applyBorder="1"/>
    <xf numFmtId="167" fontId="0" fillId="0" borderId="18" xfId="0" applyNumberFormat="1" applyBorder="1"/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" fillId="0" borderId="14" xfId="0" applyFont="1" applyFill="1" applyBorder="1"/>
    <xf numFmtId="0" fontId="0" fillId="0" borderId="10" xfId="0" applyBorder="1" applyAlignment="1">
      <alignment horizontal="center"/>
    </xf>
    <xf numFmtId="0" fontId="1" fillId="0" borderId="16" xfId="0" applyFont="1" applyFill="1" applyBorder="1"/>
    <xf numFmtId="2" fontId="0" fillId="0" borderId="17" xfId="0" applyNumberFormat="1" applyBorder="1"/>
    <xf numFmtId="166" fontId="0" fillId="0" borderId="16" xfId="0" applyNumberFormat="1" applyBorder="1"/>
    <xf numFmtId="167" fontId="0" fillId="0" borderId="10" xfId="0" applyNumberFormat="1" applyBorder="1"/>
    <xf numFmtId="0" fontId="17" fillId="0" borderId="17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2" fontId="0" fillId="0" borderId="15" xfId="0" applyNumberFormat="1" applyFill="1" applyBorder="1"/>
    <xf numFmtId="0" fontId="0" fillId="0" borderId="11" xfId="0" applyFont="1" applyFill="1" applyBorder="1" applyAlignment="1">
      <alignment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0" xfId="0" applyNumberFormat="1" applyFont="1" applyFill="1" applyBorder="1" applyAlignment="1">
      <alignment vertical="center" wrapText="1"/>
    </xf>
    <xf numFmtId="2" fontId="0" fillId="0" borderId="0" xfId="0" applyNumberFormat="1" applyFill="1" applyAlignment="1"/>
    <xf numFmtId="166" fontId="0" fillId="0" borderId="0" xfId="0" applyNumberFormat="1" applyFont="1" applyFill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" fontId="0" fillId="0" borderId="0" xfId="0" applyNumberFormat="1" applyFill="1" applyAlignment="1">
      <alignment horizontal="right" vertical="center"/>
    </xf>
    <xf numFmtId="1" fontId="0" fillId="0" borderId="0" xfId="0" applyNumberFormat="1" applyFill="1" applyAlignment="1">
      <alignment horizontal="right"/>
    </xf>
    <xf numFmtId="167" fontId="0" fillId="0" borderId="0" xfId="0" applyNumberFormat="1" applyFill="1" applyAlignment="1">
      <alignment horizontal="right"/>
    </xf>
    <xf numFmtId="166" fontId="0" fillId="0" borderId="0" xfId="0" applyNumberFormat="1" applyFill="1" applyAlignment="1">
      <alignment horizontal="right" vertical="center"/>
    </xf>
    <xf numFmtId="166" fontId="0" fillId="0" borderId="0" xfId="0" applyNumberFormat="1" applyFill="1" applyAlignment="1">
      <alignment horizontal="right"/>
    </xf>
    <xf numFmtId="0" fontId="1" fillId="0" borderId="0" xfId="0" applyFont="1" applyFill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2" fontId="0" fillId="0" borderId="13" xfId="0" applyNumberFormat="1" applyFill="1" applyBorder="1" applyAlignment="1">
      <alignment vertical="center"/>
    </xf>
    <xf numFmtId="2" fontId="0" fillId="0" borderId="13" xfId="0" applyNumberFormat="1" applyFill="1" applyBorder="1" applyAlignment="1"/>
    <xf numFmtId="166" fontId="0" fillId="0" borderId="0" xfId="0" applyNumberFormat="1" applyFill="1" applyBorder="1" applyAlignment="1">
      <alignment horizontal="right" vertical="center"/>
    </xf>
    <xf numFmtId="166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 vertical="center"/>
    </xf>
    <xf numFmtId="167" fontId="0" fillId="0" borderId="0" xfId="0" applyNumberFormat="1" applyFill="1" applyBorder="1" applyAlignment="1">
      <alignment horizontal="right" vertical="center"/>
    </xf>
    <xf numFmtId="167" fontId="0" fillId="0" borderId="0" xfId="0" applyNumberFormat="1" applyFill="1" applyBorder="1" applyAlignment="1">
      <alignment horizontal="right"/>
    </xf>
    <xf numFmtId="166" fontId="26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5" xfId="0" applyFont="1" applyFill="1" applyBorder="1" applyAlignment="1"/>
    <xf numFmtId="0" fontId="0" fillId="0" borderId="15" xfId="0" applyFill="1" applyBorder="1" applyAlignment="1"/>
    <xf numFmtId="0" fontId="1" fillId="0" borderId="17" xfId="0" applyFont="1" applyFill="1" applyBorder="1" applyAlignment="1"/>
    <xf numFmtId="0" fontId="0" fillId="0" borderId="11" xfId="0" applyBorder="1" applyAlignment="1"/>
    <xf numFmtId="167" fontId="0" fillId="0" borderId="0" xfId="0" applyNumberFormat="1" applyFont="1" applyFill="1" applyBorder="1" applyAlignment="1">
      <alignment horizontal="right" vertical="center"/>
    </xf>
    <xf numFmtId="0" fontId="1" fillId="0" borderId="0" xfId="0" applyFont="1" applyBorder="1"/>
    <xf numFmtId="0" fontId="0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6" fontId="0" fillId="0" borderId="14" xfId="0" applyNumberFormat="1" applyFont="1" applyFill="1" applyBorder="1" applyAlignment="1">
      <alignment vertical="center"/>
    </xf>
    <xf numFmtId="1" fontId="0" fillId="0" borderId="14" xfId="0" applyNumberFormat="1" applyFill="1" applyBorder="1" applyAlignment="1">
      <alignment vertical="center"/>
    </xf>
    <xf numFmtId="166" fontId="0" fillId="0" borderId="14" xfId="0" applyNumberFormat="1" applyFill="1" applyBorder="1" applyAlignment="1">
      <alignment vertical="center"/>
    </xf>
    <xf numFmtId="2" fontId="0" fillId="0" borderId="14" xfId="0" applyNumberFormat="1" applyFont="1" applyFill="1" applyBorder="1" applyAlignment="1">
      <alignment vertical="center" wrapText="1"/>
    </xf>
    <xf numFmtId="0" fontId="0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5" xfId="0" applyFont="1" applyFill="1" applyBorder="1" applyAlignment="1"/>
    <xf numFmtId="0" fontId="2" fillId="0" borderId="14" xfId="0" applyFont="1" applyFill="1" applyBorder="1" applyAlignment="1"/>
    <xf numFmtId="0" fontId="0" fillId="0" borderId="0" xfId="0" quotePrefix="1" applyFill="1" applyBorder="1" applyAlignment="1">
      <alignment vertical="center"/>
    </xf>
    <xf numFmtId="0" fontId="17" fillId="0" borderId="14" xfId="0" applyFont="1" applyFill="1" applyBorder="1" applyAlignment="1">
      <alignment horizontal="center"/>
    </xf>
    <xf numFmtId="0" fontId="17" fillId="0" borderId="1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1" fontId="0" fillId="0" borderId="11" xfId="0" applyNumberFormat="1" applyFill="1" applyBorder="1"/>
    <xf numFmtId="165" fontId="0" fillId="0" borderId="0" xfId="0" applyNumberFormat="1" applyFill="1" applyBorder="1"/>
    <xf numFmtId="0" fontId="0" fillId="0" borderId="0" xfId="0" applyNumberFormat="1" applyFill="1" applyBorder="1"/>
    <xf numFmtId="1" fontId="2" fillId="0" borderId="0" xfId="0" applyNumberFormat="1" applyFont="1" applyFill="1"/>
    <xf numFmtId="165" fontId="0" fillId="0" borderId="0" xfId="0" applyNumberFormat="1" applyFill="1"/>
    <xf numFmtId="0" fontId="2" fillId="0" borderId="15" xfId="0" applyFont="1" applyFill="1" applyBorder="1"/>
    <xf numFmtId="0" fontId="2" fillId="0" borderId="14" xfId="0" applyFont="1" applyFill="1" applyBorder="1" applyAlignment="1">
      <alignment horizontal="center"/>
    </xf>
    <xf numFmtId="1" fontId="2" fillId="0" borderId="14" xfId="0" applyNumberFormat="1" applyFont="1" applyFill="1" applyBorder="1"/>
    <xf numFmtId="1" fontId="0" fillId="0" borderId="15" xfId="0" applyNumberFormat="1" applyFill="1" applyBorder="1"/>
    <xf numFmtId="0" fontId="0" fillId="0" borderId="14" xfId="0" applyNumberFormat="1" applyFill="1" applyBorder="1"/>
    <xf numFmtId="0" fontId="17" fillId="0" borderId="14" xfId="0" applyFont="1" applyFill="1" applyBorder="1" applyAlignment="1">
      <alignment horizontal="center" vertical="center"/>
    </xf>
    <xf numFmtId="0" fontId="2" fillId="0" borderId="16" xfId="0" applyFont="1" applyFill="1" applyBorder="1"/>
    <xf numFmtId="0" fontId="2" fillId="0" borderId="17" xfId="0" applyFont="1" applyFill="1" applyBorder="1"/>
    <xf numFmtId="0" fontId="2" fillId="0" borderId="16" xfId="0" applyFont="1" applyFill="1" applyBorder="1" applyAlignment="1">
      <alignment horizontal="center"/>
    </xf>
    <xf numFmtId="1" fontId="2" fillId="0" borderId="16" xfId="0" applyNumberFormat="1" applyFont="1" applyFill="1" applyBorder="1"/>
    <xf numFmtId="1" fontId="0" fillId="0" borderId="17" xfId="0" applyNumberFormat="1" applyFill="1" applyBorder="1"/>
    <xf numFmtId="0" fontId="0" fillId="0" borderId="16" xfId="0" applyNumberFormat="1" applyFill="1" applyBorder="1"/>
    <xf numFmtId="0" fontId="17" fillId="0" borderId="1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" fontId="2" fillId="0" borderId="13" xfId="0" applyNumberFormat="1" applyFont="1" applyFill="1" applyBorder="1"/>
    <xf numFmtId="0" fontId="17" fillId="0" borderId="11" xfId="0" applyFont="1" applyFill="1" applyBorder="1" applyAlignment="1">
      <alignment horizontal="center" vertical="center"/>
    </xf>
    <xf numFmtId="0" fontId="27" fillId="0" borderId="0" xfId="47"/>
    <xf numFmtId="0" fontId="27" fillId="0" borderId="13" xfId="47" applyFill="1" applyBorder="1" applyAlignment="1">
      <alignment vertical="center"/>
    </xf>
    <xf numFmtId="0" fontId="17" fillId="0" borderId="11" xfId="0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1" fontId="2" fillId="0" borderId="11" xfId="0" applyNumberFormat="1" applyFont="1" applyFill="1" applyBorder="1" applyAlignment="1">
      <alignment vertical="center"/>
    </xf>
    <xf numFmtId="1" fontId="26" fillId="0" borderId="11" xfId="0" applyNumberFormat="1" applyFont="1" applyFill="1" applyBorder="1" applyAlignment="1">
      <alignment vertical="center"/>
    </xf>
    <xf numFmtId="0" fontId="0" fillId="0" borderId="12" xfId="0" applyBorder="1"/>
    <xf numFmtId="0" fontId="0" fillId="33" borderId="12" xfId="0" applyFill="1" applyBorder="1"/>
    <xf numFmtId="0" fontId="1" fillId="0" borderId="0" xfId="0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2" fontId="26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0" fontId="1" fillId="0" borderId="14" xfId="0" applyFont="1" applyFill="1" applyBorder="1" applyAlignment="1">
      <alignment horizontal="center" vertical="center"/>
    </xf>
    <xf numFmtId="2" fontId="1" fillId="33" borderId="10" xfId="0" applyNumberFormat="1" applyFont="1" applyFill="1" applyBorder="1" applyAlignment="1">
      <alignment horizontal="right"/>
    </xf>
    <xf numFmtId="2" fontId="0" fillId="0" borderId="0" xfId="0" applyNumberFormat="1" applyFill="1" applyBorder="1"/>
    <xf numFmtId="169" fontId="0" fillId="0" borderId="0" xfId="0" applyNumberFormat="1" applyAlignment="1">
      <alignment horizontal="right" vertical="center"/>
    </xf>
    <xf numFmtId="166" fontId="0" fillId="0" borderId="0" xfId="0" applyNumberFormat="1" applyFill="1" applyBorder="1"/>
    <xf numFmtId="166" fontId="0" fillId="0" borderId="14" xfId="0" applyNumberFormat="1" applyFill="1" applyBorder="1"/>
    <xf numFmtId="166" fontId="0" fillId="0" borderId="16" xfId="0" applyNumberFormat="1" applyFill="1" applyBorder="1"/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7" fillId="0" borderId="12" xfId="0" applyFont="1" applyFill="1" applyBorder="1" applyAlignment="1">
      <alignment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1" fontId="17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/>
    <xf numFmtId="165" fontId="0" fillId="0" borderId="14" xfId="0" applyNumberFormat="1" applyFill="1" applyBorder="1"/>
    <xf numFmtId="2" fontId="0" fillId="0" borderId="16" xfId="0" applyNumberFormat="1" applyFill="1" applyBorder="1"/>
    <xf numFmtId="165" fontId="0" fillId="0" borderId="16" xfId="0" applyNumberFormat="1" applyFill="1" applyBorder="1"/>
    <xf numFmtId="0" fontId="17" fillId="0" borderId="11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1" fontId="17" fillId="0" borderId="0" xfId="0" applyNumberFormat="1" applyFont="1" applyFill="1" applyAlignment="1">
      <alignment horizontal="center" vertical="center" wrapText="1"/>
    </xf>
    <xf numFmtId="165" fontId="17" fillId="0" borderId="0" xfId="0" applyNumberFormat="1" applyFont="1" applyFill="1" applyAlignment="1">
      <alignment horizontal="center" vertical="center" wrapText="1"/>
    </xf>
    <xf numFmtId="1" fontId="17" fillId="0" borderId="0" xfId="0" applyNumberFormat="1" applyFont="1" applyFill="1" applyAlignment="1">
      <alignment horizontal="center" vertical="center"/>
    </xf>
    <xf numFmtId="1" fontId="17" fillId="0" borderId="11" xfId="0" applyNumberFormat="1" applyFont="1" applyFill="1" applyBorder="1" applyAlignment="1">
      <alignment horizontal="center" vertical="center" wrapText="1"/>
    </xf>
    <xf numFmtId="1" fontId="17" fillId="0" borderId="1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center" vertical="center" wrapText="1"/>
    </xf>
    <xf numFmtId="166" fontId="17" fillId="0" borderId="0" xfId="0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167" fontId="17" fillId="0" borderId="13" xfId="0" applyNumberFormat="1" applyFont="1" applyFill="1" applyBorder="1" applyAlignment="1">
      <alignment horizontal="center" vertical="center" wrapText="1"/>
    </xf>
    <xf numFmtId="166" fontId="17" fillId="0" borderId="0" xfId="0" applyNumberFormat="1" applyFont="1" applyFill="1" applyAlignment="1">
      <alignment horizontal="center" vertical="center" wrapText="1"/>
    </xf>
    <xf numFmtId="166" fontId="17" fillId="0" borderId="0" xfId="0" applyNumberFormat="1" applyFont="1" applyFill="1" applyAlignment="1">
      <alignment horizontal="center" vertical="center"/>
    </xf>
    <xf numFmtId="0" fontId="17" fillId="0" borderId="13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167" fontId="17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67" fontId="17" fillId="0" borderId="12" xfId="0" applyNumberFormat="1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 wrapText="1"/>
    </xf>
    <xf numFmtId="2" fontId="17" fillId="0" borderId="11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166" fontId="20" fillId="0" borderId="0" xfId="0" applyNumberFormat="1" applyFont="1" applyFill="1" applyBorder="1" applyAlignment="1">
      <alignment horizontal="center" vertical="center" wrapText="1"/>
    </xf>
    <xf numFmtId="166" fontId="20" fillId="0" borderId="11" xfId="0" applyNumberFormat="1" applyFont="1" applyFill="1" applyBorder="1" applyAlignment="1">
      <alignment horizontal="center" vertical="center" wrapText="1"/>
    </xf>
    <xf numFmtId="1" fontId="20" fillId="0" borderId="12" xfId="0" applyNumberFormat="1" applyFont="1" applyFill="1" applyBorder="1" applyAlignment="1">
      <alignment horizontal="center" vertical="center" wrapText="1"/>
    </xf>
    <xf numFmtId="1" fontId="20" fillId="0" borderId="12" xfId="0" applyNumberFormat="1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10" fontId="20" fillId="0" borderId="0" xfId="0" applyNumberFormat="1" applyFont="1" applyBorder="1" applyAlignment="1">
      <alignment horizontal="center" vertical="center" wrapText="1"/>
    </xf>
    <xf numFmtId="164" fontId="20" fillId="0" borderId="0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 vertical="center"/>
    </xf>
    <xf numFmtId="1" fontId="20" fillId="0" borderId="11" xfId="0" applyNumberFormat="1" applyFont="1" applyFill="1" applyBorder="1" applyAlignment="1">
      <alignment horizontal="center" vertical="center" wrapText="1"/>
    </xf>
    <xf numFmtId="1" fontId="20" fillId="0" borderId="11" xfId="0" applyNumberFormat="1" applyFont="1" applyFill="1" applyBorder="1" applyAlignment="1">
      <alignment horizontal="center" vertical="center"/>
    </xf>
    <xf numFmtId="1" fontId="20" fillId="0" borderId="11" xfId="0" applyNumberFormat="1" applyFont="1" applyBorder="1" applyAlignment="1">
      <alignment horizontal="center" vertical="center" wrapText="1"/>
    </xf>
    <xf numFmtId="10" fontId="20" fillId="0" borderId="12" xfId="0" applyNumberFormat="1" applyFont="1" applyBorder="1" applyAlignment="1">
      <alignment horizontal="center"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7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2"/>
    <cellStyle name="Normal 12" xfId="43"/>
    <cellStyle name="Normal 2" xfId="44"/>
    <cellStyle name="Normal 3" xfId="45"/>
    <cellStyle name="Note" xfId="15" builtinId="10" customBuiltin="1"/>
    <cellStyle name="Output" xfId="10" builtinId="21" customBuiltin="1"/>
    <cellStyle name="Percent" xfId="46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55</xdr:row>
      <xdr:rowOff>180975</xdr:rowOff>
    </xdr:from>
    <xdr:ext cx="32956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114925" y="10868025"/>
              <a:ext cx="32956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pumping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energy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total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head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𝑔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  <a:ea typeface="Cambria Math"/>
                      </a:rPr>
                      <m:t>water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  <a:ea typeface="Cambria Math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  <a:ea typeface="Cambria Math"/>
                      </a:rPr>
                      <m:t>pumped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114925" y="10868025"/>
              <a:ext cx="32956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100" b="0" i="0">
                  <a:latin typeface="Cambria Math"/>
                </a:rPr>
                <a:t>"pumping energy"="total head</a:t>
              </a:r>
              <a:r>
                <a:rPr lang="en-US" sz="1100" b="0" i="0">
                  <a:latin typeface="Cambria Math"/>
                  <a:ea typeface="Cambria Math"/>
                </a:rPr>
                <a:t>"×𝑔_0×"water pumped"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9525</xdr:colOff>
      <xdr:row>56</xdr:row>
      <xdr:rowOff>190500</xdr:rowOff>
    </xdr:from>
    <xdr:ext cx="349567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5114925" y="11087100"/>
              <a:ext cx="34956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total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head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static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head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 (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elevation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)</m:t>
                    </m:r>
                    <m:r>
                      <a:rPr lang="en-US" sz="1100" b="0" i="1">
                        <a:latin typeface="Cambria Math"/>
                      </a:rPr>
                      <m:t>+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friction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head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loss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114925" y="11087100"/>
              <a:ext cx="34956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100" b="0" i="0">
                  <a:latin typeface="Cambria Math"/>
                </a:rPr>
                <a:t>"total head"="static head (elevation)"+"friction head loss"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2</xdr:col>
      <xdr:colOff>9526</xdr:colOff>
      <xdr:row>57</xdr:row>
      <xdr:rowOff>190500</xdr:rowOff>
    </xdr:from>
    <xdr:ext cx="4200524" cy="4761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5114926" y="11296650"/>
              <a:ext cx="4200524" cy="476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friction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head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loss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>
                        <a:latin typeface="Cambria Math"/>
                      </a:rPr>
                      <m:t>coefficient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pipe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length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pipe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latin typeface="Cambria Math"/>
                                <a:ea typeface="Cambria Math"/>
                              </a:rPr>
                              <m:t>diameter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/>
                        <a:ea typeface="Cambria Math"/>
                      </a:rPr>
                      <m:t>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latin typeface="Cambria Math"/>
                                    <a:ea typeface="Cambria Math"/>
                                  </a:rPr>
                                  <m:t>flow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latin typeface="Cambria Math"/>
                                    <a:ea typeface="Cambria Math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latin typeface="Cambria Math"/>
                                    <a:ea typeface="Cambria Math"/>
                                  </a:rPr>
                                  <m:t>speed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114926" y="11296650"/>
              <a:ext cx="4200524" cy="476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100" b="0" i="0">
                  <a:latin typeface="Cambria Math"/>
                </a:rPr>
                <a:t>"friction head loss"="coefficient</a:t>
              </a:r>
              <a:r>
                <a:rPr lang="en-US" sz="1100" b="0" i="0">
                  <a:latin typeface="Cambria Math"/>
                  <a:ea typeface="Cambria Math"/>
                </a:rPr>
                <a:t>"×("pipe length" /"pipe diameter" )×(〖"flow speed" 〗^2/(2𝑔_0 ))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ibraries.mit.edu/get/desaldat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91"/>
  <sheetViews>
    <sheetView tabSelected="1" topLeftCell="A40" zoomScale="80" zoomScaleNormal="80" workbookViewId="0">
      <selection activeCell="B68" sqref="B68"/>
    </sheetView>
  </sheetViews>
  <sheetFormatPr defaultRowHeight="14.4" x14ac:dyDescent="0.3"/>
  <cols>
    <col min="1" max="1" width="63.5546875" bestFit="1" customWidth="1"/>
    <col min="2" max="2" width="10.77734375" style="60" customWidth="1"/>
    <col min="3" max="8" width="10.77734375" style="22" customWidth="1"/>
    <col min="9" max="26" width="10.77734375" customWidth="1"/>
  </cols>
  <sheetData>
    <row r="1" spans="1:15" s="39" customFormat="1" ht="16.8" customHeight="1" x14ac:dyDescent="0.3">
      <c r="A1" s="37" t="s">
        <v>76</v>
      </c>
      <c r="B1" s="56" t="s">
        <v>77</v>
      </c>
      <c r="C1" s="38"/>
      <c r="D1" s="38"/>
      <c r="E1" s="38"/>
      <c r="F1" s="38"/>
      <c r="G1" s="38"/>
      <c r="H1" s="38"/>
    </row>
    <row r="2" spans="1:15" s="39" customFormat="1" ht="16.8" customHeight="1" x14ac:dyDescent="0.3">
      <c r="A2" s="40" t="s">
        <v>365</v>
      </c>
      <c r="B2" s="61">
        <v>2010</v>
      </c>
      <c r="C2" s="38"/>
      <c r="D2" s="38"/>
      <c r="E2" s="38"/>
      <c r="F2" s="38"/>
      <c r="G2" s="38"/>
      <c r="H2" s="38"/>
    </row>
    <row r="3" spans="1:15" s="39" customFormat="1" ht="16.8" customHeight="1" x14ac:dyDescent="0.3">
      <c r="A3" s="40" t="s">
        <v>366</v>
      </c>
      <c r="B3" s="61">
        <v>2030</v>
      </c>
      <c r="C3" s="38"/>
      <c r="D3" s="38">
        <v>2010</v>
      </c>
      <c r="E3" s="38">
        <v>2015</v>
      </c>
      <c r="F3" s="38">
        <v>2020</v>
      </c>
      <c r="G3" s="38">
        <v>2025</v>
      </c>
      <c r="H3" s="38">
        <v>2030</v>
      </c>
      <c r="I3" s="39">
        <v>2035</v>
      </c>
      <c r="J3" s="38">
        <v>2040</v>
      </c>
      <c r="K3" s="38">
        <v>2045</v>
      </c>
      <c r="L3" s="38">
        <v>2050</v>
      </c>
      <c r="M3" s="39" t="s">
        <v>84</v>
      </c>
    </row>
    <row r="4" spans="1:15" s="39" customFormat="1" ht="16.8" customHeight="1" x14ac:dyDescent="0.3">
      <c r="A4" s="40" t="s">
        <v>90</v>
      </c>
      <c r="B4" s="62">
        <f ca="1">OFFSET(D4,0,MATCH($B$3,$D$3:$W$3,0)-1)</f>
        <v>42000000</v>
      </c>
      <c r="C4" s="38"/>
      <c r="D4" s="41">
        <v>27136977</v>
      </c>
      <c r="E4" s="41">
        <v>30000000</v>
      </c>
      <c r="F4" s="41">
        <v>33577577</v>
      </c>
      <c r="G4" s="41">
        <v>37500000</v>
      </c>
      <c r="H4" s="41">
        <v>42000000</v>
      </c>
      <c r="I4" s="41">
        <v>45000000</v>
      </c>
      <c r="J4" s="41">
        <v>48000000</v>
      </c>
      <c r="K4" s="41">
        <v>51000000</v>
      </c>
      <c r="L4" s="41">
        <v>54000000</v>
      </c>
      <c r="N4" s="39">
        <f>SUM(City!H3:H100)</f>
        <v>21126756</v>
      </c>
      <c r="O4" s="114">
        <f>N4/D4</f>
        <v>0.77852282514739946</v>
      </c>
    </row>
    <row r="5" spans="1:15" s="39" customFormat="1" ht="16.8" customHeight="1" x14ac:dyDescent="0.3">
      <c r="A5" s="42" t="s">
        <v>93</v>
      </c>
      <c r="B5" s="103">
        <f ca="1">OFFSET(D5,0,MATCH($B$3,$D$3:$W$3,0)-1)</f>
        <v>1.5477037106970315</v>
      </c>
      <c r="C5" s="38"/>
      <c r="D5" s="38">
        <f t="shared" ref="D5:L5" si="0">D4/$D$4</f>
        <v>1</v>
      </c>
      <c r="E5" s="38">
        <f t="shared" si="0"/>
        <v>1.1055026504978798</v>
      </c>
      <c r="F5" s="38">
        <f t="shared" si="0"/>
        <v>1.2373366790265548</v>
      </c>
      <c r="G5" s="38">
        <f t="shared" si="0"/>
        <v>1.3818783131223495</v>
      </c>
      <c r="H5" s="38">
        <f t="shared" si="0"/>
        <v>1.5477037106970315</v>
      </c>
      <c r="I5" s="38">
        <f t="shared" si="0"/>
        <v>1.6582539757468195</v>
      </c>
      <c r="J5" s="38">
        <f t="shared" si="0"/>
        <v>1.7688042407966076</v>
      </c>
      <c r="K5" s="38">
        <f t="shared" si="0"/>
        <v>1.8793545058463954</v>
      </c>
      <c r="L5" s="38">
        <f t="shared" si="0"/>
        <v>1.9899047708961835</v>
      </c>
    </row>
    <row r="6" spans="1:15" s="39" customFormat="1" ht="16.8" customHeight="1" x14ac:dyDescent="0.3">
      <c r="A6" s="43"/>
      <c r="B6" s="58"/>
      <c r="C6" s="38"/>
      <c r="D6" s="38"/>
      <c r="E6" s="38" t="s">
        <v>83</v>
      </c>
      <c r="F6" s="38"/>
      <c r="G6" s="38" t="s">
        <v>83</v>
      </c>
      <c r="H6" s="38" t="s">
        <v>83</v>
      </c>
      <c r="I6" s="38" t="s">
        <v>83</v>
      </c>
      <c r="J6" s="38" t="s">
        <v>83</v>
      </c>
      <c r="K6" s="38" t="s">
        <v>83</v>
      </c>
      <c r="L6" s="38" t="s">
        <v>83</v>
      </c>
    </row>
    <row r="7" spans="1:15" s="39" customFormat="1" ht="16.8" customHeight="1" x14ac:dyDescent="0.3">
      <c r="A7" s="40" t="s">
        <v>92</v>
      </c>
      <c r="B7" s="58"/>
      <c r="C7" s="38"/>
      <c r="D7" s="38"/>
      <c r="E7" s="38"/>
      <c r="F7" s="38"/>
      <c r="G7" s="38"/>
      <c r="H7" s="38"/>
    </row>
    <row r="8" spans="1:15" s="39" customFormat="1" ht="16.8" customHeight="1" x14ac:dyDescent="0.3">
      <c r="A8" s="42" t="s">
        <v>18</v>
      </c>
      <c r="B8" s="62">
        <f ca="1">OFFSET(D8,0,MATCH($B$3,$D$3:$W$3,0)-1)</f>
        <v>292</v>
      </c>
      <c r="C8" s="38"/>
      <c r="D8" s="41">
        <v>292</v>
      </c>
      <c r="E8" s="98">
        <v>292</v>
      </c>
      <c r="F8" s="98">
        <v>292</v>
      </c>
      <c r="G8" s="98">
        <v>292</v>
      </c>
      <c r="H8" s="98">
        <v>292</v>
      </c>
      <c r="I8" s="98">
        <v>292</v>
      </c>
      <c r="J8" s="98">
        <v>292</v>
      </c>
      <c r="K8" s="98">
        <v>292</v>
      </c>
      <c r="L8" s="98">
        <v>292</v>
      </c>
    </row>
    <row r="9" spans="1:15" s="39" customFormat="1" ht="16.8" customHeight="1" x14ac:dyDescent="0.3">
      <c r="A9" s="42" t="s">
        <v>37</v>
      </c>
      <c r="B9" s="62">
        <f t="shared" ref="B9:B39" ca="1" si="1">OFFSET(D9,0,MATCH($B$3,$D$3:$W$3,0)-1)</f>
        <v>214</v>
      </c>
      <c r="C9" s="38"/>
      <c r="D9" s="41">
        <v>214</v>
      </c>
      <c r="E9" s="98">
        <v>214</v>
      </c>
      <c r="F9" s="98">
        <v>214</v>
      </c>
      <c r="G9" s="98">
        <v>214</v>
      </c>
      <c r="H9" s="98">
        <v>214</v>
      </c>
      <c r="I9" s="98">
        <v>214</v>
      </c>
      <c r="J9" s="98">
        <v>214</v>
      </c>
      <c r="K9" s="98">
        <v>214</v>
      </c>
      <c r="L9" s="98">
        <v>214</v>
      </c>
    </row>
    <row r="10" spans="1:15" s="39" customFormat="1" ht="16.8" customHeight="1" x14ac:dyDescent="0.3">
      <c r="A10" s="42" t="s">
        <v>38</v>
      </c>
      <c r="B10" s="62">
        <f t="shared" ca="1" si="1"/>
        <v>232</v>
      </c>
      <c r="C10" s="38"/>
      <c r="D10" s="41">
        <v>232</v>
      </c>
      <c r="E10" s="98">
        <v>232</v>
      </c>
      <c r="F10" s="98">
        <v>232</v>
      </c>
      <c r="G10" s="98">
        <v>232</v>
      </c>
      <c r="H10" s="98">
        <v>232</v>
      </c>
      <c r="I10" s="98">
        <v>232</v>
      </c>
      <c r="J10" s="98">
        <v>232</v>
      </c>
      <c r="K10" s="98">
        <v>232</v>
      </c>
      <c r="L10" s="98">
        <v>232</v>
      </c>
    </row>
    <row r="11" spans="1:15" s="39" customFormat="1" ht="16.8" customHeight="1" x14ac:dyDescent="0.3">
      <c r="A11" s="42" t="s">
        <v>40</v>
      </c>
      <c r="B11" s="62">
        <f t="shared" ca="1" si="1"/>
        <v>263</v>
      </c>
      <c r="C11" s="38"/>
      <c r="D11" s="41">
        <v>263</v>
      </c>
      <c r="E11" s="98">
        <v>263</v>
      </c>
      <c r="F11" s="98">
        <v>263</v>
      </c>
      <c r="G11" s="98">
        <v>263</v>
      </c>
      <c r="H11" s="98">
        <v>263</v>
      </c>
      <c r="I11" s="98">
        <v>263</v>
      </c>
      <c r="J11" s="98">
        <v>263</v>
      </c>
      <c r="K11" s="98">
        <v>263</v>
      </c>
      <c r="L11" s="98">
        <v>263</v>
      </c>
    </row>
    <row r="12" spans="1:15" s="39" customFormat="1" ht="16.8" customHeight="1" x14ac:dyDescent="0.3">
      <c r="A12" s="42" t="s">
        <v>42</v>
      </c>
      <c r="B12" s="62">
        <f t="shared" ca="1" si="1"/>
        <v>344</v>
      </c>
      <c r="C12" s="38"/>
      <c r="D12" s="41">
        <v>344</v>
      </c>
      <c r="E12" s="98">
        <v>344</v>
      </c>
      <c r="F12" s="98">
        <v>344</v>
      </c>
      <c r="G12" s="98">
        <v>344</v>
      </c>
      <c r="H12" s="98">
        <v>344</v>
      </c>
      <c r="I12" s="98">
        <v>344</v>
      </c>
      <c r="J12" s="98">
        <v>344</v>
      </c>
      <c r="K12" s="98">
        <v>344</v>
      </c>
      <c r="L12" s="98">
        <v>344</v>
      </c>
    </row>
    <row r="13" spans="1:15" s="39" customFormat="1" ht="16.8" customHeight="1" x14ac:dyDescent="0.3">
      <c r="A13" s="42" t="s">
        <v>41</v>
      </c>
      <c r="B13" s="62">
        <f t="shared" ca="1" si="1"/>
        <v>83</v>
      </c>
      <c r="C13" s="38"/>
      <c r="D13" s="41">
        <v>83</v>
      </c>
      <c r="E13" s="98">
        <v>83</v>
      </c>
      <c r="F13" s="98">
        <v>83</v>
      </c>
      <c r="G13" s="98">
        <v>83</v>
      </c>
      <c r="H13" s="98">
        <v>83</v>
      </c>
      <c r="I13" s="98">
        <v>83</v>
      </c>
      <c r="J13" s="98">
        <v>83</v>
      </c>
      <c r="K13" s="98">
        <v>83</v>
      </c>
      <c r="L13" s="98">
        <v>83</v>
      </c>
    </row>
    <row r="14" spans="1:15" s="39" customFormat="1" ht="16.8" customHeight="1" x14ac:dyDescent="0.3">
      <c r="A14" s="42" t="s">
        <v>78</v>
      </c>
      <c r="B14" s="62">
        <f t="shared" ca="1" si="1"/>
        <v>199</v>
      </c>
      <c r="C14" s="38"/>
      <c r="D14" s="41">
        <v>199</v>
      </c>
      <c r="E14" s="98">
        <v>199</v>
      </c>
      <c r="F14" s="98">
        <v>199</v>
      </c>
      <c r="G14" s="98">
        <v>199</v>
      </c>
      <c r="H14" s="98">
        <v>199</v>
      </c>
      <c r="I14" s="98">
        <v>199</v>
      </c>
      <c r="J14" s="98">
        <v>199</v>
      </c>
      <c r="K14" s="98">
        <v>199</v>
      </c>
      <c r="L14" s="98">
        <v>199</v>
      </c>
    </row>
    <row r="15" spans="1:15" s="39" customFormat="1" ht="16.8" customHeight="1" x14ac:dyDescent="0.3">
      <c r="A15" s="42" t="s">
        <v>79</v>
      </c>
      <c r="B15" s="62">
        <f t="shared" ca="1" si="1"/>
        <v>136</v>
      </c>
      <c r="C15" s="38"/>
      <c r="D15" s="41">
        <v>136</v>
      </c>
      <c r="E15" s="98">
        <v>136</v>
      </c>
      <c r="F15" s="98">
        <v>136</v>
      </c>
      <c r="G15" s="98">
        <v>136</v>
      </c>
      <c r="H15" s="98">
        <v>136</v>
      </c>
      <c r="I15" s="98">
        <v>136</v>
      </c>
      <c r="J15" s="98">
        <v>136</v>
      </c>
      <c r="K15" s="98">
        <v>136</v>
      </c>
      <c r="L15" s="98">
        <v>136</v>
      </c>
    </row>
    <row r="16" spans="1:15" s="39" customFormat="1" ht="16.8" customHeight="1" x14ac:dyDescent="0.3">
      <c r="A16" s="42" t="s">
        <v>80</v>
      </c>
      <c r="B16" s="62">
        <f t="shared" ca="1" si="1"/>
        <v>143</v>
      </c>
      <c r="C16" s="38"/>
      <c r="D16" s="41">
        <v>143</v>
      </c>
      <c r="E16" s="98">
        <v>143</v>
      </c>
      <c r="F16" s="98">
        <v>143</v>
      </c>
      <c r="G16" s="98">
        <v>143</v>
      </c>
      <c r="H16" s="98">
        <v>143</v>
      </c>
      <c r="I16" s="98">
        <v>143</v>
      </c>
      <c r="J16" s="98">
        <v>143</v>
      </c>
      <c r="K16" s="98">
        <v>143</v>
      </c>
      <c r="L16" s="98">
        <v>143</v>
      </c>
    </row>
    <row r="17" spans="1:12" s="39" customFormat="1" ht="16.8" customHeight="1" x14ac:dyDescent="0.3">
      <c r="A17" s="42" t="s">
        <v>39</v>
      </c>
      <c r="B17" s="62">
        <f t="shared" ca="1" si="1"/>
        <v>35</v>
      </c>
      <c r="C17" s="38"/>
      <c r="D17" s="41">
        <v>35</v>
      </c>
      <c r="E17" s="98">
        <v>35</v>
      </c>
      <c r="F17" s="98">
        <v>35</v>
      </c>
      <c r="G17" s="98">
        <v>35</v>
      </c>
      <c r="H17" s="98">
        <v>35</v>
      </c>
      <c r="I17" s="98">
        <v>35</v>
      </c>
      <c r="J17" s="98">
        <v>35</v>
      </c>
      <c r="K17" s="98">
        <v>35</v>
      </c>
      <c r="L17" s="98">
        <v>35</v>
      </c>
    </row>
    <row r="18" spans="1:12" s="39" customFormat="1" ht="16.8" customHeight="1" x14ac:dyDescent="0.3">
      <c r="A18" s="42" t="s">
        <v>81</v>
      </c>
      <c r="B18" s="62">
        <f t="shared" ca="1" si="1"/>
        <v>54</v>
      </c>
      <c r="C18" s="38"/>
      <c r="D18" s="41">
        <v>54</v>
      </c>
      <c r="E18" s="98">
        <v>54</v>
      </c>
      <c r="F18" s="98">
        <v>54</v>
      </c>
      <c r="G18" s="98">
        <v>54</v>
      </c>
      <c r="H18" s="98">
        <v>54</v>
      </c>
      <c r="I18" s="98">
        <v>54</v>
      </c>
      <c r="J18" s="98">
        <v>54</v>
      </c>
      <c r="K18" s="98">
        <v>54</v>
      </c>
      <c r="L18" s="98">
        <v>54</v>
      </c>
    </row>
    <row r="19" spans="1:12" s="39" customFormat="1" ht="16.8" customHeight="1" x14ac:dyDescent="0.3">
      <c r="A19" s="42" t="s">
        <v>24</v>
      </c>
      <c r="B19" s="62">
        <f t="shared" ca="1" si="1"/>
        <v>60</v>
      </c>
      <c r="C19" s="38"/>
      <c r="D19" s="41">
        <v>60</v>
      </c>
      <c r="E19" s="98">
        <v>60</v>
      </c>
      <c r="F19" s="98">
        <v>60</v>
      </c>
      <c r="G19" s="98">
        <v>60</v>
      </c>
      <c r="H19" s="98">
        <v>60</v>
      </c>
      <c r="I19" s="98">
        <v>60</v>
      </c>
      <c r="J19" s="98">
        <v>60</v>
      </c>
      <c r="K19" s="98">
        <v>60</v>
      </c>
      <c r="L19" s="98">
        <v>60</v>
      </c>
    </row>
    <row r="20" spans="1:12" s="39" customFormat="1" ht="16.8" customHeight="1" x14ac:dyDescent="0.3">
      <c r="A20" s="42" t="s">
        <v>85</v>
      </c>
      <c r="B20" s="62">
        <f t="shared" ca="1" si="1"/>
        <v>239</v>
      </c>
      <c r="C20" s="38"/>
      <c r="D20" s="41">
        <v>239</v>
      </c>
      <c r="E20" s="98">
        <v>239</v>
      </c>
      <c r="F20" s="98">
        <v>239</v>
      </c>
      <c r="G20" s="98">
        <v>239</v>
      </c>
      <c r="H20" s="98">
        <v>239</v>
      </c>
      <c r="I20" s="98">
        <v>239</v>
      </c>
      <c r="J20" s="98">
        <v>239</v>
      </c>
      <c r="K20" s="98">
        <v>239</v>
      </c>
      <c r="L20" s="98">
        <v>239</v>
      </c>
    </row>
    <row r="21" spans="1:12" s="39" customFormat="1" ht="16.8" customHeight="1" x14ac:dyDescent="0.3">
      <c r="A21" s="42" t="s">
        <v>82</v>
      </c>
      <c r="B21" s="62">
        <f t="shared" ca="1" si="1"/>
        <v>231</v>
      </c>
      <c r="C21" s="38"/>
      <c r="D21" s="41">
        <v>231</v>
      </c>
      <c r="E21" s="98">
        <v>231</v>
      </c>
      <c r="F21" s="98">
        <v>231</v>
      </c>
      <c r="G21" s="98">
        <v>231</v>
      </c>
      <c r="H21" s="98">
        <v>231</v>
      </c>
      <c r="I21" s="98">
        <v>231</v>
      </c>
      <c r="J21" s="98">
        <v>231</v>
      </c>
      <c r="K21" s="98">
        <v>231</v>
      </c>
      <c r="L21" s="98">
        <v>231</v>
      </c>
    </row>
    <row r="22" spans="1:12" s="39" customFormat="1" ht="16.8" customHeight="1" x14ac:dyDescent="0.3">
      <c r="A22" s="96"/>
      <c r="B22" s="62"/>
      <c r="C22" s="38"/>
      <c r="D22" s="53"/>
      <c r="E22" s="53"/>
      <c r="F22" s="53"/>
      <c r="G22" s="53"/>
      <c r="H22" s="53"/>
      <c r="I22" s="53"/>
      <c r="J22" s="53"/>
      <c r="K22" s="53"/>
      <c r="L22" s="53"/>
    </row>
    <row r="23" spans="1:12" s="39" customFormat="1" ht="16.8" customHeight="1" x14ac:dyDescent="0.3">
      <c r="A23" s="40" t="s">
        <v>170</v>
      </c>
      <c r="B23" s="97">
        <v>0.3</v>
      </c>
      <c r="C23" s="38"/>
      <c r="D23" s="53"/>
      <c r="E23" s="53"/>
      <c r="F23" s="53"/>
      <c r="G23" s="53"/>
      <c r="H23" s="53"/>
      <c r="I23" s="53"/>
      <c r="J23" s="53"/>
      <c r="K23" s="53"/>
      <c r="L23" s="53"/>
    </row>
    <row r="24" spans="1:12" s="39" customFormat="1" ht="16.8" customHeight="1" x14ac:dyDescent="0.3">
      <c r="A24" s="43"/>
      <c r="B24" s="58"/>
      <c r="C24" s="38"/>
      <c r="D24" s="38"/>
      <c r="E24" s="38"/>
      <c r="G24" s="38"/>
      <c r="H24" s="38"/>
    </row>
    <row r="25" spans="1:12" s="46" customFormat="1" ht="16.8" customHeight="1" x14ac:dyDescent="0.3">
      <c r="A25" s="44" t="s">
        <v>169</v>
      </c>
      <c r="B25" s="58"/>
      <c r="C25" s="45"/>
      <c r="D25" s="45"/>
      <c r="E25" s="45"/>
      <c r="G25" s="45"/>
      <c r="H25" s="45"/>
    </row>
    <row r="26" spans="1:12" s="46" customFormat="1" ht="16.8" customHeight="1" x14ac:dyDescent="0.3">
      <c r="A26" s="47" t="s">
        <v>18</v>
      </c>
      <c r="B26" s="63">
        <f ca="1">OFFSET(D26,0,MATCH($B$3,$D$3:$W$3,0)-1)</f>
        <v>0.53700000000000003</v>
      </c>
      <c r="C26" s="45"/>
      <c r="D26" s="48">
        <v>0.53700000000000003</v>
      </c>
      <c r="E26" s="99">
        <v>0.53700000000000003</v>
      </c>
      <c r="F26" s="99">
        <v>0.53700000000000003</v>
      </c>
      <c r="G26" s="99">
        <v>0.53700000000000003</v>
      </c>
      <c r="H26" s="99">
        <v>0.53700000000000003</v>
      </c>
      <c r="I26" s="99">
        <v>0.53700000000000003</v>
      </c>
      <c r="J26" s="99">
        <v>0.53700000000000003</v>
      </c>
      <c r="K26" s="99">
        <v>0.53700000000000003</v>
      </c>
      <c r="L26" s="99">
        <v>0.53700000000000003</v>
      </c>
    </row>
    <row r="27" spans="1:12" s="46" customFormat="1" ht="16.8" customHeight="1" x14ac:dyDescent="0.3">
      <c r="A27" s="47" t="s">
        <v>37</v>
      </c>
      <c r="B27" s="63">
        <f t="shared" ca="1" si="1"/>
        <v>3.0000000000000001E-3</v>
      </c>
      <c r="C27" s="45"/>
      <c r="D27" s="48">
        <v>3.0000000000000001E-3</v>
      </c>
      <c r="E27" s="99">
        <v>3.0000000000000001E-3</v>
      </c>
      <c r="F27" s="99">
        <v>3.0000000000000001E-3</v>
      </c>
      <c r="G27" s="99">
        <v>3.0000000000000001E-3</v>
      </c>
      <c r="H27" s="99">
        <v>3.0000000000000001E-3</v>
      </c>
      <c r="I27" s="99">
        <v>3.0000000000000001E-3</v>
      </c>
      <c r="J27" s="99">
        <v>3.0000000000000001E-3</v>
      </c>
      <c r="K27" s="99">
        <v>3.0000000000000001E-3</v>
      </c>
      <c r="L27" s="99">
        <v>3.0000000000000001E-3</v>
      </c>
    </row>
    <row r="28" spans="1:12" s="46" customFormat="1" ht="16.8" customHeight="1" x14ac:dyDescent="0.3">
      <c r="A28" s="47" t="s">
        <v>38</v>
      </c>
      <c r="B28" s="63">
        <f t="shared" ca="1" si="1"/>
        <v>0.16600000000000001</v>
      </c>
      <c r="C28" s="45"/>
      <c r="D28" s="48">
        <v>0.16600000000000001</v>
      </c>
      <c r="E28" s="99">
        <v>0.16600000000000001</v>
      </c>
      <c r="F28" s="99">
        <v>0.16600000000000001</v>
      </c>
      <c r="G28" s="99">
        <v>0.16600000000000001</v>
      </c>
      <c r="H28" s="99">
        <v>0.16600000000000001</v>
      </c>
      <c r="I28" s="99">
        <v>0.16600000000000001</v>
      </c>
      <c r="J28" s="99">
        <v>0.16600000000000001</v>
      </c>
      <c r="K28" s="99">
        <v>0.16600000000000001</v>
      </c>
      <c r="L28" s="99">
        <v>0.16600000000000001</v>
      </c>
    </row>
    <row r="29" spans="1:12" s="46" customFormat="1" ht="16.8" customHeight="1" x14ac:dyDescent="0.3">
      <c r="A29" s="47" t="s">
        <v>40</v>
      </c>
      <c r="B29" s="63">
        <f t="shared" ca="1" si="1"/>
        <v>0.93</v>
      </c>
      <c r="C29" s="45"/>
      <c r="D29" s="48">
        <v>0.93</v>
      </c>
      <c r="E29" s="99">
        <v>0.93</v>
      </c>
      <c r="F29" s="99">
        <v>0.93</v>
      </c>
      <c r="G29" s="99">
        <v>0.93</v>
      </c>
      <c r="H29" s="99">
        <v>0.93</v>
      </c>
      <c r="I29" s="99">
        <v>0.93</v>
      </c>
      <c r="J29" s="99">
        <v>0.93</v>
      </c>
      <c r="K29" s="99">
        <v>0.93</v>
      </c>
      <c r="L29" s="99">
        <v>0.93</v>
      </c>
    </row>
    <row r="30" spans="1:12" s="46" customFormat="1" ht="16.8" customHeight="1" x14ac:dyDescent="0.3">
      <c r="A30" s="47" t="s">
        <v>42</v>
      </c>
      <c r="B30" s="63">
        <f t="shared" ca="1" si="1"/>
        <v>0.63700000000000001</v>
      </c>
      <c r="C30" s="45"/>
      <c r="D30" s="48">
        <v>0.63700000000000001</v>
      </c>
      <c r="E30" s="99">
        <v>0.63700000000000001</v>
      </c>
      <c r="F30" s="99">
        <v>0.63700000000000001</v>
      </c>
      <c r="G30" s="99">
        <v>0.63700000000000001</v>
      </c>
      <c r="H30" s="99">
        <v>0.63700000000000001</v>
      </c>
      <c r="I30" s="99">
        <v>0.63700000000000001</v>
      </c>
      <c r="J30" s="99">
        <v>0.63700000000000001</v>
      </c>
      <c r="K30" s="99">
        <v>0.63700000000000001</v>
      </c>
      <c r="L30" s="99">
        <v>0.63700000000000001</v>
      </c>
    </row>
    <row r="31" spans="1:12" s="46" customFormat="1" ht="16.8" customHeight="1" x14ac:dyDescent="0.3">
      <c r="A31" s="47" t="s">
        <v>41</v>
      </c>
      <c r="B31" s="63">
        <f t="shared" ca="1" si="1"/>
        <v>0.159</v>
      </c>
      <c r="C31" s="45"/>
      <c r="D31" s="48">
        <v>0.159</v>
      </c>
      <c r="E31" s="99">
        <v>0.159</v>
      </c>
      <c r="F31" s="99">
        <v>0.159</v>
      </c>
      <c r="G31" s="99">
        <v>0.159</v>
      </c>
      <c r="H31" s="99">
        <v>0.159</v>
      </c>
      <c r="I31" s="99">
        <v>0.159</v>
      </c>
      <c r="J31" s="99">
        <v>0.159</v>
      </c>
      <c r="K31" s="99">
        <v>0.159</v>
      </c>
      <c r="L31" s="99">
        <v>0.159</v>
      </c>
    </row>
    <row r="32" spans="1:12" s="46" customFormat="1" ht="16.8" customHeight="1" x14ac:dyDescent="0.3">
      <c r="A32" s="47" t="s">
        <v>78</v>
      </c>
      <c r="B32" s="63">
        <f t="shared" ca="1" si="1"/>
        <v>0.83499999999999996</v>
      </c>
      <c r="C32" s="45"/>
      <c r="D32" s="48">
        <v>0.83499999999999996</v>
      </c>
      <c r="E32" s="99">
        <v>0.83499999999999996</v>
      </c>
      <c r="F32" s="99">
        <v>0.83499999999999996</v>
      </c>
      <c r="G32" s="99">
        <v>0.83499999999999996</v>
      </c>
      <c r="H32" s="99">
        <v>0.83499999999999996</v>
      </c>
      <c r="I32" s="99">
        <v>0.83499999999999996</v>
      </c>
      <c r="J32" s="99">
        <v>0.83499999999999996</v>
      </c>
      <c r="K32" s="99">
        <v>0.83499999999999996</v>
      </c>
      <c r="L32" s="99">
        <v>0.83499999999999996</v>
      </c>
    </row>
    <row r="33" spans="1:19" s="46" customFormat="1" ht="16.8" customHeight="1" x14ac:dyDescent="0.3">
      <c r="A33" s="47" t="s">
        <v>79</v>
      </c>
      <c r="B33" s="63">
        <f t="shared" ca="1" si="1"/>
        <v>1</v>
      </c>
      <c r="C33" s="45"/>
      <c r="D33" s="48">
        <v>1</v>
      </c>
      <c r="E33" s="99">
        <v>1</v>
      </c>
      <c r="F33" s="99">
        <v>1</v>
      </c>
      <c r="G33" s="99">
        <v>1</v>
      </c>
      <c r="H33" s="99">
        <v>1</v>
      </c>
      <c r="I33" s="99">
        <v>1</v>
      </c>
      <c r="J33" s="99">
        <v>1</v>
      </c>
      <c r="K33" s="99">
        <v>1</v>
      </c>
      <c r="L33" s="99">
        <v>1</v>
      </c>
    </row>
    <row r="34" spans="1:19" s="46" customFormat="1" ht="16.8" customHeight="1" x14ac:dyDescent="0.3">
      <c r="A34" s="47" t="s">
        <v>80</v>
      </c>
      <c r="B34" s="63">
        <f t="shared" ca="1" si="1"/>
        <v>1</v>
      </c>
      <c r="C34" s="45"/>
      <c r="D34" s="48">
        <v>1</v>
      </c>
      <c r="E34" s="99">
        <v>1</v>
      </c>
      <c r="F34" s="99">
        <v>1</v>
      </c>
      <c r="G34" s="99">
        <v>1</v>
      </c>
      <c r="H34" s="99">
        <v>1</v>
      </c>
      <c r="I34" s="99">
        <v>1</v>
      </c>
      <c r="J34" s="99">
        <v>1</v>
      </c>
      <c r="K34" s="99">
        <v>1</v>
      </c>
      <c r="L34" s="99">
        <v>1</v>
      </c>
    </row>
    <row r="35" spans="1:19" s="46" customFormat="1" ht="16.8" customHeight="1" x14ac:dyDescent="0.3">
      <c r="A35" s="47" t="s">
        <v>39</v>
      </c>
      <c r="B35" s="63">
        <f t="shared" ca="1" si="1"/>
        <v>0.72199999999999998</v>
      </c>
      <c r="C35" s="45"/>
      <c r="D35" s="48">
        <v>0.72199999999999998</v>
      </c>
      <c r="E35" s="99">
        <v>0.72199999999999998</v>
      </c>
      <c r="F35" s="99">
        <v>0.72199999999999998</v>
      </c>
      <c r="G35" s="99">
        <v>0.72199999999999998</v>
      </c>
      <c r="H35" s="99">
        <v>0.72199999999999998</v>
      </c>
      <c r="I35" s="99">
        <v>0.72199999999999998</v>
      </c>
      <c r="J35" s="99">
        <v>0.72199999999999998</v>
      </c>
      <c r="K35" s="99">
        <v>0.72199999999999998</v>
      </c>
      <c r="L35" s="99">
        <v>0.72199999999999998</v>
      </c>
    </row>
    <row r="36" spans="1:19" s="46" customFormat="1" ht="16.8" customHeight="1" x14ac:dyDescent="0.3">
      <c r="A36" s="47" t="s">
        <v>81</v>
      </c>
      <c r="B36" s="63">
        <f t="shared" ca="1" si="1"/>
        <v>1</v>
      </c>
      <c r="C36" s="45"/>
      <c r="D36" s="48">
        <v>1</v>
      </c>
      <c r="E36" s="99">
        <v>1</v>
      </c>
      <c r="F36" s="99">
        <v>1</v>
      </c>
      <c r="G36" s="99">
        <v>1</v>
      </c>
      <c r="H36" s="99">
        <v>1</v>
      </c>
      <c r="I36" s="99">
        <v>1</v>
      </c>
      <c r="J36" s="99">
        <v>1</v>
      </c>
      <c r="K36" s="99">
        <v>1</v>
      </c>
      <c r="L36" s="99">
        <v>1</v>
      </c>
    </row>
    <row r="37" spans="1:19" s="46" customFormat="1" ht="16.8" customHeight="1" x14ac:dyDescent="0.3">
      <c r="A37" s="47" t="s">
        <v>24</v>
      </c>
      <c r="B37" s="63">
        <f t="shared" ca="1" si="1"/>
        <v>1</v>
      </c>
      <c r="C37" s="45"/>
      <c r="D37" s="48">
        <v>1</v>
      </c>
      <c r="E37" s="99">
        <v>1</v>
      </c>
      <c r="F37" s="99">
        <v>1</v>
      </c>
      <c r="G37" s="99">
        <v>1</v>
      </c>
      <c r="H37" s="99">
        <v>1</v>
      </c>
      <c r="I37" s="99">
        <v>1</v>
      </c>
      <c r="J37" s="99">
        <v>1</v>
      </c>
      <c r="K37" s="99">
        <v>1</v>
      </c>
      <c r="L37" s="99">
        <v>1</v>
      </c>
    </row>
    <row r="38" spans="1:19" s="46" customFormat="1" ht="16.8" customHeight="1" x14ac:dyDescent="0.3">
      <c r="A38" s="47" t="s">
        <v>85</v>
      </c>
      <c r="B38" s="63">
        <f t="shared" ca="1" si="1"/>
        <v>1</v>
      </c>
      <c r="C38" s="45"/>
      <c r="D38" s="48">
        <v>1</v>
      </c>
      <c r="E38" s="99">
        <v>1</v>
      </c>
      <c r="F38" s="99">
        <v>1</v>
      </c>
      <c r="G38" s="99">
        <v>1</v>
      </c>
      <c r="H38" s="99">
        <v>1</v>
      </c>
      <c r="I38" s="99">
        <v>1</v>
      </c>
      <c r="J38" s="99">
        <v>1</v>
      </c>
      <c r="K38" s="99">
        <v>1</v>
      </c>
      <c r="L38" s="99">
        <v>1</v>
      </c>
    </row>
    <row r="39" spans="1:19" s="46" customFormat="1" ht="16.8" customHeight="1" x14ac:dyDescent="0.3">
      <c r="A39" s="47" t="s">
        <v>82</v>
      </c>
      <c r="B39" s="63">
        <f t="shared" ca="1" si="1"/>
        <v>0.441</v>
      </c>
      <c r="C39" s="45"/>
      <c r="D39" s="48">
        <v>0.441</v>
      </c>
      <c r="E39" s="99">
        <v>0.441</v>
      </c>
      <c r="F39" s="99">
        <v>0.441</v>
      </c>
      <c r="G39" s="99">
        <v>0.441</v>
      </c>
      <c r="H39" s="99">
        <v>0.441</v>
      </c>
      <c r="I39" s="99">
        <v>0.441</v>
      </c>
      <c r="J39" s="99">
        <v>0.441</v>
      </c>
      <c r="K39" s="99">
        <v>0.441</v>
      </c>
      <c r="L39" s="99">
        <v>0.441</v>
      </c>
    </row>
    <row r="40" spans="1:19" s="39" customFormat="1" ht="16.8" customHeight="1" x14ac:dyDescent="0.3">
      <c r="A40" s="43"/>
      <c r="B40" s="58"/>
      <c r="C40" s="38"/>
      <c r="D40" s="38"/>
      <c r="E40" s="38"/>
      <c r="F40" s="38"/>
      <c r="G40" s="38"/>
      <c r="H40" s="38"/>
    </row>
    <row r="41" spans="1:19" s="39" customFormat="1" ht="16.8" customHeight="1" x14ac:dyDescent="0.3">
      <c r="A41" s="40" t="s">
        <v>91</v>
      </c>
      <c r="B41" s="51">
        <v>0</v>
      </c>
      <c r="C41" s="38"/>
      <c r="D41" s="38"/>
      <c r="E41" s="38"/>
      <c r="F41" s="38"/>
      <c r="G41" s="38"/>
      <c r="H41" s="38"/>
    </row>
    <row r="42" spans="1:19" s="39" customFormat="1" ht="16.8" customHeight="1" x14ac:dyDescent="0.3">
      <c r="A42" s="43"/>
      <c r="B42" s="58"/>
      <c r="C42" s="38"/>
      <c r="D42" s="38"/>
      <c r="E42" s="38"/>
      <c r="F42" s="38"/>
      <c r="G42" s="38"/>
      <c r="H42" s="38"/>
    </row>
    <row r="43" spans="1:19" s="39" customFormat="1" ht="16.8" customHeight="1" x14ac:dyDescent="0.3">
      <c r="A43" s="49" t="s">
        <v>152</v>
      </c>
      <c r="B43" s="77">
        <f>80%</f>
        <v>0.8</v>
      </c>
      <c r="C43" s="38"/>
      <c r="D43" s="38"/>
      <c r="E43" s="38"/>
      <c r="F43" s="38"/>
      <c r="G43" s="38"/>
      <c r="H43" s="38"/>
    </row>
    <row r="44" spans="1:19" s="39" customFormat="1" ht="16.8" customHeight="1" x14ac:dyDescent="0.3">
      <c r="A44" s="49" t="s">
        <v>153</v>
      </c>
      <c r="B44" s="77">
        <f>56%</f>
        <v>0.56000000000000005</v>
      </c>
      <c r="C44" s="38"/>
      <c r="D44" s="38"/>
      <c r="E44" s="38"/>
      <c r="F44" s="38"/>
      <c r="G44" s="38"/>
      <c r="H44" s="38"/>
    </row>
    <row r="45" spans="1:19" s="39" customFormat="1" ht="16.8" customHeight="1" x14ac:dyDescent="0.3">
      <c r="A45" s="49" t="s">
        <v>154</v>
      </c>
      <c r="B45" s="77">
        <f>90%</f>
        <v>0.9</v>
      </c>
      <c r="C45" s="275"/>
      <c r="D45" s="102"/>
      <c r="E45" s="38"/>
      <c r="F45" s="38"/>
      <c r="G45" s="38"/>
      <c r="H45" s="38"/>
    </row>
    <row r="46" spans="1:19" s="39" customFormat="1" ht="16.8" customHeight="1" x14ac:dyDescent="0.3">
      <c r="A46" s="43"/>
      <c r="B46" s="58"/>
      <c r="C46" s="38"/>
      <c r="D46" s="38" t="s">
        <v>354</v>
      </c>
      <c r="E46" s="39" t="s">
        <v>363</v>
      </c>
      <c r="F46" s="38" t="s">
        <v>354</v>
      </c>
      <c r="G46" s="38"/>
      <c r="H46" s="38" t="s">
        <v>355</v>
      </c>
      <c r="I46" s="38" t="s">
        <v>363</v>
      </c>
      <c r="K46" s="39" t="s">
        <v>358</v>
      </c>
      <c r="L46" s="39" t="s">
        <v>359</v>
      </c>
      <c r="N46" s="39" t="s">
        <v>356</v>
      </c>
      <c r="O46" s="39" t="s">
        <v>357</v>
      </c>
    </row>
    <row r="47" spans="1:19" s="39" customFormat="1" ht="16.8" customHeight="1" x14ac:dyDescent="0.3">
      <c r="A47" s="40" t="s">
        <v>87</v>
      </c>
      <c r="B47" s="58"/>
      <c r="C47" s="38"/>
      <c r="D47" s="38" t="s">
        <v>352</v>
      </c>
      <c r="E47" s="39" t="s">
        <v>362</v>
      </c>
      <c r="F47" s="38" t="s">
        <v>353</v>
      </c>
      <c r="G47" s="38" t="s">
        <v>350</v>
      </c>
      <c r="H47" s="38" t="s">
        <v>353</v>
      </c>
      <c r="I47" s="38" t="s">
        <v>364</v>
      </c>
      <c r="K47" s="39" t="s">
        <v>351</v>
      </c>
      <c r="L47" s="39" t="s">
        <v>351</v>
      </c>
      <c r="N47" s="39" t="s">
        <v>351</v>
      </c>
      <c r="O47" s="39" t="s">
        <v>351</v>
      </c>
      <c r="Q47" s="39" t="s">
        <v>360</v>
      </c>
      <c r="S47" s="39" t="s">
        <v>361</v>
      </c>
    </row>
    <row r="48" spans="1:19" s="39" customFormat="1" ht="16.8" customHeight="1" x14ac:dyDescent="0.3">
      <c r="A48" s="42" t="s">
        <v>346</v>
      </c>
      <c r="B48" s="51">
        <v>4.7</v>
      </c>
      <c r="C48" s="38">
        <v>30</v>
      </c>
      <c r="D48" s="38">
        <f>10000+375*C48/75</f>
        <v>10150</v>
      </c>
      <c r="E48" s="39">
        <f>D48*365</f>
        <v>3704750</v>
      </c>
      <c r="F48" s="38">
        <f>D48*B50</f>
        <v>131950</v>
      </c>
      <c r="G48" s="280">
        <f>1000*C48/75</f>
        <v>400</v>
      </c>
      <c r="H48" s="280">
        <f>G48/3600*D48</f>
        <v>1127.7777777777778</v>
      </c>
      <c r="I48" s="280">
        <f>(F48+H48)*365</f>
        <v>48573388.888888888</v>
      </c>
      <c r="K48" s="279">
        <f>E48*B73</f>
        <v>5557125</v>
      </c>
      <c r="L48" s="279">
        <f>I48*B74</f>
        <v>4857338.888888889</v>
      </c>
      <c r="M48" s="279">
        <f>K48+L48</f>
        <v>10414463.888888888</v>
      </c>
      <c r="N48" s="39">
        <f>2737500*C48/75</f>
        <v>1095000</v>
      </c>
      <c r="P48" s="39">
        <f>N48+O48</f>
        <v>1095000</v>
      </c>
      <c r="Q48" s="279">
        <f>K48+L48+N48+O48</f>
        <v>11509463.888888888</v>
      </c>
      <c r="S48" s="279">
        <f>E48*B81+I48*B89</f>
        <v>124518294.05555555</v>
      </c>
    </row>
    <row r="49" spans="1:19" s="39" customFormat="1" ht="16.8" customHeight="1" x14ac:dyDescent="0.3">
      <c r="A49" s="42" t="s">
        <v>347</v>
      </c>
      <c r="B49" s="51">
        <v>2.1</v>
      </c>
      <c r="C49" s="38">
        <v>60</v>
      </c>
      <c r="D49" s="38">
        <f>10000+375*C49/75</f>
        <v>10300</v>
      </c>
      <c r="E49" s="39">
        <f>D49*365</f>
        <v>3759500</v>
      </c>
      <c r="F49" s="280">
        <f>D49*B48</f>
        <v>48410</v>
      </c>
      <c r="G49" s="280">
        <f>1000*C49/75</f>
        <v>800</v>
      </c>
      <c r="H49" s="280">
        <f>G49/3600*D49</f>
        <v>2288.8888888888887</v>
      </c>
      <c r="I49" s="280">
        <f>(F49+H49)*365</f>
        <v>18505094.444444444</v>
      </c>
      <c r="K49" s="279">
        <f>E49*B73</f>
        <v>5639250</v>
      </c>
      <c r="L49" s="279">
        <f>I49*B74</f>
        <v>1850509.4444444445</v>
      </c>
      <c r="M49" s="279">
        <f>K49+L49</f>
        <v>7489759.444444444</v>
      </c>
      <c r="N49" s="39">
        <f>2737500*C49/75</f>
        <v>2190000</v>
      </c>
      <c r="O49" s="39">
        <f>6000000*C49/150</f>
        <v>2400000</v>
      </c>
      <c r="P49" s="39">
        <f>N49+O49</f>
        <v>4590000</v>
      </c>
      <c r="Q49" s="279">
        <f>K49+L49+N49+O49</f>
        <v>12079759.444444444</v>
      </c>
      <c r="S49" s="279">
        <f>E49*B82+I49*B90</f>
        <v>82255938.477777779</v>
      </c>
    </row>
    <row r="50" spans="1:19" s="39" customFormat="1" ht="16.8" customHeight="1" x14ac:dyDescent="0.3">
      <c r="A50" s="42" t="s">
        <v>88</v>
      </c>
      <c r="B50" s="51">
        <v>13</v>
      </c>
      <c r="C50" s="38"/>
      <c r="D50" s="38"/>
      <c r="E50" s="38"/>
      <c r="F50" s="38"/>
      <c r="G50" s="38"/>
      <c r="H50" s="38"/>
    </row>
    <row r="51" spans="1:19" s="39" customFormat="1" ht="16.8" customHeight="1" x14ac:dyDescent="0.3">
      <c r="A51" s="42" t="s">
        <v>75</v>
      </c>
      <c r="B51" s="51">
        <v>7.5</v>
      </c>
      <c r="C51" s="38"/>
      <c r="D51" s="38"/>
      <c r="E51" s="38"/>
      <c r="F51" s="38"/>
      <c r="G51" s="38"/>
      <c r="H51" s="38"/>
    </row>
    <row r="52" spans="1:19" s="39" customFormat="1" ht="16.8" customHeight="1" x14ac:dyDescent="0.3">
      <c r="A52" s="42" t="s">
        <v>332</v>
      </c>
      <c r="B52" s="51">
        <v>5.5</v>
      </c>
      <c r="C52" s="38"/>
      <c r="D52" s="38"/>
      <c r="E52" s="38"/>
      <c r="F52" s="38"/>
      <c r="G52" s="38"/>
      <c r="H52" s="38"/>
    </row>
    <row r="53" spans="1:19" s="39" customFormat="1" ht="16.8" customHeight="1" x14ac:dyDescent="0.3">
      <c r="A53" s="42" t="s">
        <v>324</v>
      </c>
      <c r="B53" s="50">
        <v>5.5</v>
      </c>
      <c r="C53" s="38"/>
      <c r="D53" s="38"/>
      <c r="E53" s="38"/>
      <c r="F53" s="38"/>
      <c r="G53" s="38"/>
      <c r="H53" s="38"/>
    </row>
    <row r="54" spans="1:19" s="39" customFormat="1" ht="16.8" customHeight="1" x14ac:dyDescent="0.3">
      <c r="A54" s="49" t="s">
        <v>131</v>
      </c>
      <c r="B54" s="50">
        <v>10</v>
      </c>
      <c r="C54" s="38"/>
      <c r="D54" s="38"/>
      <c r="E54" s="38"/>
      <c r="F54" s="38"/>
      <c r="G54" s="38"/>
      <c r="H54" s="38"/>
    </row>
    <row r="55" spans="1:19" s="39" customFormat="1" ht="16.8" customHeight="1" x14ac:dyDescent="0.3">
      <c r="A55" s="49" t="s">
        <v>86</v>
      </c>
      <c r="B55" s="50">
        <v>3</v>
      </c>
      <c r="C55" s="38"/>
      <c r="D55" s="38"/>
      <c r="E55" s="38"/>
      <c r="F55" s="38"/>
      <c r="G55" s="38"/>
      <c r="H55" s="38"/>
    </row>
    <row r="56" spans="1:19" s="19" customFormat="1" ht="16.8" customHeight="1" x14ac:dyDescent="0.3">
      <c r="A56" s="52"/>
      <c r="B56" s="59"/>
      <c r="C56" s="53"/>
      <c r="D56" s="53"/>
      <c r="E56" s="53"/>
      <c r="F56" s="53"/>
      <c r="G56" s="53"/>
      <c r="H56" s="53"/>
    </row>
    <row r="57" spans="1:19" s="39" customFormat="1" ht="16.8" customHeight="1" x14ac:dyDescent="0.3">
      <c r="A57" s="40" t="s">
        <v>157</v>
      </c>
      <c r="B57" s="57">
        <v>0.01</v>
      </c>
      <c r="C57" s="38"/>
      <c r="D57" s="38"/>
      <c r="E57" s="38"/>
      <c r="F57" s="38"/>
      <c r="G57" s="38"/>
      <c r="H57" s="38"/>
    </row>
    <row r="58" spans="1:19" s="39" customFormat="1" ht="16.8" customHeight="1" x14ac:dyDescent="0.3">
      <c r="A58" s="40" t="s">
        <v>168</v>
      </c>
      <c r="B58" s="50">
        <v>2</v>
      </c>
      <c r="C58" s="38"/>
      <c r="D58" s="38"/>
      <c r="E58" s="38"/>
      <c r="F58" s="38"/>
      <c r="G58" s="38"/>
      <c r="H58" s="38"/>
    </row>
    <row r="59" spans="1:19" s="39" customFormat="1" ht="16.8" customHeight="1" x14ac:dyDescent="0.3">
      <c r="A59" s="40" t="s">
        <v>155</v>
      </c>
      <c r="B59" s="54">
        <f>0.05%</f>
        <v>5.0000000000000001E-4</v>
      </c>
      <c r="C59" s="38"/>
      <c r="D59" s="38"/>
      <c r="E59" s="38"/>
      <c r="F59" s="38"/>
      <c r="G59" s="38"/>
      <c r="H59" s="38"/>
    </row>
    <row r="60" spans="1:19" s="39" customFormat="1" ht="16.8" customHeight="1" x14ac:dyDescent="0.3">
      <c r="A60" s="40" t="s">
        <v>156</v>
      </c>
      <c r="B60" s="54">
        <f>0.003%</f>
        <v>3.0000000000000001E-5</v>
      </c>
      <c r="C60" s="38"/>
      <c r="D60" s="38"/>
      <c r="E60" s="38"/>
      <c r="F60" s="38"/>
      <c r="G60" s="38"/>
      <c r="H60" s="38"/>
    </row>
    <row r="61" spans="1:19" s="39" customFormat="1" ht="16.8" customHeight="1" x14ac:dyDescent="0.3">
      <c r="A61" s="43"/>
      <c r="B61" s="58"/>
      <c r="C61" s="38"/>
      <c r="D61" s="38"/>
      <c r="E61" s="38"/>
      <c r="F61" s="38"/>
      <c r="G61" s="38"/>
      <c r="H61" s="38"/>
    </row>
    <row r="62" spans="1:19" s="39" customFormat="1" ht="16.8" customHeight="1" x14ac:dyDescent="0.3">
      <c r="A62" s="40" t="s">
        <v>143</v>
      </c>
      <c r="B62" s="64">
        <v>25</v>
      </c>
      <c r="C62" s="38"/>
      <c r="D62" s="38"/>
      <c r="E62" s="38"/>
      <c r="F62" s="38"/>
      <c r="G62" s="38"/>
      <c r="H62" s="38"/>
    </row>
    <row r="63" spans="1:19" s="39" customFormat="1" ht="16.8" customHeight="1" x14ac:dyDescent="0.3">
      <c r="A63" s="37" t="s">
        <v>134</v>
      </c>
      <c r="B63" s="58"/>
      <c r="C63" s="73" t="s">
        <v>146</v>
      </c>
      <c r="D63" s="74"/>
      <c r="E63" s="38"/>
      <c r="F63" s="38"/>
      <c r="G63" s="38"/>
      <c r="H63" s="38"/>
    </row>
    <row r="64" spans="1:19" s="39" customFormat="1" ht="16.8" customHeight="1" x14ac:dyDescent="0.3">
      <c r="A64" s="40" t="s">
        <v>367</v>
      </c>
      <c r="B64" s="55">
        <v>5000</v>
      </c>
      <c r="C64" s="91">
        <f t="shared" ref="C64:C69" si="2">B64/$B$62</f>
        <v>200</v>
      </c>
      <c r="D64" s="39" t="s">
        <v>147</v>
      </c>
      <c r="E64" s="38" t="s">
        <v>83</v>
      </c>
      <c r="F64" s="38"/>
      <c r="G64" s="38"/>
      <c r="H64" s="38"/>
    </row>
    <row r="65" spans="1:8" s="39" customFormat="1" ht="16.8" customHeight="1" x14ac:dyDescent="0.3">
      <c r="A65" s="40" t="s">
        <v>144</v>
      </c>
      <c r="B65" s="55">
        <v>2500</v>
      </c>
      <c r="C65" s="91">
        <f t="shared" si="2"/>
        <v>100</v>
      </c>
      <c r="D65" s="39" t="s">
        <v>147</v>
      </c>
      <c r="E65" s="38"/>
      <c r="F65" s="38"/>
      <c r="G65" s="38"/>
      <c r="H65" s="38"/>
    </row>
    <row r="66" spans="1:8" s="39" customFormat="1" ht="16.8" customHeight="1" x14ac:dyDescent="0.3">
      <c r="A66" s="40" t="s">
        <v>145</v>
      </c>
      <c r="B66" s="55">
        <v>2000</v>
      </c>
      <c r="C66" s="91">
        <f t="shared" si="2"/>
        <v>80</v>
      </c>
      <c r="D66" s="39" t="s">
        <v>147</v>
      </c>
      <c r="E66" s="38"/>
      <c r="F66" s="38"/>
      <c r="G66" s="38"/>
      <c r="H66" s="38"/>
    </row>
    <row r="67" spans="1:8" s="39" customFormat="1" ht="16.8" customHeight="1" x14ac:dyDescent="0.3">
      <c r="A67" s="40" t="s">
        <v>135</v>
      </c>
      <c r="B67" s="55">
        <v>500000</v>
      </c>
      <c r="C67" s="91">
        <f t="shared" si="2"/>
        <v>20000</v>
      </c>
      <c r="D67" s="39" t="s">
        <v>148</v>
      </c>
      <c r="E67" s="38"/>
      <c r="F67" s="38"/>
      <c r="G67" s="38"/>
      <c r="H67" s="38"/>
    </row>
    <row r="68" spans="1:8" s="39" customFormat="1" ht="16.8" customHeight="1" x14ac:dyDescent="0.3">
      <c r="A68" s="40" t="s">
        <v>136</v>
      </c>
      <c r="B68" s="55">
        <v>1000000</v>
      </c>
      <c r="C68" s="91">
        <f t="shared" si="2"/>
        <v>40000</v>
      </c>
      <c r="D68" s="39" t="s">
        <v>149</v>
      </c>
      <c r="E68" s="38"/>
      <c r="F68" s="38"/>
      <c r="G68" s="38"/>
      <c r="H68" s="38"/>
    </row>
    <row r="69" spans="1:8" s="39" customFormat="1" ht="16.8" customHeight="1" x14ac:dyDescent="0.3">
      <c r="A69" s="40" t="s">
        <v>142</v>
      </c>
      <c r="B69" s="55">
        <v>2000000</v>
      </c>
      <c r="C69" s="91">
        <f t="shared" si="2"/>
        <v>80000</v>
      </c>
      <c r="D69" s="39" t="s">
        <v>149</v>
      </c>
      <c r="E69" s="38"/>
      <c r="F69" s="38"/>
      <c r="G69" s="38"/>
      <c r="H69" s="38"/>
    </row>
    <row r="70" spans="1:8" s="39" customFormat="1" ht="16.8" customHeight="1" x14ac:dyDescent="0.3">
      <c r="A70" s="37" t="s">
        <v>137</v>
      </c>
      <c r="B70" s="58"/>
      <c r="C70" s="38"/>
      <c r="D70" s="38"/>
      <c r="E70" s="38"/>
      <c r="F70" s="38"/>
      <c r="G70" s="38"/>
      <c r="H70" s="38"/>
    </row>
    <row r="71" spans="1:8" s="39" customFormat="1" ht="16.8" customHeight="1" x14ac:dyDescent="0.3">
      <c r="A71" s="40" t="s">
        <v>138</v>
      </c>
      <c r="B71" s="50">
        <v>5</v>
      </c>
      <c r="C71" s="38" t="s">
        <v>83</v>
      </c>
      <c r="D71" s="38"/>
      <c r="E71" s="38"/>
      <c r="F71" s="38"/>
      <c r="G71" s="38"/>
      <c r="H71" s="38"/>
    </row>
    <row r="72" spans="1:8" s="39" customFormat="1" ht="16.8" customHeight="1" x14ac:dyDescent="0.3">
      <c r="A72" s="40" t="s">
        <v>139</v>
      </c>
      <c r="B72" s="50">
        <v>0.5</v>
      </c>
      <c r="C72" s="38"/>
      <c r="D72" s="38"/>
      <c r="E72" s="38"/>
      <c r="F72" s="38"/>
      <c r="G72" s="38"/>
      <c r="H72" s="38"/>
    </row>
    <row r="73" spans="1:8" s="39" customFormat="1" ht="16.8" customHeight="1" x14ac:dyDescent="0.3">
      <c r="A73" s="40" t="s">
        <v>140</v>
      </c>
      <c r="B73" s="50">
        <v>1.5</v>
      </c>
      <c r="C73" s="38"/>
      <c r="D73" s="38"/>
      <c r="E73" s="38"/>
      <c r="F73" s="38"/>
      <c r="G73" s="38"/>
      <c r="H73" s="38"/>
    </row>
    <row r="74" spans="1:8" s="39" customFormat="1" ht="16.8" customHeight="1" x14ac:dyDescent="0.3">
      <c r="A74" s="40" t="s">
        <v>141</v>
      </c>
      <c r="B74" s="50">
        <v>0.1</v>
      </c>
      <c r="C74" s="38"/>
      <c r="D74" s="38"/>
      <c r="E74" s="38"/>
      <c r="F74" s="38"/>
      <c r="G74" s="38"/>
      <c r="H74" s="38"/>
    </row>
    <row r="75" spans="1:8" s="39" customFormat="1" ht="16.8" customHeight="1" x14ac:dyDescent="0.3">
      <c r="A75" s="40" t="s">
        <v>159</v>
      </c>
      <c r="B75" s="64">
        <f>100*365</f>
        <v>36500</v>
      </c>
      <c r="C75" s="38"/>
      <c r="D75" s="38"/>
      <c r="E75" s="38"/>
      <c r="F75" s="38"/>
      <c r="G75" s="38"/>
      <c r="H75" s="38"/>
    </row>
    <row r="76" spans="1:8" x14ac:dyDescent="0.3">
      <c r="A76" s="40" t="s">
        <v>160</v>
      </c>
      <c r="B76" s="64">
        <f>100*365</f>
        <v>36500</v>
      </c>
    </row>
    <row r="77" spans="1:8" ht="15.6" x14ac:dyDescent="0.3">
      <c r="A77" s="281" t="s">
        <v>368</v>
      </c>
    </row>
    <row r="78" spans="1:8" ht="16.2" x14ac:dyDescent="0.3">
      <c r="A78" s="40" t="s">
        <v>172</v>
      </c>
      <c r="B78" s="104"/>
    </row>
    <row r="79" spans="1:8" x14ac:dyDescent="0.3">
      <c r="A79" s="42" t="s">
        <v>346</v>
      </c>
      <c r="B79" s="105">
        <v>1.78</v>
      </c>
    </row>
    <row r="80" spans="1:8" x14ac:dyDescent="0.3">
      <c r="A80" s="42" t="s">
        <v>347</v>
      </c>
      <c r="B80" s="273">
        <v>1</v>
      </c>
    </row>
    <row r="81" spans="1:8" s="10" customFormat="1" x14ac:dyDescent="0.3">
      <c r="A81" s="42" t="s">
        <v>88</v>
      </c>
      <c r="B81" s="105">
        <v>23.41</v>
      </c>
      <c r="C81" s="22"/>
      <c r="D81" s="22"/>
      <c r="E81" s="22"/>
      <c r="F81" s="22"/>
      <c r="G81" s="22"/>
      <c r="H81" s="22"/>
    </row>
    <row r="82" spans="1:8" s="10" customFormat="1" x14ac:dyDescent="0.3">
      <c r="A82" s="42" t="s">
        <v>75</v>
      </c>
      <c r="B82" s="105">
        <v>18.05</v>
      </c>
      <c r="C82" s="22"/>
      <c r="D82" s="22"/>
      <c r="E82" s="22"/>
      <c r="F82" s="22"/>
      <c r="G82" s="22"/>
      <c r="H82" s="22"/>
    </row>
    <row r="83" spans="1:8" s="10" customFormat="1" x14ac:dyDescent="0.3">
      <c r="A83" s="42" t="s">
        <v>332</v>
      </c>
      <c r="B83" s="273">
        <v>5</v>
      </c>
      <c r="C83" s="22"/>
      <c r="D83" s="22"/>
      <c r="E83" s="22"/>
      <c r="F83" s="22"/>
      <c r="G83" s="22"/>
      <c r="H83" s="22"/>
    </row>
    <row r="84" spans="1:8" x14ac:dyDescent="0.3">
      <c r="A84" s="42" t="s">
        <v>324</v>
      </c>
      <c r="B84" s="273">
        <v>5</v>
      </c>
    </row>
    <row r="85" spans="1:8" s="10" customFormat="1" ht="16.2" x14ac:dyDescent="0.3">
      <c r="A85" s="40" t="s">
        <v>348</v>
      </c>
      <c r="B85" s="273">
        <v>0.5</v>
      </c>
      <c r="C85" s="22"/>
      <c r="D85" s="22"/>
      <c r="E85" s="22"/>
      <c r="F85" s="22"/>
      <c r="G85" s="22"/>
      <c r="H85" s="22"/>
    </row>
    <row r="86" spans="1:8" s="10" customFormat="1" ht="16.2" x14ac:dyDescent="0.3">
      <c r="A86" s="40" t="s">
        <v>177</v>
      </c>
      <c r="B86" s="273">
        <v>1.5</v>
      </c>
      <c r="C86" s="22"/>
      <c r="D86" s="22"/>
      <c r="E86" s="22"/>
      <c r="F86" s="22"/>
      <c r="G86" s="22"/>
      <c r="H86" s="22"/>
    </row>
    <row r="87" spans="1:8" ht="15.6" x14ac:dyDescent="0.3">
      <c r="A87" s="40" t="s">
        <v>180</v>
      </c>
      <c r="B87" s="104"/>
    </row>
    <row r="88" spans="1:8" x14ac:dyDescent="0.3">
      <c r="A88" s="42" t="s">
        <v>173</v>
      </c>
      <c r="B88" s="106">
        <v>0.443</v>
      </c>
    </row>
    <row r="89" spans="1:8" x14ac:dyDescent="0.3">
      <c r="A89" s="42" t="s">
        <v>174</v>
      </c>
      <c r="B89" s="106">
        <v>0.77800000000000002</v>
      </c>
    </row>
    <row r="90" spans="1:8" x14ac:dyDescent="0.3">
      <c r="A90" s="42" t="s">
        <v>175</v>
      </c>
      <c r="B90" s="106">
        <v>0.77800000000000002</v>
      </c>
    </row>
    <row r="91" spans="1:8" x14ac:dyDescent="0.3">
      <c r="A91" s="42" t="s">
        <v>176</v>
      </c>
      <c r="B91" s="106">
        <v>0.77800000000000002</v>
      </c>
      <c r="C91" s="257"/>
    </row>
  </sheetData>
  <dataValidations count="1">
    <dataValidation type="list" allowBlank="1" showInputMessage="1" showErrorMessage="1" sqref="B3">
      <formula1>$D$3:$W$3</formula1>
    </dataValidation>
  </dataValidations>
  <pageMargins left="0.7" right="0.7" top="0.75" bottom="0.75" header="0.3" footer="0.3"/>
  <pageSetup paperSize="12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99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A2"/>
    </sheetView>
  </sheetViews>
  <sheetFormatPr defaultRowHeight="14.4" x14ac:dyDescent="0.3"/>
  <cols>
    <col min="1" max="1" width="18.77734375" style="17" customWidth="1"/>
    <col min="2" max="2" width="16.77734375" style="30" customWidth="1"/>
    <col min="3" max="3" width="8.77734375" style="3" customWidth="1"/>
    <col min="4" max="4" width="4.77734375" style="27" customWidth="1"/>
    <col min="5" max="5" width="12.77734375" style="27" customWidth="1"/>
    <col min="6" max="7" width="12.77734375" style="13" customWidth="1"/>
    <col min="8" max="8" width="12.77734375" style="27" customWidth="1"/>
    <col min="9" max="9" width="12.77734375" style="93" customWidth="1"/>
    <col min="10" max="10" width="16.77734375" style="27" customWidth="1"/>
    <col min="11" max="12" width="12.77734375" style="93" customWidth="1"/>
    <col min="13" max="13" width="20.77734375" style="230" customWidth="1"/>
    <col min="14" max="14" width="18.77734375" style="28" bestFit="1" customWidth="1"/>
    <col min="15" max="15" width="18.77734375" style="28" customWidth="1"/>
    <col min="16" max="17" width="16.77734375" style="28" customWidth="1"/>
    <col min="18" max="18" width="12.77734375" style="230" customWidth="1"/>
    <col min="19" max="19" width="12.77734375" style="13" customWidth="1"/>
    <col min="20" max="20" width="12.77734375" style="234" customWidth="1"/>
    <col min="21" max="21" width="18.77734375" style="93" customWidth="1"/>
    <col min="22" max="22" width="18.77734375" style="276" customWidth="1"/>
    <col min="23" max="23" width="18.77734375" style="232" customWidth="1"/>
    <col min="24" max="25" width="16.77734375" style="232" customWidth="1"/>
    <col min="26" max="26" width="16.77734375" style="27" customWidth="1"/>
    <col min="27" max="27" width="16.77734375" style="13" customWidth="1"/>
    <col min="28" max="28" width="8.88671875" style="27"/>
    <col min="29" max="16384" width="8.88671875" style="13"/>
  </cols>
  <sheetData>
    <row r="1" spans="1:28" s="222" customFormat="1" ht="16.2" customHeight="1" x14ac:dyDescent="0.3">
      <c r="A1" s="293" t="s">
        <v>0</v>
      </c>
      <c r="B1" s="290" t="s">
        <v>31</v>
      </c>
      <c r="C1" s="291"/>
      <c r="D1" s="292" t="s">
        <v>58</v>
      </c>
      <c r="E1" s="289" t="s">
        <v>25</v>
      </c>
      <c r="F1" s="294" t="s">
        <v>26</v>
      </c>
      <c r="G1" s="294" t="s">
        <v>3</v>
      </c>
      <c r="H1" s="289" t="s">
        <v>44</v>
      </c>
      <c r="I1" s="296" t="s">
        <v>94</v>
      </c>
      <c r="J1" s="289" t="s">
        <v>43</v>
      </c>
      <c r="K1" s="298" t="s">
        <v>66</v>
      </c>
      <c r="L1" s="298"/>
      <c r="M1" s="299" t="s">
        <v>130</v>
      </c>
      <c r="N1" s="301" t="s">
        <v>69</v>
      </c>
      <c r="O1" s="301" t="s">
        <v>150</v>
      </c>
      <c r="P1" s="301" t="s">
        <v>132</v>
      </c>
      <c r="Q1" s="304" t="s">
        <v>283</v>
      </c>
      <c r="R1" s="299" t="s">
        <v>67</v>
      </c>
      <c r="S1" s="294" t="s">
        <v>70</v>
      </c>
      <c r="T1" s="297" t="s">
        <v>95</v>
      </c>
      <c r="U1" s="302" t="s">
        <v>129</v>
      </c>
      <c r="V1" s="303" t="s">
        <v>69</v>
      </c>
      <c r="W1" s="301" t="s">
        <v>150</v>
      </c>
      <c r="X1" s="301" t="s">
        <v>132</v>
      </c>
      <c r="Y1" s="304" t="s">
        <v>283</v>
      </c>
      <c r="Z1" s="289" t="s">
        <v>125</v>
      </c>
      <c r="AA1" s="294" t="s">
        <v>171</v>
      </c>
      <c r="AB1" s="221"/>
    </row>
    <row r="2" spans="1:28" s="240" customFormat="1" x14ac:dyDescent="0.3">
      <c r="A2" s="293"/>
      <c r="B2" s="282" t="s">
        <v>35</v>
      </c>
      <c r="C2" s="283" t="s">
        <v>36</v>
      </c>
      <c r="D2" s="292"/>
      <c r="E2" s="292"/>
      <c r="F2" s="295"/>
      <c r="G2" s="295"/>
      <c r="H2" s="289"/>
      <c r="I2" s="296"/>
      <c r="J2" s="289"/>
      <c r="K2" s="284" t="s">
        <v>1</v>
      </c>
      <c r="L2" s="284" t="s">
        <v>2</v>
      </c>
      <c r="M2" s="300"/>
      <c r="N2" s="301"/>
      <c r="O2" s="301"/>
      <c r="P2" s="301"/>
      <c r="Q2" s="304"/>
      <c r="R2" s="300"/>
      <c r="S2" s="294"/>
      <c r="T2" s="297"/>
      <c r="U2" s="302"/>
      <c r="V2" s="303"/>
      <c r="W2" s="301"/>
      <c r="X2" s="301"/>
      <c r="Y2" s="304"/>
      <c r="Z2" s="289"/>
      <c r="AA2" s="294"/>
      <c r="AB2" s="126"/>
    </row>
    <row r="3" spans="1:28" s="223" customFormat="1" x14ac:dyDescent="0.3">
      <c r="A3" s="89" t="s">
        <v>181</v>
      </c>
      <c r="B3" s="30" t="s">
        <v>78</v>
      </c>
      <c r="C3" s="229" t="s">
        <v>104</v>
      </c>
      <c r="D3" s="27">
        <v>1</v>
      </c>
      <c r="E3" s="27">
        <v>29.286097000000002</v>
      </c>
      <c r="F3" s="28">
        <v>34.938583000000001</v>
      </c>
      <c r="G3" s="28">
        <v>47</v>
      </c>
      <c r="H3" s="27">
        <v>25649</v>
      </c>
      <c r="I3" s="90">
        <f ca="1">H3*Dashboard!$B$5</f>
        <v>39697.052475668163</v>
      </c>
      <c r="J3" s="27">
        <f ca="1">OFFSET(Dashboard!$B$8,MATCH(City!B3,Dashboard!$A$8:$A$20,0)-1,0)</f>
        <v>199</v>
      </c>
      <c r="K3" s="90">
        <f ca="1">I3*J3*0.001*(1-Dashboard!$B$23)</f>
        <v>5529.799409860575</v>
      </c>
      <c r="L3" s="88">
        <f ca="1">I3*J3*0.001*Dashboard!$B$23</f>
        <v>2369.9140327973892</v>
      </c>
      <c r="M3" s="230">
        <f ca="1">IF(G3&gt;=0,H3*J3*0.001*OFFSET(Dashboard!$B$26,MATCH(City!B3,Dashboard!$A$26:$A$38,0)-1,0),0)</f>
        <v>4261.966085</v>
      </c>
      <c r="N3" s="28">
        <f>Dashboard!$B$54</f>
        <v>10</v>
      </c>
      <c r="O3" s="274">
        <f>Dashboard!$C$64</f>
        <v>200</v>
      </c>
      <c r="P3" s="28">
        <f>Dashboard!$B$71</f>
        <v>5</v>
      </c>
      <c r="Q3" s="274">
        <f>Dashboard!$B$85</f>
        <v>0.5</v>
      </c>
      <c r="R3" s="230">
        <f ca="1">(K3+L3)*Dashboard!$B$43</f>
        <v>6319.7707541263717</v>
      </c>
      <c r="S3" s="28">
        <v>0</v>
      </c>
      <c r="T3" s="231">
        <f>Dashboard!$B$45</f>
        <v>0.9</v>
      </c>
      <c r="U3" s="90">
        <v>0</v>
      </c>
      <c r="V3" s="276">
        <f>Dashboard!$B$55</f>
        <v>3</v>
      </c>
      <c r="W3" s="232">
        <f>Dashboard!$C$65</f>
        <v>100</v>
      </c>
      <c r="X3" s="232">
        <f>Dashboard!$B$72</f>
        <v>0.5</v>
      </c>
      <c r="Y3" s="232">
        <f>Dashboard!$B$86</f>
        <v>1.5</v>
      </c>
      <c r="Z3" s="27">
        <f>Dashboard!$B$41</f>
        <v>0</v>
      </c>
      <c r="AA3" s="28">
        <f ca="1">I3*Z3</f>
        <v>0</v>
      </c>
      <c r="AB3" s="221"/>
    </row>
    <row r="4" spans="1:28" s="222" customFormat="1" x14ac:dyDescent="0.3">
      <c r="A4" s="17" t="s">
        <v>78</v>
      </c>
      <c r="B4" s="30" t="s">
        <v>78</v>
      </c>
      <c r="C4" s="3" t="s">
        <v>104</v>
      </c>
      <c r="D4" s="27">
        <v>2</v>
      </c>
      <c r="E4" s="27">
        <v>28.390408999999998</v>
      </c>
      <c r="F4" s="13">
        <v>36.5732</v>
      </c>
      <c r="G4" s="13">
        <v>769</v>
      </c>
      <c r="H4" s="27">
        <v>512629</v>
      </c>
      <c r="I4" s="93">
        <f ca="1">H4*Dashboard!$B$5</f>
        <v>793397.8055109086</v>
      </c>
      <c r="J4" s="27">
        <f ca="1">OFFSET(Dashboard!$B$8,MATCH(City!B4,Dashboard!$A$8:$A$20,0)-1,0)</f>
        <v>199</v>
      </c>
      <c r="K4" s="93">
        <f ca="1">I4*J4*0.001*(1-Dashboard!$B$23)</f>
        <v>110520.31430766957</v>
      </c>
      <c r="L4" s="233">
        <f ca="1">I4*J4*0.001*Dashboard!$B$23</f>
        <v>47365.84898900125</v>
      </c>
      <c r="M4" s="230">
        <f ca="1">IF(G4&gt;=0,H4*J4*0.001*OFFSET(Dashboard!$B$26,MATCH(City!B4,Dashboard!$A$26:$A$38,0)-1,0),0)</f>
        <v>85180.997785</v>
      </c>
      <c r="N4" s="28">
        <f>Dashboard!$B$54</f>
        <v>10</v>
      </c>
      <c r="O4" s="274">
        <f>Dashboard!$C$64</f>
        <v>200</v>
      </c>
      <c r="P4" s="28">
        <f>Dashboard!$B$71</f>
        <v>5</v>
      </c>
      <c r="Q4" s="274">
        <f>Dashboard!$B$85</f>
        <v>0.5</v>
      </c>
      <c r="R4" s="230">
        <f ca="1">(K4+L4)*Dashboard!$B$43</f>
        <v>126308.93063733667</v>
      </c>
      <c r="S4" s="13">
        <v>1</v>
      </c>
      <c r="T4" s="231">
        <f>Dashboard!$B$45</f>
        <v>0.9</v>
      </c>
      <c r="U4" s="93">
        <v>60000</v>
      </c>
      <c r="V4" s="276">
        <f>Dashboard!$B$55</f>
        <v>3</v>
      </c>
      <c r="W4" s="232">
        <f>Dashboard!$C$65</f>
        <v>100</v>
      </c>
      <c r="X4" s="232">
        <f>Dashboard!$B$72</f>
        <v>0.5</v>
      </c>
      <c r="Y4" s="232">
        <f>Dashboard!$B$86</f>
        <v>1.5</v>
      </c>
      <c r="Z4" s="27">
        <f>Dashboard!$B$41</f>
        <v>0</v>
      </c>
      <c r="AA4" s="13">
        <f ca="1">I4*Z4</f>
        <v>0</v>
      </c>
      <c r="AB4" s="221"/>
    </row>
    <row r="5" spans="1:28" s="222" customFormat="1" x14ac:dyDescent="0.3">
      <c r="A5" s="17" t="s">
        <v>182</v>
      </c>
      <c r="B5" s="30" t="s">
        <v>78</v>
      </c>
      <c r="C5" s="3" t="s">
        <v>104</v>
      </c>
      <c r="D5" s="27">
        <v>3</v>
      </c>
      <c r="E5" s="27">
        <v>27.627741</v>
      </c>
      <c r="F5" s="13">
        <v>38.560119999999998</v>
      </c>
      <c r="G5" s="13">
        <v>827</v>
      </c>
      <c r="H5" s="27">
        <v>30411</v>
      </c>
      <c r="I5" s="93">
        <f ca="1">H5*Dashboard!$B$5</f>
        <v>47067.217546007421</v>
      </c>
      <c r="J5" s="27">
        <f ca="1">OFFSET(Dashboard!$B$8,MATCH(City!B5,Dashboard!$A$8:$A$20,0)-1,0)</f>
        <v>199</v>
      </c>
      <c r="K5" s="93">
        <f ca="1">I5*J5*0.001*(1-Dashboard!$B$23)</f>
        <v>6556.4634041588333</v>
      </c>
      <c r="L5" s="233">
        <f ca="1">I5*J5*0.001*Dashboard!$B$23</f>
        <v>2809.9128874966432</v>
      </c>
      <c r="M5" s="230">
        <f ca="1">IF(G5&gt;=0,H5*J5*0.001*OFFSET(Dashboard!$B$26,MATCH(City!B5,Dashboard!$A$26:$A$38,0)-1,0),0)</f>
        <v>5053.2438149999998</v>
      </c>
      <c r="N5" s="28">
        <f>Dashboard!$B$54</f>
        <v>10</v>
      </c>
      <c r="O5" s="274">
        <f>Dashboard!$C$64</f>
        <v>200</v>
      </c>
      <c r="P5" s="28">
        <f>Dashboard!$B$71</f>
        <v>5</v>
      </c>
      <c r="Q5" s="274">
        <f>Dashboard!$B$85</f>
        <v>0.5</v>
      </c>
      <c r="R5" s="230">
        <f ca="1">(K5+L5)*Dashboard!$B$43</f>
        <v>7493.1010333243821</v>
      </c>
      <c r="S5" s="13">
        <v>0</v>
      </c>
      <c r="T5" s="231">
        <f>Dashboard!$B$45</f>
        <v>0.9</v>
      </c>
      <c r="U5" s="93">
        <v>0</v>
      </c>
      <c r="V5" s="276">
        <f>Dashboard!$B$55</f>
        <v>3</v>
      </c>
      <c r="W5" s="232">
        <f>Dashboard!$C$65</f>
        <v>100</v>
      </c>
      <c r="X5" s="232">
        <f>Dashboard!$B$72</f>
        <v>0.5</v>
      </c>
      <c r="Y5" s="232">
        <f>Dashboard!$B$86</f>
        <v>1.5</v>
      </c>
      <c r="Z5" s="27">
        <f>Dashboard!$B$41</f>
        <v>0</v>
      </c>
      <c r="AA5" s="13">
        <f ca="1">I5*Z5</f>
        <v>0</v>
      </c>
      <c r="AB5" s="221"/>
    </row>
    <row r="6" spans="1:28" s="222" customFormat="1" x14ac:dyDescent="0.3">
      <c r="A6" s="17" t="s">
        <v>98</v>
      </c>
      <c r="B6" s="30" t="s">
        <v>78</v>
      </c>
      <c r="C6" s="3" t="s">
        <v>104</v>
      </c>
      <c r="D6" s="27">
        <v>4</v>
      </c>
      <c r="E6" s="27">
        <v>27.349260000000001</v>
      </c>
      <c r="F6" s="13">
        <v>35.696190000000001</v>
      </c>
      <c r="G6" s="13">
        <v>6</v>
      </c>
      <c r="H6" s="27">
        <v>25568</v>
      </c>
      <c r="I6" s="93">
        <f ca="1">H6*Dashboard!$B$5</f>
        <v>39571.688475101699</v>
      </c>
      <c r="J6" s="27">
        <f ca="1">OFFSET(Dashboard!$B$8,MATCH(City!B6,Dashboard!$A$8:$A$20,0)-1,0)</f>
        <v>199</v>
      </c>
      <c r="K6" s="93">
        <f ca="1">I6*J6*0.001*(1-Dashboard!$B$23)</f>
        <v>5512.3362045816666</v>
      </c>
      <c r="L6" s="233">
        <f ca="1">I6*J6*0.001*Dashboard!$B$23</f>
        <v>2362.4298019635712</v>
      </c>
      <c r="M6" s="230">
        <f ca="1">IF(G6&gt;=0,H6*J6*0.001*OFFSET(Dashboard!$B$26,MATCH(City!B6,Dashboard!$A$26:$A$38,0)-1,0),0)</f>
        <v>4248.5067200000003</v>
      </c>
      <c r="N6" s="28">
        <f>Dashboard!$B$54</f>
        <v>10</v>
      </c>
      <c r="O6" s="274">
        <f>Dashboard!$C$64</f>
        <v>200</v>
      </c>
      <c r="P6" s="28">
        <f>Dashboard!$B$71</f>
        <v>5</v>
      </c>
      <c r="Q6" s="274">
        <f>Dashboard!$B$85</f>
        <v>0.5</v>
      </c>
      <c r="R6" s="230">
        <f ca="1">(K6+L6)*Dashboard!$B$43</f>
        <v>6299.8128052361908</v>
      </c>
      <c r="S6" s="13">
        <v>0</v>
      </c>
      <c r="T6" s="231">
        <f>Dashboard!$B$45</f>
        <v>0.9</v>
      </c>
      <c r="U6" s="93">
        <v>0</v>
      </c>
      <c r="V6" s="276">
        <f>Dashboard!$B$55</f>
        <v>3</v>
      </c>
      <c r="W6" s="232">
        <f>Dashboard!$C$65</f>
        <v>100</v>
      </c>
      <c r="X6" s="232">
        <f>Dashboard!$B$72</f>
        <v>0.5</v>
      </c>
      <c r="Y6" s="232">
        <f>Dashboard!$B$86</f>
        <v>1.5</v>
      </c>
      <c r="Z6" s="27">
        <f>Dashboard!$B$41</f>
        <v>0</v>
      </c>
      <c r="AA6" s="13">
        <f t="shared" ref="AA6:AA67" ca="1" si="0">I6*Z6</f>
        <v>0</v>
      </c>
      <c r="AB6" s="221"/>
    </row>
    <row r="7" spans="1:28" s="222" customFormat="1" x14ac:dyDescent="0.3">
      <c r="A7" s="17" t="s">
        <v>99</v>
      </c>
      <c r="B7" s="30" t="s">
        <v>78</v>
      </c>
      <c r="C7" s="3" t="s">
        <v>104</v>
      </c>
      <c r="D7" s="27">
        <v>5</v>
      </c>
      <c r="E7" s="27">
        <v>26.22879</v>
      </c>
      <c r="F7" s="13">
        <v>36.469059000000001</v>
      </c>
      <c r="G7" s="13">
        <v>2</v>
      </c>
      <c r="H7" s="27">
        <v>30512</v>
      </c>
      <c r="I7" s="93">
        <f ca="1">H7*Dashboard!$B$5</f>
        <v>47223.535620787829</v>
      </c>
      <c r="J7" s="27">
        <f ca="1">OFFSET(Dashboard!$B$8,MATCH(City!B7,Dashboard!$A$8:$A$20,0)-1,0)</f>
        <v>199</v>
      </c>
      <c r="K7" s="93">
        <f ca="1">I7*J7*0.001*(1-Dashboard!$B$23)</f>
        <v>6578.2385119757455</v>
      </c>
      <c r="L7" s="233">
        <f ca="1">I7*J7*0.001*Dashboard!$B$23</f>
        <v>2819.2450765610338</v>
      </c>
      <c r="M7" s="230">
        <f ca="1">IF(G7&gt;=0,H7*J7*0.001*OFFSET(Dashboard!$B$26,MATCH(City!B7,Dashboard!$A$26:$A$38,0)-1,0),0)</f>
        <v>5070.0264799999995</v>
      </c>
      <c r="N7" s="28">
        <f>Dashboard!$B$54</f>
        <v>10</v>
      </c>
      <c r="O7" s="274">
        <f>Dashboard!$C$64</f>
        <v>200</v>
      </c>
      <c r="P7" s="28">
        <f>Dashboard!$B$71</f>
        <v>5</v>
      </c>
      <c r="Q7" s="274">
        <f>Dashboard!$B$85</f>
        <v>0.5</v>
      </c>
      <c r="R7" s="230">
        <f ca="1">(K7+L7)*Dashboard!$B$43</f>
        <v>7517.9868708294234</v>
      </c>
      <c r="S7" s="13">
        <v>0</v>
      </c>
      <c r="T7" s="231">
        <f>Dashboard!$B$45</f>
        <v>0.9</v>
      </c>
      <c r="U7" s="93">
        <v>0</v>
      </c>
      <c r="V7" s="276">
        <f>Dashboard!$B$55</f>
        <v>3</v>
      </c>
      <c r="W7" s="232">
        <f>Dashboard!$C$65</f>
        <v>100</v>
      </c>
      <c r="X7" s="232">
        <f>Dashboard!$B$72</f>
        <v>0.5</v>
      </c>
      <c r="Y7" s="232">
        <f>Dashboard!$B$86</f>
        <v>1.5</v>
      </c>
      <c r="Z7" s="27">
        <f>Dashboard!$B$41</f>
        <v>0</v>
      </c>
      <c r="AA7" s="13">
        <f t="shared" ca="1" si="0"/>
        <v>0</v>
      </c>
      <c r="AB7" s="221"/>
    </row>
    <row r="8" spans="1:28" s="240" customFormat="1" x14ac:dyDescent="0.3">
      <c r="A8" s="115" t="s">
        <v>183</v>
      </c>
      <c r="B8" s="235" t="s">
        <v>78</v>
      </c>
      <c r="C8" s="236" t="s">
        <v>104</v>
      </c>
      <c r="D8" s="116">
        <v>6</v>
      </c>
      <c r="E8" s="116">
        <v>25.050006</v>
      </c>
      <c r="F8" s="117">
        <v>37.265107999999998</v>
      </c>
      <c r="G8" s="117">
        <v>23</v>
      </c>
      <c r="H8" s="116">
        <v>37757</v>
      </c>
      <c r="I8" s="127">
        <f ca="1">H8*Dashboard!$B$5</f>
        <v>58436.649004787818</v>
      </c>
      <c r="J8" s="116">
        <f ca="1">OFFSET(Dashboard!$B$8,MATCH(City!B8,Dashboard!$A$8:$A$20,0)-1,0)</f>
        <v>199</v>
      </c>
      <c r="K8" s="127">
        <f ca="1">I8*J8*0.001*(1-Dashboard!$B$23)</f>
        <v>8140.225206366943</v>
      </c>
      <c r="L8" s="237">
        <f ca="1">I8*J8*0.001*Dashboard!$B$23</f>
        <v>3488.6679455858325</v>
      </c>
      <c r="M8" s="238">
        <f ca="1">IF(G8&gt;=0,H8*J8*0.001*OFFSET(Dashboard!$B$26,MATCH(City!B8,Dashboard!$A$26:$A$38,0)-1,0),0)</f>
        <v>6273.8919049999995</v>
      </c>
      <c r="N8" s="117">
        <f>Dashboard!$B$54</f>
        <v>10</v>
      </c>
      <c r="O8" s="285">
        <f>Dashboard!$C$64</f>
        <v>200</v>
      </c>
      <c r="P8" s="117">
        <f>Dashboard!$B$71</f>
        <v>5</v>
      </c>
      <c r="Q8" s="285">
        <f>Dashboard!$B$85</f>
        <v>0.5</v>
      </c>
      <c r="R8" s="238">
        <f ca="1">(K8+L8)*Dashboard!$B$43</f>
        <v>9303.1145215622219</v>
      </c>
      <c r="S8" s="117">
        <v>0</v>
      </c>
      <c r="T8" s="286">
        <f>Dashboard!$B$45</f>
        <v>0.9</v>
      </c>
      <c r="U8" s="127">
        <v>0</v>
      </c>
      <c r="V8" s="277">
        <f>Dashboard!$B$55</f>
        <v>3</v>
      </c>
      <c r="W8" s="239">
        <f>Dashboard!$C$65</f>
        <v>100</v>
      </c>
      <c r="X8" s="239">
        <f>Dashboard!$B$72</f>
        <v>0.5</v>
      </c>
      <c r="Y8" s="239">
        <f>Dashboard!$B$86</f>
        <v>1.5</v>
      </c>
      <c r="Z8" s="116">
        <f>Dashboard!$B$41</f>
        <v>0</v>
      </c>
      <c r="AA8" s="117">
        <f t="shared" ca="1" si="0"/>
        <v>0</v>
      </c>
      <c r="AB8" s="126"/>
    </row>
    <row r="9" spans="1:28" x14ac:dyDescent="0.3">
      <c r="A9" s="17" t="s">
        <v>184</v>
      </c>
      <c r="B9" s="30" t="s">
        <v>38</v>
      </c>
      <c r="C9" s="3" t="s">
        <v>29</v>
      </c>
      <c r="D9" s="27">
        <v>7</v>
      </c>
      <c r="E9" s="27">
        <v>26.612829000000001</v>
      </c>
      <c r="F9" s="13">
        <v>37.922918000000003</v>
      </c>
      <c r="G9" s="13">
        <v>778</v>
      </c>
      <c r="H9" s="30">
        <v>32413</v>
      </c>
      <c r="I9" s="93">
        <f ca="1">H9*Dashboard!$B$5</f>
        <v>50165.720374822879</v>
      </c>
      <c r="J9" s="27">
        <f ca="1">OFFSET(Dashboard!$B$8,MATCH(City!B9,Dashboard!$A$8:$A$20,0)-1,0)</f>
        <v>232</v>
      </c>
      <c r="K9" s="93">
        <f ca="1">I9*J9*0.001*(1-Dashboard!$B$23)</f>
        <v>8146.912988871235</v>
      </c>
      <c r="L9" s="233">
        <f ca="1">I9*J9*0.001*Dashboard!$B$23</f>
        <v>3491.5341380876725</v>
      </c>
      <c r="M9" s="230">
        <f ca="1">IF(G9&gt;=0,H9*J9*0.001*OFFSET(Dashboard!$B$26,MATCH(City!B9,Dashboard!$A$26:$A$38,0)-1,0),0)</f>
        <v>1248.289456</v>
      </c>
      <c r="N9" s="28">
        <f>Dashboard!$B$54</f>
        <v>10</v>
      </c>
      <c r="O9" s="274">
        <f>Dashboard!$C$64</f>
        <v>200</v>
      </c>
      <c r="P9" s="28">
        <f>Dashboard!$B$71</f>
        <v>5</v>
      </c>
      <c r="Q9" s="274">
        <f>Dashboard!$B$85</f>
        <v>0.5</v>
      </c>
      <c r="R9" s="230">
        <f ca="1">(K9+L9)*Dashboard!$B$43</f>
        <v>9310.7577015671268</v>
      </c>
      <c r="S9" s="13">
        <v>0</v>
      </c>
      <c r="T9" s="231">
        <f>Dashboard!$B$45</f>
        <v>0.9</v>
      </c>
      <c r="U9" s="93">
        <f t="shared" ref="U9:U12" ca="1" si="1">240000*R9/($R$11+$R$12)*S9</f>
        <v>0</v>
      </c>
      <c r="V9" s="276">
        <f>Dashboard!$B$55</f>
        <v>3</v>
      </c>
      <c r="W9" s="232">
        <f>Dashboard!$C$65</f>
        <v>100</v>
      </c>
      <c r="X9" s="232">
        <f>Dashboard!$B$72</f>
        <v>0.5</v>
      </c>
      <c r="Y9" s="232">
        <f>Dashboard!$B$86</f>
        <v>1.5</v>
      </c>
      <c r="Z9" s="27">
        <f>Dashboard!$B$41</f>
        <v>0</v>
      </c>
      <c r="AA9" s="13">
        <f t="shared" ca="1" si="0"/>
        <v>0</v>
      </c>
    </row>
    <row r="10" spans="1:28" x14ac:dyDescent="0.3">
      <c r="A10" s="17" t="s">
        <v>53</v>
      </c>
      <c r="B10" s="30" t="s">
        <v>38</v>
      </c>
      <c r="C10" s="3" t="s">
        <v>29</v>
      </c>
      <c r="D10" s="27">
        <v>8</v>
      </c>
      <c r="E10" s="27">
        <v>25.698611</v>
      </c>
      <c r="F10" s="13">
        <v>39.292499999999997</v>
      </c>
      <c r="G10" s="13">
        <v>774</v>
      </c>
      <c r="H10" s="29">
        <v>45489</v>
      </c>
      <c r="I10" s="93">
        <f ca="1">H10*Dashboard!$B$5</f>
        <v>70403.494095897273</v>
      </c>
      <c r="J10" s="27">
        <f ca="1">OFFSET(Dashboard!$B$8,MATCH(City!B10,Dashboard!$A$8:$A$20,0)-1,0)</f>
        <v>232</v>
      </c>
      <c r="K10" s="93">
        <f ca="1">I10*J10*0.001*(1-Dashboard!$B$23)</f>
        <v>11433.527441173717</v>
      </c>
      <c r="L10" s="233">
        <f ca="1">I10*J10*0.001*Dashboard!$B$23</f>
        <v>4900.0831890744503</v>
      </c>
      <c r="M10" s="230">
        <f ca="1">IF(G10&gt;=0,H10*J10*0.001*OFFSET(Dashboard!$B$26,MATCH(City!B10,Dashboard!$A$26:$A$38,0)-1,0),0)</f>
        <v>1751.8723680000001</v>
      </c>
      <c r="N10" s="28">
        <f>Dashboard!$B$54</f>
        <v>10</v>
      </c>
      <c r="O10" s="274">
        <f>Dashboard!$C$64</f>
        <v>200</v>
      </c>
      <c r="P10" s="28">
        <f>Dashboard!$B$71</f>
        <v>5</v>
      </c>
      <c r="Q10" s="274">
        <f>Dashboard!$B$85</f>
        <v>0.5</v>
      </c>
      <c r="R10" s="230">
        <f ca="1">(K10+L10)*Dashboard!$B$43</f>
        <v>13066.888504198534</v>
      </c>
      <c r="S10" s="13">
        <v>0</v>
      </c>
      <c r="T10" s="231">
        <f>Dashboard!$B$45</f>
        <v>0.9</v>
      </c>
      <c r="U10" s="93">
        <f t="shared" ca="1" si="1"/>
        <v>0</v>
      </c>
      <c r="V10" s="276">
        <f>Dashboard!$B$55</f>
        <v>3</v>
      </c>
      <c r="W10" s="232">
        <f>Dashboard!$C$65</f>
        <v>100</v>
      </c>
      <c r="X10" s="232">
        <f>Dashboard!$B$72</f>
        <v>0.5</v>
      </c>
      <c r="Y10" s="232">
        <f>Dashboard!$B$86</f>
        <v>1.5</v>
      </c>
      <c r="Z10" s="27">
        <f>Dashboard!$B$41</f>
        <v>0</v>
      </c>
      <c r="AA10" s="13">
        <f t="shared" ca="1" si="0"/>
        <v>0</v>
      </c>
    </row>
    <row r="11" spans="1:28" x14ac:dyDescent="0.3">
      <c r="A11" s="17" t="s">
        <v>15</v>
      </c>
      <c r="B11" s="30" t="s">
        <v>38</v>
      </c>
      <c r="C11" s="3" t="s">
        <v>29</v>
      </c>
      <c r="D11" s="27">
        <v>9</v>
      </c>
      <c r="E11" s="27">
        <v>24.460899999999999</v>
      </c>
      <c r="F11" s="13">
        <v>39.620190000000001</v>
      </c>
      <c r="G11" s="13">
        <v>613</v>
      </c>
      <c r="H11" s="27">
        <v>1100093</v>
      </c>
      <c r="I11" s="93">
        <f ca="1">H11*Dashboard!$B$5</f>
        <v>1702618.0182118295</v>
      </c>
      <c r="J11" s="27">
        <f ca="1">OFFSET(Dashboard!$B$8,MATCH(City!B11,Dashboard!$A$8:$A$20,0)-1,0)</f>
        <v>232</v>
      </c>
      <c r="K11" s="93">
        <f ca="1">I11*J11*0.001*(1-Dashboard!$B$23)</f>
        <v>276505.16615760111</v>
      </c>
      <c r="L11" s="233">
        <f ca="1">I11*J11*0.001*Dashboard!$B$23</f>
        <v>118502.21406754333</v>
      </c>
      <c r="M11" s="230">
        <f ca="1">IF(G11&gt;=0,H11*J11*0.001*OFFSET(Dashboard!$B$26,MATCH(City!B11,Dashboard!$A$26:$A$38,0)-1,0),0)</f>
        <v>42366.781616</v>
      </c>
      <c r="N11" s="28">
        <f>Dashboard!$B$54</f>
        <v>10</v>
      </c>
      <c r="O11" s="274">
        <f>Dashboard!$C$64</f>
        <v>200</v>
      </c>
      <c r="P11" s="28">
        <f>Dashboard!$B$71</f>
        <v>5</v>
      </c>
      <c r="Q11" s="274">
        <f>Dashboard!$B$85</f>
        <v>0.5</v>
      </c>
      <c r="R11" s="230">
        <f ca="1">(K11+L11)*Dashboard!$B$43</f>
        <v>316005.90418011555</v>
      </c>
      <c r="S11" s="13">
        <v>1</v>
      </c>
      <c r="T11" s="231">
        <f>Dashboard!$B$45</f>
        <v>0.9</v>
      </c>
      <c r="U11" s="93">
        <f t="shared" ca="1" si="1"/>
        <v>198017.38355649656</v>
      </c>
      <c r="V11" s="276">
        <f>Dashboard!$B$55</f>
        <v>3</v>
      </c>
      <c r="W11" s="232">
        <f>Dashboard!$C$65</f>
        <v>100</v>
      </c>
      <c r="X11" s="232">
        <f>Dashboard!$B$72</f>
        <v>0.5</v>
      </c>
      <c r="Y11" s="232">
        <f>Dashboard!$B$86</f>
        <v>1.5</v>
      </c>
      <c r="Z11" s="27">
        <f>Dashboard!$B$41</f>
        <v>0</v>
      </c>
      <c r="AA11" s="13">
        <f t="shared" ca="1" si="0"/>
        <v>0</v>
      </c>
    </row>
    <row r="12" spans="1:28" x14ac:dyDescent="0.3">
      <c r="A12" s="17" t="s">
        <v>22</v>
      </c>
      <c r="B12" s="30" t="s">
        <v>38</v>
      </c>
      <c r="C12" s="3" t="s">
        <v>29</v>
      </c>
      <c r="D12" s="27">
        <v>10</v>
      </c>
      <c r="E12" s="27">
        <v>24.0867</v>
      </c>
      <c r="F12" s="13">
        <v>38.058551999999999</v>
      </c>
      <c r="G12" s="13">
        <v>11</v>
      </c>
      <c r="H12" s="27">
        <v>233236</v>
      </c>
      <c r="I12" s="93">
        <f ca="1">H12*Dashboard!$B$5</f>
        <v>360980.22266813286</v>
      </c>
      <c r="J12" s="27">
        <f ca="1">OFFSET(Dashboard!$B$8,MATCH(City!B12,Dashboard!$A$8:$A$20,0)-1,0)</f>
        <v>232</v>
      </c>
      <c r="K12" s="93">
        <f ca="1">I12*J12*0.001*(1-Dashboard!$B$23)</f>
        <v>58623.188161304766</v>
      </c>
      <c r="L12" s="233">
        <f ca="1">I12*J12*0.001*Dashboard!$B$23</f>
        <v>25124.223497702045</v>
      </c>
      <c r="M12" s="230">
        <f ca="1">IF(G12&gt;=0,H12*J12*0.001*OFFSET(Dashboard!$B$26,MATCH(City!B12,Dashboard!$A$26:$A$38,0)-1,0),0)</f>
        <v>8982.3848319999997</v>
      </c>
      <c r="N12" s="28">
        <f>Dashboard!$B$54</f>
        <v>10</v>
      </c>
      <c r="O12" s="274">
        <f>Dashboard!$C$64</f>
        <v>200</v>
      </c>
      <c r="P12" s="28">
        <f>Dashboard!$B$71</f>
        <v>5</v>
      </c>
      <c r="Q12" s="274">
        <f>Dashboard!$B$85</f>
        <v>0.5</v>
      </c>
      <c r="R12" s="230">
        <f ca="1">(K12+L12)*Dashboard!$B$43</f>
        <v>66997.929327205449</v>
      </c>
      <c r="S12" s="13">
        <v>1</v>
      </c>
      <c r="T12" s="231">
        <f>Dashboard!$B$45</f>
        <v>0.9</v>
      </c>
      <c r="U12" s="93">
        <f t="shared" ca="1" si="1"/>
        <v>41982.616443503437</v>
      </c>
      <c r="V12" s="276">
        <f>Dashboard!$B$55</f>
        <v>3</v>
      </c>
      <c r="W12" s="232">
        <f>Dashboard!$C$65</f>
        <v>100</v>
      </c>
      <c r="X12" s="232">
        <f>Dashboard!$B$72</f>
        <v>0.5</v>
      </c>
      <c r="Y12" s="232">
        <f>Dashboard!$B$86</f>
        <v>1.5</v>
      </c>
      <c r="Z12" s="27">
        <f>Dashboard!$B$41</f>
        <v>0</v>
      </c>
      <c r="AA12" s="13">
        <f t="shared" ca="1" si="0"/>
        <v>0</v>
      </c>
    </row>
    <row r="13" spans="1:28" s="117" customFormat="1" x14ac:dyDescent="0.3">
      <c r="A13" s="115" t="s">
        <v>185</v>
      </c>
      <c r="B13" s="235" t="s">
        <v>38</v>
      </c>
      <c r="C13" s="236" t="s">
        <v>29</v>
      </c>
      <c r="D13" s="116">
        <v>11</v>
      </c>
      <c r="E13" s="116">
        <v>23.78</v>
      </c>
      <c r="F13" s="117">
        <v>38.790556000000002</v>
      </c>
      <c r="G13" s="117">
        <v>130</v>
      </c>
      <c r="H13" s="235">
        <v>28999</v>
      </c>
      <c r="I13" s="127">
        <f ca="1">H13*Dashboard!$B$5</f>
        <v>44881.859906503218</v>
      </c>
      <c r="J13" s="116">
        <f ca="1">OFFSET(Dashboard!$B$8,MATCH(City!B13,Dashboard!$A$8:$A$20,0)-1,0)</f>
        <v>232</v>
      </c>
      <c r="K13" s="127">
        <f ca="1">I13*J13*0.001*(1-Dashboard!$B$23)</f>
        <v>7288.8140488161216</v>
      </c>
      <c r="L13" s="237">
        <f ca="1">I13*J13*0.001*Dashboard!$B$23</f>
        <v>3123.7774494926239</v>
      </c>
      <c r="M13" s="238">
        <f ca="1">IF(G13&gt;=0,H13*J13*0.001*OFFSET(Dashboard!$B$26,MATCH(City!B13,Dashboard!$A$26:$A$38,0)-1,0),0)</f>
        <v>1116.8094880000001</v>
      </c>
      <c r="N13" s="117">
        <f>Dashboard!$B$54</f>
        <v>10</v>
      </c>
      <c r="O13" s="285">
        <f>Dashboard!$C$64</f>
        <v>200</v>
      </c>
      <c r="P13" s="117">
        <f>Dashboard!$B$71</f>
        <v>5</v>
      </c>
      <c r="Q13" s="285">
        <f>Dashboard!$B$85</f>
        <v>0.5</v>
      </c>
      <c r="R13" s="238">
        <f ca="1">(K13+L13)*Dashboard!$B$43</f>
        <v>8330.0731986469964</v>
      </c>
      <c r="S13" s="117">
        <v>0</v>
      </c>
      <c r="T13" s="286">
        <f>Dashboard!$B$45</f>
        <v>0.9</v>
      </c>
      <c r="U13" s="127">
        <f t="shared" ref="U13" ca="1" si="2">240000*R13/($R$11+$R$12)*S13</f>
        <v>0</v>
      </c>
      <c r="V13" s="277">
        <f>Dashboard!$B$55</f>
        <v>3</v>
      </c>
      <c r="W13" s="239">
        <f>Dashboard!$C$65</f>
        <v>100</v>
      </c>
      <c r="X13" s="239">
        <f>Dashboard!$B$72</f>
        <v>0.5</v>
      </c>
      <c r="Y13" s="239">
        <f>Dashboard!$B$86</f>
        <v>1.5</v>
      </c>
      <c r="Z13" s="116">
        <f>Dashboard!$B$41</f>
        <v>0</v>
      </c>
      <c r="AA13" s="117">
        <f t="shared" ca="1" si="0"/>
        <v>0</v>
      </c>
      <c r="AB13" s="116"/>
    </row>
    <row r="14" spans="1:28" x14ac:dyDescent="0.3">
      <c r="A14" s="17" t="s">
        <v>51</v>
      </c>
      <c r="B14" s="30" t="s">
        <v>37</v>
      </c>
      <c r="C14" s="3" t="s">
        <v>28</v>
      </c>
      <c r="D14" s="27">
        <v>12</v>
      </c>
      <c r="E14" s="27">
        <v>23.110900999999998</v>
      </c>
      <c r="F14" s="13">
        <v>38.850689000000003</v>
      </c>
      <c r="G14" s="13">
        <v>12</v>
      </c>
      <c r="H14" s="29">
        <v>266</v>
      </c>
      <c r="I14" s="93">
        <f ca="1">H14*Dashboard!$B$5</f>
        <v>411.68918704541039</v>
      </c>
      <c r="J14" s="27">
        <f ca="1">OFFSET(Dashboard!$B$8,MATCH(City!B14,Dashboard!$A$8:$A$20,0)-1,0)</f>
        <v>214</v>
      </c>
      <c r="K14" s="93">
        <f ca="1">I14*J14*0.001*(1-Dashboard!$B$23)</f>
        <v>61.671040219402471</v>
      </c>
      <c r="L14" s="233">
        <f ca="1">I14*J14*0.001*Dashboard!$B$23</f>
        <v>26.430445808315348</v>
      </c>
      <c r="M14" s="230">
        <f ca="1">IF(G14&gt;=0,H14*J14*0.001*OFFSET(Dashboard!$B$26,MATCH(City!B14,Dashboard!$A$26:$A$38,0)-1,0),0)</f>
        <v>0.17077200000000001</v>
      </c>
      <c r="N14" s="28">
        <f>Dashboard!$B$54</f>
        <v>10</v>
      </c>
      <c r="O14" s="274">
        <f>Dashboard!$C$64</f>
        <v>200</v>
      </c>
      <c r="P14" s="28">
        <f>Dashboard!$B$71</f>
        <v>5</v>
      </c>
      <c r="Q14" s="274">
        <f>Dashboard!$B$85</f>
        <v>0.5</v>
      </c>
      <c r="R14" s="230">
        <f ca="1">(K14+L14)*Dashboard!$B$43</f>
        <v>70.481188822174246</v>
      </c>
      <c r="S14" s="13">
        <v>0</v>
      </c>
      <c r="T14" s="231">
        <f>Dashboard!$B$45</f>
        <v>0.9</v>
      </c>
      <c r="U14" s="93">
        <f t="shared" ref="U14:U17" ca="1" si="3">761500*R14/($R$18+$R$20+$R$23)*S14</f>
        <v>0</v>
      </c>
      <c r="V14" s="276">
        <f>Dashboard!$B$55</f>
        <v>3</v>
      </c>
      <c r="W14" s="232">
        <f>Dashboard!$C$65</f>
        <v>100</v>
      </c>
      <c r="X14" s="232">
        <f>Dashboard!$B$72</f>
        <v>0.5</v>
      </c>
      <c r="Y14" s="232">
        <f>Dashboard!$B$86</f>
        <v>1.5</v>
      </c>
      <c r="Z14" s="27">
        <f>Dashboard!$B$41</f>
        <v>0</v>
      </c>
      <c r="AA14" s="13">
        <f t="shared" ca="1" si="0"/>
        <v>0</v>
      </c>
    </row>
    <row r="15" spans="1:28" x14ac:dyDescent="0.3">
      <c r="A15" s="17" t="s">
        <v>50</v>
      </c>
      <c r="B15" s="30" t="s">
        <v>37</v>
      </c>
      <c r="C15" s="3" t="s">
        <v>28</v>
      </c>
      <c r="D15" s="27">
        <v>13</v>
      </c>
      <c r="E15" s="27">
        <v>22.8</v>
      </c>
      <c r="F15" s="13">
        <v>39.033332999999999</v>
      </c>
      <c r="G15" s="13">
        <v>6</v>
      </c>
      <c r="H15" s="30">
        <v>55304</v>
      </c>
      <c r="I15" s="93">
        <f ca="1">H15*Dashboard!$B$5</f>
        <v>85594.206016388634</v>
      </c>
      <c r="J15" s="27">
        <f ca="1">OFFSET(Dashboard!$B$8,MATCH(City!B15,Dashboard!$A$8:$A$20,0)-1,0)</f>
        <v>214</v>
      </c>
      <c r="K15" s="93">
        <f ca="1">I15*J15*0.001*(1-Dashboard!$B$23)</f>
        <v>12822.012061255016</v>
      </c>
      <c r="L15" s="233">
        <f ca="1">I15*J15*0.001*Dashboard!$B$23</f>
        <v>5495.14802625215</v>
      </c>
      <c r="M15" s="230">
        <f ca="1">IF(G15&gt;=0,H15*J15*0.001*OFFSET(Dashboard!$B$26,MATCH(City!B15,Dashboard!$A$26:$A$38,0)-1,0),0)</f>
        <v>35.505168000000005</v>
      </c>
      <c r="N15" s="28">
        <f>Dashboard!$B$54</f>
        <v>10</v>
      </c>
      <c r="O15" s="274">
        <f>Dashboard!$C$64</f>
        <v>200</v>
      </c>
      <c r="P15" s="28">
        <f>Dashboard!$B$71</f>
        <v>5</v>
      </c>
      <c r="Q15" s="274">
        <f>Dashboard!$B$85</f>
        <v>0.5</v>
      </c>
      <c r="R15" s="230">
        <f ca="1">(K15+L15)*Dashboard!$B$43</f>
        <v>14653.728070005734</v>
      </c>
      <c r="S15" s="13">
        <v>0</v>
      </c>
      <c r="T15" s="231">
        <f>Dashboard!$B$45</f>
        <v>0.9</v>
      </c>
      <c r="U15" s="93">
        <f t="shared" ca="1" si="3"/>
        <v>0</v>
      </c>
      <c r="V15" s="276">
        <f>Dashboard!$B$55</f>
        <v>3</v>
      </c>
      <c r="W15" s="232">
        <f>Dashboard!$C$65</f>
        <v>100</v>
      </c>
      <c r="X15" s="232">
        <f>Dashboard!$B$72</f>
        <v>0.5</v>
      </c>
      <c r="Y15" s="232">
        <f>Dashboard!$B$86</f>
        <v>1.5</v>
      </c>
      <c r="Z15" s="27">
        <f>Dashboard!$B$41</f>
        <v>0</v>
      </c>
      <c r="AA15" s="13">
        <f t="shared" ca="1" si="0"/>
        <v>0</v>
      </c>
    </row>
    <row r="16" spans="1:28" x14ac:dyDescent="0.3">
      <c r="A16" s="17" t="s">
        <v>52</v>
      </c>
      <c r="B16" s="30" t="s">
        <v>37</v>
      </c>
      <c r="C16" s="3" t="s">
        <v>28</v>
      </c>
      <c r="D16" s="27">
        <v>14</v>
      </c>
      <c r="E16" s="27">
        <v>22.283332999999999</v>
      </c>
      <c r="F16" s="13">
        <v>39.1</v>
      </c>
      <c r="G16" s="13">
        <v>4</v>
      </c>
      <c r="H16" s="29">
        <v>274</v>
      </c>
      <c r="I16" s="93">
        <f ca="1">H16*Dashboard!$B$5</f>
        <v>424.07081673098662</v>
      </c>
      <c r="J16" s="27">
        <f ca="1">OFFSET(Dashboard!$B$8,MATCH(City!B16,Dashboard!$A$8:$A$20,0)-1,0)</f>
        <v>214</v>
      </c>
      <c r="K16" s="93">
        <f ca="1">I16*J16*0.001*(1-Dashboard!$B$23)</f>
        <v>63.525808346301794</v>
      </c>
      <c r="L16" s="233">
        <f ca="1">I16*J16*0.001*Dashboard!$B$23</f>
        <v>27.225346434129339</v>
      </c>
      <c r="M16" s="230">
        <f ca="1">IF(G16&gt;=0,H16*J16*0.001*OFFSET(Dashboard!$B$26,MATCH(City!B16,Dashboard!$A$26:$A$38,0)-1,0),0)</f>
        <v>0.17590800000000001</v>
      </c>
      <c r="N16" s="28">
        <f>Dashboard!$B$54</f>
        <v>10</v>
      </c>
      <c r="O16" s="274">
        <f>Dashboard!$C$64</f>
        <v>200</v>
      </c>
      <c r="P16" s="28">
        <f>Dashboard!$B$71</f>
        <v>5</v>
      </c>
      <c r="Q16" s="274">
        <f>Dashboard!$B$85</f>
        <v>0.5</v>
      </c>
      <c r="R16" s="230">
        <f ca="1">(K16+L16)*Dashboard!$B$43</f>
        <v>72.600923824344918</v>
      </c>
      <c r="S16" s="13">
        <v>0</v>
      </c>
      <c r="T16" s="231">
        <f>Dashboard!$B$45</f>
        <v>0.9</v>
      </c>
      <c r="U16" s="93">
        <f t="shared" ca="1" si="3"/>
        <v>0</v>
      </c>
      <c r="V16" s="276">
        <f>Dashboard!$B$55</f>
        <v>3</v>
      </c>
      <c r="W16" s="232">
        <f>Dashboard!$C$65</f>
        <v>100</v>
      </c>
      <c r="X16" s="232">
        <f>Dashboard!$B$72</f>
        <v>0.5</v>
      </c>
      <c r="Y16" s="232">
        <f>Dashboard!$B$86</f>
        <v>1.5</v>
      </c>
      <c r="Z16" s="27">
        <f>Dashboard!$B$41</f>
        <v>0</v>
      </c>
      <c r="AA16" s="13">
        <f t="shared" ca="1" si="0"/>
        <v>0</v>
      </c>
    </row>
    <row r="17" spans="1:28" x14ac:dyDescent="0.3">
      <c r="A17" s="17" t="s">
        <v>186</v>
      </c>
      <c r="B17" s="30" t="s">
        <v>37</v>
      </c>
      <c r="C17" s="3" t="s">
        <v>28</v>
      </c>
      <c r="D17" s="27">
        <v>15</v>
      </c>
      <c r="E17" s="27">
        <v>21.619890000000002</v>
      </c>
      <c r="F17" s="13">
        <v>39.699587000000001</v>
      </c>
      <c r="G17" s="13">
        <v>229</v>
      </c>
      <c r="H17" s="30">
        <v>25601</v>
      </c>
      <c r="I17" s="93">
        <f ca="1">H17*Dashboard!$B$5</f>
        <v>39622.762697554703</v>
      </c>
      <c r="J17" s="27">
        <f ca="1">OFFSET(Dashboard!$B$8,MATCH(City!B17,Dashboard!$A$8:$A$20,0)-1,0)</f>
        <v>214</v>
      </c>
      <c r="K17" s="93">
        <f ca="1">I17*J17*0.001*(1-Dashboard!$B$23)</f>
        <v>5935.4898520936949</v>
      </c>
      <c r="L17" s="233">
        <f ca="1">I17*J17*0.001*Dashboard!$B$23</f>
        <v>2543.7813651830124</v>
      </c>
      <c r="M17" s="230">
        <f ca="1">IF(G17&gt;=0,H17*J17*0.001*OFFSET(Dashboard!$B$26,MATCH(City!B17,Dashboard!$A$26:$A$38,0)-1,0),0)</f>
        <v>16.435842000000001</v>
      </c>
      <c r="N17" s="28">
        <f>Dashboard!$B$54</f>
        <v>10</v>
      </c>
      <c r="O17" s="274">
        <f>Dashboard!$C$64</f>
        <v>200</v>
      </c>
      <c r="P17" s="28">
        <f>Dashboard!$B$71</f>
        <v>5</v>
      </c>
      <c r="Q17" s="274">
        <f>Dashboard!$B$85</f>
        <v>0.5</v>
      </c>
      <c r="R17" s="230">
        <f ca="1">(K17+L17)*Dashboard!$B$43</f>
        <v>6783.4169738213668</v>
      </c>
      <c r="S17" s="13">
        <v>0</v>
      </c>
      <c r="T17" s="231">
        <f>Dashboard!$B$45</f>
        <v>0.9</v>
      </c>
      <c r="U17" s="93">
        <f t="shared" ca="1" si="3"/>
        <v>0</v>
      </c>
      <c r="V17" s="276">
        <f>Dashboard!$B$55</f>
        <v>3</v>
      </c>
      <c r="W17" s="232">
        <f>Dashboard!$C$65</f>
        <v>100</v>
      </c>
      <c r="X17" s="232">
        <f>Dashboard!$B$72</f>
        <v>0.5</v>
      </c>
      <c r="Y17" s="232">
        <f>Dashboard!$B$86</f>
        <v>1.5</v>
      </c>
      <c r="Z17" s="27">
        <f>Dashboard!$B$41</f>
        <v>0</v>
      </c>
      <c r="AA17" s="13">
        <f t="shared" ca="1" si="0"/>
        <v>0</v>
      </c>
    </row>
    <row r="18" spans="1:28" x14ac:dyDescent="0.3">
      <c r="A18" s="17" t="s">
        <v>10</v>
      </c>
      <c r="B18" s="30" t="s">
        <v>37</v>
      </c>
      <c r="C18" s="3" t="s">
        <v>28</v>
      </c>
      <c r="D18" s="27">
        <v>16</v>
      </c>
      <c r="E18" s="27">
        <v>21.543489000000001</v>
      </c>
      <c r="F18" s="13">
        <v>39.172989000000001</v>
      </c>
      <c r="G18" s="13">
        <v>15</v>
      </c>
      <c r="H18" s="27">
        <v>3430697</v>
      </c>
      <c r="I18" s="93">
        <f ca="1">H18*Dashboard!$B$5</f>
        <v>5309702.4771771738</v>
      </c>
      <c r="J18" s="27">
        <f ca="1">OFFSET(Dashboard!$B$8,MATCH(City!B18,Dashboard!$A$8:$A$20,0)-1,0)</f>
        <v>214</v>
      </c>
      <c r="K18" s="93">
        <f ca="1">I18*J18*0.001*(1-Dashboard!$B$23)</f>
        <v>795393.43108114065</v>
      </c>
      <c r="L18" s="233">
        <f ca="1">I18*J18*0.001*Dashboard!$B$23</f>
        <v>340882.89903477457</v>
      </c>
      <c r="M18" s="230">
        <f ca="1">IF(G18&gt;=0,H18*J18*0.001*OFFSET(Dashboard!$B$26,MATCH(City!B18,Dashboard!$A$26:$A$38,0)-1,0),0)</f>
        <v>2202.507474</v>
      </c>
      <c r="N18" s="28">
        <f>Dashboard!$B$54</f>
        <v>10</v>
      </c>
      <c r="O18" s="274">
        <f>Dashboard!$C$64</f>
        <v>200</v>
      </c>
      <c r="P18" s="28">
        <f>Dashboard!$B$71</f>
        <v>5</v>
      </c>
      <c r="Q18" s="274">
        <f>Dashboard!$B$85</f>
        <v>0.5</v>
      </c>
      <c r="R18" s="230">
        <f ca="1">(K18+L18)*Dashboard!$B$43</f>
        <v>909021.06409273227</v>
      </c>
      <c r="S18" s="13">
        <v>1</v>
      </c>
      <c r="T18" s="231">
        <f>Dashboard!$B$45</f>
        <v>0.9</v>
      </c>
      <c r="U18" s="93">
        <f ca="1">761500*R18/($R$18+$R$20+$R$23)*S18</f>
        <v>471106.9909680062</v>
      </c>
      <c r="V18" s="276">
        <f>Dashboard!$B$55</f>
        <v>3</v>
      </c>
      <c r="W18" s="232">
        <f>Dashboard!$C$65</f>
        <v>100</v>
      </c>
      <c r="X18" s="232">
        <f>Dashboard!$B$72</f>
        <v>0.5</v>
      </c>
      <c r="Y18" s="232">
        <f>Dashboard!$B$86</f>
        <v>1.5</v>
      </c>
      <c r="Z18" s="27">
        <f>Dashboard!$B$41</f>
        <v>0</v>
      </c>
      <c r="AA18" s="13">
        <f t="shared" ca="1" si="0"/>
        <v>0</v>
      </c>
    </row>
    <row r="19" spans="1:28" x14ac:dyDescent="0.3">
      <c r="A19" s="17" t="s">
        <v>128</v>
      </c>
      <c r="B19" s="30" t="s">
        <v>37</v>
      </c>
      <c r="C19" s="3" t="s">
        <v>28</v>
      </c>
      <c r="D19" s="27">
        <v>17</v>
      </c>
      <c r="E19" s="27">
        <v>21.441110999999999</v>
      </c>
      <c r="F19" s="13">
        <v>40.497500000000002</v>
      </c>
      <c r="G19" s="13">
        <v>1508</v>
      </c>
      <c r="H19" s="27">
        <v>148151</v>
      </c>
      <c r="I19" s="93">
        <f ca="1">H19*Dashboard!$B$5</f>
        <v>229293.85244347592</v>
      </c>
      <c r="J19" s="27">
        <f ca="1">OFFSET(Dashboard!$B$8,MATCH(City!B19,Dashboard!$A$8:$A$20,0)-1,0)</f>
        <v>214</v>
      </c>
      <c r="K19" s="93">
        <f ca="1">I19*J19*0.001*(1-Dashboard!$B$23)</f>
        <v>34348.219096032692</v>
      </c>
      <c r="L19" s="233">
        <f ca="1">I19*J19*0.001*Dashboard!$B$23</f>
        <v>14720.665326871153</v>
      </c>
      <c r="M19" s="230">
        <f ca="1">IF(G19&gt;=0,H19*J19*0.001*OFFSET(Dashboard!$B$26,MATCH(City!B19,Dashboard!$A$26:$A$38,0)-1,0),0)</f>
        <v>95.112942000000004</v>
      </c>
      <c r="N19" s="28">
        <f>Dashboard!$B$54</f>
        <v>10</v>
      </c>
      <c r="O19" s="274">
        <f>Dashboard!$C$64</f>
        <v>200</v>
      </c>
      <c r="P19" s="28">
        <f>Dashboard!$B$71</f>
        <v>5</v>
      </c>
      <c r="Q19" s="274">
        <f>Dashboard!$B$85</f>
        <v>0.5</v>
      </c>
      <c r="R19" s="230">
        <f ca="1">(K19+L19)*Dashboard!$B$43</f>
        <v>39255.107538323078</v>
      </c>
      <c r="S19" s="13">
        <v>0</v>
      </c>
      <c r="T19" s="231">
        <f>Dashboard!$B$45</f>
        <v>0.9</v>
      </c>
      <c r="U19" s="93">
        <f t="shared" ref="U19:U28" ca="1" si="4">761500*R19/($R$18+$R$20+$R$23)*S19</f>
        <v>0</v>
      </c>
      <c r="V19" s="276">
        <f>Dashboard!$B$55</f>
        <v>3</v>
      </c>
      <c r="W19" s="232">
        <f>Dashboard!$C$65</f>
        <v>100</v>
      </c>
      <c r="X19" s="232">
        <f>Dashboard!$B$72</f>
        <v>0.5</v>
      </c>
      <c r="Y19" s="232">
        <f>Dashboard!$B$86</f>
        <v>1.5</v>
      </c>
      <c r="Z19" s="27">
        <f>Dashboard!$B$41</f>
        <v>0</v>
      </c>
      <c r="AA19" s="13">
        <f t="shared" ca="1" si="0"/>
        <v>0</v>
      </c>
    </row>
    <row r="20" spans="1:28" x14ac:dyDescent="0.3">
      <c r="A20" s="17" t="s">
        <v>14</v>
      </c>
      <c r="B20" s="30" t="s">
        <v>37</v>
      </c>
      <c r="C20" s="3" t="s">
        <v>28</v>
      </c>
      <c r="D20" s="27">
        <v>18</v>
      </c>
      <c r="E20" s="27">
        <v>21.416667</v>
      </c>
      <c r="F20" s="13">
        <v>39.816667000000002</v>
      </c>
      <c r="G20" s="13">
        <v>330</v>
      </c>
      <c r="H20" s="27">
        <v>1534731</v>
      </c>
      <c r="I20" s="93">
        <f ca="1">H20*Dashboard!$B$5</f>
        <v>2375308.8636217657</v>
      </c>
      <c r="J20" s="27">
        <f ca="1">OFFSET(Dashboard!$B$8,MATCH(City!B20,Dashboard!$A$8:$A$20,0)-1,0)</f>
        <v>214</v>
      </c>
      <c r="K20" s="93">
        <f ca="1">I20*J20*0.001*(1-Dashboard!$B$23)</f>
        <v>355821.26777054049</v>
      </c>
      <c r="L20" s="233">
        <f ca="1">I20*J20*0.001*Dashboard!$B$23</f>
        <v>152494.82904451736</v>
      </c>
      <c r="M20" s="230">
        <f ca="1">IF(G20&gt;=0,H20*J20*0.001*OFFSET(Dashboard!$B$26,MATCH(City!B20,Dashboard!$A$26:$A$38,0)-1,0),0)</f>
        <v>985.29730200000006</v>
      </c>
      <c r="N20" s="28">
        <f>Dashboard!$B$54</f>
        <v>10</v>
      </c>
      <c r="O20" s="274">
        <f>Dashboard!$C$64</f>
        <v>200</v>
      </c>
      <c r="P20" s="28">
        <f>Dashboard!$B$71</f>
        <v>5</v>
      </c>
      <c r="Q20" s="274">
        <f>Dashboard!$B$85</f>
        <v>0.5</v>
      </c>
      <c r="R20" s="230">
        <f ca="1">(K20+L20)*Dashboard!$B$43</f>
        <v>406652.87745204632</v>
      </c>
      <c r="S20" s="13">
        <v>1</v>
      </c>
      <c r="T20" s="231">
        <f>Dashboard!$B$45</f>
        <v>0.9</v>
      </c>
      <c r="U20" s="93">
        <f t="shared" ca="1" si="4"/>
        <v>210750.90669776991</v>
      </c>
      <c r="V20" s="276">
        <f>Dashboard!$B$55</f>
        <v>3</v>
      </c>
      <c r="W20" s="232">
        <f>Dashboard!$C$65</f>
        <v>100</v>
      </c>
      <c r="X20" s="232">
        <f>Dashboard!$B$72</f>
        <v>0.5</v>
      </c>
      <c r="Y20" s="232">
        <f>Dashboard!$B$86</f>
        <v>1.5</v>
      </c>
      <c r="Z20" s="27">
        <f>Dashboard!$B$41</f>
        <v>0</v>
      </c>
      <c r="AA20" s="13">
        <f t="shared" ca="1" si="0"/>
        <v>0</v>
      </c>
    </row>
    <row r="21" spans="1:28" x14ac:dyDescent="0.3">
      <c r="A21" s="17" t="s">
        <v>188</v>
      </c>
      <c r="B21" s="30" t="s">
        <v>37</v>
      </c>
      <c r="C21" s="3" t="s">
        <v>28</v>
      </c>
      <c r="D21" s="27">
        <v>19</v>
      </c>
      <c r="E21" s="27">
        <v>21.401667</v>
      </c>
      <c r="F21" s="13">
        <v>39.450833000000003</v>
      </c>
      <c r="G21" s="13">
        <v>97</v>
      </c>
      <c r="H21" s="30">
        <v>75213</v>
      </c>
      <c r="I21" s="93">
        <f ca="1">H21*Dashboard!$B$5</f>
        <v>116407.43919265583</v>
      </c>
      <c r="J21" s="27">
        <f ca="1">OFFSET(Dashboard!$B$8,MATCH(City!B21,Dashboard!$A$8:$A$20,0)-1,0)</f>
        <v>214</v>
      </c>
      <c r="K21" s="93">
        <f ca="1">I21*J21*0.001*(1-Dashboard!$B$23)</f>
        <v>17437.834391059845</v>
      </c>
      <c r="L21" s="233">
        <f ca="1">I21*J21*0.001*Dashboard!$B$23</f>
        <v>7473.3575961685046</v>
      </c>
      <c r="M21" s="230">
        <f ca="1">IF(G21&gt;=0,H21*J21*0.001*OFFSET(Dashboard!$B$26,MATCH(City!B21,Dashboard!$A$26:$A$38,0)-1,0),0)</f>
        <v>48.286746000000001</v>
      </c>
      <c r="N21" s="28">
        <f>Dashboard!$B$54</f>
        <v>10</v>
      </c>
      <c r="O21" s="274">
        <f>Dashboard!$C$64</f>
        <v>200</v>
      </c>
      <c r="P21" s="28">
        <f>Dashboard!$B$71</f>
        <v>5</v>
      </c>
      <c r="Q21" s="274">
        <f>Dashboard!$B$85</f>
        <v>0.5</v>
      </c>
      <c r="R21" s="230">
        <f ca="1">(K21+L21)*Dashboard!$B$43</f>
        <v>19928.953589782683</v>
      </c>
      <c r="S21" s="13">
        <v>0</v>
      </c>
      <c r="T21" s="231">
        <f>Dashboard!$B$45</f>
        <v>0.9</v>
      </c>
      <c r="U21" s="93">
        <f t="shared" ca="1" si="4"/>
        <v>0</v>
      </c>
      <c r="V21" s="276">
        <f>Dashboard!$B$55</f>
        <v>3</v>
      </c>
      <c r="W21" s="232">
        <f>Dashboard!$C$65</f>
        <v>100</v>
      </c>
      <c r="X21" s="232">
        <f>Dashboard!$B$72</f>
        <v>0.5</v>
      </c>
      <c r="Y21" s="232">
        <f>Dashboard!$B$86</f>
        <v>1.5</v>
      </c>
      <c r="Z21" s="27">
        <f>Dashboard!$B$41</f>
        <v>0</v>
      </c>
      <c r="AA21" s="13">
        <f t="shared" ca="1" si="0"/>
        <v>0</v>
      </c>
    </row>
    <row r="22" spans="1:28" x14ac:dyDescent="0.3">
      <c r="A22" s="17" t="s">
        <v>187</v>
      </c>
      <c r="B22" s="30" t="s">
        <v>37</v>
      </c>
      <c r="C22" s="3" t="s">
        <v>28</v>
      </c>
      <c r="D22" s="27">
        <v>20</v>
      </c>
      <c r="E22" s="27">
        <v>21.273232</v>
      </c>
      <c r="F22" s="13">
        <v>40.427258000000002</v>
      </c>
      <c r="G22" s="13">
        <v>1669</v>
      </c>
      <c r="H22" s="30">
        <v>27032</v>
      </c>
      <c r="I22" s="93">
        <f ca="1">H22*Dashboard!$B$5</f>
        <v>41837.526707562152</v>
      </c>
      <c r="J22" s="27">
        <f ca="1">OFFSET(Dashboard!$B$8,MATCH(City!B22,Dashboard!$A$8:$A$20,0)-1,0)</f>
        <v>214</v>
      </c>
      <c r="K22" s="93">
        <f ca="1">I22*J22*0.001*(1-Dashboard!$B$23)</f>
        <v>6267.2615007928107</v>
      </c>
      <c r="L22" s="233">
        <f ca="1">I22*J22*0.001*Dashboard!$B$23</f>
        <v>2685.9692146254906</v>
      </c>
      <c r="M22" s="230">
        <f ca="1">IF(G22&gt;=0,H22*J22*0.001*OFFSET(Dashboard!$B$26,MATCH(City!B22,Dashboard!$A$26:$A$38,0)-1,0),0)</f>
        <v>17.354544000000001</v>
      </c>
      <c r="N22" s="28">
        <f>Dashboard!$B$54</f>
        <v>10</v>
      </c>
      <c r="O22" s="274">
        <f>Dashboard!$C$64</f>
        <v>200</v>
      </c>
      <c r="P22" s="28">
        <f>Dashboard!$B$71</f>
        <v>5</v>
      </c>
      <c r="Q22" s="274">
        <f>Dashboard!$B$85</f>
        <v>0.5</v>
      </c>
      <c r="R22" s="230">
        <f ca="1">(K22+L22)*Dashboard!$B$43</f>
        <v>7162.584572334642</v>
      </c>
      <c r="S22" s="13">
        <v>0</v>
      </c>
      <c r="T22" s="231">
        <f>Dashboard!$B$45</f>
        <v>0.9</v>
      </c>
      <c r="U22" s="93">
        <f t="shared" ca="1" si="4"/>
        <v>0</v>
      </c>
      <c r="V22" s="276">
        <f>Dashboard!$B$55</f>
        <v>3</v>
      </c>
      <c r="W22" s="232">
        <f>Dashboard!$C$65</f>
        <v>100</v>
      </c>
      <c r="X22" s="232">
        <f>Dashboard!$B$72</f>
        <v>0.5</v>
      </c>
      <c r="Y22" s="232">
        <f>Dashboard!$B$86</f>
        <v>1.5</v>
      </c>
      <c r="Z22" s="27">
        <f>Dashboard!$B$41</f>
        <v>0</v>
      </c>
      <c r="AA22" s="13">
        <f t="shared" ca="1" si="0"/>
        <v>0</v>
      </c>
    </row>
    <row r="23" spans="1:28" x14ac:dyDescent="0.3">
      <c r="A23" s="17" t="s">
        <v>20</v>
      </c>
      <c r="B23" s="30" t="s">
        <v>37</v>
      </c>
      <c r="C23" s="3" t="s">
        <v>28</v>
      </c>
      <c r="D23" s="27">
        <v>21</v>
      </c>
      <c r="E23" s="27">
        <v>21.270659999999999</v>
      </c>
      <c r="F23" s="13">
        <v>40.417068</v>
      </c>
      <c r="G23" s="13">
        <v>1676</v>
      </c>
      <c r="H23" s="27">
        <v>579970</v>
      </c>
      <c r="I23" s="93">
        <f ca="1">H23*Dashboard!$B$5</f>
        <v>897621.7210929573</v>
      </c>
      <c r="J23" s="27">
        <f ca="1">OFFSET(Dashboard!$B$8,MATCH(City!B23,Dashboard!$A$8:$A$20,0)-1,0)</f>
        <v>214</v>
      </c>
      <c r="K23" s="93">
        <f ca="1">I23*J23*0.001*(1-Dashboard!$B$23)</f>
        <v>134463.73381972502</v>
      </c>
      <c r="L23" s="233">
        <f ca="1">I23*J23*0.001*Dashboard!$B$23</f>
        <v>57627.314494167862</v>
      </c>
      <c r="M23" s="230">
        <f ca="1">IF(G23&gt;=0,H23*J23*0.001*OFFSET(Dashboard!$B$26,MATCH(City!B23,Dashboard!$A$26:$A$38,0)-1,0),0)</f>
        <v>372.34074000000004</v>
      </c>
      <c r="N23" s="28">
        <f>Dashboard!$B$54</f>
        <v>10</v>
      </c>
      <c r="O23" s="274">
        <f>Dashboard!$C$64</f>
        <v>200</v>
      </c>
      <c r="P23" s="28">
        <f>Dashboard!$B$71</f>
        <v>5</v>
      </c>
      <c r="Q23" s="274">
        <f>Dashboard!$B$85</f>
        <v>0.5</v>
      </c>
      <c r="R23" s="230">
        <f ca="1">(K23+L23)*Dashboard!$B$43</f>
        <v>153672.83865111432</v>
      </c>
      <c r="S23" s="13">
        <v>1</v>
      </c>
      <c r="T23" s="231">
        <f>Dashboard!$B$45</f>
        <v>0.9</v>
      </c>
      <c r="U23" s="93">
        <f t="shared" ca="1" si="4"/>
        <v>79642.10233422379</v>
      </c>
      <c r="V23" s="276">
        <f>Dashboard!$B$55</f>
        <v>3</v>
      </c>
      <c r="W23" s="232">
        <f>Dashboard!$C$65</f>
        <v>100</v>
      </c>
      <c r="X23" s="232">
        <f>Dashboard!$B$72</f>
        <v>0.5</v>
      </c>
      <c r="Y23" s="232">
        <f>Dashboard!$B$86</f>
        <v>1.5</v>
      </c>
      <c r="Z23" s="27">
        <f>Dashboard!$B$41</f>
        <v>0</v>
      </c>
      <c r="AA23" s="13">
        <f t="shared" ca="1" si="0"/>
        <v>0</v>
      </c>
    </row>
    <row r="24" spans="1:28" x14ac:dyDescent="0.3">
      <c r="A24" s="17" t="s">
        <v>189</v>
      </c>
      <c r="B24" s="30" t="s">
        <v>37</v>
      </c>
      <c r="C24" s="3" t="s">
        <v>28</v>
      </c>
      <c r="D24" s="27">
        <v>22</v>
      </c>
      <c r="E24" s="27">
        <v>21.262737999999999</v>
      </c>
      <c r="F24" s="13">
        <v>42.854039999999998</v>
      </c>
      <c r="G24" s="13">
        <v>920</v>
      </c>
      <c r="H24" s="30">
        <v>21656</v>
      </c>
      <c r="I24" s="93">
        <f ca="1">H24*Dashboard!$B$5</f>
        <v>33517.071558854914</v>
      </c>
      <c r="J24" s="27">
        <f ca="1">OFFSET(Dashboard!$B$8,MATCH(City!B24,Dashboard!$A$8:$A$20,0)-1,0)</f>
        <v>214</v>
      </c>
      <c r="K24" s="93">
        <f ca="1">I24*J24*0.001*(1-Dashboard!$B$23)</f>
        <v>5020.8573195164654</v>
      </c>
      <c r="L24" s="233">
        <f ca="1">I24*J24*0.001*Dashboard!$B$23</f>
        <v>2151.7959940784854</v>
      </c>
      <c r="M24" s="230">
        <f ca="1">IF(G24&gt;=0,H24*J24*0.001*OFFSET(Dashboard!$B$26,MATCH(City!B24,Dashboard!$A$26:$A$38,0)-1,0),0)</f>
        <v>13.903152</v>
      </c>
      <c r="N24" s="28">
        <f>Dashboard!$B$54</f>
        <v>10</v>
      </c>
      <c r="O24" s="274">
        <f>Dashboard!$C$64</f>
        <v>200</v>
      </c>
      <c r="P24" s="28">
        <f>Dashboard!$B$71</f>
        <v>5</v>
      </c>
      <c r="Q24" s="274">
        <f>Dashboard!$B$85</f>
        <v>0.5</v>
      </c>
      <c r="R24" s="230">
        <f ca="1">(K24+L24)*Dashboard!$B$43</f>
        <v>5738.122650875961</v>
      </c>
      <c r="S24" s="13">
        <v>0</v>
      </c>
      <c r="T24" s="231">
        <f>Dashboard!$B$45</f>
        <v>0.9</v>
      </c>
      <c r="U24" s="93">
        <f t="shared" ca="1" si="4"/>
        <v>0</v>
      </c>
      <c r="V24" s="276">
        <f>Dashboard!$B$55</f>
        <v>3</v>
      </c>
      <c r="W24" s="232">
        <f>Dashboard!$C$65</f>
        <v>100</v>
      </c>
      <c r="X24" s="232">
        <f>Dashboard!$B$72</f>
        <v>0.5</v>
      </c>
      <c r="Y24" s="232">
        <f>Dashboard!$B$86</f>
        <v>1.5</v>
      </c>
      <c r="Z24" s="27">
        <f>Dashboard!$B$41</f>
        <v>0</v>
      </c>
      <c r="AA24" s="13">
        <f t="shared" ca="1" si="0"/>
        <v>0</v>
      </c>
    </row>
    <row r="25" spans="1:28" x14ac:dyDescent="0.3">
      <c r="A25" s="17" t="s">
        <v>190</v>
      </c>
      <c r="B25" s="30" t="s">
        <v>37</v>
      </c>
      <c r="C25" s="3" t="s">
        <v>28</v>
      </c>
      <c r="D25" s="27">
        <v>23</v>
      </c>
      <c r="E25" s="27">
        <v>21.222639000000001</v>
      </c>
      <c r="F25" s="13">
        <v>41.647300999999999</v>
      </c>
      <c r="G25" s="13">
        <v>1157</v>
      </c>
      <c r="H25" s="30">
        <v>25937</v>
      </c>
      <c r="I25" s="93">
        <f ca="1">H25*Dashboard!$B$5</f>
        <v>40142.791144348907</v>
      </c>
      <c r="J25" s="27">
        <f ca="1">OFFSET(Dashboard!$B$8,MATCH(City!B25,Dashboard!$A$8:$A$20,0)-1,0)</f>
        <v>214</v>
      </c>
      <c r="K25" s="93">
        <f ca="1">I25*J25*0.001*(1-Dashboard!$B$23)</f>
        <v>6013.3901134234657</v>
      </c>
      <c r="L25" s="233">
        <f ca="1">I25*J25*0.001*Dashboard!$B$23</f>
        <v>2577.1671914671997</v>
      </c>
      <c r="M25" s="230">
        <f ca="1">IF(G25&gt;=0,H25*J25*0.001*OFFSET(Dashboard!$B$26,MATCH(City!B25,Dashboard!$A$26:$A$38,0)-1,0),0)</f>
        <v>16.651554000000001</v>
      </c>
      <c r="N25" s="28">
        <f>Dashboard!$B$54</f>
        <v>10</v>
      </c>
      <c r="O25" s="274">
        <f>Dashboard!$C$64</f>
        <v>200</v>
      </c>
      <c r="P25" s="28">
        <f>Dashboard!$B$71</f>
        <v>5</v>
      </c>
      <c r="Q25" s="274">
        <f>Dashboard!$B$85</f>
        <v>0.5</v>
      </c>
      <c r="R25" s="230">
        <f ca="1">(K25+L25)*Dashboard!$B$43</f>
        <v>6872.4458439125337</v>
      </c>
      <c r="S25" s="13">
        <v>0</v>
      </c>
      <c r="T25" s="231">
        <f>Dashboard!$B$45</f>
        <v>0.9</v>
      </c>
      <c r="U25" s="93">
        <f t="shared" ca="1" si="4"/>
        <v>0</v>
      </c>
      <c r="V25" s="276">
        <f>Dashboard!$B$55</f>
        <v>3</v>
      </c>
      <c r="W25" s="232">
        <f>Dashboard!$C$65</f>
        <v>100</v>
      </c>
      <c r="X25" s="232">
        <f>Dashboard!$B$72</f>
        <v>0.5</v>
      </c>
      <c r="Y25" s="232">
        <f>Dashboard!$B$86</f>
        <v>1.5</v>
      </c>
      <c r="Z25" s="27">
        <f>Dashboard!$B$41</f>
        <v>0</v>
      </c>
      <c r="AA25" s="13">
        <f t="shared" ca="1" si="0"/>
        <v>0</v>
      </c>
    </row>
    <row r="26" spans="1:28" x14ac:dyDescent="0.3">
      <c r="A26" s="17" t="s">
        <v>119</v>
      </c>
      <c r="B26" s="30" t="s">
        <v>37</v>
      </c>
      <c r="C26" s="3" t="s">
        <v>28</v>
      </c>
      <c r="D26" s="27">
        <v>24</v>
      </c>
      <c r="E26" s="27">
        <v>19.128142</v>
      </c>
      <c r="F26" s="13">
        <v>41.078738999999999</v>
      </c>
      <c r="G26" s="13">
        <v>3</v>
      </c>
      <c r="H26" s="27">
        <v>24512</v>
      </c>
      <c r="I26" s="93">
        <f ca="1">H26*Dashboard!$B$5</f>
        <v>37937.313356605635</v>
      </c>
      <c r="J26" s="27">
        <f ca="1">OFFSET(Dashboard!$B$8,MATCH(City!B26,Dashboard!$A$8:$A$20,0)-1,0)</f>
        <v>214</v>
      </c>
      <c r="K26" s="93">
        <f ca="1">I26*J26*0.001*(1-Dashboard!$B$23)</f>
        <v>5683.0095408195239</v>
      </c>
      <c r="L26" s="233">
        <f ca="1">I26*J26*0.001*Dashboard!$B$23</f>
        <v>2435.5755174940819</v>
      </c>
      <c r="M26" s="230">
        <f ca="1">IF(G26&gt;=0,H26*J26*0.001*OFFSET(Dashboard!$B$26,MATCH(City!B26,Dashboard!$A$26:$A$38,0)-1,0),0)</f>
        <v>15.736704000000001</v>
      </c>
      <c r="N26" s="28">
        <f>Dashboard!$B$54</f>
        <v>10</v>
      </c>
      <c r="O26" s="274">
        <f>Dashboard!$C$64</f>
        <v>200</v>
      </c>
      <c r="P26" s="28">
        <f>Dashboard!$B$71</f>
        <v>5</v>
      </c>
      <c r="Q26" s="274">
        <f>Dashboard!$B$85</f>
        <v>0.5</v>
      </c>
      <c r="R26" s="230">
        <f ca="1">(K26+L26)*Dashboard!$B$43</f>
        <v>6494.8680466508849</v>
      </c>
      <c r="S26" s="13">
        <v>0</v>
      </c>
      <c r="T26" s="231">
        <f>Dashboard!$B$45</f>
        <v>0.9</v>
      </c>
      <c r="U26" s="93">
        <f t="shared" ca="1" si="4"/>
        <v>0</v>
      </c>
      <c r="V26" s="276">
        <f>Dashboard!$B$55</f>
        <v>3</v>
      </c>
      <c r="W26" s="232">
        <f>Dashboard!$C$65</f>
        <v>100</v>
      </c>
      <c r="X26" s="232">
        <f>Dashboard!$B$72</f>
        <v>0.5</v>
      </c>
      <c r="Y26" s="232">
        <f>Dashboard!$B$86</f>
        <v>1.5</v>
      </c>
      <c r="Z26" s="27">
        <f>Dashboard!$B$41</f>
        <v>0</v>
      </c>
      <c r="AA26" s="13">
        <f t="shared" ca="1" si="0"/>
        <v>0</v>
      </c>
    </row>
    <row r="27" spans="1:28" x14ac:dyDescent="0.3">
      <c r="A27" s="17" t="s">
        <v>120</v>
      </c>
      <c r="B27" s="30" t="s">
        <v>37</v>
      </c>
      <c r="C27" s="3" t="s">
        <v>28</v>
      </c>
      <c r="D27" s="27">
        <v>25</v>
      </c>
      <c r="E27" s="27">
        <v>18.980530999999999</v>
      </c>
      <c r="F27" s="13">
        <v>41.305950000000003</v>
      </c>
      <c r="G27" s="13">
        <v>47</v>
      </c>
      <c r="H27" s="27">
        <v>23391</v>
      </c>
      <c r="I27" s="93">
        <f ca="1">H27*Dashboard!$B$5</f>
        <v>36202.337496914261</v>
      </c>
      <c r="J27" s="27">
        <f ca="1">OFFSET(Dashboard!$B$8,MATCH(City!B27,Dashboard!$A$8:$A$20,0)-1,0)</f>
        <v>214</v>
      </c>
      <c r="K27" s="93">
        <f ca="1">I27*J27*0.001*(1-Dashboard!$B$23)</f>
        <v>5423.1101570377559</v>
      </c>
      <c r="L27" s="233">
        <f ca="1">I27*J27*0.001*Dashboard!$B$23</f>
        <v>2324.1900673018954</v>
      </c>
      <c r="M27" s="230">
        <f ca="1">IF(G27&gt;=0,H27*J27*0.001*OFFSET(Dashboard!$B$26,MATCH(City!B27,Dashboard!$A$26:$A$38,0)-1,0),0)</f>
        <v>15.017022000000001</v>
      </c>
      <c r="N27" s="28">
        <f>Dashboard!$B$54</f>
        <v>10</v>
      </c>
      <c r="O27" s="274">
        <f>Dashboard!$C$64</f>
        <v>200</v>
      </c>
      <c r="P27" s="28">
        <f>Dashboard!$B$71</f>
        <v>5</v>
      </c>
      <c r="Q27" s="274">
        <f>Dashboard!$B$85</f>
        <v>0.5</v>
      </c>
      <c r="R27" s="230">
        <f ca="1">(K27+L27)*Dashboard!$B$43</f>
        <v>6197.8401794717211</v>
      </c>
      <c r="S27" s="13">
        <v>0</v>
      </c>
      <c r="T27" s="231">
        <f>Dashboard!$B$45</f>
        <v>0.9</v>
      </c>
      <c r="U27" s="93">
        <f t="shared" ca="1" si="4"/>
        <v>0</v>
      </c>
      <c r="V27" s="276">
        <f>Dashboard!$B$55</f>
        <v>3</v>
      </c>
      <c r="W27" s="232">
        <f>Dashboard!$C$65</f>
        <v>100</v>
      </c>
      <c r="X27" s="232">
        <f>Dashboard!$B$72</f>
        <v>0.5</v>
      </c>
      <c r="Y27" s="232">
        <f>Dashboard!$B$86</f>
        <v>1.5</v>
      </c>
      <c r="Z27" s="27">
        <f>Dashboard!$B$41</f>
        <v>0</v>
      </c>
      <c r="AA27" s="13">
        <f t="shared" ca="1" si="0"/>
        <v>0</v>
      </c>
    </row>
    <row r="28" spans="1:28" s="117" customFormat="1" x14ac:dyDescent="0.3">
      <c r="A28" s="115" t="s">
        <v>71</v>
      </c>
      <c r="B28" s="235" t="s">
        <v>37</v>
      </c>
      <c r="C28" s="236" t="s">
        <v>28</v>
      </c>
      <c r="D28" s="116">
        <v>26</v>
      </c>
      <c r="E28" s="116">
        <v>18.7</v>
      </c>
      <c r="F28" s="117">
        <v>41.333333000000003</v>
      </c>
      <c r="G28" s="117">
        <v>22</v>
      </c>
      <c r="H28" s="118">
        <v>1000</v>
      </c>
      <c r="I28" s="127">
        <f ca="1">H28*Dashboard!$B$5</f>
        <v>1547.7037106970315</v>
      </c>
      <c r="J28" s="116">
        <f ca="1">OFFSET(Dashboard!$B$8,MATCH(City!B28,Dashboard!$A$8:$A$20,0)-1,0)</f>
        <v>214</v>
      </c>
      <c r="K28" s="127">
        <f ca="1">I28*J28*0.001*(1-Dashboard!$B$23)</f>
        <v>231.84601586241533</v>
      </c>
      <c r="L28" s="237">
        <f ca="1">I28*J28*0.001*Dashboard!$B$23</f>
        <v>99.36257822674942</v>
      </c>
      <c r="M28" s="238">
        <f ca="1">IF(G28&gt;=0,H28*J28*0.001*OFFSET(Dashboard!$B$26,MATCH(City!B28,Dashboard!$A$26:$A$38,0)-1,0),0)</f>
        <v>0.64200000000000002</v>
      </c>
      <c r="N28" s="117">
        <f>Dashboard!$B$54</f>
        <v>10</v>
      </c>
      <c r="O28" s="285">
        <f>Dashboard!$C$64</f>
        <v>200</v>
      </c>
      <c r="P28" s="117">
        <f>Dashboard!$B$71</f>
        <v>5</v>
      </c>
      <c r="Q28" s="285">
        <f>Dashboard!$B$85</f>
        <v>0.5</v>
      </c>
      <c r="R28" s="238">
        <f ca="1">(K28+L28)*Dashboard!$B$43</f>
        <v>264.96687527133184</v>
      </c>
      <c r="S28" s="117">
        <v>0</v>
      </c>
      <c r="T28" s="286">
        <f>Dashboard!$B$45</f>
        <v>0.9</v>
      </c>
      <c r="U28" s="127">
        <f t="shared" ca="1" si="4"/>
        <v>0</v>
      </c>
      <c r="V28" s="277">
        <f>Dashboard!$B$55</f>
        <v>3</v>
      </c>
      <c r="W28" s="239">
        <f>Dashboard!$C$65</f>
        <v>100</v>
      </c>
      <c r="X28" s="239">
        <f>Dashboard!$B$72</f>
        <v>0.5</v>
      </c>
      <c r="Y28" s="239">
        <f>Dashboard!$B$86</f>
        <v>1.5</v>
      </c>
      <c r="Z28" s="116">
        <f>Dashboard!$B$41</f>
        <v>0</v>
      </c>
      <c r="AA28" s="117">
        <f t="shared" ca="1" si="0"/>
        <v>0</v>
      </c>
      <c r="AB28" s="116"/>
    </row>
    <row r="29" spans="1:28" x14ac:dyDescent="0.3">
      <c r="A29" s="17" t="s">
        <v>24</v>
      </c>
      <c r="B29" s="30" t="s">
        <v>24</v>
      </c>
      <c r="C29" s="3" t="s">
        <v>34</v>
      </c>
      <c r="D29" s="27">
        <v>27</v>
      </c>
      <c r="E29" s="27">
        <v>20.012991</v>
      </c>
      <c r="F29" s="13">
        <v>41.460448999999997</v>
      </c>
      <c r="G29" s="13">
        <v>2175</v>
      </c>
      <c r="H29" s="27">
        <v>95089</v>
      </c>
      <c r="I29" s="93">
        <f ca="1">H29*Dashboard!$B$5</f>
        <v>147169.59814647003</v>
      </c>
      <c r="J29" s="27">
        <f ca="1">OFFSET(Dashboard!$B$8,MATCH(City!B29,Dashboard!$A$8:$A$20,0)-1,0)</f>
        <v>60</v>
      </c>
      <c r="K29" s="93">
        <f ca="1">I29*J29*0.001*(1-Dashboard!$B$23)</f>
        <v>6181.1231221517401</v>
      </c>
      <c r="L29" s="233">
        <f ca="1">I29*J29*0.001*Dashboard!$B$23</f>
        <v>2649.0527666364601</v>
      </c>
      <c r="M29" s="230">
        <f ca="1">IF(G29&gt;=0,H29*J29*0.001*OFFSET(Dashboard!$B$26,MATCH(City!B29,Dashboard!$A$26:$A$38,0)-1,0),0)</f>
        <v>5705.34</v>
      </c>
      <c r="N29" s="28">
        <f>Dashboard!$B$54</f>
        <v>10</v>
      </c>
      <c r="O29" s="274">
        <f>Dashboard!$C$64</f>
        <v>200</v>
      </c>
      <c r="P29" s="28">
        <f>Dashboard!$B$71</f>
        <v>5</v>
      </c>
      <c r="Q29" s="274">
        <f>Dashboard!$B$85</f>
        <v>0.5</v>
      </c>
      <c r="R29" s="230">
        <f ca="1">(K29+L29)*Dashboard!$B$43</f>
        <v>7064.1407110305609</v>
      </c>
      <c r="S29" s="13">
        <v>0</v>
      </c>
      <c r="T29" s="231">
        <f>Dashboard!$B$45</f>
        <v>0.9</v>
      </c>
      <c r="U29" s="93">
        <v>0</v>
      </c>
      <c r="V29" s="276">
        <f>Dashboard!$B$55</f>
        <v>3</v>
      </c>
      <c r="W29" s="232">
        <f>Dashboard!$C$65</f>
        <v>100</v>
      </c>
      <c r="X29" s="232">
        <f>Dashboard!$B$72</f>
        <v>0.5</v>
      </c>
      <c r="Y29" s="232">
        <f>Dashboard!$B$86</f>
        <v>1.5</v>
      </c>
      <c r="Z29" s="27">
        <f>Dashboard!$B$41</f>
        <v>0</v>
      </c>
      <c r="AA29" s="13">
        <f t="shared" ca="1" si="0"/>
        <v>0</v>
      </c>
    </row>
    <row r="30" spans="1:28" x14ac:dyDescent="0.3">
      <c r="A30" s="17" t="s">
        <v>192</v>
      </c>
      <c r="B30" s="30" t="s">
        <v>24</v>
      </c>
      <c r="C30" s="3" t="s">
        <v>34</v>
      </c>
      <c r="D30" s="27">
        <v>28</v>
      </c>
      <c r="E30" s="27">
        <v>19.858062</v>
      </c>
      <c r="F30" s="13">
        <v>41.57123</v>
      </c>
      <c r="G30" s="13">
        <v>2031</v>
      </c>
      <c r="H30" s="27">
        <v>43493</v>
      </c>
      <c r="I30" s="93">
        <f ca="1">H30*Dashboard!$B$5</f>
        <v>67314.277489345986</v>
      </c>
      <c r="J30" s="27">
        <f ca="1">OFFSET(Dashboard!$B$8,MATCH(City!B30,Dashboard!$A$8:$A$20,0)-1,0)</f>
        <v>60</v>
      </c>
      <c r="K30" s="93">
        <f ca="1">I30*J30*0.001*(1-Dashboard!$B$23)</f>
        <v>2827.1996545525312</v>
      </c>
      <c r="L30" s="233">
        <f ca="1">I30*J30*0.001*Dashboard!$B$23</f>
        <v>1211.6569948082276</v>
      </c>
      <c r="M30" s="230">
        <f ca="1">IF(G30&gt;=0,H30*J30*0.001*OFFSET(Dashboard!$B$26,MATCH(City!B30,Dashboard!$A$26:$A$38,0)-1,0),0)</f>
        <v>2609.58</v>
      </c>
      <c r="N30" s="28">
        <f>Dashboard!$B$54</f>
        <v>10</v>
      </c>
      <c r="O30" s="274">
        <f>Dashboard!$C$64</f>
        <v>200</v>
      </c>
      <c r="P30" s="28">
        <f>Dashboard!$B$71</f>
        <v>5</v>
      </c>
      <c r="Q30" s="274">
        <f>Dashboard!$B$85</f>
        <v>0.5</v>
      </c>
      <c r="R30" s="230">
        <f ca="1">(K30+L30)*Dashboard!$B$43</f>
        <v>3231.0853194886072</v>
      </c>
      <c r="S30" s="13">
        <v>0</v>
      </c>
      <c r="T30" s="231">
        <f>Dashboard!$B$45</f>
        <v>0.9</v>
      </c>
      <c r="U30" s="93">
        <v>0</v>
      </c>
      <c r="V30" s="276">
        <f>Dashboard!$B$55</f>
        <v>3</v>
      </c>
      <c r="W30" s="232">
        <f>Dashboard!$C$65</f>
        <v>100</v>
      </c>
      <c r="X30" s="232">
        <f>Dashboard!$B$72</f>
        <v>0.5</v>
      </c>
      <c r="Y30" s="232">
        <f>Dashboard!$B$86</f>
        <v>1.5</v>
      </c>
      <c r="Z30" s="27">
        <f>Dashboard!$B$41</f>
        <v>0</v>
      </c>
      <c r="AA30" s="13">
        <f t="shared" ca="1" si="0"/>
        <v>0</v>
      </c>
    </row>
    <row r="31" spans="1:28" s="117" customFormat="1" x14ac:dyDescent="0.3">
      <c r="A31" s="115" t="s">
        <v>191</v>
      </c>
      <c r="B31" s="235" t="s">
        <v>24</v>
      </c>
      <c r="C31" s="236" t="s">
        <v>34</v>
      </c>
      <c r="D31" s="116">
        <v>29</v>
      </c>
      <c r="E31" s="116">
        <v>19.756039999999999</v>
      </c>
      <c r="F31" s="117">
        <v>41.436245999999997</v>
      </c>
      <c r="G31" s="117">
        <v>378</v>
      </c>
      <c r="H31" s="116">
        <v>21999</v>
      </c>
      <c r="I31" s="127">
        <f ca="1">H31*Dashboard!$B$5</f>
        <v>34047.933931623993</v>
      </c>
      <c r="J31" s="116">
        <f ca="1">OFFSET(Dashboard!$B$8,MATCH(City!B31,Dashboard!$A$8:$A$20,0)-1,0)</f>
        <v>60</v>
      </c>
      <c r="K31" s="127">
        <f ca="1">I31*J31*0.001*(1-Dashboard!$B$23)</f>
        <v>1430.0132251282075</v>
      </c>
      <c r="L31" s="237">
        <f ca="1">I31*J31*0.001*Dashboard!$B$23</f>
        <v>612.86281076923183</v>
      </c>
      <c r="M31" s="238">
        <f ca="1">IF(G31&gt;=0,H31*J31*0.001*OFFSET(Dashboard!$B$26,MATCH(City!B31,Dashboard!$A$26:$A$38,0)-1,0),0)</f>
        <v>1319.94</v>
      </c>
      <c r="N31" s="117">
        <f>Dashboard!$B$54</f>
        <v>10</v>
      </c>
      <c r="O31" s="285">
        <f>Dashboard!$C$64</f>
        <v>200</v>
      </c>
      <c r="P31" s="117">
        <f>Dashboard!$B$71</f>
        <v>5</v>
      </c>
      <c r="Q31" s="285">
        <f>Dashboard!$B$85</f>
        <v>0.5</v>
      </c>
      <c r="R31" s="238">
        <f ca="1">(K31+L31)*Dashboard!$B$43</f>
        <v>1634.3008287179516</v>
      </c>
      <c r="S31" s="117">
        <v>0</v>
      </c>
      <c r="T31" s="286">
        <f>Dashboard!$B$45</f>
        <v>0.9</v>
      </c>
      <c r="U31" s="127">
        <v>0</v>
      </c>
      <c r="V31" s="277">
        <f>Dashboard!$B$55</f>
        <v>3</v>
      </c>
      <c r="W31" s="239">
        <f>Dashboard!$C$65</f>
        <v>100</v>
      </c>
      <c r="X31" s="239">
        <f>Dashboard!$B$72</f>
        <v>0.5</v>
      </c>
      <c r="Y31" s="239">
        <f>Dashboard!$B$86</f>
        <v>1.5</v>
      </c>
      <c r="Z31" s="116">
        <f>Dashboard!$B$41</f>
        <v>0</v>
      </c>
      <c r="AA31" s="117">
        <f t="shared" ca="1" si="0"/>
        <v>0</v>
      </c>
      <c r="AB31" s="116"/>
    </row>
    <row r="32" spans="1:28" x14ac:dyDescent="0.3">
      <c r="A32" s="17" t="s">
        <v>97</v>
      </c>
      <c r="B32" s="30" t="s">
        <v>41</v>
      </c>
      <c r="C32" s="3" t="s">
        <v>33</v>
      </c>
      <c r="D32" s="27">
        <v>30</v>
      </c>
      <c r="E32" s="27">
        <v>20</v>
      </c>
      <c r="F32" s="13">
        <v>42.6</v>
      </c>
      <c r="G32" s="13">
        <v>1165</v>
      </c>
      <c r="H32" s="27">
        <v>86201</v>
      </c>
      <c r="I32" s="93">
        <f ca="1">H32*Dashboard!$B$5</f>
        <v>133413.60756579481</v>
      </c>
      <c r="J32" s="27">
        <f ca="1">OFFSET(Dashboard!$B$8,MATCH(City!B32,Dashboard!$A$8:$A$20,0)-1,0)</f>
        <v>83</v>
      </c>
      <c r="K32" s="93">
        <f ca="1">I32*J32*0.001*(1-Dashboard!$B$23)</f>
        <v>7751.3305995726778</v>
      </c>
      <c r="L32" s="233">
        <f ca="1">I32*J32*0.001*Dashboard!$B$23</f>
        <v>3321.9988283882908</v>
      </c>
      <c r="M32" s="230">
        <f ca="1">IF(G32&gt;=0,H32*J32*0.001*OFFSET(Dashboard!$B$26,MATCH(City!B32,Dashboard!$A$26:$A$38,0)-1,0),0)</f>
        <v>1137.594597</v>
      </c>
      <c r="N32" s="28">
        <f>Dashboard!$B$54</f>
        <v>10</v>
      </c>
      <c r="O32" s="274">
        <f>Dashboard!$C$64</f>
        <v>200</v>
      </c>
      <c r="P32" s="28">
        <f>Dashboard!$B$71</f>
        <v>5</v>
      </c>
      <c r="Q32" s="274">
        <f>Dashboard!$B$85</f>
        <v>0.5</v>
      </c>
      <c r="R32" s="230">
        <f ca="1">(K32+L32)*Dashboard!$B$43</f>
        <v>8858.6635423687749</v>
      </c>
      <c r="S32" s="13">
        <f t="shared" ref="S32:S67" si="5">IF(H32&lt;50000,0,1)</f>
        <v>1</v>
      </c>
      <c r="T32" s="231">
        <f>Dashboard!$B$45</f>
        <v>0.9</v>
      </c>
      <c r="U32" s="93">
        <f ca="1">214500*R32/($R$32+$R$35+$R$36+$R$37+$R$38)*S32</f>
        <v>21320.372648748744</v>
      </c>
      <c r="V32" s="276">
        <f>Dashboard!$B$55</f>
        <v>3</v>
      </c>
      <c r="W32" s="232">
        <f>Dashboard!$C$65</f>
        <v>100</v>
      </c>
      <c r="X32" s="232">
        <f>Dashboard!$B$72</f>
        <v>0.5</v>
      </c>
      <c r="Y32" s="232">
        <f>Dashboard!$B$86</f>
        <v>1.5</v>
      </c>
      <c r="Z32" s="27">
        <f>Dashboard!$B$41</f>
        <v>0</v>
      </c>
      <c r="AA32" s="13">
        <f t="shared" ca="1" si="0"/>
        <v>0</v>
      </c>
    </row>
    <row r="33" spans="1:28" x14ac:dyDescent="0.3">
      <c r="A33" s="17" t="s">
        <v>194</v>
      </c>
      <c r="B33" s="30" t="s">
        <v>41</v>
      </c>
      <c r="C33" s="3" t="s">
        <v>33</v>
      </c>
      <c r="D33" s="27">
        <v>31</v>
      </c>
      <c r="E33" s="27">
        <v>19.597836000000001</v>
      </c>
      <c r="F33" s="13">
        <v>41.978993000000003</v>
      </c>
      <c r="G33" s="13">
        <v>1975</v>
      </c>
      <c r="H33" s="27">
        <v>19956</v>
      </c>
      <c r="I33" s="93">
        <f ca="1">H33*Dashboard!$B$5</f>
        <v>30885.975250669959</v>
      </c>
      <c r="J33" s="27">
        <f ca="1">OFFSET(Dashboard!$B$8,MATCH(City!B33,Dashboard!$A$8:$A$20,0)-1,0)</f>
        <v>83</v>
      </c>
      <c r="K33" s="93">
        <f ca="1">I33*J33*0.001*(1-Dashboard!$B$23)</f>
        <v>1794.4751620639242</v>
      </c>
      <c r="L33" s="233">
        <f ca="1">I33*J33*0.001*Dashboard!$B$23</f>
        <v>769.06078374168192</v>
      </c>
      <c r="M33" s="230">
        <f ca="1">IF(G33&gt;=0,H33*J33*0.001*OFFSET(Dashboard!$B$26,MATCH(City!B33,Dashboard!$A$26:$A$38,0)-1,0),0)</f>
        <v>263.35933199999999</v>
      </c>
      <c r="N33" s="28">
        <f>Dashboard!$B$54</f>
        <v>10</v>
      </c>
      <c r="O33" s="274">
        <f>Dashboard!$C$64</f>
        <v>200</v>
      </c>
      <c r="P33" s="28">
        <f>Dashboard!$B$71</f>
        <v>5</v>
      </c>
      <c r="Q33" s="274">
        <f>Dashboard!$B$85</f>
        <v>0.5</v>
      </c>
      <c r="R33" s="230">
        <f ca="1">(K33+L33)*Dashboard!$B$43</f>
        <v>2050.8287566444851</v>
      </c>
      <c r="S33" s="13">
        <f t="shared" si="5"/>
        <v>0</v>
      </c>
      <c r="T33" s="231">
        <f>Dashboard!$B$45</f>
        <v>0.9</v>
      </c>
      <c r="U33" s="93">
        <f t="shared" ref="U33:U39" ca="1" si="6">214500*R33/($R$32+$R$35+$R$36+$R$37+$R$38)*S33</f>
        <v>0</v>
      </c>
      <c r="V33" s="276">
        <f>Dashboard!$B$55</f>
        <v>3</v>
      </c>
      <c r="W33" s="232">
        <f>Dashboard!$C$65</f>
        <v>100</v>
      </c>
      <c r="X33" s="232">
        <f>Dashboard!$B$72</f>
        <v>0.5</v>
      </c>
      <c r="Y33" s="232">
        <f>Dashboard!$B$86</f>
        <v>1.5</v>
      </c>
      <c r="Z33" s="27">
        <f>Dashboard!$B$41</f>
        <v>0</v>
      </c>
      <c r="AA33" s="13">
        <f t="shared" ca="1" si="0"/>
        <v>0</v>
      </c>
    </row>
    <row r="34" spans="1:28" x14ac:dyDescent="0.3">
      <c r="A34" s="17" t="s">
        <v>193</v>
      </c>
      <c r="B34" s="30" t="s">
        <v>41</v>
      </c>
      <c r="C34" s="3" t="s">
        <v>33</v>
      </c>
      <c r="D34" s="27">
        <v>32</v>
      </c>
      <c r="E34" s="27">
        <v>19.098994000000001</v>
      </c>
      <c r="F34" s="13">
        <v>42.127934000000003</v>
      </c>
      <c r="G34" s="13">
        <v>2420</v>
      </c>
      <c r="H34" s="27">
        <v>27021</v>
      </c>
      <c r="I34" s="93">
        <f ca="1">H34*Dashboard!$B$5</f>
        <v>41820.501966744487</v>
      </c>
      <c r="J34" s="27">
        <f ca="1">OFFSET(Dashboard!$B$8,MATCH(City!B34,Dashboard!$A$8:$A$20,0)-1,0)</f>
        <v>83</v>
      </c>
      <c r="K34" s="93">
        <f ca="1">I34*J34*0.001*(1-Dashboard!$B$23)</f>
        <v>2429.7711642678546</v>
      </c>
      <c r="L34" s="233">
        <f ca="1">I34*J34*0.001*Dashboard!$B$23</f>
        <v>1041.3304989719377</v>
      </c>
      <c r="M34" s="230">
        <f ca="1">IF(G34&gt;=0,H34*J34*0.001*OFFSET(Dashboard!$B$26,MATCH(City!B34,Dashboard!$A$26:$A$38,0)-1,0),0)</f>
        <v>356.596137</v>
      </c>
      <c r="N34" s="28">
        <f>Dashboard!$B$54</f>
        <v>10</v>
      </c>
      <c r="O34" s="274">
        <f>Dashboard!$C$64</f>
        <v>200</v>
      </c>
      <c r="P34" s="28">
        <f>Dashboard!$B$71</f>
        <v>5</v>
      </c>
      <c r="Q34" s="274">
        <f>Dashboard!$B$85</f>
        <v>0.5</v>
      </c>
      <c r="R34" s="230">
        <f ca="1">(K34+L34)*Dashboard!$B$43</f>
        <v>2776.8813305918338</v>
      </c>
      <c r="S34" s="13">
        <f t="shared" si="5"/>
        <v>0</v>
      </c>
      <c r="T34" s="231">
        <f>Dashboard!$B$45</f>
        <v>0.9</v>
      </c>
      <c r="U34" s="93">
        <f t="shared" ca="1" si="6"/>
        <v>0</v>
      </c>
      <c r="V34" s="276">
        <f>Dashboard!$B$55</f>
        <v>3</v>
      </c>
      <c r="W34" s="232">
        <f>Dashboard!$C$65</f>
        <v>100</v>
      </c>
      <c r="X34" s="232">
        <f>Dashboard!$B$72</f>
        <v>0.5</v>
      </c>
      <c r="Y34" s="232">
        <f>Dashboard!$B$86</f>
        <v>1.5</v>
      </c>
      <c r="Z34" s="27">
        <f>Dashboard!$B$41</f>
        <v>0</v>
      </c>
      <c r="AA34" s="13">
        <f t="shared" ca="1" si="0"/>
        <v>0</v>
      </c>
    </row>
    <row r="35" spans="1:28" x14ac:dyDescent="0.3">
      <c r="A35" s="17" t="s">
        <v>195</v>
      </c>
      <c r="B35" s="30" t="s">
        <v>41</v>
      </c>
      <c r="C35" s="3" t="s">
        <v>33</v>
      </c>
      <c r="D35" s="27">
        <v>33</v>
      </c>
      <c r="E35" s="27">
        <v>18.547395000000002</v>
      </c>
      <c r="F35" s="13">
        <v>42.053440000000002</v>
      </c>
      <c r="G35" s="13">
        <v>520</v>
      </c>
      <c r="H35" s="27">
        <v>56953</v>
      </c>
      <c r="I35" s="93">
        <f ca="1">H35*Dashboard!$B$5</f>
        <v>88146.36943532803</v>
      </c>
      <c r="J35" s="27">
        <f ca="1">OFFSET(Dashboard!$B$8,MATCH(City!B35,Dashboard!$A$8:$A$20,0)-1,0)</f>
        <v>83</v>
      </c>
      <c r="K35" s="93">
        <f ca="1">I35*J35*0.001*(1-Dashboard!$B$23)</f>
        <v>5121.3040641925581</v>
      </c>
      <c r="L35" s="233">
        <f ca="1">I35*J35*0.001*Dashboard!$B$23</f>
        <v>2194.8445989396678</v>
      </c>
      <c r="M35" s="230">
        <f ca="1">IF(G35&gt;=0,H35*J35*0.001*OFFSET(Dashboard!$B$26,MATCH(City!B35,Dashboard!$A$26:$A$38,0)-1,0),0)</f>
        <v>751.60874100000001</v>
      </c>
      <c r="N35" s="28">
        <f>Dashboard!$B$54</f>
        <v>10</v>
      </c>
      <c r="O35" s="274">
        <f>Dashboard!$C$64</f>
        <v>200</v>
      </c>
      <c r="P35" s="28">
        <f>Dashboard!$B$71</f>
        <v>5</v>
      </c>
      <c r="Q35" s="274">
        <f>Dashboard!$B$85</f>
        <v>0.5</v>
      </c>
      <c r="R35" s="230">
        <f ca="1">(K35+L35)*Dashboard!$B$43</f>
        <v>5852.9189305057807</v>
      </c>
      <c r="S35" s="13">
        <f t="shared" si="5"/>
        <v>1</v>
      </c>
      <c r="T35" s="231">
        <f>Dashboard!$B$45</f>
        <v>0.9</v>
      </c>
      <c r="U35" s="93">
        <f t="shared" ca="1" si="6"/>
        <v>14086.370035895026</v>
      </c>
      <c r="V35" s="276">
        <f>Dashboard!$B$55</f>
        <v>3</v>
      </c>
      <c r="W35" s="232">
        <f>Dashboard!$C$65</f>
        <v>100</v>
      </c>
      <c r="X35" s="232">
        <f>Dashboard!$B$72</f>
        <v>0.5</v>
      </c>
      <c r="Y35" s="232">
        <f>Dashboard!$B$86</f>
        <v>1.5</v>
      </c>
      <c r="Z35" s="27">
        <f>Dashboard!$B$41</f>
        <v>0</v>
      </c>
      <c r="AA35" s="13">
        <f t="shared" ca="1" si="0"/>
        <v>0</v>
      </c>
    </row>
    <row r="36" spans="1:28" x14ac:dyDescent="0.3">
      <c r="A36" s="17" t="s">
        <v>13</v>
      </c>
      <c r="B36" s="30" t="s">
        <v>41</v>
      </c>
      <c r="C36" s="3" t="s">
        <v>33</v>
      </c>
      <c r="D36" s="27">
        <v>34</v>
      </c>
      <c r="E36" s="27">
        <v>18.3</v>
      </c>
      <c r="F36" s="13">
        <v>42.733333000000002</v>
      </c>
      <c r="G36" s="13">
        <v>2004</v>
      </c>
      <c r="H36" s="27">
        <v>430828</v>
      </c>
      <c r="I36" s="93">
        <f ca="1">H36*Dashboard!$B$5</f>
        <v>666794.09427218069</v>
      </c>
      <c r="J36" s="27">
        <f ca="1">OFFSET(Dashboard!$B$8,MATCH(City!B36,Dashboard!$A$8:$A$20,0)-1,0)</f>
        <v>83</v>
      </c>
      <c r="K36" s="93">
        <f ca="1">I36*J36*0.001*(1-Dashboard!$B$23)</f>
        <v>38740.736877213698</v>
      </c>
      <c r="L36" s="233">
        <f ca="1">I36*J36*0.001*Dashboard!$B$23</f>
        <v>16603.172947377298</v>
      </c>
      <c r="M36" s="230">
        <f ca="1">IF(G36&gt;=0,H36*J36*0.001*OFFSET(Dashboard!$B$26,MATCH(City!B36,Dashboard!$A$26:$A$38,0)-1,0),0)</f>
        <v>5685.6371160000008</v>
      </c>
      <c r="N36" s="28">
        <f>Dashboard!$B$54</f>
        <v>10</v>
      </c>
      <c r="O36" s="274">
        <f>Dashboard!$C$64</f>
        <v>200</v>
      </c>
      <c r="P36" s="28">
        <f>Dashboard!$B$71</f>
        <v>5</v>
      </c>
      <c r="Q36" s="274">
        <f>Dashboard!$B$85</f>
        <v>0.5</v>
      </c>
      <c r="R36" s="230">
        <f ca="1">(K36+L36)*Dashboard!$B$43</f>
        <v>44275.127859672801</v>
      </c>
      <c r="S36" s="13">
        <f t="shared" si="5"/>
        <v>1</v>
      </c>
      <c r="T36" s="231">
        <f>Dashboard!$B$45</f>
        <v>0.9</v>
      </c>
      <c r="U36" s="93">
        <f t="shared" ca="1" si="6"/>
        <v>106558.08526020727</v>
      </c>
      <c r="V36" s="276">
        <f>Dashboard!$B$55</f>
        <v>3</v>
      </c>
      <c r="W36" s="232">
        <f>Dashboard!$C$65</f>
        <v>100</v>
      </c>
      <c r="X36" s="232">
        <f>Dashboard!$B$72</f>
        <v>0.5</v>
      </c>
      <c r="Y36" s="232">
        <f>Dashboard!$B$86</f>
        <v>1.5</v>
      </c>
      <c r="Z36" s="27">
        <f>Dashboard!$B$41</f>
        <v>0</v>
      </c>
      <c r="AA36" s="13">
        <f t="shared" ca="1" si="0"/>
        <v>0</v>
      </c>
    </row>
    <row r="37" spans="1:28" x14ac:dyDescent="0.3">
      <c r="A37" s="17" t="s">
        <v>4</v>
      </c>
      <c r="B37" s="30" t="s">
        <v>41</v>
      </c>
      <c r="C37" s="3" t="s">
        <v>33</v>
      </c>
      <c r="D37" s="27">
        <v>35</v>
      </c>
      <c r="E37" s="27">
        <v>18.220220999999999</v>
      </c>
      <c r="F37" s="13">
        <v>42.508159999999997</v>
      </c>
      <c r="G37" s="13">
        <v>2215</v>
      </c>
      <c r="H37" s="27">
        <v>236157</v>
      </c>
      <c r="I37" s="93">
        <f ca="1">H37*Dashboard!$B$5</f>
        <v>365501.06520707888</v>
      </c>
      <c r="J37" s="27">
        <f ca="1">OFFSET(Dashboard!$B$8,MATCH(City!B37,Dashboard!$A$8:$A$20,0)-1,0)</f>
        <v>83</v>
      </c>
      <c r="K37" s="93">
        <f ca="1">I37*J37*0.001*(1-Dashboard!$B$23)</f>
        <v>21235.611888531283</v>
      </c>
      <c r="L37" s="233">
        <f ca="1">I37*J37*0.001*Dashboard!$B$23</f>
        <v>9100.9765236562635</v>
      </c>
      <c r="M37" s="230">
        <f ca="1">IF(G37&gt;=0,H37*J37*0.001*OFFSET(Dashboard!$B$26,MATCH(City!B37,Dashboard!$A$26:$A$38,0)-1,0),0)</f>
        <v>3116.5639289999999</v>
      </c>
      <c r="N37" s="28">
        <f>Dashboard!$B$54</f>
        <v>10</v>
      </c>
      <c r="O37" s="274">
        <f>Dashboard!$C$64</f>
        <v>200</v>
      </c>
      <c r="P37" s="28">
        <f>Dashboard!$B$71</f>
        <v>5</v>
      </c>
      <c r="Q37" s="274">
        <f>Dashboard!$B$85</f>
        <v>0.5</v>
      </c>
      <c r="R37" s="230">
        <f ca="1">(K37+L37)*Dashboard!$B$43</f>
        <v>24269.270729750038</v>
      </c>
      <c r="S37" s="13">
        <f t="shared" si="5"/>
        <v>1</v>
      </c>
      <c r="T37" s="231">
        <f>Dashboard!$B$45</f>
        <v>0.9</v>
      </c>
      <c r="U37" s="93">
        <f t="shared" ca="1" si="6"/>
        <v>58409.476034043211</v>
      </c>
      <c r="V37" s="276">
        <f>Dashboard!$B$55</f>
        <v>3</v>
      </c>
      <c r="W37" s="232">
        <f>Dashboard!$C$65</f>
        <v>100</v>
      </c>
      <c r="X37" s="232">
        <f>Dashboard!$B$72</f>
        <v>0.5</v>
      </c>
      <c r="Y37" s="232">
        <f>Dashboard!$B$86</f>
        <v>1.5</v>
      </c>
      <c r="Z37" s="27">
        <f>Dashboard!$B$41</f>
        <v>0</v>
      </c>
      <c r="AA37" s="13">
        <f t="shared" ca="1" si="0"/>
        <v>0</v>
      </c>
    </row>
    <row r="38" spans="1:28" x14ac:dyDescent="0.3">
      <c r="A38" s="17" t="s">
        <v>54</v>
      </c>
      <c r="B38" s="30" t="s">
        <v>41</v>
      </c>
      <c r="C38" s="3" t="s">
        <v>33</v>
      </c>
      <c r="D38" s="27">
        <v>36</v>
      </c>
      <c r="E38" s="27">
        <v>18.212171000000001</v>
      </c>
      <c r="F38" s="13">
        <v>42.844290999999998</v>
      </c>
      <c r="G38" s="13">
        <v>2079</v>
      </c>
      <c r="H38" s="27">
        <v>57112</v>
      </c>
      <c r="I38" s="93">
        <f ca="1">H38*Dashboard!$B$5</f>
        <v>88392.454325328858</v>
      </c>
      <c r="J38" s="27">
        <f ca="1">OFFSET(Dashboard!$B$8,MATCH(City!B38,Dashboard!$A$8:$A$20,0)-1,0)</f>
        <v>83</v>
      </c>
      <c r="K38" s="93">
        <f ca="1">I38*J38*0.001*(1-Dashboard!$B$23)</f>
        <v>5135.6015963016071</v>
      </c>
      <c r="L38" s="233">
        <f ca="1">I38*J38*0.001*Dashboard!$B$23</f>
        <v>2200.9721127006887</v>
      </c>
      <c r="M38" s="230">
        <f ca="1">IF(G38&gt;=0,H38*J38*0.001*OFFSET(Dashboard!$B$26,MATCH(City!B38,Dashboard!$A$26:$A$38,0)-1,0),0)</f>
        <v>753.70706400000006</v>
      </c>
      <c r="N38" s="28">
        <f>Dashboard!$B$54</f>
        <v>10</v>
      </c>
      <c r="O38" s="274">
        <f>Dashboard!$C$64</f>
        <v>200</v>
      </c>
      <c r="P38" s="28">
        <f>Dashboard!$B$71</f>
        <v>5</v>
      </c>
      <c r="Q38" s="274">
        <f>Dashboard!$B$85</f>
        <v>0.5</v>
      </c>
      <c r="R38" s="230">
        <f ca="1">(K38+L38)*Dashboard!$B$43</f>
        <v>5869.2589672018366</v>
      </c>
      <c r="S38" s="13">
        <f t="shared" si="5"/>
        <v>1</v>
      </c>
      <c r="T38" s="231">
        <f>Dashboard!$B$45</f>
        <v>0.9</v>
      </c>
      <c r="U38" s="93">
        <f t="shared" ca="1" si="6"/>
        <v>14125.69602110577</v>
      </c>
      <c r="V38" s="276">
        <f>Dashboard!$B$55</f>
        <v>3</v>
      </c>
      <c r="W38" s="232">
        <f>Dashboard!$C$65</f>
        <v>100</v>
      </c>
      <c r="X38" s="232">
        <f>Dashboard!$B$72</f>
        <v>0.5</v>
      </c>
      <c r="Y38" s="232">
        <f>Dashboard!$B$86</f>
        <v>1.5</v>
      </c>
      <c r="Z38" s="27">
        <f>Dashboard!$B$41</f>
        <v>0</v>
      </c>
      <c r="AA38" s="13">
        <f t="shared" ca="1" si="0"/>
        <v>0</v>
      </c>
    </row>
    <row r="39" spans="1:28" s="117" customFormat="1" x14ac:dyDescent="0.3">
      <c r="A39" s="115" t="s">
        <v>121</v>
      </c>
      <c r="B39" s="235" t="s">
        <v>41</v>
      </c>
      <c r="C39" s="236" t="s">
        <v>33</v>
      </c>
      <c r="D39" s="116">
        <v>37</v>
      </c>
      <c r="E39" s="116">
        <v>17.665225</v>
      </c>
      <c r="F39" s="117">
        <v>43.517420999999999</v>
      </c>
      <c r="G39" s="117">
        <v>2156</v>
      </c>
      <c r="H39" s="116">
        <v>23758</v>
      </c>
      <c r="I39" s="127">
        <f ca="1">H39*Dashboard!$B$5</f>
        <v>36770.344758740073</v>
      </c>
      <c r="J39" s="116">
        <f ca="1">OFFSET(Dashboard!$B$8,MATCH(City!B39,Dashboard!$A$8:$A$20,0)-1,0)</f>
        <v>83</v>
      </c>
      <c r="K39" s="127">
        <f ca="1">I39*J39*0.001*(1-Dashboard!$B$23)</f>
        <v>2136.3570304827981</v>
      </c>
      <c r="L39" s="237">
        <f ca="1">I39*J39*0.001*Dashboard!$B$23</f>
        <v>915.58158449262771</v>
      </c>
      <c r="M39" s="238">
        <f ca="1">IF(G39&gt;=0,H39*J39*0.001*OFFSET(Dashboard!$B$26,MATCH(City!B39,Dashboard!$A$26:$A$38,0)-1,0),0)</f>
        <v>313.53432600000002</v>
      </c>
      <c r="N39" s="117">
        <f>Dashboard!$B$54</f>
        <v>10</v>
      </c>
      <c r="O39" s="285">
        <f>Dashboard!$C$64</f>
        <v>200</v>
      </c>
      <c r="P39" s="117">
        <f>Dashboard!$B$71</f>
        <v>5</v>
      </c>
      <c r="Q39" s="285">
        <f>Dashboard!$B$85</f>
        <v>0.5</v>
      </c>
      <c r="R39" s="238">
        <f ca="1">(K39+L39)*Dashboard!$B$43</f>
        <v>2441.550891980341</v>
      </c>
      <c r="S39" s="117">
        <f t="shared" si="5"/>
        <v>0</v>
      </c>
      <c r="T39" s="286">
        <f>Dashboard!$B$45</f>
        <v>0.9</v>
      </c>
      <c r="U39" s="127">
        <f t="shared" ca="1" si="6"/>
        <v>0</v>
      </c>
      <c r="V39" s="277">
        <f>Dashboard!$B$55</f>
        <v>3</v>
      </c>
      <c r="W39" s="239">
        <f>Dashboard!$C$65</f>
        <v>100</v>
      </c>
      <c r="X39" s="239">
        <f>Dashboard!$B$72</f>
        <v>0.5</v>
      </c>
      <c r="Y39" s="239">
        <f>Dashboard!$B$86</f>
        <v>1.5</v>
      </c>
      <c r="Z39" s="116">
        <f>Dashboard!$B$41</f>
        <v>0</v>
      </c>
      <c r="AA39" s="117">
        <f t="shared" ca="1" si="0"/>
        <v>0</v>
      </c>
      <c r="AB39" s="116"/>
    </row>
    <row r="40" spans="1:28" x14ac:dyDescent="0.3">
      <c r="A40" s="17" t="s">
        <v>198</v>
      </c>
      <c r="B40" s="30" t="s">
        <v>39</v>
      </c>
      <c r="C40" s="3" t="s">
        <v>89</v>
      </c>
      <c r="D40" s="27">
        <v>38</v>
      </c>
      <c r="E40" s="27">
        <v>17.374002999999998</v>
      </c>
      <c r="F40" s="13">
        <v>42.536250000000003</v>
      </c>
      <c r="G40" s="13">
        <v>78</v>
      </c>
      <c r="H40" s="27">
        <v>30835</v>
      </c>
      <c r="I40" s="93">
        <f ca="1">H40*Dashboard!$B$5</f>
        <v>47723.443919342964</v>
      </c>
      <c r="J40" s="27">
        <f ca="1">OFFSET(Dashboard!$B$8,MATCH(City!B40,Dashboard!$A$8:$A$20,0)-1,0)</f>
        <v>35</v>
      </c>
      <c r="K40" s="93">
        <f ca="1">I40*J40*0.001*(1-Dashboard!$B$23)</f>
        <v>1169.2243760239026</v>
      </c>
      <c r="L40" s="233">
        <f ca="1">I40*J40*0.001*Dashboard!$B$23</f>
        <v>501.09616115310109</v>
      </c>
      <c r="M40" s="230">
        <f ca="1">IF(G40&gt;=0,H40*J40*0.001*OFFSET(Dashboard!$B$26,MATCH(City!B40,Dashboard!$A$26:$A$38,0)-1,0),0)</f>
        <v>779.20044999999993</v>
      </c>
      <c r="N40" s="28">
        <f>Dashboard!$B$54</f>
        <v>10</v>
      </c>
      <c r="O40" s="274">
        <f>Dashboard!$C$64</f>
        <v>200</v>
      </c>
      <c r="P40" s="28">
        <f>Dashboard!$B$71</f>
        <v>5</v>
      </c>
      <c r="Q40" s="274">
        <f>Dashboard!$B$85</f>
        <v>0.5</v>
      </c>
      <c r="R40" s="230">
        <f ca="1">(K40+L40)*Dashboard!$B$43</f>
        <v>1336.2564297416029</v>
      </c>
      <c r="S40" s="13">
        <v>0</v>
      </c>
      <c r="T40" s="231">
        <f>Dashboard!$B$45</f>
        <v>0.9</v>
      </c>
      <c r="U40" s="93">
        <f ca="1">20500*R40/($R$41+$R$43+$R$44)*S40</f>
        <v>0</v>
      </c>
      <c r="V40" s="276">
        <f>Dashboard!$B$55</f>
        <v>3</v>
      </c>
      <c r="W40" s="232">
        <f>Dashboard!$C$65</f>
        <v>100</v>
      </c>
      <c r="X40" s="232">
        <f>Dashboard!$B$72</f>
        <v>0.5</v>
      </c>
      <c r="Y40" s="232">
        <f>Dashboard!$B$86</f>
        <v>1.5</v>
      </c>
      <c r="Z40" s="27">
        <f>Dashboard!$B$41</f>
        <v>0</v>
      </c>
      <c r="AA40" s="13">
        <f t="shared" ca="1" si="0"/>
        <v>0</v>
      </c>
    </row>
    <row r="41" spans="1:28" x14ac:dyDescent="0.3">
      <c r="A41" s="17" t="s">
        <v>200</v>
      </c>
      <c r="B41" s="30" t="s">
        <v>39</v>
      </c>
      <c r="C41" s="3" t="s">
        <v>89</v>
      </c>
      <c r="D41" s="27">
        <v>39</v>
      </c>
      <c r="E41" s="27">
        <v>17.148992</v>
      </c>
      <c r="F41" s="13">
        <v>42.625923</v>
      </c>
      <c r="G41" s="13">
        <v>36</v>
      </c>
      <c r="H41" s="27">
        <v>63143</v>
      </c>
      <c r="I41" s="93">
        <f ca="1">H41*Dashboard!$B$5</f>
        <v>97726.65540454266</v>
      </c>
      <c r="J41" s="27">
        <f ca="1">OFFSET(Dashboard!$B$8,MATCH(City!B41,Dashboard!$A$8:$A$20,0)-1,0)</f>
        <v>35</v>
      </c>
      <c r="K41" s="93">
        <f ca="1">I41*J41*0.001*(1-Dashboard!$B$23)</f>
        <v>2394.3030574112954</v>
      </c>
      <c r="L41" s="233">
        <f ca="1">I41*J41*0.001*Dashboard!$B$23</f>
        <v>1026.1298817476979</v>
      </c>
      <c r="M41" s="230">
        <f ca="1">IF(G41&gt;=0,H41*J41*0.001*OFFSET(Dashboard!$B$26,MATCH(City!B41,Dashboard!$A$26:$A$38,0)-1,0),0)</f>
        <v>1595.6236100000001</v>
      </c>
      <c r="N41" s="28">
        <f>Dashboard!$B$54</f>
        <v>10</v>
      </c>
      <c r="O41" s="274">
        <f>Dashboard!$C$64</f>
        <v>200</v>
      </c>
      <c r="P41" s="28">
        <f>Dashboard!$B$71</f>
        <v>5</v>
      </c>
      <c r="Q41" s="274">
        <f>Dashboard!$B$85</f>
        <v>0.5</v>
      </c>
      <c r="R41" s="230">
        <f ca="1">(K41+L41)*Dashboard!$B$43</f>
        <v>2736.346351327195</v>
      </c>
      <c r="S41" s="13">
        <v>1</v>
      </c>
      <c r="T41" s="231">
        <f>Dashboard!$B$45</f>
        <v>0.9</v>
      </c>
      <c r="U41" s="93">
        <f t="shared" ref="U41:U46" ca="1" si="7">20500*R41/($R$41+$R$43+$R$44)*S41</f>
        <v>5137.9989917954381</v>
      </c>
      <c r="V41" s="276">
        <f>Dashboard!$B$55</f>
        <v>3</v>
      </c>
      <c r="W41" s="232">
        <f>Dashboard!$C$65</f>
        <v>100</v>
      </c>
      <c r="X41" s="232">
        <f>Dashboard!$B$72</f>
        <v>0.5</v>
      </c>
      <c r="Y41" s="232">
        <f>Dashboard!$B$86</f>
        <v>1.5</v>
      </c>
      <c r="Z41" s="27">
        <f>Dashboard!$B$41</f>
        <v>0</v>
      </c>
      <c r="AA41" s="13">
        <f t="shared" ca="1" si="0"/>
        <v>0</v>
      </c>
    </row>
    <row r="42" spans="1:28" x14ac:dyDescent="0.3">
      <c r="A42" s="17" t="s">
        <v>199</v>
      </c>
      <c r="B42" s="30" t="s">
        <v>39</v>
      </c>
      <c r="C42" s="3" t="s">
        <v>89</v>
      </c>
      <c r="D42" s="27">
        <v>40</v>
      </c>
      <c r="E42" s="27">
        <v>17.106380000000001</v>
      </c>
      <c r="F42" s="13">
        <v>42.777481000000002</v>
      </c>
      <c r="G42" s="13">
        <v>80</v>
      </c>
      <c r="H42" s="27">
        <v>24056</v>
      </c>
      <c r="I42" s="93">
        <f ca="1">H42*Dashboard!$B$5</f>
        <v>37231.560464527793</v>
      </c>
      <c r="J42" s="27">
        <f ca="1">OFFSET(Dashboard!$B$8,MATCH(City!B42,Dashboard!$A$8:$A$20,0)-1,0)</f>
        <v>35</v>
      </c>
      <c r="K42" s="93">
        <f ca="1">I42*J42*0.001*(1-Dashboard!$B$23)</f>
        <v>912.17323138093093</v>
      </c>
      <c r="L42" s="233">
        <f ca="1">I42*J42*0.001*Dashboard!$B$23</f>
        <v>390.9313848775418</v>
      </c>
      <c r="M42" s="230">
        <f ca="1">IF(G42&gt;=0,H42*J42*0.001*OFFSET(Dashboard!$B$26,MATCH(City!B42,Dashboard!$A$26:$A$38,0)-1,0),0)</f>
        <v>607.89512000000002</v>
      </c>
      <c r="N42" s="28">
        <f>Dashboard!$B$54</f>
        <v>10</v>
      </c>
      <c r="O42" s="274">
        <f>Dashboard!$C$64</f>
        <v>200</v>
      </c>
      <c r="P42" s="28">
        <f>Dashboard!$B$71</f>
        <v>5</v>
      </c>
      <c r="Q42" s="274">
        <f>Dashboard!$B$85</f>
        <v>0.5</v>
      </c>
      <c r="R42" s="230">
        <f ca="1">(K42+L42)*Dashboard!$B$43</f>
        <v>1042.4836930067784</v>
      </c>
      <c r="S42" s="13">
        <v>0</v>
      </c>
      <c r="T42" s="231">
        <f>Dashboard!$B$45</f>
        <v>0.9</v>
      </c>
      <c r="U42" s="93">
        <f t="shared" ca="1" si="7"/>
        <v>0</v>
      </c>
      <c r="V42" s="276">
        <f>Dashboard!$B$55</f>
        <v>3</v>
      </c>
      <c r="W42" s="232">
        <f>Dashboard!$C$65</f>
        <v>100</v>
      </c>
      <c r="X42" s="232">
        <f>Dashboard!$B$72</f>
        <v>0.5</v>
      </c>
      <c r="Y42" s="232">
        <f>Dashboard!$B$86</f>
        <v>1.5</v>
      </c>
      <c r="Z42" s="27">
        <f>Dashboard!$B$41</f>
        <v>0</v>
      </c>
      <c r="AA42" s="13">
        <f t="shared" ca="1" si="0"/>
        <v>0</v>
      </c>
    </row>
    <row r="43" spans="1:28" x14ac:dyDescent="0.3">
      <c r="A43" s="17" t="s">
        <v>196</v>
      </c>
      <c r="B43" s="30" t="s">
        <v>39</v>
      </c>
      <c r="C43" s="3" t="s">
        <v>89</v>
      </c>
      <c r="D43" s="27">
        <v>41</v>
      </c>
      <c r="E43" s="27">
        <v>16.968889000000001</v>
      </c>
      <c r="F43" s="13">
        <v>42.832500000000003</v>
      </c>
      <c r="G43" s="13">
        <v>67</v>
      </c>
      <c r="H43" s="27">
        <v>61047</v>
      </c>
      <c r="I43" s="93">
        <f ca="1">H43*Dashboard!$B$5</f>
        <v>94482.668426921678</v>
      </c>
      <c r="J43" s="27">
        <f ca="1">OFFSET(Dashboard!$B$8,MATCH(City!B43,Dashboard!$A$8:$A$20,0)-1,0)</f>
        <v>35</v>
      </c>
      <c r="K43" s="93">
        <f ca="1">I43*J43*0.001*(1-Dashboard!$B$23)</f>
        <v>2314.8253764595811</v>
      </c>
      <c r="L43" s="233">
        <f ca="1">I43*J43*0.001*Dashboard!$B$23</f>
        <v>992.06801848267764</v>
      </c>
      <c r="M43" s="230">
        <f ca="1">IF(G43&gt;=0,H43*J43*0.001*OFFSET(Dashboard!$B$26,MATCH(City!B43,Dashboard!$A$26:$A$38,0)-1,0),0)</f>
        <v>1542.65769</v>
      </c>
      <c r="N43" s="28">
        <f>Dashboard!$B$54</f>
        <v>10</v>
      </c>
      <c r="O43" s="274">
        <f>Dashboard!$C$64</f>
        <v>200</v>
      </c>
      <c r="P43" s="28">
        <f>Dashboard!$B$71</f>
        <v>5</v>
      </c>
      <c r="Q43" s="274">
        <f>Dashboard!$B$85</f>
        <v>0.5</v>
      </c>
      <c r="R43" s="230">
        <f ca="1">(K43+L43)*Dashboard!$B$43</f>
        <v>2645.5147159538074</v>
      </c>
      <c r="S43" s="13">
        <v>1</v>
      </c>
      <c r="T43" s="231">
        <f>Dashboard!$B$45</f>
        <v>0.9</v>
      </c>
      <c r="U43" s="93">
        <f t="shared" ca="1" si="7"/>
        <v>4967.4457097720424</v>
      </c>
      <c r="V43" s="276">
        <f>Dashboard!$B$55</f>
        <v>3</v>
      </c>
      <c r="W43" s="232">
        <f>Dashboard!$C$65</f>
        <v>100</v>
      </c>
      <c r="X43" s="232">
        <f>Dashboard!$B$72</f>
        <v>0.5</v>
      </c>
      <c r="Y43" s="232">
        <f>Dashboard!$B$86</f>
        <v>1.5</v>
      </c>
      <c r="Z43" s="27">
        <f>Dashboard!$B$41</f>
        <v>0</v>
      </c>
      <c r="AA43" s="13">
        <f t="shared" ca="1" si="0"/>
        <v>0</v>
      </c>
    </row>
    <row r="44" spans="1:28" x14ac:dyDescent="0.3">
      <c r="A44" s="17" t="s">
        <v>39</v>
      </c>
      <c r="B44" s="30" t="s">
        <v>39</v>
      </c>
      <c r="C44" s="3" t="s">
        <v>89</v>
      </c>
      <c r="D44" s="27">
        <v>42</v>
      </c>
      <c r="E44" s="27">
        <v>16.891919999999999</v>
      </c>
      <c r="F44" s="13">
        <v>42.549751000000001</v>
      </c>
      <c r="G44" s="13">
        <v>6</v>
      </c>
      <c r="H44" s="27">
        <v>127743</v>
      </c>
      <c r="I44" s="93">
        <f ca="1">H44*Dashboard!$B$5</f>
        <v>197708.31511557091</v>
      </c>
      <c r="J44" s="27">
        <f ca="1">OFFSET(Dashboard!$B$8,MATCH(City!B44,Dashboard!$A$8:$A$20,0)-1,0)</f>
        <v>35</v>
      </c>
      <c r="K44" s="93">
        <f ca="1">I44*J44*0.001*(1-Dashboard!$B$23)</f>
        <v>4843.8537203314872</v>
      </c>
      <c r="L44" s="233">
        <f ca="1">I44*J44*0.001*Dashboard!$B$23</f>
        <v>2075.9373087134945</v>
      </c>
      <c r="M44" s="230">
        <f ca="1">IF(G44&gt;=0,H44*J44*0.001*OFFSET(Dashboard!$B$26,MATCH(City!B44,Dashboard!$A$26:$A$38,0)-1,0),0)</f>
        <v>3228.0656100000001</v>
      </c>
      <c r="N44" s="28">
        <f>Dashboard!$B$54</f>
        <v>10</v>
      </c>
      <c r="O44" s="274">
        <f>Dashboard!$C$64</f>
        <v>200</v>
      </c>
      <c r="P44" s="28">
        <f>Dashboard!$B$71</f>
        <v>5</v>
      </c>
      <c r="Q44" s="274">
        <f>Dashboard!$B$85</f>
        <v>0.5</v>
      </c>
      <c r="R44" s="230">
        <f ca="1">(K44+L44)*Dashboard!$B$43</f>
        <v>5535.8328232359854</v>
      </c>
      <c r="S44" s="13">
        <v>1</v>
      </c>
      <c r="T44" s="231">
        <f>Dashboard!$B$45</f>
        <v>0.9</v>
      </c>
      <c r="U44" s="93">
        <f t="shared" ca="1" si="7"/>
        <v>10394.555298432519</v>
      </c>
      <c r="V44" s="276">
        <f>Dashboard!$B$55</f>
        <v>3</v>
      </c>
      <c r="W44" s="232">
        <f>Dashboard!$C$65</f>
        <v>100</v>
      </c>
      <c r="X44" s="232">
        <f>Dashboard!$B$72</f>
        <v>0.5</v>
      </c>
      <c r="Y44" s="232">
        <f>Dashboard!$B$86</f>
        <v>1.5</v>
      </c>
      <c r="Z44" s="27">
        <f>Dashboard!$B$41</f>
        <v>0</v>
      </c>
      <c r="AA44" s="13">
        <f t="shared" ca="1" si="0"/>
        <v>0</v>
      </c>
    </row>
    <row r="45" spans="1:28" x14ac:dyDescent="0.3">
      <c r="A45" s="17" t="s">
        <v>197</v>
      </c>
      <c r="B45" s="30" t="s">
        <v>39</v>
      </c>
      <c r="C45" s="3" t="s">
        <v>89</v>
      </c>
      <c r="D45" s="27">
        <v>43</v>
      </c>
      <c r="E45" s="27">
        <v>16.709721999999999</v>
      </c>
      <c r="F45" s="13">
        <v>42.954999999999998</v>
      </c>
      <c r="G45" s="13">
        <v>80</v>
      </c>
      <c r="H45" s="27">
        <v>25007</v>
      </c>
      <c r="I45" s="93">
        <f ca="1">H45*Dashboard!$B$5</f>
        <v>38703.426693400666</v>
      </c>
      <c r="J45" s="27">
        <f ca="1">OFFSET(Dashboard!$B$8,MATCH(City!B45,Dashboard!$A$8:$A$20,0)-1,0)</f>
        <v>35</v>
      </c>
      <c r="K45" s="93">
        <f ca="1">I45*J45*0.001*(1-Dashboard!$B$23)</f>
        <v>948.23395398831633</v>
      </c>
      <c r="L45" s="233">
        <f ca="1">I45*J45*0.001*Dashboard!$B$23</f>
        <v>406.38598028070697</v>
      </c>
      <c r="M45" s="230">
        <f ca="1">IF(G45&gt;=0,H45*J45*0.001*OFFSET(Dashboard!$B$26,MATCH(City!B45,Dashboard!$A$26:$A$38,0)-1,0),0)</f>
        <v>631.92688999999996</v>
      </c>
      <c r="N45" s="28">
        <f>Dashboard!$B$54</f>
        <v>10</v>
      </c>
      <c r="O45" s="274">
        <f>Dashboard!$C$64</f>
        <v>200</v>
      </c>
      <c r="P45" s="28">
        <f>Dashboard!$B$71</f>
        <v>5</v>
      </c>
      <c r="Q45" s="274">
        <f>Dashboard!$B$85</f>
        <v>0.5</v>
      </c>
      <c r="R45" s="230">
        <f ca="1">(K45+L45)*Dashboard!$B$43</f>
        <v>1083.6959474152188</v>
      </c>
      <c r="S45" s="13">
        <v>0</v>
      </c>
      <c r="T45" s="231">
        <f>Dashboard!$B$45</f>
        <v>0.9</v>
      </c>
      <c r="U45" s="93">
        <f t="shared" ca="1" si="7"/>
        <v>0</v>
      </c>
      <c r="V45" s="276">
        <f>Dashboard!$B$55</f>
        <v>3</v>
      </c>
      <c r="W45" s="232">
        <f>Dashboard!$C$65</f>
        <v>100</v>
      </c>
      <c r="X45" s="232">
        <f>Dashboard!$B$72</f>
        <v>0.5</v>
      </c>
      <c r="Y45" s="232">
        <f>Dashboard!$B$86</f>
        <v>1.5</v>
      </c>
      <c r="Z45" s="27">
        <f>Dashboard!$B$41</f>
        <v>0</v>
      </c>
      <c r="AA45" s="13">
        <f t="shared" ca="1" si="0"/>
        <v>0</v>
      </c>
    </row>
    <row r="46" spans="1:28" s="117" customFormat="1" x14ac:dyDescent="0.3">
      <c r="A46" s="115" t="s">
        <v>96</v>
      </c>
      <c r="B46" s="235" t="s">
        <v>39</v>
      </c>
      <c r="C46" s="236" t="s">
        <v>89</v>
      </c>
      <c r="D46" s="116">
        <v>44</v>
      </c>
      <c r="E46" s="116">
        <v>16.597221999999999</v>
      </c>
      <c r="F46" s="117">
        <v>42.943888999999999</v>
      </c>
      <c r="G46" s="117">
        <v>62</v>
      </c>
      <c r="H46" s="116">
        <v>32458</v>
      </c>
      <c r="I46" s="127">
        <f ca="1">H46*Dashboard!$B$5</f>
        <v>50235.367041804246</v>
      </c>
      <c r="J46" s="116">
        <f ca="1">OFFSET(Dashboard!$B$8,MATCH(City!B46,Dashboard!$A$8:$A$20,0)-1,0)</f>
        <v>35</v>
      </c>
      <c r="K46" s="127">
        <f ca="1">I46*J46*0.001*(1-Dashboard!$B$23)</f>
        <v>1230.7664925242038</v>
      </c>
      <c r="L46" s="237">
        <f ca="1">I46*J46*0.001*Dashboard!$B$23</f>
        <v>527.4713539389445</v>
      </c>
      <c r="M46" s="238">
        <f ca="1">IF(G46&gt;=0,H46*J46*0.001*OFFSET(Dashboard!$B$26,MATCH(City!B46,Dashboard!$A$26:$A$38,0)-1,0),0)</f>
        <v>820.21366</v>
      </c>
      <c r="N46" s="117">
        <f>Dashboard!$B$54</f>
        <v>10</v>
      </c>
      <c r="O46" s="285">
        <f>Dashboard!$C$64</f>
        <v>200</v>
      </c>
      <c r="P46" s="117">
        <f>Dashboard!$B$71</f>
        <v>5</v>
      </c>
      <c r="Q46" s="285">
        <f>Dashboard!$B$85</f>
        <v>0.5</v>
      </c>
      <c r="R46" s="238">
        <f ca="1">(K46+L46)*Dashboard!$B$43</f>
        <v>1406.5902771705187</v>
      </c>
      <c r="S46" s="117">
        <v>0</v>
      </c>
      <c r="T46" s="286">
        <f>Dashboard!$B$45</f>
        <v>0.9</v>
      </c>
      <c r="U46" s="127">
        <f t="shared" ca="1" si="7"/>
        <v>0</v>
      </c>
      <c r="V46" s="277">
        <f>Dashboard!$B$55</f>
        <v>3</v>
      </c>
      <c r="W46" s="239">
        <f>Dashboard!$C$65</f>
        <v>100</v>
      </c>
      <c r="X46" s="239">
        <f>Dashboard!$B$72</f>
        <v>0.5</v>
      </c>
      <c r="Y46" s="239">
        <f>Dashboard!$B$86</f>
        <v>1.5</v>
      </c>
      <c r="Z46" s="116">
        <f>Dashboard!$B$41</f>
        <v>0</v>
      </c>
      <c r="AA46" s="117">
        <f t="shared" ca="1" si="0"/>
        <v>0</v>
      </c>
      <c r="AB46" s="116"/>
    </row>
    <row r="47" spans="1:28" x14ac:dyDescent="0.3">
      <c r="A47" s="17" t="s">
        <v>81</v>
      </c>
      <c r="B47" s="30" t="s">
        <v>81</v>
      </c>
      <c r="C47" s="3" t="s">
        <v>109</v>
      </c>
      <c r="D47" s="27">
        <v>45</v>
      </c>
      <c r="E47" s="27">
        <v>17.49173</v>
      </c>
      <c r="F47" s="13">
        <v>44.132289999999998</v>
      </c>
      <c r="G47" s="13">
        <v>1313</v>
      </c>
      <c r="H47" s="27">
        <v>298288</v>
      </c>
      <c r="I47" s="93">
        <f ca="1">H47*Dashboard!$B$5</f>
        <v>461661.44445639616</v>
      </c>
      <c r="J47" s="27">
        <f ca="1">OFFSET(Dashboard!$B$8,MATCH(City!B47,Dashboard!$A$8:$A$20,0)-1,0)</f>
        <v>54</v>
      </c>
      <c r="K47" s="93">
        <f ca="1">I47*J47*0.001*(1-Dashboard!$B$23)</f>
        <v>17450.802600451774</v>
      </c>
      <c r="L47" s="233">
        <f ca="1">I47*J47*0.001*Dashboard!$B$23</f>
        <v>7478.9154001936176</v>
      </c>
      <c r="M47" s="230">
        <f ca="1">IF(G47&gt;=0,H47*J47*0.001*OFFSET(Dashboard!$B$26,MATCH(City!B47,Dashboard!$A$26:$A$38,0)-1,0),0)</f>
        <v>16107.552</v>
      </c>
      <c r="N47" s="28">
        <f>Dashboard!$B$54</f>
        <v>10</v>
      </c>
      <c r="O47" s="274">
        <f>Dashboard!$C$64</f>
        <v>200</v>
      </c>
      <c r="P47" s="28">
        <f>Dashboard!$B$71</f>
        <v>5</v>
      </c>
      <c r="Q47" s="274">
        <f>Dashboard!$B$85</f>
        <v>0.5</v>
      </c>
      <c r="R47" s="230">
        <f ca="1">(K47+L47)*Dashboard!$B$43</f>
        <v>19943.774400516315</v>
      </c>
      <c r="S47" s="13">
        <v>0</v>
      </c>
      <c r="T47" s="231">
        <f>Dashboard!$B$45</f>
        <v>0.9</v>
      </c>
      <c r="U47" s="93">
        <v>0</v>
      </c>
      <c r="V47" s="276">
        <f>Dashboard!$B$55</f>
        <v>3</v>
      </c>
      <c r="W47" s="232">
        <f>Dashboard!$C$65</f>
        <v>100</v>
      </c>
      <c r="X47" s="232">
        <f>Dashboard!$B$72</f>
        <v>0.5</v>
      </c>
      <c r="Y47" s="232">
        <f>Dashboard!$B$86</f>
        <v>1.5</v>
      </c>
      <c r="Z47" s="27">
        <f>Dashboard!$B$41</f>
        <v>0</v>
      </c>
      <c r="AA47" s="13">
        <f t="shared" ca="1" si="0"/>
        <v>0</v>
      </c>
    </row>
    <row r="48" spans="1:28" s="117" customFormat="1" x14ac:dyDescent="0.3">
      <c r="A48" s="115" t="s">
        <v>108</v>
      </c>
      <c r="B48" s="235" t="s">
        <v>81</v>
      </c>
      <c r="C48" s="236" t="s">
        <v>109</v>
      </c>
      <c r="D48" s="116">
        <v>46</v>
      </c>
      <c r="E48" s="116">
        <v>17.483332999999998</v>
      </c>
      <c r="F48" s="117">
        <v>47.116667</v>
      </c>
      <c r="G48" s="117">
        <v>727</v>
      </c>
      <c r="H48" s="116">
        <v>75237</v>
      </c>
      <c r="I48" s="127">
        <f ca="1">H48*Dashboard!$B$5</f>
        <v>116444.58408171256</v>
      </c>
      <c r="J48" s="116">
        <f ca="1">OFFSET(Dashboard!$B$8,MATCH(City!B48,Dashboard!$A$8:$A$20,0)-1,0)</f>
        <v>54</v>
      </c>
      <c r="K48" s="127">
        <f ca="1">I48*J48*0.001*(1-Dashboard!$B$23)</f>
        <v>4401.6052782887346</v>
      </c>
      <c r="L48" s="237">
        <f ca="1">I48*J48*0.001*Dashboard!$B$23</f>
        <v>1886.4022621237434</v>
      </c>
      <c r="M48" s="238">
        <f ca="1">IF(G48&gt;=0,H48*J48*0.001*OFFSET(Dashboard!$B$26,MATCH(City!B48,Dashboard!$A$26:$A$38,0)-1,0),0)</f>
        <v>4062.7980000000002</v>
      </c>
      <c r="N48" s="117">
        <f>Dashboard!$B$54</f>
        <v>10</v>
      </c>
      <c r="O48" s="285">
        <f>Dashboard!$C$64</f>
        <v>200</v>
      </c>
      <c r="P48" s="117">
        <f>Dashboard!$B$71</f>
        <v>5</v>
      </c>
      <c r="Q48" s="285">
        <f>Dashboard!$B$85</f>
        <v>0.5</v>
      </c>
      <c r="R48" s="238">
        <f ca="1">(K48+L48)*Dashboard!$B$43</f>
        <v>5030.4060323299827</v>
      </c>
      <c r="S48" s="117">
        <v>0</v>
      </c>
      <c r="T48" s="286">
        <f>Dashboard!$B$45</f>
        <v>0.9</v>
      </c>
      <c r="U48" s="127">
        <v>0</v>
      </c>
      <c r="V48" s="277">
        <f>Dashboard!$B$55</f>
        <v>3</v>
      </c>
      <c r="W48" s="239">
        <f>Dashboard!$C$65</f>
        <v>100</v>
      </c>
      <c r="X48" s="239">
        <f>Dashboard!$B$72</f>
        <v>0.5</v>
      </c>
      <c r="Y48" s="239">
        <f>Dashboard!$B$86</f>
        <v>1.5</v>
      </c>
      <c r="Z48" s="116">
        <f>Dashboard!$B$41</f>
        <v>0</v>
      </c>
      <c r="AA48" s="117">
        <f t="shared" ca="1" si="0"/>
        <v>0</v>
      </c>
      <c r="AB48" s="116"/>
    </row>
    <row r="49" spans="1:27" x14ac:dyDescent="0.3">
      <c r="A49" s="17" t="s">
        <v>9</v>
      </c>
      <c r="B49" s="30" t="s">
        <v>42</v>
      </c>
      <c r="C49" s="3" t="s">
        <v>30</v>
      </c>
      <c r="D49" s="27">
        <v>47</v>
      </c>
      <c r="E49" s="27">
        <v>28.434151</v>
      </c>
      <c r="F49" s="13">
        <v>45.975299999999997</v>
      </c>
      <c r="G49" s="13">
        <v>315</v>
      </c>
      <c r="H49" s="27">
        <v>271642</v>
      </c>
      <c r="I49" s="93">
        <f ca="1">H49*Dashboard!$B$5</f>
        <v>420421.33138116304</v>
      </c>
      <c r="J49" s="27">
        <f ca="1">OFFSET(Dashboard!$B$8,MATCH(City!B49,Dashboard!$A$8:$A$20,0)-1,0)</f>
        <v>344</v>
      </c>
      <c r="K49" s="93">
        <f ca="1">I49*J49*0.001*(1-Dashboard!$B$23)</f>
        <v>101237.45659658404</v>
      </c>
      <c r="L49" s="233">
        <f ca="1">I49*J49*0.001*Dashboard!$B$23</f>
        <v>43387.481398536016</v>
      </c>
      <c r="M49" s="230">
        <f ca="1">IF(G49&gt;=0,H49*J49*0.001*OFFSET(Dashboard!$B$26,MATCH(City!B49,Dashboard!$A$26:$A$38,0)-1,0),0)</f>
        <v>59524.368175999996</v>
      </c>
      <c r="N49" s="28">
        <f>Dashboard!$B$54</f>
        <v>10</v>
      </c>
      <c r="O49" s="274">
        <f>Dashboard!$C$64</f>
        <v>200</v>
      </c>
      <c r="P49" s="28">
        <f>Dashboard!$B$71</f>
        <v>5</v>
      </c>
      <c r="Q49" s="274">
        <f>Dashboard!$B$85</f>
        <v>0.5</v>
      </c>
      <c r="R49" s="230">
        <f ca="1">(K49+L49)*Dashboard!$B$43</f>
        <v>115699.95039609606</v>
      </c>
      <c r="S49" s="13">
        <f t="shared" si="5"/>
        <v>1</v>
      </c>
      <c r="T49" s="231">
        <f>Dashboard!$B$45</f>
        <v>0.9</v>
      </c>
      <c r="U49" s="93">
        <f ca="1">1138455*R49/($R$49+$R$50+$R$53+$R$54+$R$55+$R$56+$R$57+$R$59+$R$60+$R$61+$R$62+$R$65)*S49</f>
        <v>95157.917362588909</v>
      </c>
      <c r="V49" s="276">
        <f>Dashboard!$B$55</f>
        <v>3</v>
      </c>
      <c r="W49" s="232">
        <f>Dashboard!$C$65</f>
        <v>100</v>
      </c>
      <c r="X49" s="232">
        <f>Dashboard!$B$72</f>
        <v>0.5</v>
      </c>
      <c r="Y49" s="232">
        <f>Dashboard!$B$86</f>
        <v>1.5</v>
      </c>
      <c r="Z49" s="27">
        <f>Dashboard!$B$41</f>
        <v>0</v>
      </c>
      <c r="AA49" s="13">
        <f t="shared" ca="1" si="0"/>
        <v>0</v>
      </c>
    </row>
    <row r="50" spans="1:27" x14ac:dyDescent="0.3">
      <c r="A50" s="17" t="s">
        <v>12</v>
      </c>
      <c r="B50" s="30" t="s">
        <v>42</v>
      </c>
      <c r="C50" s="3" t="s">
        <v>30</v>
      </c>
      <c r="D50" s="27">
        <v>48</v>
      </c>
      <c r="E50" s="27">
        <v>28.416667</v>
      </c>
      <c r="F50" s="13">
        <v>48.5</v>
      </c>
      <c r="G50" s="13">
        <v>1</v>
      </c>
      <c r="H50" s="27">
        <v>67012</v>
      </c>
      <c r="I50" s="93">
        <f ca="1">H50*Dashboard!$B$5</f>
        <v>103714.72106122947</v>
      </c>
      <c r="J50" s="27">
        <f ca="1">OFFSET(Dashboard!$B$8,MATCH(City!B50,Dashboard!$A$8:$A$20,0)-1,0)</f>
        <v>344</v>
      </c>
      <c r="K50" s="93">
        <f ca="1">I50*J50*0.001*(1-Dashboard!$B$23)</f>
        <v>24974.504831544054</v>
      </c>
      <c r="L50" s="233">
        <f ca="1">I50*J50*0.001*Dashboard!$B$23</f>
        <v>10703.359213518881</v>
      </c>
      <c r="M50" s="230">
        <f ca="1">IF(G50&gt;=0,H50*J50*0.001*OFFSET(Dashboard!$B$26,MATCH(City!B50,Dashboard!$A$26:$A$38,0)-1,0),0)</f>
        <v>14684.205536000001</v>
      </c>
      <c r="N50" s="28">
        <f>Dashboard!$B$54</f>
        <v>10</v>
      </c>
      <c r="O50" s="274">
        <f>Dashboard!$C$64</f>
        <v>200</v>
      </c>
      <c r="P50" s="28">
        <f>Dashboard!$B$71</f>
        <v>5</v>
      </c>
      <c r="Q50" s="274">
        <f>Dashboard!$B$85</f>
        <v>0.5</v>
      </c>
      <c r="R50" s="230">
        <f ca="1">(K50+L50)*Dashboard!$B$43</f>
        <v>28542.291236050347</v>
      </c>
      <c r="S50" s="13">
        <f t="shared" si="5"/>
        <v>1</v>
      </c>
      <c r="T50" s="231">
        <f>Dashboard!$B$45</f>
        <v>0.9</v>
      </c>
      <c r="U50" s="93">
        <f t="shared" ref="U50:U66" ca="1" si="8">1138455*R50/($R$49+$R$50+$R$53+$R$54+$R$55+$R$56+$R$57+$R$59+$R$60+$R$61+$R$62+$R$65)*S50</f>
        <v>23474.729085715055</v>
      </c>
      <c r="V50" s="276">
        <f>Dashboard!$B$55</f>
        <v>3</v>
      </c>
      <c r="W50" s="232">
        <f>Dashboard!$C$65</f>
        <v>100</v>
      </c>
      <c r="X50" s="232">
        <f>Dashboard!$B$72</f>
        <v>0.5</v>
      </c>
      <c r="Y50" s="232">
        <f>Dashboard!$B$86</f>
        <v>1.5</v>
      </c>
      <c r="Z50" s="27">
        <f>Dashboard!$B$41</f>
        <v>0</v>
      </c>
      <c r="AA50" s="13">
        <f t="shared" ca="1" si="0"/>
        <v>0</v>
      </c>
    </row>
    <row r="51" spans="1:27" x14ac:dyDescent="0.3">
      <c r="A51" s="17" t="s">
        <v>110</v>
      </c>
      <c r="B51" s="30" t="s">
        <v>42</v>
      </c>
      <c r="C51" s="3" t="s">
        <v>30</v>
      </c>
      <c r="D51" s="27">
        <v>49</v>
      </c>
      <c r="E51" s="27">
        <v>28.309722000000001</v>
      </c>
      <c r="F51" s="13">
        <v>46.127499999999998</v>
      </c>
      <c r="G51" s="13">
        <v>363</v>
      </c>
      <c r="H51" s="27">
        <v>22538</v>
      </c>
      <c r="I51" s="93">
        <f ca="1">H51*Dashboard!$B$5</f>
        <v>34882.146231689694</v>
      </c>
      <c r="J51" s="27">
        <f ca="1">OFFSET(Dashboard!$B$8,MATCH(City!B51,Dashboard!$A$8:$A$20,0)-1,0)</f>
        <v>344</v>
      </c>
      <c r="K51" s="93">
        <f ca="1">I51*J51*0.001*(1-Dashboard!$B$23)</f>
        <v>8399.6208125908797</v>
      </c>
      <c r="L51" s="233">
        <f ca="1">I51*J51*0.001*Dashboard!$B$23</f>
        <v>3599.837491110377</v>
      </c>
      <c r="M51" s="230">
        <f ca="1">IF(G51&gt;=0,H51*J51*0.001*OFFSET(Dashboard!$B$26,MATCH(City!B51,Dashboard!$A$26:$A$38,0)-1,0),0)</f>
        <v>4938.7068639999998</v>
      </c>
      <c r="N51" s="28">
        <f>Dashboard!$B$54</f>
        <v>10</v>
      </c>
      <c r="O51" s="274">
        <f>Dashboard!$C$64</f>
        <v>200</v>
      </c>
      <c r="P51" s="28">
        <f>Dashboard!$B$71</f>
        <v>5</v>
      </c>
      <c r="Q51" s="274">
        <f>Dashboard!$B$85</f>
        <v>0.5</v>
      </c>
      <c r="R51" s="230">
        <f ca="1">(K51+L51)*Dashboard!$B$43</f>
        <v>9599.5666429610046</v>
      </c>
      <c r="S51" s="13">
        <f t="shared" si="5"/>
        <v>0</v>
      </c>
      <c r="T51" s="231">
        <f>Dashboard!$B$45</f>
        <v>0.9</v>
      </c>
      <c r="U51" s="93">
        <f t="shared" ca="1" si="8"/>
        <v>0</v>
      </c>
      <c r="V51" s="276">
        <f>Dashboard!$B$55</f>
        <v>3</v>
      </c>
      <c r="W51" s="232">
        <f>Dashboard!$C$65</f>
        <v>100</v>
      </c>
      <c r="X51" s="232">
        <f>Dashboard!$B$72</f>
        <v>0.5</v>
      </c>
      <c r="Y51" s="232">
        <f>Dashboard!$B$86</f>
        <v>1.5</v>
      </c>
      <c r="Z51" s="27">
        <f>Dashboard!$B$41</f>
        <v>0</v>
      </c>
      <c r="AA51" s="13">
        <f t="shared" ca="1" si="0"/>
        <v>0</v>
      </c>
    </row>
    <row r="52" spans="1:27" x14ac:dyDescent="0.3">
      <c r="A52" s="17" t="s">
        <v>57</v>
      </c>
      <c r="B52" s="30" t="s">
        <v>42</v>
      </c>
      <c r="C52" s="3" t="s">
        <v>30</v>
      </c>
      <c r="D52" s="27">
        <v>50</v>
      </c>
      <c r="E52" s="27">
        <v>27.472339999999999</v>
      </c>
      <c r="F52" s="13">
        <v>48.481171000000003</v>
      </c>
      <c r="G52" s="13">
        <v>51</v>
      </c>
      <c r="H52" s="27">
        <v>26470</v>
      </c>
      <c r="I52" s="93">
        <f ca="1">H52*Dashboard!$B$5</f>
        <v>40967.717222150422</v>
      </c>
      <c r="J52" s="27">
        <f ca="1">OFFSET(Dashboard!$B$8,MATCH(City!B52,Dashboard!$A$8:$A$20,0)-1,0)</f>
        <v>344</v>
      </c>
      <c r="K52" s="93">
        <f ca="1">I52*J52*0.001*(1-Dashboard!$B$23)</f>
        <v>9865.0263070938199</v>
      </c>
      <c r="L52" s="233">
        <f ca="1">I52*J52*0.001*Dashboard!$B$23</f>
        <v>4227.8684173259235</v>
      </c>
      <c r="M52" s="230">
        <f ca="1">IF(G52&gt;=0,H52*J52*0.001*OFFSET(Dashboard!$B$26,MATCH(City!B52,Dashboard!$A$26:$A$38,0)-1,0),0)</f>
        <v>5800.3181600000007</v>
      </c>
      <c r="N52" s="28">
        <f>Dashboard!$B$54</f>
        <v>10</v>
      </c>
      <c r="O52" s="274">
        <f>Dashboard!$C$64</f>
        <v>200</v>
      </c>
      <c r="P52" s="28">
        <f>Dashboard!$B$71</f>
        <v>5</v>
      </c>
      <c r="Q52" s="274">
        <f>Dashboard!$B$85</f>
        <v>0.5</v>
      </c>
      <c r="R52" s="230">
        <f ca="1">(K52+L52)*Dashboard!$B$43</f>
        <v>11274.315779535797</v>
      </c>
      <c r="S52" s="13">
        <f t="shared" si="5"/>
        <v>0</v>
      </c>
      <c r="T52" s="231">
        <f>Dashboard!$B$45</f>
        <v>0.9</v>
      </c>
      <c r="U52" s="93">
        <f t="shared" ca="1" si="8"/>
        <v>0</v>
      </c>
      <c r="V52" s="276">
        <f>Dashboard!$B$55</f>
        <v>3</v>
      </c>
      <c r="W52" s="232">
        <f>Dashboard!$C$65</f>
        <v>100</v>
      </c>
      <c r="X52" s="232">
        <f>Dashboard!$B$72</f>
        <v>0.5</v>
      </c>
      <c r="Y52" s="232">
        <f>Dashboard!$B$86</f>
        <v>1.5</v>
      </c>
      <c r="Z52" s="27">
        <f>Dashboard!$B$41</f>
        <v>0</v>
      </c>
      <c r="AA52" s="13">
        <f t="shared" ca="1" si="0"/>
        <v>0</v>
      </c>
    </row>
    <row r="53" spans="1:27" x14ac:dyDescent="0.3">
      <c r="A53" s="17" t="s">
        <v>11</v>
      </c>
      <c r="B53" s="30" t="s">
        <v>42</v>
      </c>
      <c r="C53" s="3" t="s">
        <v>30</v>
      </c>
      <c r="D53" s="27">
        <v>51</v>
      </c>
      <c r="E53" s="27">
        <v>27.012563</v>
      </c>
      <c r="F53" s="13">
        <v>49.658127999999998</v>
      </c>
      <c r="G53" s="13">
        <v>0</v>
      </c>
      <c r="H53" s="27">
        <v>337778</v>
      </c>
      <c r="I53" s="93">
        <f ca="1">H53*Dashboard!$B$5</f>
        <v>522780.26399182191</v>
      </c>
      <c r="J53" s="27">
        <f ca="1">OFFSET(Dashboard!$B$8,MATCH(City!B53,Dashboard!$A$8:$A$20,0)-1,0)</f>
        <v>344</v>
      </c>
      <c r="K53" s="93">
        <f ca="1">I53*J53*0.001*(1-Dashboard!$B$23)</f>
        <v>125885.4875692307</v>
      </c>
      <c r="L53" s="233">
        <f ca="1">I53*J53*0.001*Dashboard!$B$23</f>
        <v>53950.923243956015</v>
      </c>
      <c r="M53" s="230">
        <f ca="1">IF(G53&gt;=0,H53*J53*0.001*OFFSET(Dashboard!$B$26,MATCH(City!B53,Dashboard!$A$26:$A$38,0)-1,0),0)</f>
        <v>74016.617584000007</v>
      </c>
      <c r="N53" s="28">
        <f>Dashboard!$B$54</f>
        <v>10</v>
      </c>
      <c r="O53" s="274">
        <f>Dashboard!$C$64</f>
        <v>200</v>
      </c>
      <c r="P53" s="28">
        <f>Dashboard!$B$71</f>
        <v>5</v>
      </c>
      <c r="Q53" s="274">
        <f>Dashboard!$B$85</f>
        <v>0.5</v>
      </c>
      <c r="R53" s="230">
        <f ca="1">(K53+L53)*Dashboard!$B$43</f>
        <v>143869.12865054939</v>
      </c>
      <c r="S53" s="13">
        <f t="shared" si="5"/>
        <v>1</v>
      </c>
      <c r="T53" s="231">
        <f>Dashboard!$B$45</f>
        <v>0.9</v>
      </c>
      <c r="U53" s="93">
        <f t="shared" ca="1" si="8"/>
        <v>118325.77808623321</v>
      </c>
      <c r="V53" s="276">
        <f>Dashboard!$B$55</f>
        <v>3</v>
      </c>
      <c r="W53" s="232">
        <f>Dashboard!$C$65</f>
        <v>100</v>
      </c>
      <c r="X53" s="232">
        <f>Dashboard!$B$72</f>
        <v>0.5</v>
      </c>
      <c r="Y53" s="232">
        <f>Dashboard!$B$86</f>
        <v>1.5</v>
      </c>
      <c r="Z53" s="27">
        <f>Dashboard!$B$41</f>
        <v>0</v>
      </c>
      <c r="AA53" s="13">
        <f t="shared" ca="1" si="0"/>
        <v>0</v>
      </c>
    </row>
    <row r="54" spans="1:27" x14ac:dyDescent="0.3">
      <c r="A54" s="17" t="s">
        <v>17</v>
      </c>
      <c r="B54" s="30" t="s">
        <v>42</v>
      </c>
      <c r="C54" s="3" t="s">
        <v>30</v>
      </c>
      <c r="D54" s="27">
        <v>52</v>
      </c>
      <c r="E54" s="27">
        <v>26.701864</v>
      </c>
      <c r="F54" s="13">
        <v>50.049571999999998</v>
      </c>
      <c r="G54" s="13">
        <v>3</v>
      </c>
      <c r="H54" s="30">
        <v>54166</v>
      </c>
      <c r="I54" s="93">
        <f ca="1">H54*Dashboard!$B$5</f>
        <v>83832.919193615409</v>
      </c>
      <c r="J54" s="27">
        <f ca="1">OFFSET(Dashboard!$B$8,MATCH(City!B54,Dashboard!$A$8:$A$20,0)-1,0)</f>
        <v>344</v>
      </c>
      <c r="K54" s="93">
        <f ca="1">I54*J54*0.001*(1-Dashboard!$B$23)</f>
        <v>20186.966941822589</v>
      </c>
      <c r="L54" s="233">
        <f ca="1">I54*J54*0.001*Dashboard!$B$23</f>
        <v>8651.55726078111</v>
      </c>
      <c r="M54" s="230">
        <f ca="1">IF(G54&gt;=0,H54*J54*0.001*OFFSET(Dashboard!$B$26,MATCH(City!B54,Dashboard!$A$26:$A$38,0)-1,0),0)</f>
        <v>11869.287248000001</v>
      </c>
      <c r="N54" s="28">
        <f>Dashboard!$B$54</f>
        <v>10</v>
      </c>
      <c r="O54" s="274">
        <f>Dashboard!$C$64</f>
        <v>200</v>
      </c>
      <c r="P54" s="28">
        <f>Dashboard!$B$71</f>
        <v>5</v>
      </c>
      <c r="Q54" s="274">
        <f>Dashboard!$B$85</f>
        <v>0.5</v>
      </c>
      <c r="R54" s="230">
        <f ca="1">(K54+L54)*Dashboard!$B$43</f>
        <v>23070.819362082962</v>
      </c>
      <c r="S54" s="13">
        <f t="shared" si="5"/>
        <v>1</v>
      </c>
      <c r="T54" s="231">
        <f>Dashboard!$B$45</f>
        <v>0.9</v>
      </c>
      <c r="U54" s="93">
        <f t="shared" ca="1" si="8"/>
        <v>18974.693721375901</v>
      </c>
      <c r="V54" s="276">
        <f>Dashboard!$B$55</f>
        <v>3</v>
      </c>
      <c r="W54" s="232">
        <f>Dashboard!$C$65</f>
        <v>100</v>
      </c>
      <c r="X54" s="232">
        <f>Dashboard!$B$72</f>
        <v>0.5</v>
      </c>
      <c r="Y54" s="232">
        <f>Dashboard!$B$86</f>
        <v>1.5</v>
      </c>
      <c r="Z54" s="27">
        <f>Dashboard!$B$41</f>
        <v>0</v>
      </c>
      <c r="AA54" s="13">
        <f t="shared" ca="1" si="0"/>
        <v>0</v>
      </c>
    </row>
    <row r="55" spans="1:27" x14ac:dyDescent="0.3">
      <c r="A55" s="17" t="s">
        <v>55</v>
      </c>
      <c r="B55" s="30" t="s">
        <v>42</v>
      </c>
      <c r="C55" s="3" t="s">
        <v>30</v>
      </c>
      <c r="D55" s="27">
        <v>53</v>
      </c>
      <c r="E55" s="27">
        <v>26.65</v>
      </c>
      <c r="F55" s="13">
        <v>49.95</v>
      </c>
      <c r="G55" s="13">
        <v>14</v>
      </c>
      <c r="H55" s="27">
        <v>50447</v>
      </c>
      <c r="I55" s="93">
        <f ca="1">H55*Dashboard!$B$5</f>
        <v>78077.009093533154</v>
      </c>
      <c r="J55" s="27">
        <f ca="1">OFFSET(Dashboard!$B$8,MATCH(City!B55,Dashboard!$A$8:$A$20,0)-1,0)</f>
        <v>344</v>
      </c>
      <c r="K55" s="93">
        <f ca="1">I55*J55*0.001*(1-Dashboard!$B$23)</f>
        <v>18800.94378972278</v>
      </c>
      <c r="L55" s="233">
        <f ca="1">I55*J55*0.001*Dashboard!$B$23</f>
        <v>8057.5473384526204</v>
      </c>
      <c r="M55" s="230">
        <f ca="1">IF(G55&gt;=0,H55*J55*0.001*OFFSET(Dashboard!$B$26,MATCH(City!B55,Dashboard!$A$26:$A$38,0)-1,0),0)</f>
        <v>11054.350216000001</v>
      </c>
      <c r="N55" s="28">
        <f>Dashboard!$B$54</f>
        <v>10</v>
      </c>
      <c r="O55" s="274">
        <f>Dashboard!$C$64</f>
        <v>200</v>
      </c>
      <c r="P55" s="28">
        <f>Dashboard!$B$71</f>
        <v>5</v>
      </c>
      <c r="Q55" s="274">
        <f>Dashboard!$B$85</f>
        <v>0.5</v>
      </c>
      <c r="R55" s="230">
        <f ca="1">(K55+L55)*Dashboard!$B$43</f>
        <v>21486.792902540321</v>
      </c>
      <c r="S55" s="13">
        <f t="shared" si="5"/>
        <v>1</v>
      </c>
      <c r="T55" s="231">
        <f>Dashboard!$B$45</f>
        <v>0.9</v>
      </c>
      <c r="U55" s="93">
        <f t="shared" ca="1" si="8"/>
        <v>17671.904407972714</v>
      </c>
      <c r="V55" s="276">
        <f>Dashboard!$B$55</f>
        <v>3</v>
      </c>
      <c r="W55" s="232">
        <f>Dashboard!$C$65</f>
        <v>100</v>
      </c>
      <c r="X55" s="232">
        <f>Dashboard!$B$72</f>
        <v>0.5</v>
      </c>
      <c r="Y55" s="232">
        <f>Dashboard!$B$86</f>
        <v>1.5</v>
      </c>
      <c r="Z55" s="27">
        <f>Dashboard!$B$41</f>
        <v>0</v>
      </c>
      <c r="AA55" s="13">
        <f t="shared" ca="1" si="0"/>
        <v>0</v>
      </c>
    </row>
    <row r="56" spans="1:27" x14ac:dyDescent="0.3">
      <c r="A56" s="17" t="s">
        <v>203</v>
      </c>
      <c r="B56" s="30" t="s">
        <v>42</v>
      </c>
      <c r="C56" s="3" t="s">
        <v>30</v>
      </c>
      <c r="D56" s="27">
        <v>54</v>
      </c>
      <c r="E56" s="27">
        <v>26.566666999999999</v>
      </c>
      <c r="F56" s="13">
        <v>50.066667000000002</v>
      </c>
      <c r="G56" s="13">
        <v>5</v>
      </c>
      <c r="H56" s="27">
        <v>77757</v>
      </c>
      <c r="I56" s="93">
        <f ca="1">H56*Dashboard!$B$5</f>
        <v>120344.79743266907</v>
      </c>
      <c r="J56" s="27">
        <f ca="1">OFFSET(Dashboard!$B$8,MATCH(City!B56,Dashboard!$A$8:$A$20,0)-1,0)</f>
        <v>344</v>
      </c>
      <c r="K56" s="93">
        <f ca="1">I56*J56*0.001*(1-Dashboard!$B$23)</f>
        <v>28979.02722178671</v>
      </c>
      <c r="L56" s="233">
        <f ca="1">I56*J56*0.001*Dashboard!$B$23</f>
        <v>12419.583095051448</v>
      </c>
      <c r="M56" s="230">
        <f ca="1">IF(G56&gt;=0,H56*J56*0.001*OFFSET(Dashboard!$B$26,MATCH(City!B56,Dashboard!$A$26:$A$38,0)-1,0),0)</f>
        <v>17038.735895999998</v>
      </c>
      <c r="N56" s="28">
        <f>Dashboard!$B$54</f>
        <v>10</v>
      </c>
      <c r="O56" s="274">
        <f>Dashboard!$C$64</f>
        <v>200</v>
      </c>
      <c r="P56" s="28">
        <f>Dashboard!$B$71</f>
        <v>5</v>
      </c>
      <c r="Q56" s="274">
        <f>Dashboard!$B$85</f>
        <v>0.5</v>
      </c>
      <c r="R56" s="230">
        <f ca="1">(K56+L56)*Dashboard!$B$43</f>
        <v>33118.888253470526</v>
      </c>
      <c r="S56" s="13">
        <f t="shared" si="5"/>
        <v>1</v>
      </c>
      <c r="T56" s="231">
        <f>Dashboard!$B$45</f>
        <v>0.9</v>
      </c>
      <c r="U56" s="93">
        <f t="shared" ca="1" si="8"/>
        <v>27238.770809973517</v>
      </c>
      <c r="V56" s="276">
        <f>Dashboard!$B$55</f>
        <v>3</v>
      </c>
      <c r="W56" s="232">
        <f>Dashboard!$C$65</f>
        <v>100</v>
      </c>
      <c r="X56" s="232">
        <f>Dashboard!$B$72</f>
        <v>0.5</v>
      </c>
      <c r="Y56" s="232">
        <f>Dashboard!$B$86</f>
        <v>1.5</v>
      </c>
      <c r="Z56" s="27">
        <f>Dashboard!$B$41</f>
        <v>0</v>
      </c>
      <c r="AA56" s="13">
        <f t="shared" ca="1" si="0"/>
        <v>0</v>
      </c>
    </row>
    <row r="57" spans="1:27" x14ac:dyDescent="0.3">
      <c r="A57" s="17" t="s">
        <v>16</v>
      </c>
      <c r="B57" s="30" t="s">
        <v>42</v>
      </c>
      <c r="C57" s="3" t="s">
        <v>30</v>
      </c>
      <c r="D57" s="27">
        <v>55</v>
      </c>
      <c r="E57" s="27">
        <v>26.559049999999999</v>
      </c>
      <c r="F57" s="13">
        <v>49.995688999999999</v>
      </c>
      <c r="G57" s="13">
        <v>7</v>
      </c>
      <c r="H57" s="27">
        <f>118327+26691+27904</f>
        <v>172922</v>
      </c>
      <c r="I57" s="93">
        <f ca="1">H57*Dashboard!$B$5</f>
        <v>267632.0210611521</v>
      </c>
      <c r="J57" s="27">
        <f ca="1">OFFSET(Dashboard!$B$8,MATCH(City!B57,Dashboard!$A$8:$A$20,0)-1,0)</f>
        <v>344</v>
      </c>
      <c r="K57" s="93">
        <f ca="1">I57*J57*0.001*(1-Dashboard!$B$23)</f>
        <v>64445.790671525421</v>
      </c>
      <c r="L57" s="233">
        <f ca="1">I57*J57*0.001*Dashboard!$B$23</f>
        <v>27619.624573510893</v>
      </c>
      <c r="M57" s="230">
        <f ca="1">IF(G57&gt;=0,H57*J57*0.001*OFFSET(Dashboard!$B$26,MATCH(City!B57,Dashboard!$A$26:$A$38,0)-1,0),0)</f>
        <v>37892.052016000001</v>
      </c>
      <c r="N57" s="28">
        <f>Dashboard!$B$54</f>
        <v>10</v>
      </c>
      <c r="O57" s="274">
        <f>Dashboard!$C$64</f>
        <v>200</v>
      </c>
      <c r="P57" s="28">
        <f>Dashboard!$B$71</f>
        <v>5</v>
      </c>
      <c r="Q57" s="274">
        <f>Dashboard!$B$85</f>
        <v>0.5</v>
      </c>
      <c r="R57" s="230">
        <f ca="1">(K57+L57)*Dashboard!$B$43</f>
        <v>73652.332196029063</v>
      </c>
      <c r="S57" s="13">
        <f t="shared" si="5"/>
        <v>1</v>
      </c>
      <c r="T57" s="231">
        <f>Dashboard!$B$45</f>
        <v>0.9</v>
      </c>
      <c r="U57" s="93">
        <f t="shared" ca="1" si="8"/>
        <v>60575.674550230106</v>
      </c>
      <c r="V57" s="276">
        <f>Dashboard!$B$55</f>
        <v>3</v>
      </c>
      <c r="W57" s="232">
        <f>Dashboard!$C$65</f>
        <v>100</v>
      </c>
      <c r="X57" s="232">
        <f>Dashboard!$B$72</f>
        <v>0.5</v>
      </c>
      <c r="Y57" s="232">
        <f>Dashboard!$B$86</f>
        <v>1.5</v>
      </c>
      <c r="Z57" s="27">
        <f>Dashboard!$B$41</f>
        <v>0</v>
      </c>
      <c r="AA57" s="13">
        <f t="shared" ca="1" si="0"/>
        <v>0</v>
      </c>
    </row>
    <row r="58" spans="1:27" x14ac:dyDescent="0.3">
      <c r="A58" s="17" t="s">
        <v>201</v>
      </c>
      <c r="B58" s="30" t="s">
        <v>42</v>
      </c>
      <c r="C58" s="3" t="s">
        <v>30</v>
      </c>
      <c r="D58" s="27">
        <v>56</v>
      </c>
      <c r="E58" s="27">
        <v>26.519577000000002</v>
      </c>
      <c r="F58" s="13">
        <v>50.026727000000001</v>
      </c>
      <c r="G58" s="13">
        <v>6</v>
      </c>
      <c r="H58" s="27">
        <v>23125</v>
      </c>
      <c r="I58" s="93">
        <f ca="1">H58*Dashboard!$B$5</f>
        <v>35790.648309868855</v>
      </c>
      <c r="J58" s="27">
        <f ca="1">OFFSET(Dashboard!$B$8,MATCH(City!B58,Dashboard!$A$8:$A$20,0)-1,0)</f>
        <v>344</v>
      </c>
      <c r="K58" s="93">
        <f ca="1">I58*J58*0.001*(1-Dashboard!$B$23)</f>
        <v>8618.3881130164191</v>
      </c>
      <c r="L58" s="233">
        <f ca="1">I58*J58*0.001*Dashboard!$B$23</f>
        <v>3693.5949055784654</v>
      </c>
      <c r="M58" s="230">
        <f ca="1">IF(G58&gt;=0,H58*J58*0.001*OFFSET(Dashboard!$B$26,MATCH(City!B58,Dashboard!$A$26:$A$38,0)-1,0),0)</f>
        <v>5067.335</v>
      </c>
      <c r="N58" s="28">
        <f>Dashboard!$B$54</f>
        <v>10</v>
      </c>
      <c r="O58" s="274">
        <f>Dashboard!$C$64</f>
        <v>200</v>
      </c>
      <c r="P58" s="28">
        <f>Dashboard!$B$71</f>
        <v>5</v>
      </c>
      <c r="Q58" s="274">
        <f>Dashboard!$B$85</f>
        <v>0.5</v>
      </c>
      <c r="R58" s="230">
        <f ca="1">(K58+L58)*Dashboard!$B$43</f>
        <v>9849.5864148759083</v>
      </c>
      <c r="S58" s="13">
        <f t="shared" si="5"/>
        <v>0</v>
      </c>
      <c r="T58" s="231">
        <f>Dashboard!$B$45</f>
        <v>0.9</v>
      </c>
      <c r="U58" s="93">
        <f t="shared" ca="1" si="8"/>
        <v>0</v>
      </c>
      <c r="V58" s="276">
        <f>Dashboard!$B$55</f>
        <v>3</v>
      </c>
      <c r="W58" s="232">
        <f>Dashboard!$C$65</f>
        <v>100</v>
      </c>
      <c r="X58" s="232">
        <f>Dashboard!$B$72</f>
        <v>0.5</v>
      </c>
      <c r="Y58" s="232">
        <f>Dashboard!$B$86</f>
        <v>1.5</v>
      </c>
      <c r="Z58" s="27">
        <f>Dashboard!$B$41</f>
        <v>0</v>
      </c>
      <c r="AA58" s="13">
        <f t="shared" ca="1" si="0"/>
        <v>0</v>
      </c>
    </row>
    <row r="59" spans="1:27" x14ac:dyDescent="0.3">
      <c r="A59" s="17" t="s">
        <v>19</v>
      </c>
      <c r="B59" s="30" t="s">
        <v>42</v>
      </c>
      <c r="C59" s="3" t="s">
        <v>30</v>
      </c>
      <c r="D59" s="27">
        <v>57</v>
      </c>
      <c r="E59" s="27">
        <v>26.475000000000001</v>
      </c>
      <c r="F59" s="13">
        <v>50.041666999999997</v>
      </c>
      <c r="G59" s="13">
        <v>6</v>
      </c>
      <c r="H59" s="27">
        <v>75794</v>
      </c>
      <c r="I59" s="93">
        <f ca="1">H59*Dashboard!$B$5</f>
        <v>117306.6550485708</v>
      </c>
      <c r="J59" s="27">
        <f ca="1">OFFSET(Dashboard!$B$8,MATCH(City!B59,Dashboard!$A$8:$A$20,0)-1,0)</f>
        <v>344</v>
      </c>
      <c r="K59" s="93">
        <f ca="1">I59*J59*0.001*(1-Dashboard!$B$23)</f>
        <v>28247.442535695842</v>
      </c>
      <c r="L59" s="233">
        <f ca="1">I59*J59*0.001*Dashboard!$B$23</f>
        <v>12106.046801012504</v>
      </c>
      <c r="M59" s="230">
        <f ca="1">IF(G59&gt;=0,H59*J59*0.001*OFFSET(Dashboard!$B$26,MATCH(City!B59,Dashboard!$A$26:$A$38,0)-1,0),0)</f>
        <v>16608.587632000002</v>
      </c>
      <c r="N59" s="28">
        <f>Dashboard!$B$54</f>
        <v>10</v>
      </c>
      <c r="O59" s="274">
        <f>Dashboard!$C$64</f>
        <v>200</v>
      </c>
      <c r="P59" s="28">
        <f>Dashboard!$B$71</f>
        <v>5</v>
      </c>
      <c r="Q59" s="274">
        <f>Dashboard!$B$85</f>
        <v>0.5</v>
      </c>
      <c r="R59" s="230">
        <f ca="1">(K59+L59)*Dashboard!$B$43</f>
        <v>32282.791469366675</v>
      </c>
      <c r="S59" s="13">
        <f t="shared" si="5"/>
        <v>1</v>
      </c>
      <c r="T59" s="231">
        <f>Dashboard!$B$45</f>
        <v>0.9</v>
      </c>
      <c r="U59" s="93">
        <f t="shared" ca="1" si="8"/>
        <v>26551.119446109446</v>
      </c>
      <c r="V59" s="276">
        <f>Dashboard!$B$55</f>
        <v>3</v>
      </c>
      <c r="W59" s="232">
        <f>Dashboard!$C$65</f>
        <v>100</v>
      </c>
      <c r="X59" s="232">
        <f>Dashboard!$B$72</f>
        <v>0.5</v>
      </c>
      <c r="Y59" s="232">
        <f>Dashboard!$B$86</f>
        <v>1.5</v>
      </c>
      <c r="Z59" s="27">
        <f>Dashboard!$B$41</f>
        <v>0</v>
      </c>
      <c r="AA59" s="13">
        <f t="shared" ca="1" si="0"/>
        <v>0</v>
      </c>
    </row>
    <row r="60" spans="1:27" x14ac:dyDescent="0.3">
      <c r="A60" s="17" t="s">
        <v>7</v>
      </c>
      <c r="B60" s="30" t="s">
        <v>42</v>
      </c>
      <c r="C60" s="3" t="s">
        <v>30</v>
      </c>
      <c r="D60" s="27">
        <v>58</v>
      </c>
      <c r="E60" s="27">
        <v>26.392665999999998</v>
      </c>
      <c r="F60" s="13">
        <v>49.977713999999999</v>
      </c>
      <c r="G60" s="13">
        <v>5</v>
      </c>
      <c r="H60" s="27">
        <v>903312</v>
      </c>
      <c r="I60" s="93">
        <f ca="1">H60*Dashboard!$B$5</f>
        <v>1398059.3343171568</v>
      </c>
      <c r="J60" s="27">
        <f ca="1">OFFSET(Dashboard!$B$8,MATCH(City!B60,Dashboard!$A$8:$A$20,0)-1,0)</f>
        <v>344</v>
      </c>
      <c r="K60" s="93">
        <f ca="1">I60*J60*0.001*(1-Dashboard!$B$23)</f>
        <v>336652.68770357134</v>
      </c>
      <c r="L60" s="233">
        <f ca="1">I60*J60*0.001*Dashboard!$B$23</f>
        <v>144279.72330153058</v>
      </c>
      <c r="M60" s="230">
        <f ca="1">IF(G60&gt;=0,H60*J60*0.001*OFFSET(Dashboard!$B$26,MATCH(City!B60,Dashboard!$A$26:$A$38,0)-1,0),0)</f>
        <v>197940.951936</v>
      </c>
      <c r="N60" s="28">
        <f>Dashboard!$B$54</f>
        <v>10</v>
      </c>
      <c r="O60" s="274">
        <f>Dashboard!$C$64</f>
        <v>200</v>
      </c>
      <c r="P60" s="28">
        <f>Dashboard!$B$71</f>
        <v>5</v>
      </c>
      <c r="Q60" s="274">
        <f>Dashboard!$B$85</f>
        <v>0.5</v>
      </c>
      <c r="R60" s="230">
        <f ca="1">(K60+L60)*Dashboard!$B$43</f>
        <v>384745.92880408157</v>
      </c>
      <c r="S60" s="13">
        <f t="shared" si="5"/>
        <v>1</v>
      </c>
      <c r="T60" s="231">
        <f>Dashboard!$B$45</f>
        <v>0.9</v>
      </c>
      <c r="U60" s="93">
        <f t="shared" ca="1" si="8"/>
        <v>316435.92908546887</v>
      </c>
      <c r="V60" s="276">
        <f>Dashboard!$B$55</f>
        <v>3</v>
      </c>
      <c r="W60" s="232">
        <f>Dashboard!$C$65</f>
        <v>100</v>
      </c>
      <c r="X60" s="232">
        <f>Dashboard!$B$72</f>
        <v>0.5</v>
      </c>
      <c r="Y60" s="232">
        <f>Dashboard!$B$86</f>
        <v>1.5</v>
      </c>
      <c r="Z60" s="27">
        <f>Dashboard!$B$41</f>
        <v>0</v>
      </c>
      <c r="AA60" s="13">
        <f t="shared" ca="1" si="0"/>
        <v>0</v>
      </c>
    </row>
    <row r="61" spans="1:27" x14ac:dyDescent="0.3">
      <c r="A61" s="17" t="s">
        <v>23</v>
      </c>
      <c r="B61" s="30" t="s">
        <v>42</v>
      </c>
      <c r="C61" s="3" t="s">
        <v>30</v>
      </c>
      <c r="D61" s="27">
        <v>59</v>
      </c>
      <c r="E61" s="27">
        <v>26.288768000000001</v>
      </c>
      <c r="F61" s="13">
        <v>50.114103</v>
      </c>
      <c r="G61" s="13">
        <v>46</v>
      </c>
      <c r="H61" s="27">
        <v>120521</v>
      </c>
      <c r="I61" s="93">
        <f ca="1">H61*Dashboard!$B$5</f>
        <v>186530.79891691695</v>
      </c>
      <c r="J61" s="27">
        <f ca="1">OFFSET(Dashboard!$B$8,MATCH(City!B61,Dashboard!$A$8:$A$20,0)-1,0)</f>
        <v>344</v>
      </c>
      <c r="K61" s="93">
        <f ca="1">I61*J61*0.001*(1-Dashboard!$B$23)</f>
        <v>44916.616379193598</v>
      </c>
      <c r="L61" s="233">
        <f ca="1">I61*J61*0.001*Dashboard!$B$23</f>
        <v>19249.978448225829</v>
      </c>
      <c r="M61" s="230">
        <f ca="1">IF(G61&gt;=0,H61*J61*0.001*OFFSET(Dashboard!$B$26,MATCH(City!B61,Dashboard!$A$26:$A$38,0)-1,0),0)</f>
        <v>26409.525688000002</v>
      </c>
      <c r="N61" s="28">
        <f>Dashboard!$B$54</f>
        <v>10</v>
      </c>
      <c r="O61" s="274">
        <f>Dashboard!$C$64</f>
        <v>200</v>
      </c>
      <c r="P61" s="28">
        <f>Dashboard!$B$71</f>
        <v>5</v>
      </c>
      <c r="Q61" s="274">
        <f>Dashboard!$B$85</f>
        <v>0.5</v>
      </c>
      <c r="R61" s="230">
        <f ca="1">(K61+L61)*Dashboard!$B$43</f>
        <v>51333.275861935545</v>
      </c>
      <c r="S61" s="13">
        <f t="shared" si="5"/>
        <v>1</v>
      </c>
      <c r="T61" s="231">
        <f>Dashboard!$B$45</f>
        <v>0.9</v>
      </c>
      <c r="U61" s="93">
        <f t="shared" ca="1" si="8"/>
        <v>42219.271535537882</v>
      </c>
      <c r="V61" s="276">
        <f>Dashboard!$B$55</f>
        <v>3</v>
      </c>
      <c r="W61" s="232">
        <f>Dashboard!$C$65</f>
        <v>100</v>
      </c>
      <c r="X61" s="232">
        <f>Dashboard!$B$72</f>
        <v>0.5</v>
      </c>
      <c r="Y61" s="232">
        <f>Dashboard!$B$86</f>
        <v>1.5</v>
      </c>
      <c r="Z61" s="27">
        <f>Dashboard!$B$41</f>
        <v>0</v>
      </c>
      <c r="AA61" s="13">
        <f t="shared" ca="1" si="0"/>
        <v>0</v>
      </c>
    </row>
    <row r="62" spans="1:27" x14ac:dyDescent="0.3">
      <c r="A62" s="17" t="s">
        <v>64</v>
      </c>
      <c r="B62" s="30" t="s">
        <v>42</v>
      </c>
      <c r="C62" s="3" t="s">
        <v>30</v>
      </c>
      <c r="D62" s="27">
        <v>60</v>
      </c>
      <c r="E62" s="27">
        <v>26.283332999999999</v>
      </c>
      <c r="F62" s="13">
        <v>50.2</v>
      </c>
      <c r="G62" s="13">
        <v>16</v>
      </c>
      <c r="H62" s="27">
        <f>219679+238066</f>
        <v>457745</v>
      </c>
      <c r="I62" s="93">
        <f ca="1">H62*Dashboard!$B$5</f>
        <v>708453.63505301264</v>
      </c>
      <c r="J62" s="27">
        <f ca="1">OFFSET(Dashboard!$B$8,MATCH(City!B62,Dashboard!$A$8:$A$20,0)-1,0)</f>
        <v>344</v>
      </c>
      <c r="K62" s="93">
        <f ca="1">I62*J62*0.001*(1-Dashboard!$B$23)</f>
        <v>170595.63532076543</v>
      </c>
      <c r="L62" s="233">
        <f ca="1">I62*J62*0.001*Dashboard!$B$23</f>
        <v>73112.415137470904</v>
      </c>
      <c r="M62" s="230">
        <f ca="1">IF(G62&gt;=0,H62*J62*0.001*OFFSET(Dashboard!$B$26,MATCH(City!B62,Dashboard!$A$26:$A$38,0)-1,0),0)</f>
        <v>100304.74636</v>
      </c>
      <c r="N62" s="28">
        <f>Dashboard!$B$54</f>
        <v>10</v>
      </c>
      <c r="O62" s="274">
        <f>Dashboard!$C$64</f>
        <v>200</v>
      </c>
      <c r="P62" s="28">
        <f>Dashboard!$B$71</f>
        <v>5</v>
      </c>
      <c r="Q62" s="274">
        <f>Dashboard!$B$85</f>
        <v>0.5</v>
      </c>
      <c r="R62" s="230">
        <f ca="1">(K62+L62)*Dashboard!$B$43</f>
        <v>194966.44036658909</v>
      </c>
      <c r="S62" s="13">
        <f t="shared" si="5"/>
        <v>1</v>
      </c>
      <c r="T62" s="231">
        <f>Dashboard!$B$45</f>
        <v>0.9</v>
      </c>
      <c r="U62" s="93">
        <f t="shared" ca="1" si="8"/>
        <v>160350.97990420577</v>
      </c>
      <c r="V62" s="276">
        <f>Dashboard!$B$55</f>
        <v>3</v>
      </c>
      <c r="W62" s="232">
        <f>Dashboard!$C$65</f>
        <v>100</v>
      </c>
      <c r="X62" s="232">
        <f>Dashboard!$B$72</f>
        <v>0.5</v>
      </c>
      <c r="Y62" s="232">
        <f>Dashboard!$B$86</f>
        <v>1.5</v>
      </c>
      <c r="Z62" s="27">
        <f>Dashboard!$B$41</f>
        <v>0</v>
      </c>
      <c r="AA62" s="13">
        <f t="shared" ca="1" si="0"/>
        <v>0</v>
      </c>
    </row>
    <row r="63" spans="1:27" x14ac:dyDescent="0.3">
      <c r="A63" s="17" t="s">
        <v>5</v>
      </c>
      <c r="B63" s="30" t="s">
        <v>42</v>
      </c>
      <c r="C63" s="3" t="s">
        <v>30</v>
      </c>
      <c r="D63" s="27">
        <v>61</v>
      </c>
      <c r="E63" s="27">
        <v>25.933335</v>
      </c>
      <c r="F63" s="13">
        <v>49.666666999999997</v>
      </c>
      <c r="G63" s="13">
        <v>99</v>
      </c>
      <c r="H63" s="27">
        <v>36207</v>
      </c>
      <c r="I63" s="93">
        <f ca="1">H63*Dashboard!$B$5</f>
        <v>56037.70825320742</v>
      </c>
      <c r="J63" s="27">
        <f ca="1">OFFSET(Dashboard!$B$8,MATCH(City!B63,Dashboard!$A$8:$A$20,0)-1,0)</f>
        <v>344</v>
      </c>
      <c r="K63" s="93">
        <f ca="1">I63*J63*0.001*(1-Dashboard!$B$23)</f>
        <v>13493.880147372347</v>
      </c>
      <c r="L63" s="233">
        <f ca="1">I63*J63*0.001*Dashboard!$B$23</f>
        <v>5783.0914917310065</v>
      </c>
      <c r="M63" s="230">
        <f ca="1">IF(G63&gt;=0,H63*J63*0.001*OFFSET(Dashboard!$B$26,MATCH(City!B63,Dashboard!$A$26:$A$38,0)-1,0),0)</f>
        <v>7933.9674960000002</v>
      </c>
      <c r="N63" s="28">
        <f>Dashboard!$B$54</f>
        <v>10</v>
      </c>
      <c r="O63" s="274">
        <f>Dashboard!$C$64</f>
        <v>200</v>
      </c>
      <c r="P63" s="28">
        <f>Dashboard!$B$71</f>
        <v>5</v>
      </c>
      <c r="Q63" s="274">
        <f>Dashboard!$B$85</f>
        <v>0.5</v>
      </c>
      <c r="R63" s="230">
        <f ca="1">(K63+L63)*Dashboard!$B$43</f>
        <v>15421.577311282685</v>
      </c>
      <c r="S63" s="13">
        <f t="shared" si="5"/>
        <v>0</v>
      </c>
      <c r="T63" s="231">
        <f>Dashboard!$B$45</f>
        <v>0.9</v>
      </c>
      <c r="U63" s="93">
        <f t="shared" ca="1" si="8"/>
        <v>0</v>
      </c>
      <c r="V63" s="276">
        <f>Dashboard!$B$55</f>
        <v>3</v>
      </c>
      <c r="W63" s="232">
        <f>Dashboard!$C$65</f>
        <v>100</v>
      </c>
      <c r="X63" s="232">
        <f>Dashboard!$B$72</f>
        <v>0.5</v>
      </c>
      <c r="Y63" s="232">
        <f>Dashboard!$B$86</f>
        <v>1.5</v>
      </c>
      <c r="Z63" s="27">
        <f>Dashboard!$B$41</f>
        <v>0</v>
      </c>
      <c r="AA63" s="13">
        <f t="shared" ca="1" si="0"/>
        <v>0</v>
      </c>
    </row>
    <row r="64" spans="1:27" x14ac:dyDescent="0.3">
      <c r="A64" s="17" t="s">
        <v>115</v>
      </c>
      <c r="B64" s="30" t="s">
        <v>42</v>
      </c>
      <c r="C64" s="3" t="s">
        <v>30</v>
      </c>
      <c r="D64" s="27">
        <v>62</v>
      </c>
      <c r="E64" s="27">
        <v>25.6</v>
      </c>
      <c r="F64" s="13">
        <v>49.566667000000002</v>
      </c>
      <c r="G64" s="13">
        <v>113</v>
      </c>
      <c r="H64" s="27">
        <v>33042</v>
      </c>
      <c r="I64" s="93">
        <f ca="1">H64*Dashboard!$B$5</f>
        <v>51139.226008851314</v>
      </c>
      <c r="J64" s="27">
        <f ca="1">OFFSET(Dashboard!$B$8,MATCH(City!B64,Dashboard!$A$8:$A$20,0)-1,0)</f>
        <v>344</v>
      </c>
      <c r="K64" s="93">
        <f ca="1">I64*J64*0.001*(1-Dashboard!$B$23)</f>
        <v>12314.325622931397</v>
      </c>
      <c r="L64" s="233">
        <f ca="1">I64*J64*0.001*Dashboard!$B$23</f>
        <v>5277.5681241134562</v>
      </c>
      <c r="M64" s="230">
        <f ca="1">IF(G64&gt;=0,H64*J64*0.001*OFFSET(Dashboard!$B$26,MATCH(City!B64,Dashboard!$A$26:$A$38,0)-1,0),0)</f>
        <v>7240.4273760000005</v>
      </c>
      <c r="N64" s="28">
        <f>Dashboard!$B$54</f>
        <v>10</v>
      </c>
      <c r="O64" s="274">
        <f>Dashboard!$C$64</f>
        <v>200</v>
      </c>
      <c r="P64" s="28">
        <f>Dashboard!$B$71</f>
        <v>5</v>
      </c>
      <c r="Q64" s="274">
        <f>Dashboard!$B$85</f>
        <v>0.5</v>
      </c>
      <c r="R64" s="230">
        <f ca="1">(K64+L64)*Dashboard!$B$43</f>
        <v>14073.514997635884</v>
      </c>
      <c r="S64" s="13">
        <f t="shared" si="5"/>
        <v>0</v>
      </c>
      <c r="T64" s="231">
        <f>Dashboard!$B$45</f>
        <v>0.9</v>
      </c>
      <c r="U64" s="93">
        <f t="shared" ca="1" si="8"/>
        <v>0</v>
      </c>
      <c r="V64" s="276">
        <f>Dashboard!$B$55</f>
        <v>3</v>
      </c>
      <c r="W64" s="232">
        <f>Dashboard!$C$65</f>
        <v>100</v>
      </c>
      <c r="X64" s="232">
        <f>Dashboard!$B$72</f>
        <v>0.5</v>
      </c>
      <c r="Y64" s="232">
        <f>Dashboard!$B$86</f>
        <v>1.5</v>
      </c>
      <c r="Z64" s="27">
        <f>Dashboard!$B$41</f>
        <v>0</v>
      </c>
      <c r="AA64" s="13">
        <f t="shared" ca="1" si="0"/>
        <v>0</v>
      </c>
    </row>
    <row r="65" spans="1:28" x14ac:dyDescent="0.3">
      <c r="A65" s="17" t="s">
        <v>8</v>
      </c>
      <c r="B65" s="30" t="s">
        <v>42</v>
      </c>
      <c r="C65" s="3" t="s">
        <v>30</v>
      </c>
      <c r="D65" s="27">
        <v>63</v>
      </c>
      <c r="E65" s="27">
        <v>25.383333</v>
      </c>
      <c r="F65" s="13">
        <v>49.583333000000003</v>
      </c>
      <c r="G65" s="13">
        <v>153</v>
      </c>
      <c r="H65" s="27">
        <v>660788</v>
      </c>
      <c r="I65" s="93">
        <f ca="1">H65*Dashboard!$B$5</f>
        <v>1022704.0395840701</v>
      </c>
      <c r="J65" s="27">
        <f ca="1">OFFSET(Dashboard!$B$8,MATCH(City!B65,Dashboard!$A$8:$A$20,0)-1,0)</f>
        <v>344</v>
      </c>
      <c r="K65" s="93">
        <f ca="1">I65*J65*0.001*(1-Dashboard!$B$23)</f>
        <v>246267.13273184409</v>
      </c>
      <c r="L65" s="233">
        <f ca="1">I65*J65*0.001*Dashboard!$B$23</f>
        <v>105543.05688507603</v>
      </c>
      <c r="M65" s="230">
        <f ca="1">IF(G65&gt;=0,H65*J65*0.001*OFFSET(Dashboard!$B$26,MATCH(City!B65,Dashboard!$A$26:$A$38,0)-1,0),0)</f>
        <v>144797.152864</v>
      </c>
      <c r="N65" s="28">
        <f>Dashboard!$B$54</f>
        <v>10</v>
      </c>
      <c r="O65" s="274">
        <f>Dashboard!$C$64</f>
        <v>200</v>
      </c>
      <c r="P65" s="28">
        <f>Dashboard!$B$71</f>
        <v>5</v>
      </c>
      <c r="Q65" s="274">
        <f>Dashboard!$B$85</f>
        <v>0.5</v>
      </c>
      <c r="R65" s="230">
        <f ca="1">(K65+L65)*Dashboard!$B$43</f>
        <v>281448.15169353614</v>
      </c>
      <c r="S65" s="13">
        <f t="shared" si="5"/>
        <v>1</v>
      </c>
      <c r="T65" s="231">
        <f>Dashboard!$B$45</f>
        <v>0.9</v>
      </c>
      <c r="U65" s="93">
        <f t="shared" ca="1" si="8"/>
        <v>231478.2320045885</v>
      </c>
      <c r="V65" s="276">
        <f>Dashboard!$B$55</f>
        <v>3</v>
      </c>
      <c r="W65" s="232">
        <f>Dashboard!$C$65</f>
        <v>100</v>
      </c>
      <c r="X65" s="232">
        <f>Dashboard!$B$72</f>
        <v>0.5</v>
      </c>
      <c r="Y65" s="232">
        <f>Dashboard!$B$86</f>
        <v>1.5</v>
      </c>
      <c r="Z65" s="27">
        <f>Dashboard!$B$41</f>
        <v>0</v>
      </c>
      <c r="AA65" s="13">
        <f t="shared" ca="1" si="0"/>
        <v>0</v>
      </c>
    </row>
    <row r="66" spans="1:28" s="117" customFormat="1" x14ac:dyDescent="0.3">
      <c r="A66" s="115" t="s">
        <v>202</v>
      </c>
      <c r="B66" s="235" t="s">
        <v>42</v>
      </c>
      <c r="C66" s="236" t="s">
        <v>30</v>
      </c>
      <c r="D66" s="116">
        <v>64</v>
      </c>
      <c r="E66" s="116">
        <v>25.352519999999998</v>
      </c>
      <c r="F66" s="117">
        <v>49.724330000000002</v>
      </c>
      <c r="G66" s="117">
        <v>137</v>
      </c>
      <c r="H66" s="116">
        <v>23543</v>
      </c>
      <c r="I66" s="127">
        <f ca="1">H66*Dashboard!$B$5</f>
        <v>36437.588460940213</v>
      </c>
      <c r="J66" s="116">
        <f ca="1">OFFSET(Dashboard!$B$8,MATCH(City!B66,Dashboard!$A$8:$A$20,0)-1,0)</f>
        <v>344</v>
      </c>
      <c r="K66" s="127">
        <f ca="1">I66*J66*0.001*(1-Dashboard!$B$23)</f>
        <v>8774.1713013944027</v>
      </c>
      <c r="L66" s="237">
        <f ca="1">I66*J66*0.001*Dashboard!$B$23</f>
        <v>3760.3591291690295</v>
      </c>
      <c r="M66" s="238">
        <f ca="1">IF(G66&gt;=0,H66*J66*0.001*OFFSET(Dashboard!$B$26,MATCH(City!B66,Dashboard!$A$26:$A$38,0)-1,0),0)</f>
        <v>5158.9305039999999</v>
      </c>
      <c r="N66" s="117">
        <f>Dashboard!$B$54</f>
        <v>10</v>
      </c>
      <c r="O66" s="285">
        <f>Dashboard!$C$64</f>
        <v>200</v>
      </c>
      <c r="P66" s="117">
        <f>Dashboard!$B$71</f>
        <v>5</v>
      </c>
      <c r="Q66" s="285">
        <f>Dashboard!$B$85</f>
        <v>0.5</v>
      </c>
      <c r="R66" s="238">
        <f ca="1">(K66+L66)*Dashboard!$B$43</f>
        <v>10027.624344450747</v>
      </c>
      <c r="S66" s="117">
        <f t="shared" si="5"/>
        <v>0</v>
      </c>
      <c r="T66" s="286">
        <f>Dashboard!$B$45</f>
        <v>0.9</v>
      </c>
      <c r="U66" s="127">
        <f t="shared" ca="1" si="8"/>
        <v>0</v>
      </c>
      <c r="V66" s="277">
        <f>Dashboard!$B$55</f>
        <v>3</v>
      </c>
      <c r="W66" s="239">
        <f>Dashboard!$C$65</f>
        <v>100</v>
      </c>
      <c r="X66" s="239">
        <f>Dashboard!$B$72</f>
        <v>0.5</v>
      </c>
      <c r="Y66" s="239">
        <f>Dashboard!$B$86</f>
        <v>1.5</v>
      </c>
      <c r="Z66" s="116">
        <f>Dashboard!$B$41</f>
        <v>0</v>
      </c>
      <c r="AA66" s="117">
        <f t="shared" ca="1" si="0"/>
        <v>0</v>
      </c>
      <c r="AB66" s="116"/>
    </row>
    <row r="67" spans="1:28" x14ac:dyDescent="0.3">
      <c r="A67" s="17" t="s">
        <v>117</v>
      </c>
      <c r="B67" s="30" t="s">
        <v>18</v>
      </c>
      <c r="C67" s="3" t="s">
        <v>27</v>
      </c>
      <c r="D67" s="27">
        <v>65</v>
      </c>
      <c r="E67" s="27">
        <v>26.313753999999999</v>
      </c>
      <c r="F67" s="13">
        <v>44.849229000000001</v>
      </c>
      <c r="G67" s="13">
        <v>700</v>
      </c>
      <c r="H67" s="27">
        <v>60867</v>
      </c>
      <c r="I67" s="93">
        <f ca="1">H67*Dashboard!$B$5</f>
        <v>94204.08175899621</v>
      </c>
      <c r="J67" s="27">
        <f ca="1">OFFSET(Dashboard!$B$8,MATCH(City!B67,Dashboard!$A$8:$A$20,0)-1,0)</f>
        <v>292</v>
      </c>
      <c r="K67" s="93">
        <f ca="1">I67*J67*0.001*(1-Dashboard!$B$23)</f>
        <v>19255.314311538823</v>
      </c>
      <c r="L67" s="233">
        <f ca="1">I67*J67*0.001*Dashboard!$B$23</f>
        <v>8252.2775620880675</v>
      </c>
      <c r="M67" s="230">
        <f ca="1">IF(G67&gt;=0,H67*J67*0.001*OFFSET(Dashboard!$B$26,MATCH(City!B67,Dashboard!$A$26:$A$38,0)-1,0),0)</f>
        <v>9544.1890680000015</v>
      </c>
      <c r="N67" s="28">
        <f>Dashboard!$B$54</f>
        <v>10</v>
      </c>
      <c r="O67" s="274">
        <f>Dashboard!$C$64</f>
        <v>200</v>
      </c>
      <c r="P67" s="28">
        <f>Dashboard!$B$71</f>
        <v>5</v>
      </c>
      <c r="Q67" s="274">
        <f>Dashboard!$B$85</f>
        <v>0.5</v>
      </c>
      <c r="R67" s="230">
        <f ca="1">(K67+L67)*Dashboard!$B$43</f>
        <v>22006.073498901515</v>
      </c>
      <c r="S67" s="13">
        <f t="shared" si="5"/>
        <v>1</v>
      </c>
      <c r="T67" s="231">
        <f>Dashboard!$B$45</f>
        <v>0.9</v>
      </c>
      <c r="U67" s="93">
        <f ca="1">837800*R67/($R$67+$R$74+$R$75+$R$77+$R$83)*S67</f>
        <v>9043.7522235010983</v>
      </c>
      <c r="V67" s="276">
        <f>Dashboard!$B$55</f>
        <v>3</v>
      </c>
      <c r="W67" s="232">
        <f>Dashboard!$C$65</f>
        <v>100</v>
      </c>
      <c r="X67" s="232">
        <f>Dashboard!$B$72</f>
        <v>0.5</v>
      </c>
      <c r="Y67" s="232">
        <f>Dashboard!$B$86</f>
        <v>1.5</v>
      </c>
      <c r="Z67" s="27">
        <f>Dashboard!$B$41</f>
        <v>0</v>
      </c>
      <c r="AA67" s="13">
        <f t="shared" ca="1" si="0"/>
        <v>0</v>
      </c>
    </row>
    <row r="68" spans="1:28" x14ac:dyDescent="0.3">
      <c r="A68" s="17" t="s">
        <v>123</v>
      </c>
      <c r="B68" s="30" t="s">
        <v>18</v>
      </c>
      <c r="C68" s="3" t="s">
        <v>27</v>
      </c>
      <c r="D68" s="27">
        <v>66</v>
      </c>
      <c r="E68" s="27">
        <v>26.026668000000001</v>
      </c>
      <c r="F68" s="13">
        <v>44.960833000000001</v>
      </c>
      <c r="G68" s="13">
        <v>706</v>
      </c>
      <c r="H68" s="29">
        <v>8497</v>
      </c>
      <c r="I68" s="93">
        <f ca="1">H68*Dashboard!$B$5</f>
        <v>13150.838429792677</v>
      </c>
      <c r="J68" s="27">
        <f ca="1">OFFSET(Dashboard!$B$8,MATCH(City!B68,Dashboard!$A$8:$A$20,0)-1,0)</f>
        <v>292</v>
      </c>
      <c r="K68" s="93">
        <f ca="1">I68*J68*0.001*(1-Dashboard!$B$23)</f>
        <v>2688.031375049623</v>
      </c>
      <c r="L68" s="233">
        <f ca="1">I68*J68*0.001*Dashboard!$B$23</f>
        <v>1152.0134464498385</v>
      </c>
      <c r="M68" s="230">
        <f ca="1">IF(G68&gt;=0,H68*J68*0.001*OFFSET(Dashboard!$B$26,MATCH(City!B68,Dashboard!$A$26:$A$38,0)-1,0),0)</f>
        <v>1332.3635880000002</v>
      </c>
      <c r="N68" s="28">
        <f>Dashboard!$B$54</f>
        <v>10</v>
      </c>
      <c r="O68" s="274">
        <f>Dashboard!$C$64</f>
        <v>200</v>
      </c>
      <c r="P68" s="28">
        <f>Dashboard!$B$71</f>
        <v>5</v>
      </c>
      <c r="Q68" s="274">
        <f>Dashboard!$B$85</f>
        <v>0.5</v>
      </c>
      <c r="R68" s="230">
        <f ca="1">(K68+L68)*Dashboard!$B$43</f>
        <v>3072.0358571995694</v>
      </c>
      <c r="S68" s="13">
        <f t="shared" ref="S68:S99" si="9">IF(H68&lt;50000,0,1)</f>
        <v>0</v>
      </c>
      <c r="T68" s="231">
        <f>Dashboard!$B$45</f>
        <v>0.9</v>
      </c>
      <c r="U68" s="93">
        <f t="shared" ref="U68:U84" ca="1" si="10">837800*R68/($R$67+$R$74+$R$75+$R$77+$R$83)*S68</f>
        <v>0</v>
      </c>
      <c r="V68" s="276">
        <f>Dashboard!$B$55</f>
        <v>3</v>
      </c>
      <c r="W68" s="232">
        <f>Dashboard!$C$65</f>
        <v>100</v>
      </c>
      <c r="X68" s="232">
        <f>Dashboard!$B$72</f>
        <v>0.5</v>
      </c>
      <c r="Y68" s="232">
        <f>Dashboard!$B$86</f>
        <v>1.5</v>
      </c>
      <c r="Z68" s="27">
        <f>Dashboard!$B$41</f>
        <v>0</v>
      </c>
      <c r="AA68" s="13">
        <f t="shared" ref="AA68:AA99" ca="1" si="11">I68*Z68</f>
        <v>0</v>
      </c>
    </row>
    <row r="69" spans="1:28" x14ac:dyDescent="0.3">
      <c r="A69" s="17" t="s">
        <v>116</v>
      </c>
      <c r="B69" s="30" t="s">
        <v>18</v>
      </c>
      <c r="C69" s="3" t="s">
        <v>27</v>
      </c>
      <c r="D69" s="27">
        <v>67</v>
      </c>
      <c r="E69" s="27">
        <v>25.910530000000001</v>
      </c>
      <c r="F69" s="13">
        <v>45.35886</v>
      </c>
      <c r="G69" s="13">
        <v>712</v>
      </c>
      <c r="H69" s="27">
        <v>47743</v>
      </c>
      <c r="I69" s="93">
        <f ca="1">H69*Dashboard!$B$5</f>
        <v>73892.018259808377</v>
      </c>
      <c r="J69" s="27">
        <f ca="1">OFFSET(Dashboard!$B$8,MATCH(City!B69,Dashboard!$A$8:$A$20,0)-1,0)</f>
        <v>292</v>
      </c>
      <c r="K69" s="93">
        <f ca="1">I69*J69*0.001*(1-Dashboard!$B$23)</f>
        <v>15103.528532304834</v>
      </c>
      <c r="L69" s="233">
        <f ca="1">I69*J69*0.001*Dashboard!$B$23</f>
        <v>6472.9407995592146</v>
      </c>
      <c r="M69" s="230">
        <f ca="1">IF(G69&gt;=0,H69*J69*0.001*OFFSET(Dashboard!$B$26,MATCH(City!B69,Dashboard!$A$26:$A$38,0)-1,0),0)</f>
        <v>7486.2933720000001</v>
      </c>
      <c r="N69" s="28">
        <f>Dashboard!$B$54</f>
        <v>10</v>
      </c>
      <c r="O69" s="274">
        <f>Dashboard!$C$64</f>
        <v>200</v>
      </c>
      <c r="P69" s="28">
        <f>Dashboard!$B$71</f>
        <v>5</v>
      </c>
      <c r="Q69" s="274">
        <f>Dashboard!$B$85</f>
        <v>0.5</v>
      </c>
      <c r="R69" s="230">
        <f ca="1">(K69+L69)*Dashboard!$B$43</f>
        <v>17261.17546549124</v>
      </c>
      <c r="S69" s="13">
        <f t="shared" si="9"/>
        <v>0</v>
      </c>
      <c r="T69" s="231">
        <f>Dashboard!$B$45</f>
        <v>0.9</v>
      </c>
      <c r="U69" s="93">
        <f t="shared" ca="1" si="10"/>
        <v>0</v>
      </c>
      <c r="V69" s="276">
        <f>Dashboard!$B$55</f>
        <v>3</v>
      </c>
      <c r="W69" s="232">
        <f>Dashboard!$C$65</f>
        <v>100</v>
      </c>
      <c r="X69" s="232">
        <f>Dashboard!$B$72</f>
        <v>0.5</v>
      </c>
      <c r="Y69" s="232">
        <f>Dashboard!$B$86</f>
        <v>1.5</v>
      </c>
      <c r="Z69" s="27">
        <f>Dashboard!$B$41</f>
        <v>0</v>
      </c>
      <c r="AA69" s="13">
        <f t="shared" ca="1" si="11"/>
        <v>0</v>
      </c>
    </row>
    <row r="70" spans="1:28" x14ac:dyDescent="0.3">
      <c r="A70" s="17" t="s">
        <v>65</v>
      </c>
      <c r="B70" s="30" t="s">
        <v>18</v>
      </c>
      <c r="C70" s="3" t="s">
        <v>27</v>
      </c>
      <c r="D70" s="27">
        <v>68</v>
      </c>
      <c r="E70" s="27">
        <v>25.601243</v>
      </c>
      <c r="F70" s="13">
        <v>45.630313999999998</v>
      </c>
      <c r="G70" s="13">
        <v>730</v>
      </c>
      <c r="H70" s="29">
        <v>14316</v>
      </c>
      <c r="I70" s="93">
        <f ca="1">H70*Dashboard!$B$5</f>
        <v>22156.926322338702</v>
      </c>
      <c r="J70" s="27">
        <f ca="1">OFFSET(Dashboard!$B$8,MATCH(City!B70,Dashboard!$A$8:$A$20,0)-1,0)</f>
        <v>292</v>
      </c>
      <c r="K70" s="93">
        <f ca="1">I70*J70*0.001*(1-Dashboard!$B$23)</f>
        <v>4528.875740286031</v>
      </c>
      <c r="L70" s="233">
        <f ca="1">I70*J70*0.001*Dashboard!$B$23</f>
        <v>1940.9467458368704</v>
      </c>
      <c r="M70" s="230">
        <f ca="1">IF(G70&gt;=0,H70*J70*0.001*OFFSET(Dashboard!$B$26,MATCH(City!B70,Dashboard!$A$26:$A$38,0)-1,0),0)</f>
        <v>2244.8060639999999</v>
      </c>
      <c r="N70" s="28">
        <f>Dashboard!$B$54</f>
        <v>10</v>
      </c>
      <c r="O70" s="274">
        <f>Dashboard!$C$64</f>
        <v>200</v>
      </c>
      <c r="P70" s="28">
        <f>Dashboard!$B$71</f>
        <v>5</v>
      </c>
      <c r="Q70" s="274">
        <f>Dashboard!$B$85</f>
        <v>0.5</v>
      </c>
      <c r="R70" s="230">
        <f ca="1">(K70+L70)*Dashboard!$B$43</f>
        <v>5175.8579888983213</v>
      </c>
      <c r="S70" s="13">
        <f t="shared" si="9"/>
        <v>0</v>
      </c>
      <c r="T70" s="231">
        <f>Dashboard!$B$45</f>
        <v>0.9</v>
      </c>
      <c r="U70" s="93">
        <f t="shared" ca="1" si="10"/>
        <v>0</v>
      </c>
      <c r="V70" s="276">
        <f>Dashboard!$B$55</f>
        <v>3</v>
      </c>
      <c r="W70" s="232">
        <f>Dashboard!$C$65</f>
        <v>100</v>
      </c>
      <c r="X70" s="232">
        <f>Dashboard!$B$72</f>
        <v>0.5</v>
      </c>
      <c r="Y70" s="232">
        <f>Dashboard!$B$86</f>
        <v>1.5</v>
      </c>
      <c r="Z70" s="27">
        <f>Dashboard!$B$41</f>
        <v>0</v>
      </c>
      <c r="AA70" s="13">
        <f t="shared" ca="1" si="11"/>
        <v>0</v>
      </c>
    </row>
    <row r="71" spans="1:28" x14ac:dyDescent="0.3">
      <c r="A71" s="17" t="s">
        <v>210</v>
      </c>
      <c r="B71" s="30" t="s">
        <v>18</v>
      </c>
      <c r="C71" s="3" t="s">
        <v>27</v>
      </c>
      <c r="D71" s="27">
        <v>69</v>
      </c>
      <c r="E71" s="27">
        <v>25.563706</v>
      </c>
      <c r="F71" s="13">
        <v>47.160584</v>
      </c>
      <c r="G71" s="13">
        <v>565</v>
      </c>
      <c r="H71" s="27">
        <v>20276</v>
      </c>
      <c r="I71" s="93">
        <f ca="1">H71*Dashboard!$B$5</f>
        <v>31381.240438093009</v>
      </c>
      <c r="J71" s="27">
        <f ca="1">OFFSET(Dashboard!$B$8,MATCH(City!B71,Dashboard!$A$8:$A$20,0)-1,0)</f>
        <v>292</v>
      </c>
      <c r="K71" s="93">
        <f ca="1">I71*J71*0.001*(1-Dashboard!$B$23)</f>
        <v>6414.3255455462113</v>
      </c>
      <c r="L71" s="233">
        <f ca="1">I71*J71*0.001*Dashboard!$B$23</f>
        <v>2748.9966623769478</v>
      </c>
      <c r="M71" s="230">
        <f ca="1">IF(G71&gt;=0,H71*J71*0.001*OFFSET(Dashboard!$B$26,MATCH(City!B71,Dashboard!$A$26:$A$38,0)-1,0),0)</f>
        <v>3179.3579040000004</v>
      </c>
      <c r="N71" s="28">
        <f>Dashboard!$B$54</f>
        <v>10</v>
      </c>
      <c r="O71" s="274">
        <f>Dashboard!$C$64</f>
        <v>200</v>
      </c>
      <c r="P71" s="28">
        <f>Dashboard!$B$71</f>
        <v>5</v>
      </c>
      <c r="Q71" s="274">
        <f>Dashboard!$B$85</f>
        <v>0.5</v>
      </c>
      <c r="R71" s="230">
        <f ca="1">(K71+L71)*Dashboard!$B$43</f>
        <v>7330.6577663385287</v>
      </c>
      <c r="S71" s="13">
        <f t="shared" si="9"/>
        <v>0</v>
      </c>
      <c r="T71" s="231">
        <f>Dashboard!$B$45</f>
        <v>0.9</v>
      </c>
      <c r="U71" s="93">
        <f t="shared" ca="1" si="10"/>
        <v>0</v>
      </c>
      <c r="V71" s="276">
        <f>Dashboard!$B$55</f>
        <v>3</v>
      </c>
      <c r="W71" s="232">
        <f>Dashboard!$C$65</f>
        <v>100</v>
      </c>
      <c r="X71" s="232">
        <f>Dashboard!$B$72</f>
        <v>0.5</v>
      </c>
      <c r="Y71" s="232">
        <f>Dashboard!$B$86</f>
        <v>1.5</v>
      </c>
      <c r="Z71" s="27">
        <f>Dashboard!$B$41</f>
        <v>0</v>
      </c>
      <c r="AA71" s="13">
        <f t="shared" ca="1" si="11"/>
        <v>0</v>
      </c>
    </row>
    <row r="72" spans="1:28" x14ac:dyDescent="0.3">
      <c r="A72" s="17" t="s">
        <v>56</v>
      </c>
      <c r="B72" s="30" t="s">
        <v>18</v>
      </c>
      <c r="C72" s="3" t="s">
        <v>27</v>
      </c>
      <c r="D72" s="27">
        <v>70</v>
      </c>
      <c r="E72" s="27">
        <v>25.249358999999998</v>
      </c>
      <c r="F72" s="13">
        <v>45.261668999999998</v>
      </c>
      <c r="G72" s="13">
        <v>712</v>
      </c>
      <c r="H72" s="27">
        <v>26651</v>
      </c>
      <c r="I72" s="93">
        <f ca="1">H72*Dashboard!$B$5</f>
        <v>41247.851593786589</v>
      </c>
      <c r="J72" s="27">
        <f ca="1">OFFSET(Dashboard!$B$8,MATCH(City!B72,Dashboard!$A$8:$A$20,0)-1,0)</f>
        <v>292</v>
      </c>
      <c r="K72" s="93">
        <f ca="1">I72*J72*0.001*(1-Dashboard!$B$23)</f>
        <v>8431.0608657699795</v>
      </c>
      <c r="L72" s="233">
        <f ca="1">I72*J72*0.001*Dashboard!$B$23</f>
        <v>3613.3117996157052</v>
      </c>
      <c r="M72" s="230">
        <f ca="1">IF(G72&gt;=0,H72*J72*0.001*OFFSET(Dashboard!$B$26,MATCH(City!B72,Dashboard!$A$26:$A$38,0)-1,0),0)</f>
        <v>4178.9834040000005</v>
      </c>
      <c r="N72" s="28">
        <f>Dashboard!$B$54</f>
        <v>10</v>
      </c>
      <c r="O72" s="274">
        <f>Dashboard!$C$64</f>
        <v>200</v>
      </c>
      <c r="P72" s="28">
        <f>Dashboard!$B$71</f>
        <v>5</v>
      </c>
      <c r="Q72" s="274">
        <f>Dashboard!$B$85</f>
        <v>0.5</v>
      </c>
      <c r="R72" s="230">
        <f ca="1">(K72+L72)*Dashboard!$B$43</f>
        <v>9635.4981323085485</v>
      </c>
      <c r="S72" s="13">
        <f t="shared" si="9"/>
        <v>0</v>
      </c>
      <c r="T72" s="231">
        <f>Dashboard!$B$45</f>
        <v>0.9</v>
      </c>
      <c r="U72" s="93">
        <f t="shared" ca="1" si="10"/>
        <v>0</v>
      </c>
      <c r="V72" s="276">
        <f>Dashboard!$B$55</f>
        <v>3</v>
      </c>
      <c r="W72" s="232">
        <f>Dashboard!$C$65</f>
        <v>100</v>
      </c>
      <c r="X72" s="232">
        <f>Dashboard!$B$72</f>
        <v>0.5</v>
      </c>
      <c r="Y72" s="232">
        <f>Dashboard!$B$86</f>
        <v>1.5</v>
      </c>
      <c r="Z72" s="27">
        <f>Dashboard!$B$41</f>
        <v>0</v>
      </c>
      <c r="AA72" s="13">
        <f t="shared" ca="1" si="11"/>
        <v>0</v>
      </c>
    </row>
    <row r="73" spans="1:28" x14ac:dyDescent="0.3">
      <c r="A73" s="17" t="s">
        <v>206</v>
      </c>
      <c r="B73" s="30" t="s">
        <v>18</v>
      </c>
      <c r="C73" s="3" t="s">
        <v>27</v>
      </c>
      <c r="D73" s="27">
        <v>71</v>
      </c>
      <c r="E73" s="27">
        <v>24.733222000000001</v>
      </c>
      <c r="F73" s="13">
        <v>46.564421000000003</v>
      </c>
      <c r="G73" s="13">
        <v>654</v>
      </c>
      <c r="H73" s="27">
        <v>43269</v>
      </c>
      <c r="I73" s="93">
        <f ca="1">H73*Dashboard!$B$5</f>
        <v>66967.591858149855</v>
      </c>
      <c r="J73" s="27">
        <f ca="1">OFFSET(Dashboard!$B$8,MATCH(City!B73,Dashboard!$A$8:$A$20,0)-1,0)</f>
        <v>292</v>
      </c>
      <c r="K73" s="93">
        <f ca="1">I73*J73*0.001*(1-Dashboard!$B$23)</f>
        <v>13688.17577580583</v>
      </c>
      <c r="L73" s="233">
        <f ca="1">I73*J73*0.001*Dashboard!$B$23</f>
        <v>5866.3610467739272</v>
      </c>
      <c r="M73" s="230">
        <f ca="1">IF(G73&gt;=0,H73*J73*0.001*OFFSET(Dashboard!$B$26,MATCH(City!B73,Dashboard!$A$26:$A$38,0)-1,0),0)</f>
        <v>6784.7522760000011</v>
      </c>
      <c r="N73" s="28">
        <f>Dashboard!$B$54</f>
        <v>10</v>
      </c>
      <c r="O73" s="274">
        <f>Dashboard!$C$64</f>
        <v>200</v>
      </c>
      <c r="P73" s="28">
        <f>Dashboard!$B$71</f>
        <v>5</v>
      </c>
      <c r="Q73" s="274">
        <f>Dashboard!$B$85</f>
        <v>0.5</v>
      </c>
      <c r="R73" s="230">
        <f ca="1">(K73+L73)*Dashboard!$B$43</f>
        <v>15643.629458063806</v>
      </c>
      <c r="S73" s="13">
        <f t="shared" si="9"/>
        <v>0</v>
      </c>
      <c r="T73" s="231">
        <f>Dashboard!$B$45</f>
        <v>0.9</v>
      </c>
      <c r="U73" s="93">
        <f t="shared" ca="1" si="10"/>
        <v>0</v>
      </c>
      <c r="V73" s="276">
        <f>Dashboard!$B$55</f>
        <v>3</v>
      </c>
      <c r="W73" s="232">
        <f>Dashboard!$C$65</f>
        <v>100</v>
      </c>
      <c r="X73" s="232">
        <f>Dashboard!$B$72</f>
        <v>0.5</v>
      </c>
      <c r="Y73" s="232">
        <f>Dashboard!$B$86</f>
        <v>1.5</v>
      </c>
      <c r="Z73" s="27">
        <f>Dashboard!$B$41</f>
        <v>0</v>
      </c>
      <c r="AA73" s="13">
        <f t="shared" ca="1" si="11"/>
        <v>0</v>
      </c>
    </row>
    <row r="74" spans="1:28" x14ac:dyDescent="0.3">
      <c r="A74" s="17" t="s">
        <v>18</v>
      </c>
      <c r="B74" s="30" t="s">
        <v>18</v>
      </c>
      <c r="C74" s="3" t="s">
        <v>27</v>
      </c>
      <c r="D74" s="27">
        <v>72</v>
      </c>
      <c r="E74" s="27">
        <v>24.711666999999998</v>
      </c>
      <c r="F74" s="13">
        <v>46.724167000000001</v>
      </c>
      <c r="G74" s="13">
        <v>635</v>
      </c>
      <c r="H74" s="27">
        <v>5188286</v>
      </c>
      <c r="I74" s="93">
        <f ca="1">H74*Dashboard!$B$5</f>
        <v>8029929.4943574583</v>
      </c>
      <c r="J74" s="27">
        <f ca="1">OFFSET(Dashboard!$B$8,MATCH(City!B74,Dashboard!$A$8:$A$20,0)-1,0)</f>
        <v>292</v>
      </c>
      <c r="K74" s="93">
        <f ca="1">I74*J74*0.001*(1-Dashboard!$B$23)</f>
        <v>1641317.5886466645</v>
      </c>
      <c r="L74" s="233">
        <f ca="1">I74*J74*0.001*Dashboard!$B$23</f>
        <v>703421.82370571338</v>
      </c>
      <c r="M74" s="230">
        <f ca="1">IF(G74&gt;=0,H74*J74*0.001*OFFSET(Dashboard!$B$26,MATCH(City!B74,Dashboard!$A$26:$A$38,0)-1,0),0)</f>
        <v>813543.99794400006</v>
      </c>
      <c r="N74" s="28">
        <f>Dashboard!$B$54</f>
        <v>10</v>
      </c>
      <c r="O74" s="274">
        <f>Dashboard!$C$64</f>
        <v>200</v>
      </c>
      <c r="P74" s="28">
        <f>Dashboard!$B$71</f>
        <v>5</v>
      </c>
      <c r="Q74" s="274">
        <f>Dashboard!$B$85</f>
        <v>0.5</v>
      </c>
      <c r="R74" s="230">
        <f ca="1">(K74+L74)*Dashboard!$B$43</f>
        <v>1875791.5298819025</v>
      </c>
      <c r="S74" s="13">
        <f t="shared" si="9"/>
        <v>1</v>
      </c>
      <c r="T74" s="231">
        <f>Dashboard!$B$45</f>
        <v>0.9</v>
      </c>
      <c r="U74" s="93">
        <f t="shared" ca="1" si="10"/>
        <v>770886.9017474103</v>
      </c>
      <c r="V74" s="276">
        <f>Dashboard!$B$55</f>
        <v>3</v>
      </c>
      <c r="W74" s="232">
        <f>Dashboard!$C$65</f>
        <v>100</v>
      </c>
      <c r="X74" s="232">
        <f>Dashboard!$B$72</f>
        <v>0.5</v>
      </c>
      <c r="Y74" s="232">
        <f>Dashboard!$B$86</f>
        <v>1.5</v>
      </c>
      <c r="Z74" s="27">
        <f>Dashboard!$B$41</f>
        <v>0</v>
      </c>
      <c r="AA74" s="13">
        <f t="shared" ca="1" si="11"/>
        <v>0</v>
      </c>
    </row>
    <row r="75" spans="1:28" x14ac:dyDescent="0.3">
      <c r="A75" s="17" t="s">
        <v>204</v>
      </c>
      <c r="B75" s="30" t="s">
        <v>18</v>
      </c>
      <c r="C75" s="3" t="s">
        <v>27</v>
      </c>
      <c r="D75" s="27">
        <v>73</v>
      </c>
      <c r="E75" s="27">
        <v>24.504443999999999</v>
      </c>
      <c r="F75" s="13">
        <v>44.393889000000001</v>
      </c>
      <c r="G75" s="13">
        <v>977</v>
      </c>
      <c r="H75" s="27">
        <v>61834</v>
      </c>
      <c r="I75" s="93">
        <f ca="1">H75*Dashboard!$B$5</f>
        <v>95700.711247240251</v>
      </c>
      <c r="J75" s="27">
        <f ca="1">OFFSET(Dashboard!$B$8,MATCH(City!B75,Dashboard!$A$8:$A$20,0)-1,0)</f>
        <v>292</v>
      </c>
      <c r="K75" s="93">
        <f ca="1">I75*J75*0.001*(1-Dashboard!$B$23)</f>
        <v>19561.225378935906</v>
      </c>
      <c r="L75" s="233">
        <f ca="1">I75*J75*0.001*Dashboard!$B$23</f>
        <v>8383.3823052582466</v>
      </c>
      <c r="M75" s="230">
        <f ca="1">IF(G75&gt;=0,H75*J75*0.001*OFFSET(Dashboard!$B$26,MATCH(City!B75,Dashboard!$A$26:$A$38,0)-1,0),0)</f>
        <v>9695.8185360000025</v>
      </c>
      <c r="N75" s="28">
        <f>Dashboard!$B$54</f>
        <v>10</v>
      </c>
      <c r="O75" s="274">
        <f>Dashboard!$C$64</f>
        <v>200</v>
      </c>
      <c r="P75" s="28">
        <f>Dashboard!$B$71</f>
        <v>5</v>
      </c>
      <c r="Q75" s="274">
        <f>Dashboard!$B$85</f>
        <v>0.5</v>
      </c>
      <c r="R75" s="230">
        <f ca="1">(K75+L75)*Dashboard!$B$43</f>
        <v>22355.686147355325</v>
      </c>
      <c r="S75" s="13">
        <f t="shared" si="9"/>
        <v>1</v>
      </c>
      <c r="T75" s="231">
        <f>Dashboard!$B$45</f>
        <v>0.9</v>
      </c>
      <c r="U75" s="93">
        <f t="shared" ca="1" si="10"/>
        <v>9187.4312022601243</v>
      </c>
      <c r="V75" s="276">
        <f>Dashboard!$B$55</f>
        <v>3</v>
      </c>
      <c r="W75" s="232">
        <f>Dashboard!$C$65</f>
        <v>100</v>
      </c>
      <c r="X75" s="232">
        <f>Dashboard!$B$72</f>
        <v>0.5</v>
      </c>
      <c r="Y75" s="232">
        <f>Dashboard!$B$86</f>
        <v>1.5</v>
      </c>
      <c r="Z75" s="27">
        <f>Dashboard!$B$41</f>
        <v>0</v>
      </c>
      <c r="AA75" s="13">
        <f t="shared" ca="1" si="11"/>
        <v>0</v>
      </c>
    </row>
    <row r="76" spans="1:28" x14ac:dyDescent="0.3">
      <c r="A76" s="17" t="s">
        <v>72</v>
      </c>
      <c r="B76" s="30" t="s">
        <v>18</v>
      </c>
      <c r="C76" s="3" t="s">
        <v>27</v>
      </c>
      <c r="D76" s="27">
        <v>74</v>
      </c>
      <c r="E76" s="27">
        <v>24.481470000000002</v>
      </c>
      <c r="F76" s="13">
        <v>46.255760000000002</v>
      </c>
      <c r="G76" s="13">
        <v>629</v>
      </c>
      <c r="H76" s="27">
        <v>30164</v>
      </c>
      <c r="I76" s="93">
        <f ca="1">H76*Dashboard!$B$5</f>
        <v>46684.934729465262</v>
      </c>
      <c r="J76" s="27">
        <f ca="1">OFFSET(Dashboard!$B$8,MATCH(City!B76,Dashboard!$A$8:$A$20,0)-1,0)</f>
        <v>292</v>
      </c>
      <c r="K76" s="93">
        <f ca="1">I76*J76*0.001*(1-Dashboard!$B$23)</f>
        <v>9542.4006587026997</v>
      </c>
      <c r="L76" s="233">
        <f ca="1">I76*J76*0.001*Dashboard!$B$23</f>
        <v>4089.6002823011572</v>
      </c>
      <c r="M76" s="230">
        <f ca="1">IF(G76&gt;=0,H76*J76*0.001*OFFSET(Dashboard!$B$26,MATCH(City!B76,Dashboard!$A$26:$A$38,0)-1,0),0)</f>
        <v>4729.8358560000006</v>
      </c>
      <c r="N76" s="28">
        <f>Dashboard!$B$54</f>
        <v>10</v>
      </c>
      <c r="O76" s="274">
        <f>Dashboard!$C$64</f>
        <v>200</v>
      </c>
      <c r="P76" s="28">
        <f>Dashboard!$B$71</f>
        <v>5</v>
      </c>
      <c r="Q76" s="274">
        <f>Dashboard!$B$85</f>
        <v>0.5</v>
      </c>
      <c r="R76" s="230">
        <f ca="1">(K76+L76)*Dashboard!$B$43</f>
        <v>10905.600752803086</v>
      </c>
      <c r="S76" s="13">
        <f t="shared" si="9"/>
        <v>0</v>
      </c>
      <c r="T76" s="231">
        <f>Dashboard!$B$45</f>
        <v>0.9</v>
      </c>
      <c r="U76" s="93">
        <f t="shared" ca="1" si="10"/>
        <v>0</v>
      </c>
      <c r="V76" s="276">
        <f>Dashboard!$B$55</f>
        <v>3</v>
      </c>
      <c r="W76" s="232">
        <f>Dashboard!$C$65</f>
        <v>100</v>
      </c>
      <c r="X76" s="232">
        <f>Dashboard!$B$72</f>
        <v>0.5</v>
      </c>
      <c r="Y76" s="232">
        <f>Dashboard!$B$86</f>
        <v>1.5</v>
      </c>
      <c r="Z76" s="27">
        <f>Dashboard!$B$41</f>
        <v>0</v>
      </c>
      <c r="AA76" s="13">
        <f t="shared" ca="1" si="11"/>
        <v>0</v>
      </c>
    </row>
    <row r="77" spans="1:28" x14ac:dyDescent="0.3">
      <c r="A77" s="17" t="s">
        <v>73</v>
      </c>
      <c r="B77" s="30" t="s">
        <v>18</v>
      </c>
      <c r="C77" s="3" t="s">
        <v>27</v>
      </c>
      <c r="D77" s="27">
        <v>75</v>
      </c>
      <c r="E77" s="27">
        <v>24.148330000000001</v>
      </c>
      <c r="F77" s="13">
        <v>47.305</v>
      </c>
      <c r="G77" s="13">
        <v>438</v>
      </c>
      <c r="H77" s="27">
        <v>234607</v>
      </c>
      <c r="I77" s="93">
        <f ca="1">H77*Dashboard!$B$5</f>
        <v>363102.12445549847</v>
      </c>
      <c r="J77" s="27">
        <f ca="1">OFFSET(Dashboard!$B$8,MATCH(City!B77,Dashboard!$A$8:$A$20,0)-1,0)</f>
        <v>292</v>
      </c>
      <c r="K77" s="93">
        <f ca="1">I77*J77*0.001*(1-Dashboard!$B$23)</f>
        <v>74218.074238703892</v>
      </c>
      <c r="L77" s="233">
        <f ca="1">I77*J77*0.001*Dashboard!$B$23</f>
        <v>31807.746102301666</v>
      </c>
      <c r="M77" s="230">
        <f ca="1">IF(G77&gt;=0,H77*J77*0.001*OFFSET(Dashboard!$B$26,MATCH(City!B77,Dashboard!$A$26:$A$38,0)-1,0),0)</f>
        <v>36787.316028000008</v>
      </c>
      <c r="N77" s="28">
        <f>Dashboard!$B$54</f>
        <v>10</v>
      </c>
      <c r="O77" s="274">
        <f>Dashboard!$C$64</f>
        <v>200</v>
      </c>
      <c r="P77" s="28">
        <f>Dashboard!$B$71</f>
        <v>5</v>
      </c>
      <c r="Q77" s="274">
        <f>Dashboard!$B$85</f>
        <v>0.5</v>
      </c>
      <c r="R77" s="230">
        <f ca="1">(K77+L77)*Dashboard!$B$43</f>
        <v>84820.656272804452</v>
      </c>
      <c r="S77" s="13">
        <f t="shared" si="9"/>
        <v>1</v>
      </c>
      <c r="T77" s="231">
        <f>Dashboard!$B$45</f>
        <v>0.9</v>
      </c>
      <c r="U77" s="93">
        <f t="shared" ca="1" si="10"/>
        <v>34858.422098985044</v>
      </c>
      <c r="V77" s="276">
        <f>Dashboard!$B$55</f>
        <v>3</v>
      </c>
      <c r="W77" s="232">
        <f>Dashboard!$C$65</f>
        <v>100</v>
      </c>
      <c r="X77" s="232">
        <f>Dashboard!$B$72</f>
        <v>0.5</v>
      </c>
      <c r="Y77" s="232">
        <f>Dashboard!$B$86</f>
        <v>1.5</v>
      </c>
      <c r="Z77" s="27">
        <f>Dashboard!$B$41</f>
        <v>0</v>
      </c>
      <c r="AA77" s="13">
        <f t="shared" ca="1" si="11"/>
        <v>0</v>
      </c>
    </row>
    <row r="78" spans="1:28" x14ac:dyDescent="0.3">
      <c r="A78" s="17" t="s">
        <v>208</v>
      </c>
      <c r="B78" s="30" t="s">
        <v>18</v>
      </c>
      <c r="C78" s="3" t="s">
        <v>27</v>
      </c>
      <c r="D78" s="27">
        <v>76</v>
      </c>
      <c r="E78" s="27">
        <v>24.046339</v>
      </c>
      <c r="F78" s="13">
        <v>45.265611999999997</v>
      </c>
      <c r="G78" s="13">
        <v>854</v>
      </c>
      <c r="H78" s="27">
        <v>22519</v>
      </c>
      <c r="I78" s="93">
        <f ca="1">H78*Dashboard!$B$5</f>
        <v>34852.739861186456</v>
      </c>
      <c r="J78" s="27">
        <f ca="1">OFFSET(Dashboard!$B$8,MATCH(City!B78,Dashboard!$A$8:$A$20,0)-1,0)</f>
        <v>292</v>
      </c>
      <c r="K78" s="93">
        <f ca="1">I78*J78*0.001*(1-Dashboard!$B$23)</f>
        <v>7123.9000276265106</v>
      </c>
      <c r="L78" s="233">
        <f ca="1">I78*J78*0.001*Dashboard!$B$23</f>
        <v>3053.1000118399329</v>
      </c>
      <c r="M78" s="230">
        <f ca="1">IF(G78&gt;=0,H78*J78*0.001*OFFSET(Dashboard!$B$26,MATCH(City!B78,Dashboard!$A$26:$A$38,0)-1,0),0)</f>
        <v>3531.0692760000002</v>
      </c>
      <c r="N78" s="28">
        <f>Dashboard!$B$54</f>
        <v>10</v>
      </c>
      <c r="O78" s="274">
        <f>Dashboard!$C$64</f>
        <v>200</v>
      </c>
      <c r="P78" s="28">
        <f>Dashboard!$B$71</f>
        <v>5</v>
      </c>
      <c r="Q78" s="274">
        <f>Dashboard!$B$85</f>
        <v>0.5</v>
      </c>
      <c r="R78" s="230">
        <f ca="1">(K78+L78)*Dashboard!$B$43</f>
        <v>8141.6000315731553</v>
      </c>
      <c r="S78" s="13">
        <f t="shared" si="9"/>
        <v>0</v>
      </c>
      <c r="T78" s="231">
        <f>Dashboard!$B$45</f>
        <v>0.9</v>
      </c>
      <c r="U78" s="93">
        <f t="shared" ca="1" si="10"/>
        <v>0</v>
      </c>
      <c r="V78" s="276">
        <f>Dashboard!$B$55</f>
        <v>3</v>
      </c>
      <c r="W78" s="232">
        <f>Dashboard!$C$65</f>
        <v>100</v>
      </c>
      <c r="X78" s="232">
        <f>Dashboard!$B$72</f>
        <v>0.5</v>
      </c>
      <c r="Y78" s="232">
        <f>Dashboard!$B$86</f>
        <v>1.5</v>
      </c>
      <c r="Z78" s="27">
        <f>Dashboard!$B$41</f>
        <v>0</v>
      </c>
      <c r="AA78" s="13">
        <f t="shared" ca="1" si="11"/>
        <v>0</v>
      </c>
    </row>
    <row r="79" spans="1:28" x14ac:dyDescent="0.3">
      <c r="A79" s="17" t="s">
        <v>205</v>
      </c>
      <c r="B79" s="30" t="s">
        <v>18</v>
      </c>
      <c r="C79" s="3" t="s">
        <v>27</v>
      </c>
      <c r="D79" s="27">
        <v>77</v>
      </c>
      <c r="E79" s="27">
        <v>23.993521000000001</v>
      </c>
      <c r="F79" s="13">
        <v>47.174129000000001</v>
      </c>
      <c r="G79" s="13">
        <v>446</v>
      </c>
      <c r="H79" s="27">
        <v>40114</v>
      </c>
      <c r="I79" s="93">
        <f ca="1">H79*Dashboard!$B$5</f>
        <v>62084.586650900725</v>
      </c>
      <c r="J79" s="27">
        <f ca="1">OFFSET(Dashboard!$B$8,MATCH(City!B79,Dashboard!$A$8:$A$20,0)-1,0)</f>
        <v>292</v>
      </c>
      <c r="K79" s="93">
        <f ca="1">I79*J79*0.001*(1-Dashboard!$B$23)</f>
        <v>12690.089511444106</v>
      </c>
      <c r="L79" s="233">
        <f ca="1">I79*J79*0.001*Dashboard!$B$23</f>
        <v>5438.6097906189034</v>
      </c>
      <c r="M79" s="230">
        <f ca="1">IF(G79&gt;=0,H79*J79*0.001*OFFSET(Dashboard!$B$26,MATCH(City!B79,Dashboard!$A$26:$A$38,0)-1,0),0)</f>
        <v>6290.0356560000009</v>
      </c>
      <c r="N79" s="28">
        <f>Dashboard!$B$54</f>
        <v>10</v>
      </c>
      <c r="O79" s="274">
        <f>Dashboard!$C$64</f>
        <v>200</v>
      </c>
      <c r="P79" s="28">
        <f>Dashboard!$B$71</f>
        <v>5</v>
      </c>
      <c r="Q79" s="274">
        <f>Dashboard!$B$85</f>
        <v>0.5</v>
      </c>
      <c r="R79" s="230">
        <f ca="1">(K79+L79)*Dashboard!$B$43</f>
        <v>14502.95944165041</v>
      </c>
      <c r="S79" s="13">
        <f t="shared" si="9"/>
        <v>0</v>
      </c>
      <c r="T79" s="231">
        <f>Dashboard!$B$45</f>
        <v>0.9</v>
      </c>
      <c r="U79" s="93">
        <f t="shared" ca="1" si="10"/>
        <v>0</v>
      </c>
      <c r="V79" s="276">
        <f>Dashboard!$B$55</f>
        <v>3</v>
      </c>
      <c r="W79" s="232">
        <f>Dashboard!$C$65</f>
        <v>100</v>
      </c>
      <c r="X79" s="232">
        <f>Dashboard!$B$72</f>
        <v>0.5</v>
      </c>
      <c r="Y79" s="232">
        <f>Dashboard!$B$86</f>
        <v>1.5</v>
      </c>
      <c r="Z79" s="27">
        <f>Dashboard!$B$41</f>
        <v>0</v>
      </c>
      <c r="AA79" s="13">
        <f t="shared" ca="1" si="11"/>
        <v>0</v>
      </c>
    </row>
    <row r="80" spans="1:28" x14ac:dyDescent="0.3">
      <c r="A80" s="17" t="s">
        <v>207</v>
      </c>
      <c r="B80" s="30" t="s">
        <v>18</v>
      </c>
      <c r="C80" s="3" t="s">
        <v>27</v>
      </c>
      <c r="D80" s="27">
        <v>78</v>
      </c>
      <c r="E80" s="27">
        <v>23.91</v>
      </c>
      <c r="F80" s="13">
        <v>42.920278000000003</v>
      </c>
      <c r="G80" s="13">
        <v>1048</v>
      </c>
      <c r="H80" s="27">
        <v>45525</v>
      </c>
      <c r="I80" s="93">
        <f ca="1">H80*Dashboard!$B$5</f>
        <v>70459.211429482355</v>
      </c>
      <c r="J80" s="27">
        <f ca="1">OFFSET(Dashboard!$B$8,MATCH(City!B80,Dashboard!$A$8:$A$20,0)-1,0)</f>
        <v>292</v>
      </c>
      <c r="K80" s="93">
        <f ca="1">I80*J80*0.001*(1-Dashboard!$B$23)</f>
        <v>14401.862816186191</v>
      </c>
      <c r="L80" s="233">
        <f ca="1">I80*J80*0.001*Dashboard!$B$23</f>
        <v>6172.2269212226538</v>
      </c>
      <c r="M80" s="230">
        <f ca="1">IF(G80&gt;=0,H80*J80*0.001*OFFSET(Dashboard!$B$26,MATCH(City!B80,Dashboard!$A$26:$A$38,0)-1,0),0)</f>
        <v>7138.5021000000006</v>
      </c>
      <c r="N80" s="28">
        <f>Dashboard!$B$54</f>
        <v>10</v>
      </c>
      <c r="O80" s="274">
        <f>Dashboard!$C$64</f>
        <v>200</v>
      </c>
      <c r="P80" s="28">
        <f>Dashboard!$B$71</f>
        <v>5</v>
      </c>
      <c r="Q80" s="274">
        <f>Dashboard!$B$85</f>
        <v>0.5</v>
      </c>
      <c r="R80" s="230">
        <f ca="1">(K80+L80)*Dashboard!$B$43</f>
        <v>16459.271789927076</v>
      </c>
      <c r="S80" s="13">
        <f t="shared" si="9"/>
        <v>0</v>
      </c>
      <c r="T80" s="231">
        <f>Dashboard!$B$45</f>
        <v>0.9</v>
      </c>
      <c r="U80" s="93">
        <f t="shared" ca="1" si="10"/>
        <v>0</v>
      </c>
      <c r="V80" s="276">
        <f>Dashboard!$B$55</f>
        <v>3</v>
      </c>
      <c r="W80" s="232">
        <f>Dashboard!$C$65</f>
        <v>100</v>
      </c>
      <c r="X80" s="232">
        <f>Dashboard!$B$72</f>
        <v>0.5</v>
      </c>
      <c r="Y80" s="232">
        <f>Dashboard!$B$86</f>
        <v>1.5</v>
      </c>
      <c r="Z80" s="27">
        <f>Dashboard!$B$41</f>
        <v>0</v>
      </c>
      <c r="AA80" s="13">
        <f t="shared" ca="1" si="11"/>
        <v>0</v>
      </c>
    </row>
    <row r="81" spans="1:28" x14ac:dyDescent="0.3">
      <c r="A81" s="17" t="s">
        <v>74</v>
      </c>
      <c r="B81" s="30" t="s">
        <v>18</v>
      </c>
      <c r="C81" s="3" t="s">
        <v>27</v>
      </c>
      <c r="D81" s="27">
        <v>79</v>
      </c>
      <c r="E81" s="27">
        <v>23.525188</v>
      </c>
      <c r="F81" s="13">
        <v>46.844661000000002</v>
      </c>
      <c r="G81" s="13">
        <v>616</v>
      </c>
      <c r="H81" s="27">
        <v>26270</v>
      </c>
      <c r="I81" s="93">
        <f ca="1">H81*Dashboard!$B$5</f>
        <v>40658.176480011018</v>
      </c>
      <c r="J81" s="27">
        <f ca="1">OFFSET(Dashboard!$B$8,MATCH(City!B81,Dashboard!$A$8:$A$20,0)-1,0)</f>
        <v>292</v>
      </c>
      <c r="K81" s="93">
        <f ca="1">I81*J81*0.001*(1-Dashboard!$B$23)</f>
        <v>8310.5312725142521</v>
      </c>
      <c r="L81" s="233">
        <f ca="1">I81*J81*0.001*Dashboard!$B$23</f>
        <v>3561.6562596489653</v>
      </c>
      <c r="M81" s="230">
        <f ca="1">IF(G81&gt;=0,H81*J81*0.001*OFFSET(Dashboard!$B$26,MATCH(City!B81,Dashboard!$A$26:$A$38,0)-1,0),0)</f>
        <v>4119.2410800000007</v>
      </c>
      <c r="N81" s="28">
        <f>Dashboard!$B$54</f>
        <v>10</v>
      </c>
      <c r="O81" s="274">
        <f>Dashboard!$C$64</f>
        <v>200</v>
      </c>
      <c r="P81" s="28">
        <f>Dashboard!$B$71</f>
        <v>5</v>
      </c>
      <c r="Q81" s="274">
        <f>Dashboard!$B$85</f>
        <v>0.5</v>
      </c>
      <c r="R81" s="230">
        <f ca="1">(K81+L81)*Dashboard!$B$43</f>
        <v>9497.7500257305746</v>
      </c>
      <c r="S81" s="13">
        <f t="shared" si="9"/>
        <v>0</v>
      </c>
      <c r="T81" s="231">
        <f>Dashboard!$B$45</f>
        <v>0.9</v>
      </c>
      <c r="U81" s="93">
        <f t="shared" ca="1" si="10"/>
        <v>0</v>
      </c>
      <c r="V81" s="276">
        <f>Dashboard!$B$55</f>
        <v>3</v>
      </c>
      <c r="W81" s="232">
        <f>Dashboard!$C$65</f>
        <v>100</v>
      </c>
      <c r="X81" s="232">
        <f>Dashboard!$B$72</f>
        <v>0.5</v>
      </c>
      <c r="Y81" s="232">
        <f>Dashboard!$B$86</f>
        <v>1.5</v>
      </c>
      <c r="Z81" s="27">
        <f>Dashboard!$B$41</f>
        <v>0</v>
      </c>
      <c r="AA81" s="13">
        <f t="shared" ca="1" si="11"/>
        <v>0</v>
      </c>
    </row>
    <row r="82" spans="1:28" x14ac:dyDescent="0.3">
      <c r="A82" s="17" t="s">
        <v>102</v>
      </c>
      <c r="B82" s="30" t="s">
        <v>18</v>
      </c>
      <c r="C82" s="3" t="s">
        <v>27</v>
      </c>
      <c r="D82" s="27">
        <v>80</v>
      </c>
      <c r="E82" s="27">
        <v>22.283332999999999</v>
      </c>
      <c r="F82" s="13">
        <v>46.733333000000002</v>
      </c>
      <c r="G82" s="13">
        <v>538</v>
      </c>
      <c r="H82" s="27">
        <v>30906</v>
      </c>
      <c r="I82" s="93">
        <f ca="1">H82*Dashboard!$B$5</f>
        <v>47833.330882802453</v>
      </c>
      <c r="J82" s="27">
        <f ca="1">OFFSET(Dashboard!$B$8,MATCH(City!B82,Dashboard!$A$8:$A$20,0)-1,0)</f>
        <v>292</v>
      </c>
      <c r="K82" s="93">
        <f ca="1">I82*J82*0.001*(1-Dashboard!$B$23)</f>
        <v>9777.1328324448205</v>
      </c>
      <c r="L82" s="233">
        <f ca="1">I82*J82*0.001*Dashboard!$B$23</f>
        <v>4190.1997853334951</v>
      </c>
      <c r="M82" s="230">
        <f ca="1">IF(G82&gt;=0,H82*J82*0.001*OFFSET(Dashboard!$B$26,MATCH(City!B82,Dashboard!$A$26:$A$38,0)-1,0),0)</f>
        <v>4846.184424</v>
      </c>
      <c r="N82" s="28">
        <f>Dashboard!$B$54</f>
        <v>10</v>
      </c>
      <c r="O82" s="274">
        <f>Dashboard!$C$64</f>
        <v>200</v>
      </c>
      <c r="P82" s="28">
        <f>Dashboard!$B$71</f>
        <v>5</v>
      </c>
      <c r="Q82" s="274">
        <f>Dashboard!$B$85</f>
        <v>0.5</v>
      </c>
      <c r="R82" s="230">
        <f ca="1">(K82+L82)*Dashboard!$B$43</f>
        <v>11173.866094222654</v>
      </c>
      <c r="S82" s="13">
        <f t="shared" si="9"/>
        <v>0</v>
      </c>
      <c r="T82" s="231">
        <f>Dashboard!$B$45</f>
        <v>0.9</v>
      </c>
      <c r="U82" s="93">
        <f t="shared" ca="1" si="10"/>
        <v>0</v>
      </c>
      <c r="V82" s="276">
        <f>Dashboard!$B$55</f>
        <v>3</v>
      </c>
      <c r="W82" s="232">
        <f>Dashboard!$C$65</f>
        <v>100</v>
      </c>
      <c r="X82" s="232">
        <f>Dashboard!$B$72</f>
        <v>0.5</v>
      </c>
      <c r="Y82" s="232">
        <f>Dashboard!$B$86</f>
        <v>1.5</v>
      </c>
      <c r="Z82" s="27">
        <f>Dashboard!$B$41</f>
        <v>0</v>
      </c>
      <c r="AA82" s="13">
        <f t="shared" ca="1" si="11"/>
        <v>0</v>
      </c>
    </row>
    <row r="83" spans="1:28" x14ac:dyDescent="0.3">
      <c r="A83" s="17" t="s">
        <v>124</v>
      </c>
      <c r="B83" s="30" t="s">
        <v>18</v>
      </c>
      <c r="C83" s="3" t="s">
        <v>27</v>
      </c>
      <c r="D83" s="27">
        <v>81</v>
      </c>
      <c r="E83" s="27">
        <v>20.471997999999999</v>
      </c>
      <c r="F83" s="13">
        <v>44.785584</v>
      </c>
      <c r="G83" s="13">
        <v>684</v>
      </c>
      <c r="H83" s="27">
        <v>93036</v>
      </c>
      <c r="I83" s="93">
        <f ca="1">H83*Dashboard!$B$5</f>
        <v>143992.16242840904</v>
      </c>
      <c r="J83" s="27">
        <f ca="1">OFFSET(Dashboard!$B$8,MATCH(City!B83,Dashboard!$A$8:$A$20,0)-1,0)</f>
        <v>292</v>
      </c>
      <c r="K83" s="93">
        <f ca="1">I83*J83*0.001*(1-Dashboard!$B$23)</f>
        <v>29431.998000366806</v>
      </c>
      <c r="L83" s="233">
        <f ca="1">I83*J83*0.001*Dashboard!$B$23</f>
        <v>12613.713428728632</v>
      </c>
      <c r="M83" s="230">
        <f ca="1">IF(G83&gt;=0,H83*J83*0.001*OFFSET(Dashboard!$B$26,MATCH(City!B83,Dashboard!$A$26:$A$38,0)-1,0),0)</f>
        <v>14588.416944000001</v>
      </c>
      <c r="N83" s="28">
        <f>Dashboard!$B$54</f>
        <v>10</v>
      </c>
      <c r="O83" s="274">
        <f>Dashboard!$C$64</f>
        <v>200</v>
      </c>
      <c r="P83" s="28">
        <f>Dashboard!$B$71</f>
        <v>5</v>
      </c>
      <c r="Q83" s="274">
        <f>Dashboard!$B$85</f>
        <v>0.5</v>
      </c>
      <c r="R83" s="230">
        <f ca="1">(K83+L83)*Dashboard!$B$43</f>
        <v>33636.569143276349</v>
      </c>
      <c r="S83" s="13">
        <f t="shared" si="9"/>
        <v>1</v>
      </c>
      <c r="T83" s="231">
        <f>Dashboard!$B$45</f>
        <v>0.9</v>
      </c>
      <c r="U83" s="93">
        <f t="shared" ca="1" si="10"/>
        <v>13823.492727843464</v>
      </c>
      <c r="V83" s="276">
        <f>Dashboard!$B$55</f>
        <v>3</v>
      </c>
      <c r="W83" s="232">
        <f>Dashboard!$C$65</f>
        <v>100</v>
      </c>
      <c r="X83" s="232">
        <f>Dashboard!$B$72</f>
        <v>0.5</v>
      </c>
      <c r="Y83" s="232">
        <f>Dashboard!$B$86</f>
        <v>1.5</v>
      </c>
      <c r="Z83" s="27">
        <f>Dashboard!$B$41</f>
        <v>0</v>
      </c>
      <c r="AA83" s="13">
        <f t="shared" ca="1" si="11"/>
        <v>0</v>
      </c>
    </row>
    <row r="84" spans="1:28" s="117" customFormat="1" x14ac:dyDescent="0.3">
      <c r="A84" s="115" t="s">
        <v>209</v>
      </c>
      <c r="B84" s="235" t="s">
        <v>18</v>
      </c>
      <c r="C84" s="236" t="s">
        <v>27</v>
      </c>
      <c r="D84" s="116">
        <v>82</v>
      </c>
      <c r="E84" s="116">
        <v>20.459721999999999</v>
      </c>
      <c r="F84" s="117">
        <v>45.574444</v>
      </c>
      <c r="G84" s="117">
        <v>606</v>
      </c>
      <c r="H84" s="116">
        <v>26639</v>
      </c>
      <c r="I84" s="127">
        <f ca="1">H84*Dashboard!$B$5</f>
        <v>41229.279149258226</v>
      </c>
      <c r="J84" s="116">
        <f ca="1">OFFSET(Dashboard!$B$8,MATCH(City!B84,Dashboard!$A$8:$A$20,0)-1,0)</f>
        <v>292</v>
      </c>
      <c r="K84" s="127">
        <f ca="1">I84*J84*0.001*(1-Dashboard!$B$23)</f>
        <v>8427.2646581083827</v>
      </c>
      <c r="L84" s="237">
        <f ca="1">I84*J84*0.001*Dashboard!$B$23</f>
        <v>3611.6848534750211</v>
      </c>
      <c r="M84" s="238">
        <f ca="1">IF(G84&gt;=0,H84*J84*0.001*OFFSET(Dashboard!$B$26,MATCH(City!B84,Dashboard!$A$26:$A$38,0)-1,0),0)</f>
        <v>4177.101756</v>
      </c>
      <c r="N84" s="117">
        <f>Dashboard!$B$54</f>
        <v>10</v>
      </c>
      <c r="O84" s="285">
        <f>Dashboard!$C$64</f>
        <v>200</v>
      </c>
      <c r="P84" s="117">
        <f>Dashboard!$B$71</f>
        <v>5</v>
      </c>
      <c r="Q84" s="285">
        <f>Dashboard!$B$85</f>
        <v>0.5</v>
      </c>
      <c r="R84" s="238">
        <f ca="1">(K84+L84)*Dashboard!$B$43</f>
        <v>9631.1596092667223</v>
      </c>
      <c r="S84" s="117">
        <f t="shared" si="9"/>
        <v>0</v>
      </c>
      <c r="T84" s="286">
        <f>Dashboard!$B$45</f>
        <v>0.9</v>
      </c>
      <c r="U84" s="127">
        <f t="shared" ca="1" si="10"/>
        <v>0</v>
      </c>
      <c r="V84" s="277">
        <f>Dashboard!$B$55</f>
        <v>3</v>
      </c>
      <c r="W84" s="239">
        <f>Dashboard!$C$65</f>
        <v>100</v>
      </c>
      <c r="X84" s="239">
        <f>Dashboard!$B$72</f>
        <v>0.5</v>
      </c>
      <c r="Y84" s="239">
        <f>Dashboard!$B$86</f>
        <v>1.5</v>
      </c>
      <c r="Z84" s="116">
        <f>Dashboard!$B$41</f>
        <v>0</v>
      </c>
      <c r="AA84" s="117">
        <f t="shared" ca="1" si="11"/>
        <v>0</v>
      </c>
      <c r="AB84" s="116"/>
    </row>
    <row r="85" spans="1:28" x14ac:dyDescent="0.3">
      <c r="A85" s="17" t="s">
        <v>122</v>
      </c>
      <c r="B85" s="30" t="s">
        <v>40</v>
      </c>
      <c r="C85" s="3" t="s">
        <v>32</v>
      </c>
      <c r="D85" s="27">
        <v>83</v>
      </c>
      <c r="E85" s="27">
        <v>26.526067999999999</v>
      </c>
      <c r="F85" s="13">
        <v>43.687890000000003</v>
      </c>
      <c r="G85" s="13">
        <v>660</v>
      </c>
      <c r="H85" s="29">
        <v>33042</v>
      </c>
      <c r="I85" s="93">
        <f ca="1">H85*Dashboard!$B$5</f>
        <v>51139.226008851314</v>
      </c>
      <c r="J85" s="27">
        <f ca="1">OFFSET(Dashboard!$B$8,MATCH(City!B85,Dashboard!$A$8:$A$20,0)-1,0)</f>
        <v>263</v>
      </c>
      <c r="K85" s="93">
        <f ca="1">I85*J85*0.001*(1-Dashboard!$B$23)</f>
        <v>9414.7315082295263</v>
      </c>
      <c r="L85" s="233">
        <f ca="1">I85*J85*0.001*Dashboard!$B$23</f>
        <v>4034.8849320983686</v>
      </c>
      <c r="M85" s="230">
        <f ca="1">IF(G85&gt;=0,H85*J85*0.001*OFFSET(Dashboard!$B$26,MATCH(City!B85,Dashboard!$A$26:$A$38,0)-1,0),0)</f>
        <v>8081.7427800000005</v>
      </c>
      <c r="N85" s="28">
        <f>Dashboard!$B$54</f>
        <v>10</v>
      </c>
      <c r="O85" s="274">
        <f>Dashboard!$C$64</f>
        <v>200</v>
      </c>
      <c r="P85" s="28">
        <f>Dashboard!$B$71</f>
        <v>5</v>
      </c>
      <c r="Q85" s="274">
        <f>Dashboard!$B$85</f>
        <v>0.5</v>
      </c>
      <c r="R85" s="230">
        <f ca="1">(K85+L85)*Dashboard!$B$43</f>
        <v>10759.693152262316</v>
      </c>
      <c r="S85" s="13">
        <f t="shared" si="9"/>
        <v>0</v>
      </c>
      <c r="T85" s="231">
        <f>Dashboard!$B$45</f>
        <v>0.9</v>
      </c>
      <c r="U85" s="93">
        <f ca="1">131500*R85/($R$86+$R$88+$R$90)*S85</f>
        <v>0</v>
      </c>
      <c r="V85" s="276">
        <f>Dashboard!$B$55</f>
        <v>3</v>
      </c>
      <c r="W85" s="232">
        <f>Dashboard!$C$65</f>
        <v>100</v>
      </c>
      <c r="X85" s="232">
        <f>Dashboard!$B$72</f>
        <v>0.5</v>
      </c>
      <c r="Y85" s="232">
        <f>Dashboard!$B$86</f>
        <v>1.5</v>
      </c>
      <c r="Z85" s="27">
        <f>Dashboard!$B$41</f>
        <v>0</v>
      </c>
      <c r="AA85" s="13">
        <f t="shared" ca="1" si="11"/>
        <v>0</v>
      </c>
    </row>
    <row r="86" spans="1:28" x14ac:dyDescent="0.3">
      <c r="A86" s="17" t="s">
        <v>6</v>
      </c>
      <c r="B86" s="30" t="s">
        <v>40</v>
      </c>
      <c r="C86" s="3" t="s">
        <v>32</v>
      </c>
      <c r="D86" s="27">
        <v>84</v>
      </c>
      <c r="E86" s="27">
        <v>26.333333</v>
      </c>
      <c r="F86" s="13">
        <v>43.966667000000001</v>
      </c>
      <c r="G86" s="13">
        <v>624</v>
      </c>
      <c r="H86" s="27">
        <v>467410</v>
      </c>
      <c r="I86" s="93">
        <f ca="1">H86*Dashboard!$B$5</f>
        <v>723412.19141689944</v>
      </c>
      <c r="J86" s="27">
        <f ca="1">OFFSET(Dashboard!$B$8,MATCH(City!B86,Dashboard!$A$8:$A$20,0)-1,0)</f>
        <v>263</v>
      </c>
      <c r="K86" s="93">
        <f ca="1">I86*J86*0.001*(1-Dashboard!$B$23)</f>
        <v>133180.18443985117</v>
      </c>
      <c r="L86" s="233">
        <f ca="1">I86*J86*0.001*Dashboard!$B$23</f>
        <v>57077.221902793361</v>
      </c>
      <c r="M86" s="230">
        <f ca="1">IF(G86&gt;=0,H86*J86*0.001*OFFSET(Dashboard!$B$26,MATCH(City!B86,Dashboard!$A$26:$A$38,0)-1,0),0)</f>
        <v>114323.8119</v>
      </c>
      <c r="N86" s="28">
        <f>Dashboard!$B$54</f>
        <v>10</v>
      </c>
      <c r="O86" s="274">
        <f>Dashboard!$C$64</f>
        <v>200</v>
      </c>
      <c r="P86" s="28">
        <f>Dashboard!$B$71</f>
        <v>5</v>
      </c>
      <c r="Q86" s="274">
        <f>Dashboard!$B$85</f>
        <v>0.5</v>
      </c>
      <c r="R86" s="230">
        <f ca="1">(K86+L86)*Dashboard!$B$43</f>
        <v>152205.92507411563</v>
      </c>
      <c r="S86" s="13">
        <f t="shared" si="9"/>
        <v>1</v>
      </c>
      <c r="T86" s="231">
        <f>Dashboard!$B$45</f>
        <v>0.9</v>
      </c>
      <c r="U86" s="93">
        <f t="shared" ref="U86:U91" ca="1" si="12">131500*R86/($R$86+$R$88+$R$90)*S86</f>
        <v>86228.812608199136</v>
      </c>
      <c r="V86" s="276">
        <f>Dashboard!$B$55</f>
        <v>3</v>
      </c>
      <c r="W86" s="232">
        <f>Dashboard!$C$65</f>
        <v>100</v>
      </c>
      <c r="X86" s="232">
        <f>Dashboard!$B$72</f>
        <v>0.5</v>
      </c>
      <c r="Y86" s="232">
        <f>Dashboard!$B$86</f>
        <v>1.5</v>
      </c>
      <c r="Z86" s="27">
        <f>Dashboard!$B$41</f>
        <v>0</v>
      </c>
      <c r="AA86" s="13">
        <f t="shared" ca="1" si="11"/>
        <v>0</v>
      </c>
    </row>
    <row r="87" spans="1:28" x14ac:dyDescent="0.3">
      <c r="A87" s="17" t="s">
        <v>212</v>
      </c>
      <c r="B87" s="30" t="s">
        <v>40</v>
      </c>
      <c r="C87" s="3" t="s">
        <v>32</v>
      </c>
      <c r="D87" s="27">
        <v>85</v>
      </c>
      <c r="E87" s="27">
        <v>26.126418999999999</v>
      </c>
      <c r="F87" s="13">
        <v>43.69088</v>
      </c>
      <c r="G87" s="13">
        <v>658</v>
      </c>
      <c r="H87" s="30">
        <v>29547</v>
      </c>
      <c r="I87" s="93">
        <f ca="1">H87*Dashboard!$B$5</f>
        <v>45730.001539965189</v>
      </c>
      <c r="J87" s="27">
        <f ca="1">OFFSET(Dashboard!$B$8,MATCH(City!B87,Dashboard!$A$8:$A$20,0)-1,0)</f>
        <v>263</v>
      </c>
      <c r="K87" s="93">
        <f ca="1">I87*J87*0.001*(1-Dashboard!$B$23)</f>
        <v>8418.8932835075921</v>
      </c>
      <c r="L87" s="233">
        <f ca="1">I87*J87*0.001*Dashboard!$B$23</f>
        <v>3608.0971215032537</v>
      </c>
      <c r="M87" s="230">
        <f ca="1">IF(G87&gt;=0,H87*J87*0.001*OFFSET(Dashboard!$B$26,MATCH(City!B87,Dashboard!$A$26:$A$38,0)-1,0),0)</f>
        <v>7226.9007300000003</v>
      </c>
      <c r="N87" s="28">
        <f>Dashboard!$B$54</f>
        <v>10</v>
      </c>
      <c r="O87" s="274">
        <f>Dashboard!$C$64</f>
        <v>200</v>
      </c>
      <c r="P87" s="28">
        <f>Dashboard!$B$71</f>
        <v>5</v>
      </c>
      <c r="Q87" s="274">
        <f>Dashboard!$B$85</f>
        <v>0.5</v>
      </c>
      <c r="R87" s="230">
        <f ca="1">(K87+L87)*Dashboard!$B$43</f>
        <v>9621.5923240086759</v>
      </c>
      <c r="S87" s="13">
        <f t="shared" si="9"/>
        <v>0</v>
      </c>
      <c r="T87" s="231">
        <f>Dashboard!$B$45</f>
        <v>0.9</v>
      </c>
      <c r="U87" s="93">
        <f t="shared" ca="1" si="12"/>
        <v>0</v>
      </c>
      <c r="V87" s="276">
        <f>Dashboard!$B$55</f>
        <v>3</v>
      </c>
      <c r="W87" s="232">
        <f>Dashboard!$C$65</f>
        <v>100</v>
      </c>
      <c r="X87" s="232">
        <f>Dashboard!$B$72</f>
        <v>0.5</v>
      </c>
      <c r="Y87" s="232">
        <f>Dashboard!$B$86</f>
        <v>1.5</v>
      </c>
      <c r="Z87" s="27">
        <f>Dashboard!$B$41</f>
        <v>0</v>
      </c>
      <c r="AA87" s="13">
        <f t="shared" ca="1" si="11"/>
        <v>0</v>
      </c>
    </row>
    <row r="88" spans="1:28" x14ac:dyDescent="0.3">
      <c r="A88" s="17" t="s">
        <v>21</v>
      </c>
      <c r="B88" s="30" t="s">
        <v>40</v>
      </c>
      <c r="C88" s="3" t="s">
        <v>32</v>
      </c>
      <c r="D88" s="27">
        <v>86</v>
      </c>
      <c r="E88" s="27">
        <v>26.084761</v>
      </c>
      <c r="F88" s="13">
        <v>43.994301</v>
      </c>
      <c r="G88" s="13">
        <v>665</v>
      </c>
      <c r="H88" s="27">
        <v>152895</v>
      </c>
      <c r="I88" s="93">
        <f ca="1">H88*Dashboard!$B$5</f>
        <v>236636.15884702263</v>
      </c>
      <c r="J88" s="27">
        <f ca="1">OFFSET(Dashboard!$B$8,MATCH(City!B88,Dashboard!$A$8:$A$20,0)-1,0)</f>
        <v>263</v>
      </c>
      <c r="K88" s="93">
        <f ca="1">I88*J88*0.001*(1-Dashboard!$B$23)</f>
        <v>43564.716843736867</v>
      </c>
      <c r="L88" s="233">
        <f ca="1">I88*J88*0.001*Dashboard!$B$23</f>
        <v>18670.592933030086</v>
      </c>
      <c r="M88" s="230">
        <f ca="1">IF(G88&gt;=0,H88*J88*0.001*OFFSET(Dashboard!$B$26,MATCH(City!B88,Dashboard!$A$26:$A$38,0)-1,0),0)</f>
        <v>37396.588050000006</v>
      </c>
      <c r="N88" s="28">
        <f>Dashboard!$B$54</f>
        <v>10</v>
      </c>
      <c r="O88" s="274">
        <f>Dashboard!$C$64</f>
        <v>200</v>
      </c>
      <c r="P88" s="28">
        <f>Dashboard!$B$71</f>
        <v>5</v>
      </c>
      <c r="Q88" s="274">
        <f>Dashboard!$B$85</f>
        <v>0.5</v>
      </c>
      <c r="R88" s="230">
        <f ca="1">(K88+L88)*Dashboard!$B$43</f>
        <v>49788.247821413563</v>
      </c>
      <c r="S88" s="13">
        <f t="shared" si="9"/>
        <v>1</v>
      </c>
      <c r="T88" s="231">
        <f>Dashboard!$B$45</f>
        <v>0.9</v>
      </c>
      <c r="U88" s="93">
        <f t="shared" ca="1" si="12"/>
        <v>28206.401882139042</v>
      </c>
      <c r="V88" s="276">
        <f>Dashboard!$B$55</f>
        <v>3</v>
      </c>
      <c r="W88" s="232">
        <f>Dashboard!$C$65</f>
        <v>100</v>
      </c>
      <c r="X88" s="232">
        <f>Dashboard!$B$72</f>
        <v>0.5</v>
      </c>
      <c r="Y88" s="232">
        <f>Dashboard!$B$86</f>
        <v>1.5</v>
      </c>
      <c r="Z88" s="27">
        <f>Dashboard!$B$41</f>
        <v>0</v>
      </c>
      <c r="AA88" s="13">
        <f t="shared" ca="1" si="11"/>
        <v>0</v>
      </c>
    </row>
    <row r="89" spans="1:28" x14ac:dyDescent="0.3">
      <c r="A89" s="17" t="s">
        <v>211</v>
      </c>
      <c r="B89" s="30" t="s">
        <v>40</v>
      </c>
      <c r="C89" s="3" t="s">
        <v>32</v>
      </c>
      <c r="D89" s="27">
        <v>87</v>
      </c>
      <c r="E89" s="27">
        <v>25.981179999999998</v>
      </c>
      <c r="F89" s="13">
        <v>43.733409000000002</v>
      </c>
      <c r="G89" s="13">
        <v>668</v>
      </c>
      <c r="H89" s="30">
        <v>46620</v>
      </c>
      <c r="I89" s="93">
        <f ca="1">H89*Dashboard!$B$5</f>
        <v>72153.946992695608</v>
      </c>
      <c r="J89" s="27">
        <f ca="1">OFFSET(Dashboard!$B$8,MATCH(City!B89,Dashboard!$A$8:$A$20,0)-1,0)</f>
        <v>263</v>
      </c>
      <c r="K89" s="93">
        <f ca="1">I89*J89*0.001*(1-Dashboard!$B$23)</f>
        <v>13283.541641355263</v>
      </c>
      <c r="L89" s="233">
        <f ca="1">I89*J89*0.001*Dashboard!$B$23</f>
        <v>5692.9464177236841</v>
      </c>
      <c r="M89" s="230">
        <f ca="1">IF(G89&gt;=0,H89*J89*0.001*OFFSET(Dashboard!$B$26,MATCH(City!B89,Dashboard!$A$26:$A$38,0)-1,0),0)</f>
        <v>11402.7858</v>
      </c>
      <c r="N89" s="28">
        <f>Dashboard!$B$54</f>
        <v>10</v>
      </c>
      <c r="O89" s="274">
        <f>Dashboard!$C$64</f>
        <v>200</v>
      </c>
      <c r="P89" s="28">
        <f>Dashboard!$B$71</f>
        <v>5</v>
      </c>
      <c r="Q89" s="274">
        <f>Dashboard!$B$85</f>
        <v>0.5</v>
      </c>
      <c r="R89" s="230">
        <f ca="1">(K89+L89)*Dashboard!$B$43</f>
        <v>15181.190447263158</v>
      </c>
      <c r="S89" s="13">
        <f t="shared" si="9"/>
        <v>0</v>
      </c>
      <c r="T89" s="231">
        <f>Dashboard!$B$45</f>
        <v>0.9</v>
      </c>
      <c r="U89" s="93">
        <f t="shared" ca="1" si="12"/>
        <v>0</v>
      </c>
      <c r="V89" s="276">
        <f>Dashboard!$B$55</f>
        <v>3</v>
      </c>
      <c r="W89" s="232">
        <f>Dashboard!$C$65</f>
        <v>100</v>
      </c>
      <c r="X89" s="232">
        <f>Dashboard!$B$72</f>
        <v>0.5</v>
      </c>
      <c r="Y89" s="232">
        <f>Dashboard!$B$86</f>
        <v>1.5</v>
      </c>
      <c r="Z89" s="27">
        <f>Dashboard!$B$41</f>
        <v>0</v>
      </c>
      <c r="AA89" s="13">
        <f t="shared" ca="1" si="11"/>
        <v>0</v>
      </c>
    </row>
    <row r="90" spans="1:28" x14ac:dyDescent="0.3">
      <c r="A90" s="17" t="s">
        <v>326</v>
      </c>
      <c r="B90" s="30" t="s">
        <v>40</v>
      </c>
      <c r="C90" s="3" t="s">
        <v>32</v>
      </c>
      <c r="D90" s="27">
        <v>88</v>
      </c>
      <c r="E90" s="27">
        <v>25.86834</v>
      </c>
      <c r="F90" s="13">
        <v>43.512889999999999</v>
      </c>
      <c r="G90" s="13">
        <v>693</v>
      </c>
      <c r="H90" s="27">
        <v>92501</v>
      </c>
      <c r="I90" s="93">
        <f ca="1">H90*Dashboard!$B$5</f>
        <v>143164.14094318612</v>
      </c>
      <c r="J90" s="27">
        <f ca="1">OFFSET(Dashboard!$B$8,MATCH(City!B90,Dashboard!$A$8:$A$20,0)-1,0)</f>
        <v>263</v>
      </c>
      <c r="K90" s="93">
        <f ca="1">I90*J90*0.001*(1-Dashboard!$B$23)</f>
        <v>26356.518347640569</v>
      </c>
      <c r="L90" s="233">
        <f ca="1">I90*J90*0.001*Dashboard!$B$23</f>
        <v>11295.650720417387</v>
      </c>
      <c r="M90" s="230">
        <f ca="1">IF(G90&gt;=0,H90*J90*0.001*OFFSET(Dashboard!$B$26,MATCH(City!B90,Dashboard!$A$26:$A$38,0)-1,0),0)</f>
        <v>22624.819589999999</v>
      </c>
      <c r="N90" s="28">
        <f>Dashboard!$B$54</f>
        <v>10</v>
      </c>
      <c r="O90" s="274">
        <f>Dashboard!$C$64</f>
        <v>200</v>
      </c>
      <c r="P90" s="28">
        <f>Dashboard!$B$71</f>
        <v>5</v>
      </c>
      <c r="Q90" s="274">
        <f>Dashboard!$B$85</f>
        <v>0.5</v>
      </c>
      <c r="R90" s="230">
        <f ca="1">(K90+L90)*Dashboard!$B$43</f>
        <v>30121.735254446365</v>
      </c>
      <c r="S90" s="13">
        <f t="shared" si="9"/>
        <v>1</v>
      </c>
      <c r="T90" s="231">
        <f>Dashboard!$B$45</f>
        <v>0.9</v>
      </c>
      <c r="U90" s="93">
        <f t="shared" ca="1" si="12"/>
        <v>17064.785509661819</v>
      </c>
      <c r="V90" s="276">
        <f>Dashboard!$B$55</f>
        <v>3</v>
      </c>
      <c r="W90" s="232">
        <f>Dashboard!$C$65</f>
        <v>100</v>
      </c>
      <c r="X90" s="232">
        <f>Dashboard!$B$72</f>
        <v>0.5</v>
      </c>
      <c r="Y90" s="232">
        <f>Dashboard!$B$86</f>
        <v>1.5</v>
      </c>
      <c r="Z90" s="27">
        <f>Dashboard!$B$41</f>
        <v>0</v>
      </c>
      <c r="AA90" s="13">
        <f t="shared" ca="1" si="11"/>
        <v>0</v>
      </c>
    </row>
    <row r="91" spans="1:28" s="117" customFormat="1" x14ac:dyDescent="0.3">
      <c r="A91" s="115" t="s">
        <v>213</v>
      </c>
      <c r="B91" s="235" t="s">
        <v>40</v>
      </c>
      <c r="C91" s="236" t="s">
        <v>32</v>
      </c>
      <c r="D91" s="116">
        <v>89</v>
      </c>
      <c r="E91" s="116">
        <v>25.852668000000001</v>
      </c>
      <c r="F91" s="117">
        <v>44.230215999999999</v>
      </c>
      <c r="G91" s="117">
        <v>632</v>
      </c>
      <c r="H91" s="235">
        <v>29210</v>
      </c>
      <c r="I91" s="127">
        <f ca="1">H91*Dashboard!$B$5</f>
        <v>45208.425389460288</v>
      </c>
      <c r="J91" s="116">
        <f ca="1">OFFSET(Dashboard!$B$8,MATCH(City!B91,Dashboard!$A$8:$A$20,0)-1,0)</f>
        <v>263</v>
      </c>
      <c r="K91" s="127">
        <f ca="1">I91*J91*0.001*(1-Dashboard!$B$23)</f>
        <v>8322.8711141996373</v>
      </c>
      <c r="L91" s="237">
        <f ca="1">I91*J91*0.001*Dashboard!$B$23</f>
        <v>3566.9447632284164</v>
      </c>
      <c r="M91" s="238">
        <f ca="1">IF(G91&gt;=0,H91*J91*0.001*OFFSET(Dashboard!$B$26,MATCH(City!B91,Dashboard!$A$26:$A$38,0)-1,0),0)</f>
        <v>7144.4739000000009</v>
      </c>
      <c r="N91" s="117">
        <f>Dashboard!$B$54</f>
        <v>10</v>
      </c>
      <c r="O91" s="285">
        <f>Dashboard!$C$64</f>
        <v>200</v>
      </c>
      <c r="P91" s="117">
        <f>Dashboard!$B$71</f>
        <v>5</v>
      </c>
      <c r="Q91" s="285">
        <f>Dashboard!$B$85</f>
        <v>0.5</v>
      </c>
      <c r="R91" s="238">
        <f ca="1">(K91+L91)*Dashboard!$B$43</f>
        <v>9511.8527019424419</v>
      </c>
      <c r="S91" s="117">
        <f t="shared" si="9"/>
        <v>0</v>
      </c>
      <c r="T91" s="286">
        <f>Dashboard!$B$45</f>
        <v>0.9</v>
      </c>
      <c r="U91" s="127">
        <f t="shared" ca="1" si="12"/>
        <v>0</v>
      </c>
      <c r="V91" s="277">
        <f>Dashboard!$B$55</f>
        <v>3</v>
      </c>
      <c r="W91" s="239">
        <f>Dashboard!$C$65</f>
        <v>100</v>
      </c>
      <c r="X91" s="239">
        <f>Dashboard!$B$72</f>
        <v>0.5</v>
      </c>
      <c r="Y91" s="239">
        <f>Dashboard!$B$86</f>
        <v>1.5</v>
      </c>
      <c r="Z91" s="116">
        <f>Dashboard!$B$41</f>
        <v>0</v>
      </c>
      <c r="AA91" s="117">
        <f t="shared" ca="1" si="11"/>
        <v>0</v>
      </c>
      <c r="AB91" s="116"/>
    </row>
    <row r="92" spans="1:28" s="124" customFormat="1" x14ac:dyDescent="0.3">
      <c r="A92" s="241" t="s">
        <v>79</v>
      </c>
      <c r="B92" s="242" t="s">
        <v>79</v>
      </c>
      <c r="C92" s="243" t="s">
        <v>114</v>
      </c>
      <c r="D92" s="123">
        <v>90</v>
      </c>
      <c r="E92" s="123">
        <v>27.516667000000002</v>
      </c>
      <c r="F92" s="124">
        <v>41.683332999999998</v>
      </c>
      <c r="G92" s="124">
        <v>1007</v>
      </c>
      <c r="H92" s="123">
        <v>310897</v>
      </c>
      <c r="I92" s="128">
        <f ca="1">H92*Dashboard!$B$5</f>
        <v>481176.44054457499</v>
      </c>
      <c r="J92" s="123">
        <f ca="1">OFFSET(Dashboard!$B$8,MATCH(City!B92,Dashboard!$A$8:$A$20,0)-1,0)</f>
        <v>136</v>
      </c>
      <c r="K92" s="128">
        <f ca="1">I92*J92*0.001*(1-Dashboard!$B$23)</f>
        <v>45807.997139843537</v>
      </c>
      <c r="L92" s="244">
        <f ca="1">I92*J92*0.001*Dashboard!$B$23</f>
        <v>19631.99877421866</v>
      </c>
      <c r="M92" s="245">
        <f ca="1">IF(G92&gt;=0,H92*J92*0.001*OFFSET(Dashboard!$B$26,MATCH(City!B92,Dashboard!$A$26:$A$38,0)-1,0),0)</f>
        <v>42281.991999999998</v>
      </c>
      <c r="N92" s="124">
        <f>Dashboard!$B$54</f>
        <v>10</v>
      </c>
      <c r="O92" s="287">
        <f>Dashboard!$C$64</f>
        <v>200</v>
      </c>
      <c r="P92" s="124">
        <f>Dashboard!$B$71</f>
        <v>5</v>
      </c>
      <c r="Q92" s="287">
        <f>Dashboard!$B$85</f>
        <v>0.5</v>
      </c>
      <c r="R92" s="245">
        <f ca="1">(K92+L92)*Dashboard!$B$43</f>
        <v>52351.996731249761</v>
      </c>
      <c r="S92" s="124">
        <f t="shared" si="9"/>
        <v>1</v>
      </c>
      <c r="T92" s="288">
        <f>Dashboard!$B$45</f>
        <v>0.9</v>
      </c>
      <c r="U92" s="128">
        <v>12000</v>
      </c>
      <c r="V92" s="278">
        <f>Dashboard!$B$55</f>
        <v>3</v>
      </c>
      <c r="W92" s="246">
        <f>Dashboard!$C$65</f>
        <v>100</v>
      </c>
      <c r="X92" s="246">
        <f>Dashboard!$B$72</f>
        <v>0.5</v>
      </c>
      <c r="Y92" s="246">
        <f>Dashboard!$B$86</f>
        <v>1.5</v>
      </c>
      <c r="Z92" s="123">
        <f>Dashboard!$B$41</f>
        <v>0</v>
      </c>
      <c r="AA92" s="124">
        <f t="shared" ca="1" si="11"/>
        <v>0</v>
      </c>
      <c r="AB92" s="123"/>
    </row>
    <row r="93" spans="1:28" x14ac:dyDescent="0.3">
      <c r="A93" s="17" t="s">
        <v>214</v>
      </c>
      <c r="B93" s="30" t="s">
        <v>80</v>
      </c>
      <c r="C93" s="3" t="s">
        <v>113</v>
      </c>
      <c r="D93" s="27">
        <v>91</v>
      </c>
      <c r="E93" s="27">
        <v>31.674191</v>
      </c>
      <c r="F93" s="13">
        <v>38.656399</v>
      </c>
      <c r="G93" s="13">
        <v>828</v>
      </c>
      <c r="H93" s="27">
        <v>48108</v>
      </c>
      <c r="I93" s="93">
        <f ca="1">H93*Dashboard!$B$5</f>
        <v>74456.930114212795</v>
      </c>
      <c r="J93" s="27">
        <f ca="1">OFFSET(Dashboard!$B$8,MATCH(City!B93,Dashboard!$A$8:$A$20,0)-1,0)</f>
        <v>143</v>
      </c>
      <c r="K93" s="93">
        <f ca="1">I93*J93*0.001*(1-Dashboard!$B$23)</f>
        <v>7453.1387044327003</v>
      </c>
      <c r="L93" s="233">
        <f ca="1">I93*J93*0.001*Dashboard!$B$23</f>
        <v>3194.2023018997288</v>
      </c>
      <c r="M93" s="230">
        <f ca="1">IF(G93&gt;=0,H93*J93*0.001*OFFSET(Dashboard!$B$26,MATCH(City!B93,Dashboard!$A$26:$A$38,0)-1,0),0)</f>
        <v>6879.4440000000004</v>
      </c>
      <c r="N93" s="28">
        <f>Dashboard!$B$54</f>
        <v>10</v>
      </c>
      <c r="O93" s="274">
        <f>Dashboard!$C$64</f>
        <v>200</v>
      </c>
      <c r="P93" s="28">
        <f>Dashboard!$B$71</f>
        <v>5</v>
      </c>
      <c r="Q93" s="274">
        <f>Dashboard!$B$85</f>
        <v>0.5</v>
      </c>
      <c r="R93" s="230">
        <f ca="1">(K93+L93)*Dashboard!$B$43</f>
        <v>8517.8728050659447</v>
      </c>
      <c r="S93" s="13">
        <f t="shared" si="9"/>
        <v>0</v>
      </c>
      <c r="T93" s="231">
        <f>Dashboard!$B$45</f>
        <v>0.9</v>
      </c>
      <c r="U93" s="93">
        <f ca="1">24000*R93/($R$94+$R$95)*S93</f>
        <v>0</v>
      </c>
      <c r="V93" s="276">
        <f>Dashboard!$B$55</f>
        <v>3</v>
      </c>
      <c r="W93" s="232">
        <f>Dashboard!$C$65</f>
        <v>100</v>
      </c>
      <c r="X93" s="232">
        <f>Dashboard!$B$72</f>
        <v>0.5</v>
      </c>
      <c r="Y93" s="232">
        <f>Dashboard!$B$86</f>
        <v>1.5</v>
      </c>
      <c r="Z93" s="27">
        <f>Dashboard!$B$41</f>
        <v>0</v>
      </c>
      <c r="AA93" s="13">
        <f t="shared" ca="1" si="11"/>
        <v>0</v>
      </c>
    </row>
    <row r="94" spans="1:28" x14ac:dyDescent="0.3">
      <c r="A94" s="17" t="s">
        <v>103</v>
      </c>
      <c r="B94" s="30" t="s">
        <v>80</v>
      </c>
      <c r="C94" s="3" t="s">
        <v>113</v>
      </c>
      <c r="D94" s="27">
        <v>92</v>
      </c>
      <c r="E94" s="27">
        <v>30.980829</v>
      </c>
      <c r="F94" s="13">
        <v>41.025008999999997</v>
      </c>
      <c r="G94" s="13">
        <v>538</v>
      </c>
      <c r="H94" s="27">
        <v>167057</v>
      </c>
      <c r="I94" s="93">
        <f ca="1">H94*Dashboard!$B$5</f>
        <v>258554.738797914</v>
      </c>
      <c r="J94" s="27">
        <f ca="1">OFFSET(Dashboard!$B$8,MATCH(City!B94,Dashboard!$A$8:$A$20,0)-1,0)</f>
        <v>143</v>
      </c>
      <c r="K94" s="93">
        <f ca="1">I94*J94*0.001*(1-Dashboard!$B$23)</f>
        <v>25881.32935367119</v>
      </c>
      <c r="L94" s="233">
        <f ca="1">I94*J94*0.001*Dashboard!$B$23</f>
        <v>11091.99829443051</v>
      </c>
      <c r="M94" s="230">
        <f ca="1">IF(G94&gt;=0,H94*J94*0.001*OFFSET(Dashboard!$B$26,MATCH(City!B94,Dashboard!$A$26:$A$38,0)-1,0),0)</f>
        <v>23889.151000000002</v>
      </c>
      <c r="N94" s="28">
        <f>Dashboard!$B$54</f>
        <v>10</v>
      </c>
      <c r="O94" s="274">
        <f>Dashboard!$C$64</f>
        <v>200</v>
      </c>
      <c r="P94" s="28">
        <f>Dashboard!$B$71</f>
        <v>5</v>
      </c>
      <c r="Q94" s="274">
        <f>Dashboard!$B$85</f>
        <v>0.5</v>
      </c>
      <c r="R94" s="230">
        <f ca="1">(K94+L94)*Dashboard!$B$43</f>
        <v>29578.662118481363</v>
      </c>
      <c r="S94" s="13">
        <f t="shared" si="9"/>
        <v>1</v>
      </c>
      <c r="T94" s="231">
        <f>Dashboard!$B$45</f>
        <v>0.9</v>
      </c>
      <c r="U94" s="93">
        <f t="shared" ref="U94:U95" ca="1" si="13">24000*R94/($R$94+$R$95)*S94</f>
        <v>18243.555733520192</v>
      </c>
      <c r="V94" s="276">
        <f>Dashboard!$B$55</f>
        <v>3</v>
      </c>
      <c r="W94" s="232">
        <f>Dashboard!$C$65</f>
        <v>100</v>
      </c>
      <c r="X94" s="232">
        <f>Dashboard!$B$72</f>
        <v>0.5</v>
      </c>
      <c r="Y94" s="232">
        <f>Dashboard!$B$86</f>
        <v>1.5</v>
      </c>
      <c r="Z94" s="27">
        <f>Dashboard!$B$41</f>
        <v>0</v>
      </c>
      <c r="AA94" s="13">
        <f t="shared" ca="1" si="11"/>
        <v>0</v>
      </c>
    </row>
    <row r="95" spans="1:28" s="117" customFormat="1" x14ac:dyDescent="0.3">
      <c r="A95" s="115" t="s">
        <v>101</v>
      </c>
      <c r="B95" s="235" t="s">
        <v>80</v>
      </c>
      <c r="C95" s="236" t="s">
        <v>113</v>
      </c>
      <c r="D95" s="116">
        <v>93</v>
      </c>
      <c r="E95" s="116">
        <v>29.633300999999999</v>
      </c>
      <c r="F95" s="117">
        <v>43.510928999999997</v>
      </c>
      <c r="G95" s="117">
        <v>447</v>
      </c>
      <c r="H95" s="116">
        <v>52712</v>
      </c>
      <c r="I95" s="127">
        <f ca="1">H95*Dashboard!$B$5</f>
        <v>81582.557998261924</v>
      </c>
      <c r="J95" s="116">
        <f ca="1">OFFSET(Dashboard!$B$8,MATCH(City!B95,Dashboard!$A$8:$A$20,0)-1,0)</f>
        <v>143</v>
      </c>
      <c r="K95" s="127">
        <f ca="1">I95*J95*0.001*(1-Dashboard!$B$23)</f>
        <v>8166.414055626019</v>
      </c>
      <c r="L95" s="237">
        <f ca="1">I95*J95*0.001*Dashboard!$B$23</f>
        <v>3499.8917381254369</v>
      </c>
      <c r="M95" s="238">
        <f ca="1">IF(G95&gt;=0,H95*J95*0.001*OFFSET(Dashboard!$B$26,MATCH(City!B95,Dashboard!$A$26:$A$38,0)-1,0),0)</f>
        <v>7537.8159999999998</v>
      </c>
      <c r="N95" s="117">
        <f>Dashboard!$B$54</f>
        <v>10</v>
      </c>
      <c r="O95" s="285">
        <f>Dashboard!$C$64</f>
        <v>200</v>
      </c>
      <c r="P95" s="117">
        <f>Dashboard!$B$71</f>
        <v>5</v>
      </c>
      <c r="Q95" s="285">
        <f>Dashboard!$B$85</f>
        <v>0.5</v>
      </c>
      <c r="R95" s="238">
        <f ca="1">(K95+L95)*Dashboard!$B$43</f>
        <v>9333.0446350011662</v>
      </c>
      <c r="S95" s="117">
        <f t="shared" si="9"/>
        <v>1</v>
      </c>
      <c r="T95" s="286">
        <f>Dashboard!$B$45</f>
        <v>0.9</v>
      </c>
      <c r="U95" s="127">
        <f t="shared" ca="1" si="13"/>
        <v>5756.4442664798044</v>
      </c>
      <c r="V95" s="277">
        <f>Dashboard!$B$55</f>
        <v>3</v>
      </c>
      <c r="W95" s="239">
        <f>Dashboard!$C$65</f>
        <v>100</v>
      </c>
      <c r="X95" s="239">
        <f>Dashboard!$B$72</f>
        <v>0.5</v>
      </c>
      <c r="Y95" s="239">
        <f>Dashboard!$B$86</f>
        <v>1.5</v>
      </c>
      <c r="Z95" s="116">
        <f>Dashboard!$B$41</f>
        <v>0</v>
      </c>
      <c r="AA95" s="117">
        <f t="shared" ca="1" si="11"/>
        <v>0</v>
      </c>
      <c r="AB95" s="116"/>
    </row>
    <row r="96" spans="1:28" x14ac:dyDescent="0.3">
      <c r="A96" s="17" t="s">
        <v>112</v>
      </c>
      <c r="B96" s="30" t="s">
        <v>85</v>
      </c>
      <c r="C96" s="3" t="s">
        <v>111</v>
      </c>
      <c r="D96" s="27">
        <v>94</v>
      </c>
      <c r="E96" s="27">
        <v>31.312978999999999</v>
      </c>
      <c r="F96" s="13">
        <v>37.374887999999999</v>
      </c>
      <c r="G96" s="13">
        <v>501</v>
      </c>
      <c r="H96" s="27">
        <v>116162</v>
      </c>
      <c r="I96" s="93">
        <f ca="1">H96*Dashboard!$B$5</f>
        <v>179784.35844198856</v>
      </c>
      <c r="J96" s="27">
        <f ca="1">OFFSET(Dashboard!$B$8,MATCH(City!B96,Dashboard!$A$8:$A$20,0)-1,0)</f>
        <v>239</v>
      </c>
      <c r="K96" s="93">
        <f ca="1">I96*J96*0.001*(1-Dashboard!$B$23)</f>
        <v>30077.923167344681</v>
      </c>
      <c r="L96" s="233">
        <f ca="1">I96*J96*0.001*Dashboard!$B$23</f>
        <v>12890.538500290577</v>
      </c>
      <c r="M96" s="230">
        <f ca="1">IF(G96&gt;=0,H96*J96*0.001*OFFSET(Dashboard!$B$26,MATCH(City!B96,Dashboard!$A$26:$A$38,0)-1,0),0)</f>
        <v>27762.718000000001</v>
      </c>
      <c r="N96" s="28">
        <f>Dashboard!$B$54</f>
        <v>10</v>
      </c>
      <c r="O96" s="274">
        <f>Dashboard!$C$64</f>
        <v>200</v>
      </c>
      <c r="P96" s="28">
        <f>Dashboard!$B$71</f>
        <v>5</v>
      </c>
      <c r="Q96" s="274">
        <f>Dashboard!$B$85</f>
        <v>0.5</v>
      </c>
      <c r="R96" s="230">
        <f ca="1">(K96+L96)*Dashboard!$B$43</f>
        <v>34374.769334108212</v>
      </c>
      <c r="S96" s="13">
        <f t="shared" si="9"/>
        <v>1</v>
      </c>
      <c r="T96" s="231">
        <f>Dashboard!$B$45</f>
        <v>0.9</v>
      </c>
      <c r="U96" s="93">
        <f ca="1">27000*R96/($R$96+$R$98)*S96</f>
        <v>11772.336057113043</v>
      </c>
      <c r="V96" s="276">
        <f>Dashboard!$B$55</f>
        <v>3</v>
      </c>
      <c r="W96" s="232">
        <f>Dashboard!$C$65</f>
        <v>100</v>
      </c>
      <c r="X96" s="232">
        <f>Dashboard!$B$72</f>
        <v>0.5</v>
      </c>
      <c r="Y96" s="232">
        <f>Dashboard!$B$86</f>
        <v>1.5</v>
      </c>
      <c r="Z96" s="27">
        <f>Dashboard!$B$41</f>
        <v>0</v>
      </c>
      <c r="AA96" s="13">
        <f t="shared" ca="1" si="11"/>
        <v>0</v>
      </c>
    </row>
    <row r="97" spans="1:28" x14ac:dyDescent="0.3">
      <c r="A97" s="17" t="s">
        <v>100</v>
      </c>
      <c r="B97" s="30" t="s">
        <v>85</v>
      </c>
      <c r="C97" s="3" t="s">
        <v>111</v>
      </c>
      <c r="D97" s="27">
        <v>95</v>
      </c>
      <c r="E97" s="27">
        <v>30.5</v>
      </c>
      <c r="F97" s="13">
        <v>38.216667000000001</v>
      </c>
      <c r="G97" s="13">
        <v>546</v>
      </c>
      <c r="H97" s="27">
        <v>48525</v>
      </c>
      <c r="I97" s="93">
        <f ca="1">H97*Dashboard!$B$5</f>
        <v>75102.322561573455</v>
      </c>
      <c r="J97" s="27">
        <f ca="1">OFFSET(Dashboard!$B$8,MATCH(City!B97,Dashboard!$A$8:$A$20,0)-1,0)</f>
        <v>239</v>
      </c>
      <c r="K97" s="93">
        <f ca="1">I97*J97*0.001*(1-Dashboard!$B$23)</f>
        <v>12564.618564551238</v>
      </c>
      <c r="L97" s="233">
        <f ca="1">I97*J97*0.001*Dashboard!$B$23</f>
        <v>5384.8365276648165</v>
      </c>
      <c r="M97" s="230">
        <f ca="1">IF(G97&gt;=0,H97*J97*0.001*OFFSET(Dashboard!$B$26,MATCH(City!B97,Dashboard!$A$26:$A$38,0)-1,0),0)</f>
        <v>11597.475</v>
      </c>
      <c r="N97" s="28">
        <f>Dashboard!$B$54</f>
        <v>10</v>
      </c>
      <c r="O97" s="274">
        <f>Dashboard!$C$64</f>
        <v>200</v>
      </c>
      <c r="P97" s="28">
        <f>Dashboard!$B$71</f>
        <v>5</v>
      </c>
      <c r="Q97" s="274">
        <f>Dashboard!$B$85</f>
        <v>0.5</v>
      </c>
      <c r="R97" s="230">
        <f ca="1">(K97+L97)*Dashboard!$B$43</f>
        <v>14359.564073772846</v>
      </c>
      <c r="S97" s="13">
        <f t="shared" si="9"/>
        <v>0</v>
      </c>
      <c r="T97" s="231">
        <f>Dashboard!$B$45</f>
        <v>0.9</v>
      </c>
      <c r="U97" s="93">
        <f t="shared" ref="U97:U99" ca="1" si="14">27000*R97/($R$96+$R$98)*S97</f>
        <v>0</v>
      </c>
      <c r="V97" s="276">
        <f>Dashboard!$B$55</f>
        <v>3</v>
      </c>
      <c r="W97" s="232">
        <f>Dashboard!$C$65</f>
        <v>100</v>
      </c>
      <c r="X97" s="232">
        <f>Dashboard!$B$72</f>
        <v>0.5</v>
      </c>
      <c r="Y97" s="232">
        <f>Dashboard!$B$86</f>
        <v>1.5</v>
      </c>
      <c r="Z97" s="27">
        <f>Dashboard!$B$41</f>
        <v>0</v>
      </c>
      <c r="AA97" s="13">
        <f t="shared" ca="1" si="11"/>
        <v>0</v>
      </c>
    </row>
    <row r="98" spans="1:28" x14ac:dyDescent="0.3">
      <c r="A98" s="17" t="s">
        <v>127</v>
      </c>
      <c r="B98" s="30" t="s">
        <v>85</v>
      </c>
      <c r="C98" s="3" t="s">
        <v>111</v>
      </c>
      <c r="D98" s="27">
        <v>96</v>
      </c>
      <c r="E98" s="27">
        <v>29.970869</v>
      </c>
      <c r="F98" s="13">
        <v>40.205008999999997</v>
      </c>
      <c r="G98" s="13">
        <v>558</v>
      </c>
      <c r="H98" s="27">
        <v>150257</v>
      </c>
      <c r="I98" s="93">
        <f ca="1">H98*Dashboard!$B$5</f>
        <v>232553.31645820386</v>
      </c>
      <c r="J98" s="27">
        <f ca="1">OFFSET(Dashboard!$B$8,MATCH(City!B98,Dashboard!$A$8:$A$20,0)-1,0)</f>
        <v>239</v>
      </c>
      <c r="K98" s="93">
        <f ca="1">I98*J98*0.001*(1-Dashboard!$B$23)</f>
        <v>38906.169843457501</v>
      </c>
      <c r="L98" s="233">
        <f ca="1">I98*J98*0.001*Dashboard!$B$23</f>
        <v>16674.072790053215</v>
      </c>
      <c r="M98" s="230">
        <f ca="1">IF(G98&gt;=0,H98*J98*0.001*OFFSET(Dashboard!$B$26,MATCH(City!B98,Dashboard!$A$26:$A$38,0)-1,0),0)</f>
        <v>35911.423000000003</v>
      </c>
      <c r="N98" s="28">
        <f>Dashboard!$B$54</f>
        <v>10</v>
      </c>
      <c r="O98" s="274">
        <f>Dashboard!$C$64</f>
        <v>200</v>
      </c>
      <c r="P98" s="28">
        <f>Dashboard!$B$71</f>
        <v>5</v>
      </c>
      <c r="Q98" s="274">
        <f>Dashboard!$B$85</f>
        <v>0.5</v>
      </c>
      <c r="R98" s="230">
        <f ca="1">(K98+L98)*Dashboard!$B$43</f>
        <v>44464.194106808573</v>
      </c>
      <c r="S98" s="13">
        <f t="shared" si="9"/>
        <v>1</v>
      </c>
      <c r="T98" s="231">
        <f>Dashboard!$B$45</f>
        <v>0.9</v>
      </c>
      <c r="U98" s="93">
        <f t="shared" ca="1" si="14"/>
        <v>15227.663942886955</v>
      </c>
      <c r="V98" s="276">
        <f>Dashboard!$B$55</f>
        <v>3</v>
      </c>
      <c r="W98" s="232">
        <f>Dashboard!$C$65</f>
        <v>100</v>
      </c>
      <c r="X98" s="232">
        <f>Dashboard!$B$72</f>
        <v>0.5</v>
      </c>
      <c r="Y98" s="232">
        <f>Dashboard!$B$86</f>
        <v>1.5</v>
      </c>
      <c r="Z98" s="27">
        <f>Dashboard!$B$41</f>
        <v>0</v>
      </c>
      <c r="AA98" s="13">
        <f t="shared" ca="1" si="11"/>
        <v>0</v>
      </c>
    </row>
    <row r="99" spans="1:28" s="117" customFormat="1" x14ac:dyDescent="0.3">
      <c r="A99" s="115" t="s">
        <v>126</v>
      </c>
      <c r="B99" s="235" t="s">
        <v>85</v>
      </c>
      <c r="C99" s="236" t="s">
        <v>111</v>
      </c>
      <c r="D99" s="116">
        <v>97</v>
      </c>
      <c r="E99" s="116">
        <v>29.818201999999999</v>
      </c>
      <c r="F99" s="117">
        <v>39.868198</v>
      </c>
      <c r="G99" s="117">
        <v>600</v>
      </c>
      <c r="H99" s="116">
        <v>32613</v>
      </c>
      <c r="I99" s="127">
        <f ca="1">H99*Dashboard!$B$5</f>
        <v>50475.261116962291</v>
      </c>
      <c r="J99" s="116">
        <f ca="1">OFFSET(Dashboard!$B$8,MATCH(City!B99,Dashboard!$A$8:$A$20,0)-1,0)</f>
        <v>239</v>
      </c>
      <c r="K99" s="127">
        <f ca="1">I99*J99*0.001*(1-Dashboard!$B$23)</f>
        <v>8444.5111848677916</v>
      </c>
      <c r="L99" s="237">
        <f ca="1">I99*J99*0.001*Dashboard!$B$23</f>
        <v>3619.0762220861961</v>
      </c>
      <c r="M99" s="238">
        <f ca="1">IF(G99&gt;=0,H99*J99*0.001*OFFSET(Dashboard!$B$26,MATCH(City!B99,Dashboard!$A$26:$A$38,0)-1,0),0)</f>
        <v>7794.5070000000005</v>
      </c>
      <c r="N99" s="117">
        <f>Dashboard!$B$54</f>
        <v>10</v>
      </c>
      <c r="O99" s="285">
        <f>Dashboard!$C$64</f>
        <v>200</v>
      </c>
      <c r="P99" s="117">
        <f>Dashboard!$B$71</f>
        <v>5</v>
      </c>
      <c r="Q99" s="285">
        <f>Dashboard!$B$85</f>
        <v>0.5</v>
      </c>
      <c r="R99" s="238">
        <f ca="1">(K99+L99)*Dashboard!$B$43</f>
        <v>9650.8699255631909</v>
      </c>
      <c r="S99" s="117">
        <f t="shared" si="9"/>
        <v>0</v>
      </c>
      <c r="T99" s="286">
        <f>Dashboard!$B$45</f>
        <v>0.9</v>
      </c>
      <c r="U99" s="127">
        <f t="shared" ca="1" si="14"/>
        <v>0</v>
      </c>
      <c r="V99" s="277">
        <f>Dashboard!$B$55</f>
        <v>3</v>
      </c>
      <c r="W99" s="239">
        <f>Dashboard!$C$65</f>
        <v>100</v>
      </c>
      <c r="X99" s="239">
        <f>Dashboard!$B$72</f>
        <v>0.5</v>
      </c>
      <c r="Y99" s="239">
        <f>Dashboard!$B$86</f>
        <v>1.5</v>
      </c>
      <c r="Z99" s="116">
        <f>Dashboard!$B$41</f>
        <v>0</v>
      </c>
      <c r="AA99" s="117">
        <f t="shared" ca="1" si="11"/>
        <v>0</v>
      </c>
      <c r="AB99" s="116"/>
    </row>
  </sheetData>
  <sortState ref="A96:Z99">
    <sortCondition descending="1" ref="E96:E99"/>
  </sortState>
  <mergeCells count="25">
    <mergeCell ref="T1:T2"/>
    <mergeCell ref="Z1:Z2"/>
    <mergeCell ref="AA1:AA2"/>
    <mergeCell ref="K1:L1"/>
    <mergeCell ref="R1:R2"/>
    <mergeCell ref="S1:S2"/>
    <mergeCell ref="M1:M2"/>
    <mergeCell ref="N1:N2"/>
    <mergeCell ref="U1:U2"/>
    <mergeCell ref="V1:V2"/>
    <mergeCell ref="O1:O2"/>
    <mergeCell ref="W1:W2"/>
    <mergeCell ref="P1:P2"/>
    <mergeCell ref="X1:X2"/>
    <mergeCell ref="Q1:Q2"/>
    <mergeCell ref="Y1:Y2"/>
    <mergeCell ref="H1:H2"/>
    <mergeCell ref="J1:J2"/>
    <mergeCell ref="B1:C1"/>
    <mergeCell ref="D1:D2"/>
    <mergeCell ref="A1:A2"/>
    <mergeCell ref="E1:E2"/>
    <mergeCell ref="F1:F2"/>
    <mergeCell ref="G1:G2"/>
    <mergeCell ref="I1:I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4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4" x14ac:dyDescent="0.3"/>
  <cols>
    <col min="1" max="1" width="26.77734375" style="19" customWidth="1"/>
    <col min="2" max="2" width="16.77734375" style="33" customWidth="1"/>
    <col min="3" max="3" width="8.77734375" style="175" customWidth="1"/>
    <col min="4" max="4" width="16.77734375" style="177" customWidth="1"/>
    <col min="5" max="6" width="12.77734375" style="12" customWidth="1"/>
    <col min="7" max="7" width="4.6640625" style="34" customWidth="1"/>
    <col min="8" max="8" width="12.77734375" style="34" customWidth="1"/>
    <col min="9" max="10" width="12.77734375" style="18" customWidth="1"/>
    <col min="11" max="11" width="12.77734375" style="34" customWidth="1"/>
    <col min="12" max="12" width="12.77734375" style="18" customWidth="1"/>
    <col min="13" max="13" width="16.77734375" style="34" customWidth="1"/>
    <col min="14" max="14" width="20.88671875" style="271" customWidth="1"/>
    <col min="15" max="15" width="20.77734375" style="66" customWidth="1"/>
    <col min="16" max="16" width="18.77734375" style="94" customWidth="1"/>
    <col min="17" max="17" width="16.77734375" style="66" customWidth="1"/>
    <col min="18" max="18" width="16.77734375" style="163" customWidth="1"/>
    <col min="19" max="19" width="16.77734375" style="34" customWidth="1"/>
    <col min="20" max="20" width="20.77734375" style="271" customWidth="1"/>
    <col min="21" max="21" width="18.77734375" style="168" customWidth="1"/>
    <col min="22" max="22" width="16.77734375" style="171" customWidth="1"/>
    <col min="23" max="23" width="16.77734375" style="169" customWidth="1"/>
    <col min="24" max="24" width="8.88671875" style="27"/>
    <col min="25" max="16384" width="8.88671875" style="1"/>
  </cols>
  <sheetData>
    <row r="1" spans="1:24" s="6" customFormat="1" ht="14.4" customHeight="1" x14ac:dyDescent="0.3">
      <c r="A1" s="256" t="s">
        <v>338</v>
      </c>
      <c r="B1" s="292" t="s">
        <v>31</v>
      </c>
      <c r="C1" s="305"/>
      <c r="D1" s="289" t="s">
        <v>288</v>
      </c>
      <c r="E1" s="295" t="s">
        <v>49</v>
      </c>
      <c r="F1" s="306" t="s">
        <v>179</v>
      </c>
      <c r="G1" s="292" t="s">
        <v>58</v>
      </c>
      <c r="H1" s="289" t="s">
        <v>25</v>
      </c>
      <c r="I1" s="294" t="s">
        <v>26</v>
      </c>
      <c r="J1" s="294" t="s">
        <v>3</v>
      </c>
      <c r="K1" s="289" t="s">
        <v>341</v>
      </c>
      <c r="L1" s="310" t="s">
        <v>342</v>
      </c>
      <c r="M1" s="289" t="s">
        <v>68</v>
      </c>
      <c r="N1" s="301" t="s">
        <v>343</v>
      </c>
      <c r="O1" s="308" t="s">
        <v>69</v>
      </c>
      <c r="P1" s="302" t="s">
        <v>150</v>
      </c>
      <c r="Q1" s="303" t="s">
        <v>132</v>
      </c>
      <c r="R1" s="304" t="s">
        <v>283</v>
      </c>
      <c r="S1" s="289" t="s">
        <v>46</v>
      </c>
      <c r="T1" s="301" t="s">
        <v>344</v>
      </c>
      <c r="U1" s="302" t="s">
        <v>151</v>
      </c>
      <c r="V1" s="303" t="s">
        <v>133</v>
      </c>
      <c r="W1" s="307" t="s">
        <v>178</v>
      </c>
      <c r="X1" s="113"/>
    </row>
    <row r="2" spans="1:24" s="6" customFormat="1" x14ac:dyDescent="0.3">
      <c r="A2" s="258" t="s">
        <v>337</v>
      </c>
      <c r="B2" s="135" t="s">
        <v>35</v>
      </c>
      <c r="C2" s="173" t="s">
        <v>36</v>
      </c>
      <c r="D2" s="289"/>
      <c r="E2" s="295"/>
      <c r="F2" s="306"/>
      <c r="G2" s="292"/>
      <c r="H2" s="292"/>
      <c r="I2" s="295"/>
      <c r="J2" s="295"/>
      <c r="K2" s="289"/>
      <c r="L2" s="310"/>
      <c r="M2" s="292"/>
      <c r="N2" s="305"/>
      <c r="O2" s="309"/>
      <c r="P2" s="302"/>
      <c r="Q2" s="303"/>
      <c r="R2" s="304"/>
      <c r="S2" s="292"/>
      <c r="T2" s="301"/>
      <c r="U2" s="302"/>
      <c r="V2" s="303"/>
      <c r="W2" s="307"/>
      <c r="X2" s="113"/>
    </row>
    <row r="3" spans="1:24" s="132" customFormat="1" x14ac:dyDescent="0.3">
      <c r="A3" s="194" t="s">
        <v>331</v>
      </c>
      <c r="B3" s="159" t="s">
        <v>78</v>
      </c>
      <c r="C3" s="174" t="s">
        <v>104</v>
      </c>
      <c r="D3" s="176" t="s">
        <v>290</v>
      </c>
      <c r="E3" s="174" t="s">
        <v>346</v>
      </c>
      <c r="F3" s="174"/>
      <c r="G3" s="159">
        <v>101</v>
      </c>
      <c r="H3" s="33">
        <v>29.290732999999999</v>
      </c>
      <c r="I3" s="125">
        <v>34.929889000000003</v>
      </c>
      <c r="J3" s="125">
        <v>11</v>
      </c>
      <c r="K3" s="33">
        <v>1988</v>
      </c>
      <c r="L3" s="19">
        <f>IF(Dashboard!$B$2&lt;Desal!K3,0,IF(Dashboard!$B$2&lt;=Desal!K3+Dashboard!$B$62,1,0))</f>
        <v>1</v>
      </c>
      <c r="M3" s="159">
        <v>6000</v>
      </c>
      <c r="N3" s="194">
        <f>M3*L3</f>
        <v>6000</v>
      </c>
      <c r="O3" s="268">
        <f ca="1">OFFSET(Dashboard!$B$48,MATCH(Desal!E3,Dashboard!$A$48:$A$53,0)-1,0)</f>
        <v>4.7</v>
      </c>
      <c r="P3" s="269">
        <f>Dashboard!$C$66</f>
        <v>80</v>
      </c>
      <c r="Q3" s="68">
        <f>Dashboard!$B$73</f>
        <v>1.5</v>
      </c>
      <c r="R3" s="162">
        <f ca="1">OFFSET(Dashboard!$B$79,MATCH(Desal!E3,Dashboard!$A$79:$A$84,0)-1,0)</f>
        <v>1.78</v>
      </c>
      <c r="S3" s="159">
        <v>0</v>
      </c>
      <c r="T3" s="194">
        <f>S3*L3</f>
        <v>0</v>
      </c>
      <c r="U3" s="167">
        <f>Dashboard!$C$67</f>
        <v>20000</v>
      </c>
      <c r="V3" s="170">
        <f>Dashboard!$B$74</f>
        <v>0.1</v>
      </c>
      <c r="W3" s="200">
        <f ca="1">IF(F3=0,1,OFFSET(Dashboard!$B$88,MATCH(Desal!F3,Dashboard!$A$88:$A$91,0)-1,0))</f>
        <v>1</v>
      </c>
      <c r="X3" s="134"/>
    </row>
    <row r="4" spans="1:24" s="132" customFormat="1" x14ac:dyDescent="0.3">
      <c r="A4" s="131" t="s">
        <v>291</v>
      </c>
      <c r="B4" s="159" t="s">
        <v>78</v>
      </c>
      <c r="C4" s="174" t="s">
        <v>104</v>
      </c>
      <c r="D4" s="176" t="s">
        <v>289</v>
      </c>
      <c r="E4" s="132" t="s">
        <v>347</v>
      </c>
      <c r="G4" s="159">
        <v>102</v>
      </c>
      <c r="H4" s="33">
        <v>27.362428999999999</v>
      </c>
      <c r="I4" s="19">
        <v>35.662570000000002</v>
      </c>
      <c r="J4" s="19">
        <v>11</v>
      </c>
      <c r="K4" s="165">
        <v>1992</v>
      </c>
      <c r="L4" s="19">
        <f>IF(Dashboard!$B$2&lt;Desal!K4,0,IF(Dashboard!$B$2&lt;=Desal!K4+Dashboard!$B$62,1,0))</f>
        <v>1</v>
      </c>
      <c r="M4" s="159">
        <f>37850+4400</f>
        <v>42250</v>
      </c>
      <c r="N4" s="194">
        <f t="shared" ref="N4:N34" si="0">M4*L4</f>
        <v>42250</v>
      </c>
      <c r="O4" s="164">
        <f ca="1">OFFSET(Dashboard!$B$48,MATCH(Desal!E4,Dashboard!$A$48:$A$53,0)-1,0)</f>
        <v>2.1</v>
      </c>
      <c r="P4" s="92">
        <f>Dashboard!$C$66</f>
        <v>80</v>
      </c>
      <c r="Q4" s="65">
        <f>Dashboard!$B$73</f>
        <v>1.5</v>
      </c>
      <c r="R4" s="162">
        <f ca="1">OFFSET(Dashboard!$B$79,MATCH(Desal!E4,Dashboard!$A$79:$A$84,0)-1,0)</f>
        <v>1</v>
      </c>
      <c r="S4" s="159">
        <v>0</v>
      </c>
      <c r="T4" s="194">
        <f t="shared" ref="T4:T34" si="1">S4*L4</f>
        <v>0</v>
      </c>
      <c r="U4" s="167">
        <f>Dashboard!$C$67</f>
        <v>20000</v>
      </c>
      <c r="V4" s="170">
        <f>Dashboard!$B$74</f>
        <v>0.1</v>
      </c>
      <c r="W4" s="200">
        <f ca="1">IF(F4=0,1,OFFSET(Dashboard!$B$88,MATCH(Desal!F4,Dashboard!$A$88:$A$91,0)-1,0))</f>
        <v>1</v>
      </c>
      <c r="X4" s="134"/>
    </row>
    <row r="5" spans="1:24" s="132" customFormat="1" x14ac:dyDescent="0.3">
      <c r="A5" s="131" t="s">
        <v>292</v>
      </c>
      <c r="B5" s="159" t="s">
        <v>78</v>
      </c>
      <c r="C5" s="174" t="s">
        <v>104</v>
      </c>
      <c r="D5" s="176" t="s">
        <v>290</v>
      </c>
      <c r="E5" s="132" t="s">
        <v>75</v>
      </c>
      <c r="G5" s="159">
        <v>103</v>
      </c>
      <c r="H5" s="100">
        <v>26.239238</v>
      </c>
      <c r="I5" s="101">
        <v>36.450558000000001</v>
      </c>
      <c r="J5" s="101">
        <v>6</v>
      </c>
      <c r="K5" s="165">
        <v>2008</v>
      </c>
      <c r="L5" s="19">
        <f>IF(Dashboard!$B$2&lt;Desal!K5,0,IF(Dashboard!$B$2&lt;=Desal!K5+Dashboard!$B$62,1,0))</f>
        <v>1</v>
      </c>
      <c r="M5" s="159">
        <f>9100+9000</f>
        <v>18100</v>
      </c>
      <c r="N5" s="194">
        <f t="shared" si="0"/>
        <v>18100</v>
      </c>
      <c r="O5" s="164">
        <f ca="1">OFFSET(Dashboard!$B$48,MATCH(Desal!E5,Dashboard!$A$48:$A$53,0)-1,0)</f>
        <v>7.5</v>
      </c>
      <c r="P5" s="92">
        <f>Dashboard!$C$66</f>
        <v>80</v>
      </c>
      <c r="Q5" s="65">
        <f>Dashboard!$B$73</f>
        <v>1.5</v>
      </c>
      <c r="R5" s="162">
        <f ca="1">OFFSET(Dashboard!$B$79,MATCH(Desal!E5,Dashboard!$A$79:$A$84,0)-1,0)</f>
        <v>18.05</v>
      </c>
      <c r="S5" s="159">
        <v>0</v>
      </c>
      <c r="T5" s="194">
        <f t="shared" si="1"/>
        <v>0</v>
      </c>
      <c r="U5" s="167">
        <f>Dashboard!$C$67</f>
        <v>20000</v>
      </c>
      <c r="V5" s="170">
        <f>Dashboard!$B$74</f>
        <v>0.1</v>
      </c>
      <c r="W5" s="200">
        <f ca="1">IF(F5=0,1,OFFSET(Dashboard!$B$88,MATCH(Desal!F5,Dashboard!$A$88:$A$91,0)-1,0))</f>
        <v>1</v>
      </c>
      <c r="X5" s="134"/>
    </row>
    <row r="6" spans="1:24" s="132" customFormat="1" x14ac:dyDescent="0.3">
      <c r="A6" s="131" t="s">
        <v>333</v>
      </c>
      <c r="B6" s="159" t="s">
        <v>78</v>
      </c>
      <c r="C6" s="174" t="s">
        <v>104</v>
      </c>
      <c r="D6" s="176" t="s">
        <v>290</v>
      </c>
      <c r="E6" s="132" t="s">
        <v>75</v>
      </c>
      <c r="G6" s="159">
        <v>104</v>
      </c>
      <c r="H6" s="100">
        <v>25.002670999999999</v>
      </c>
      <c r="I6" s="101">
        <v>37.274977</v>
      </c>
      <c r="J6" s="101">
        <v>4</v>
      </c>
      <c r="K6" s="33">
        <v>2009</v>
      </c>
      <c r="L6" s="19">
        <f>IF(Dashboard!$B$2&lt;Desal!K6,0,IF(Dashboard!$B$2&lt;=Desal!K6+Dashboard!$B$62,1,0))</f>
        <v>1</v>
      </c>
      <c r="M6" s="159">
        <v>9000</v>
      </c>
      <c r="N6" s="194">
        <f t="shared" si="0"/>
        <v>9000</v>
      </c>
      <c r="O6" s="164">
        <f ca="1">OFFSET(Dashboard!$B$48,MATCH(Desal!E6,Dashboard!$A$48:$A$53,0)-1,0)</f>
        <v>7.5</v>
      </c>
      <c r="P6" s="92">
        <f>Dashboard!$C$66</f>
        <v>80</v>
      </c>
      <c r="Q6" s="65">
        <f>Dashboard!$B$73</f>
        <v>1.5</v>
      </c>
      <c r="R6" s="162">
        <f ca="1">OFFSET(Dashboard!$B$79,MATCH(Desal!E6,Dashboard!$A$79:$A$84,0)-1,0)</f>
        <v>18.05</v>
      </c>
      <c r="S6" s="159">
        <v>0</v>
      </c>
      <c r="T6" s="194">
        <f t="shared" si="1"/>
        <v>0</v>
      </c>
      <c r="U6" s="167">
        <f>Dashboard!$C$67</f>
        <v>20000</v>
      </c>
      <c r="V6" s="170">
        <f>Dashboard!$B$74</f>
        <v>0.1</v>
      </c>
      <c r="W6" s="200">
        <f ca="1">IF(F6=0,1,OFFSET(Dashboard!$B$88,MATCH(Desal!F6,Dashboard!$A$88:$A$91,0)-1,0))</f>
        <v>1</v>
      </c>
      <c r="X6" s="134"/>
    </row>
    <row r="7" spans="1:24" s="204" customFormat="1" x14ac:dyDescent="0.3">
      <c r="A7" s="202" t="s">
        <v>334</v>
      </c>
      <c r="B7" s="203" t="s">
        <v>78</v>
      </c>
      <c r="C7" s="204" t="s">
        <v>104</v>
      </c>
      <c r="D7" s="205" t="s">
        <v>306</v>
      </c>
      <c r="E7" s="272" t="s">
        <v>347</v>
      </c>
      <c r="G7" s="159">
        <v>105</v>
      </c>
      <c r="H7" s="206">
        <v>25.002670999999999</v>
      </c>
      <c r="I7" s="207">
        <v>37.274977</v>
      </c>
      <c r="J7" s="207">
        <v>4</v>
      </c>
      <c r="K7" s="33">
        <v>1999</v>
      </c>
      <c r="L7" s="19">
        <f>IF(Dashboard!$B$2&lt;Desal!K7,0,IF(Dashboard!$B$2&lt;=Desal!K7+Dashboard!$B$62,1,0))</f>
        <v>1</v>
      </c>
      <c r="M7" s="203">
        <v>35000</v>
      </c>
      <c r="N7" s="194">
        <f t="shared" si="0"/>
        <v>35000</v>
      </c>
      <c r="O7" s="208">
        <f ca="1">OFFSET(Dashboard!$B$48,MATCH(Desal!E7,Dashboard!$A$48:$A$53,0)-1,0)</f>
        <v>2.1</v>
      </c>
      <c r="P7" s="209">
        <f>Dashboard!$C$66</f>
        <v>80</v>
      </c>
      <c r="Q7" s="210">
        <f>Dashboard!$B$73</f>
        <v>1.5</v>
      </c>
      <c r="R7" s="211">
        <f ca="1">OFFSET(Dashboard!$B$79,MATCH(Desal!E7,Dashboard!$A$79:$A$84,0)-1,0)</f>
        <v>1</v>
      </c>
      <c r="S7" s="203">
        <v>0</v>
      </c>
      <c r="T7" s="194">
        <f t="shared" si="1"/>
        <v>0</v>
      </c>
      <c r="U7" s="167">
        <f>Dashboard!$C$67</f>
        <v>20000</v>
      </c>
      <c r="V7" s="170">
        <f>Dashboard!$B$74</f>
        <v>0.1</v>
      </c>
      <c r="W7" s="200">
        <f ca="1">IF(F7=0,1,OFFSET(Dashboard!$B$88,MATCH(Desal!F7,Dashboard!$A$88:$A$91,0)-1,0))</f>
        <v>1</v>
      </c>
      <c r="X7" s="212"/>
    </row>
    <row r="8" spans="1:24" s="132" customFormat="1" x14ac:dyDescent="0.3">
      <c r="A8" s="131" t="s">
        <v>302</v>
      </c>
      <c r="B8" s="159" t="s">
        <v>38</v>
      </c>
      <c r="C8" s="174" t="s">
        <v>29</v>
      </c>
      <c r="D8" s="176" t="s">
        <v>290</v>
      </c>
      <c r="E8" s="132" t="s">
        <v>88</v>
      </c>
      <c r="F8" s="132" t="s">
        <v>176</v>
      </c>
      <c r="G8" s="159">
        <v>106</v>
      </c>
      <c r="H8" s="100">
        <v>23.872239</v>
      </c>
      <c r="I8" s="101">
        <v>38.364825000000003</v>
      </c>
      <c r="J8" s="101">
        <v>6</v>
      </c>
      <c r="K8" s="33">
        <v>1998</v>
      </c>
      <c r="L8" s="19">
        <f>IF(Dashboard!$B$2&lt;Desal!K8,0,IF(Dashboard!$B$2&lt;=Desal!K8+Dashboard!$B$62,1,0))</f>
        <v>1</v>
      </c>
      <c r="M8" s="159">
        <v>144000</v>
      </c>
      <c r="N8" s="194">
        <f t="shared" si="0"/>
        <v>144000</v>
      </c>
      <c r="O8" s="164">
        <f ca="1">OFFSET(Dashboard!$B$48,MATCH(Desal!E8,Dashboard!$A$48:$A$53,0)-1,0)</f>
        <v>13</v>
      </c>
      <c r="P8" s="92">
        <f>Dashboard!$C$66</f>
        <v>80</v>
      </c>
      <c r="Q8" s="65">
        <f>Dashboard!$B$73</f>
        <v>1.5</v>
      </c>
      <c r="R8" s="162">
        <f ca="1">OFFSET(Dashboard!$B$79,MATCH(Desal!E8,Dashboard!$A$79:$A$84,0)-1,0)</f>
        <v>23.41</v>
      </c>
      <c r="S8" s="159">
        <v>162.80000000000001</v>
      </c>
      <c r="T8" s="194">
        <f t="shared" si="1"/>
        <v>162.80000000000001</v>
      </c>
      <c r="U8" s="167">
        <f>Dashboard!$C$67</f>
        <v>20000</v>
      </c>
      <c r="V8" s="170">
        <f>Dashboard!$B$74</f>
        <v>0.1</v>
      </c>
      <c r="W8" s="200">
        <f ca="1">IF(F8=0,1,OFFSET(Dashboard!$B$88,MATCH(Desal!F8,Dashboard!$A$88:$A$91,0)-1,0))</f>
        <v>0.77800000000000002</v>
      </c>
      <c r="X8" s="134"/>
    </row>
    <row r="9" spans="1:24" s="132" customFormat="1" x14ac:dyDescent="0.3">
      <c r="A9" s="131" t="s">
        <v>303</v>
      </c>
      <c r="B9" s="159" t="s">
        <v>38</v>
      </c>
      <c r="C9" s="174" t="s">
        <v>29</v>
      </c>
      <c r="D9" s="176" t="s">
        <v>290</v>
      </c>
      <c r="E9" s="132" t="s">
        <v>346</v>
      </c>
      <c r="G9" s="159">
        <v>107</v>
      </c>
      <c r="H9" s="165">
        <v>23.872239</v>
      </c>
      <c r="I9" s="166">
        <v>38.364825000000003</v>
      </c>
      <c r="J9" s="166">
        <v>6</v>
      </c>
      <c r="K9" s="33">
        <v>1998</v>
      </c>
      <c r="L9" s="19">
        <f>IF(Dashboard!$B$2&lt;Desal!K9,0,IF(Dashboard!$B$2&lt;=Desal!K9+Dashboard!$B$62,1,0))</f>
        <v>1</v>
      </c>
      <c r="M9" s="159">
        <v>127800</v>
      </c>
      <c r="N9" s="194">
        <f t="shared" si="0"/>
        <v>127800</v>
      </c>
      <c r="O9" s="164">
        <f ca="1">OFFSET(Dashboard!$B$48,MATCH(Desal!E9,Dashboard!$A$48:$A$53,0)-1,0)</f>
        <v>4.7</v>
      </c>
      <c r="P9" s="92">
        <f>Dashboard!$C$66</f>
        <v>80</v>
      </c>
      <c r="Q9" s="65">
        <f>Dashboard!$B$73</f>
        <v>1.5</v>
      </c>
      <c r="R9" s="162">
        <f ca="1">OFFSET(Dashboard!$B$79,MATCH(Desal!E9,Dashboard!$A$79:$A$84,0)-1,0)</f>
        <v>1.78</v>
      </c>
      <c r="S9" s="159">
        <v>0</v>
      </c>
      <c r="T9" s="194">
        <f t="shared" si="1"/>
        <v>0</v>
      </c>
      <c r="U9" s="167">
        <f>Dashboard!$C$67</f>
        <v>20000</v>
      </c>
      <c r="V9" s="170">
        <f>Dashboard!$B$74</f>
        <v>0.1</v>
      </c>
      <c r="W9" s="200">
        <f ca="1">IF(F9=0,1,OFFSET(Dashboard!$B$88,MATCH(Desal!F9,Dashboard!$A$88:$A$91,0)-1,0))</f>
        <v>1</v>
      </c>
      <c r="X9" s="134"/>
    </row>
    <row r="10" spans="1:24" s="204" customFormat="1" x14ac:dyDescent="0.3">
      <c r="A10" s="202" t="s">
        <v>301</v>
      </c>
      <c r="B10" s="203" t="s">
        <v>38</v>
      </c>
      <c r="C10" s="204" t="s">
        <v>29</v>
      </c>
      <c r="D10" s="205" t="s">
        <v>290</v>
      </c>
      <c r="E10" s="204" t="s">
        <v>88</v>
      </c>
      <c r="F10" s="204" t="s">
        <v>176</v>
      </c>
      <c r="G10" s="159">
        <v>108</v>
      </c>
      <c r="H10" s="213">
        <v>23.867581000000001</v>
      </c>
      <c r="I10" s="214">
        <v>38.369019000000002</v>
      </c>
      <c r="J10" s="214">
        <v>1</v>
      </c>
      <c r="K10" s="33">
        <v>1981</v>
      </c>
      <c r="L10" s="19">
        <f>IF(Dashboard!$B$2&lt;Desal!K10,0,IF(Dashboard!$B$2&lt;=Desal!K10+Dashboard!$B$62,1,0))</f>
        <v>0</v>
      </c>
      <c r="M10" s="203">
        <v>110000</v>
      </c>
      <c r="N10" s="194">
        <f t="shared" si="0"/>
        <v>0</v>
      </c>
      <c r="O10" s="208">
        <f ca="1">OFFSET(Dashboard!$B$48,MATCH(Desal!E10,Dashboard!$A$48:$A$53,0)-1,0)</f>
        <v>13</v>
      </c>
      <c r="P10" s="209">
        <f>Dashboard!$C$66</f>
        <v>80</v>
      </c>
      <c r="Q10" s="210">
        <f>Dashboard!$B$73</f>
        <v>1.5</v>
      </c>
      <c r="R10" s="211">
        <f ca="1">OFFSET(Dashboard!$B$79,MATCH(Desal!E10,Dashboard!$A$79:$A$84,0)-1,0)</f>
        <v>23.41</v>
      </c>
      <c r="S10" s="203">
        <v>357</v>
      </c>
      <c r="T10" s="194">
        <f t="shared" si="1"/>
        <v>0</v>
      </c>
      <c r="U10" s="167">
        <f>Dashboard!$C$67</f>
        <v>20000</v>
      </c>
      <c r="V10" s="170">
        <f>Dashboard!$B$74</f>
        <v>0.1</v>
      </c>
      <c r="W10" s="200">
        <f ca="1">IF(F10=0,1,OFFSET(Dashboard!$B$88,MATCH(Desal!F10,Dashboard!$A$88:$A$91,0)-1,0))</f>
        <v>0.77800000000000002</v>
      </c>
      <c r="X10" s="212"/>
    </row>
    <row r="11" spans="1:24" s="132" customFormat="1" x14ac:dyDescent="0.3">
      <c r="A11" s="131" t="s">
        <v>304</v>
      </c>
      <c r="B11" s="159" t="s">
        <v>37</v>
      </c>
      <c r="C11" s="174" t="s">
        <v>28</v>
      </c>
      <c r="D11" s="176" t="s">
        <v>290</v>
      </c>
      <c r="E11" s="132" t="s">
        <v>75</v>
      </c>
      <c r="G11" s="159">
        <v>109</v>
      </c>
      <c r="H11" s="100">
        <v>22.778949999999998</v>
      </c>
      <c r="I11" s="101">
        <v>38.961911000000001</v>
      </c>
      <c r="J11" s="101">
        <v>0</v>
      </c>
      <c r="K11" s="33">
        <v>2008</v>
      </c>
      <c r="L11" s="19">
        <f>IF(Dashboard!$B$2&lt;Desal!K11,0,IF(Dashboard!$B$2&lt;=Desal!K11+Dashboard!$B$62,1,0))</f>
        <v>1</v>
      </c>
      <c r="M11" s="159">
        <v>18000</v>
      </c>
      <c r="N11" s="194">
        <f t="shared" si="0"/>
        <v>18000</v>
      </c>
      <c r="O11" s="164">
        <f ca="1">OFFSET(Dashboard!$B$48,MATCH(Desal!E11,Dashboard!$A$48:$A$53,0)-1,0)</f>
        <v>7.5</v>
      </c>
      <c r="P11" s="92">
        <f>Dashboard!$C$66</f>
        <v>80</v>
      </c>
      <c r="Q11" s="65">
        <f>Dashboard!$B$73</f>
        <v>1.5</v>
      </c>
      <c r="R11" s="162">
        <f ca="1">OFFSET(Dashboard!$B$79,MATCH(Desal!E11,Dashboard!$A$79:$A$84,0)-1,0)</f>
        <v>18.05</v>
      </c>
      <c r="S11" s="159">
        <v>0</v>
      </c>
      <c r="T11" s="194">
        <f t="shared" si="1"/>
        <v>0</v>
      </c>
      <c r="U11" s="167">
        <f>Dashboard!$C$67</f>
        <v>20000</v>
      </c>
      <c r="V11" s="170">
        <f>Dashboard!$B$74</f>
        <v>0.1</v>
      </c>
      <c r="W11" s="200">
        <f ca="1">IF(F11=0,1,OFFSET(Dashboard!$B$88,MATCH(Desal!F11,Dashboard!$A$88:$A$91,0)-1,0))</f>
        <v>1</v>
      </c>
      <c r="X11" s="134"/>
    </row>
    <row r="12" spans="1:24" s="132" customFormat="1" x14ac:dyDescent="0.3">
      <c r="A12" s="131" t="s">
        <v>305</v>
      </c>
      <c r="B12" s="159" t="s">
        <v>37</v>
      </c>
      <c r="C12" s="174" t="s">
        <v>28</v>
      </c>
      <c r="D12" s="176" t="s">
        <v>290</v>
      </c>
      <c r="E12" s="132" t="s">
        <v>346</v>
      </c>
      <c r="G12" s="159">
        <v>110</v>
      </c>
      <c r="H12" s="165">
        <v>22.778949999999998</v>
      </c>
      <c r="I12" s="166">
        <v>38.961911000000001</v>
      </c>
      <c r="J12" s="166">
        <v>0</v>
      </c>
      <c r="K12" s="165">
        <v>2008</v>
      </c>
      <c r="L12" s="19">
        <f>IF(Dashboard!$B$2&lt;Desal!K12,0,IF(Dashboard!$B$2&lt;=Desal!K12+Dashboard!$B$62,1,0))</f>
        <v>1</v>
      </c>
      <c r="M12" s="159">
        <f>20000+10000</f>
        <v>30000</v>
      </c>
      <c r="N12" s="194">
        <f t="shared" si="0"/>
        <v>30000</v>
      </c>
      <c r="O12" s="164">
        <f ca="1">OFFSET(Dashboard!$B$48,MATCH(Desal!E12,Dashboard!$A$48:$A$53,0)-1,0)</f>
        <v>4.7</v>
      </c>
      <c r="P12" s="92">
        <f>Dashboard!$C$66</f>
        <v>80</v>
      </c>
      <c r="Q12" s="65">
        <f>Dashboard!$B$73</f>
        <v>1.5</v>
      </c>
      <c r="R12" s="162">
        <f ca="1">OFFSET(Dashboard!$B$79,MATCH(Desal!E12,Dashboard!$A$79:$A$84,0)-1,0)</f>
        <v>1.78</v>
      </c>
      <c r="S12" s="159">
        <v>0</v>
      </c>
      <c r="T12" s="194">
        <f t="shared" si="1"/>
        <v>0</v>
      </c>
      <c r="U12" s="167">
        <f>Dashboard!$C$67</f>
        <v>20000</v>
      </c>
      <c r="V12" s="170">
        <f>Dashboard!$B$74</f>
        <v>0.1</v>
      </c>
      <c r="W12" s="200">
        <f ca="1">IF(F12=0,1,OFFSET(Dashboard!$B$88,MATCH(Desal!F12,Dashboard!$A$88:$A$91,0)-1,0))</f>
        <v>1</v>
      </c>
      <c r="X12" s="134"/>
    </row>
    <row r="13" spans="1:24" s="132" customFormat="1" x14ac:dyDescent="0.3">
      <c r="A13" s="131" t="s">
        <v>311</v>
      </c>
      <c r="B13" s="159" t="s">
        <v>37</v>
      </c>
      <c r="C13" s="174" t="s">
        <v>28</v>
      </c>
      <c r="D13" s="176" t="s">
        <v>290</v>
      </c>
      <c r="E13" s="132" t="s">
        <v>75</v>
      </c>
      <c r="G13" s="159">
        <v>111</v>
      </c>
      <c r="H13" s="100">
        <v>22.095696</v>
      </c>
      <c r="I13" s="101">
        <v>39.032558000000002</v>
      </c>
      <c r="J13" s="101">
        <v>6</v>
      </c>
      <c r="K13" s="33">
        <v>1987</v>
      </c>
      <c r="L13" s="19">
        <f>IF(Dashboard!$B$2&lt;Desal!K13,0,IF(Dashboard!$B$2&lt;=Desal!K13+Dashboard!$B$62,1,0))</f>
        <v>1</v>
      </c>
      <c r="M13" s="159">
        <v>4500</v>
      </c>
      <c r="N13" s="194">
        <f t="shared" si="0"/>
        <v>4500</v>
      </c>
      <c r="O13" s="164">
        <f ca="1">OFFSET(Dashboard!$B$48,MATCH(Desal!E13,Dashboard!$A$48:$A$53,0)-1,0)</f>
        <v>7.5</v>
      </c>
      <c r="P13" s="92">
        <f>Dashboard!$C$66</f>
        <v>80</v>
      </c>
      <c r="Q13" s="65">
        <f>Dashboard!$B$73</f>
        <v>1.5</v>
      </c>
      <c r="R13" s="162">
        <f ca="1">OFFSET(Dashboard!$B$79,MATCH(Desal!E13,Dashboard!$A$79:$A$84,0)-1,0)</f>
        <v>18.05</v>
      </c>
      <c r="S13" s="159">
        <v>0</v>
      </c>
      <c r="T13" s="194">
        <f t="shared" si="1"/>
        <v>0</v>
      </c>
      <c r="U13" s="167">
        <f>Dashboard!$C$67</f>
        <v>20000</v>
      </c>
      <c r="V13" s="170">
        <f>Dashboard!$B$74</f>
        <v>0.1</v>
      </c>
      <c r="W13" s="200">
        <f ca="1">IF(F13=0,1,OFFSET(Dashboard!$B$88,MATCH(Desal!F13,Dashboard!$A$88:$A$91,0)-1,0))</f>
        <v>1</v>
      </c>
      <c r="X13" s="134"/>
    </row>
    <row r="14" spans="1:24" s="132" customFormat="1" x14ac:dyDescent="0.3">
      <c r="A14" s="131" t="s">
        <v>295</v>
      </c>
      <c r="B14" s="159" t="s">
        <v>37</v>
      </c>
      <c r="C14" s="174" t="s">
        <v>28</v>
      </c>
      <c r="D14" s="176" t="s">
        <v>290</v>
      </c>
      <c r="E14" s="132" t="s">
        <v>88</v>
      </c>
      <c r="F14" s="132" t="s">
        <v>176</v>
      </c>
      <c r="G14" s="159">
        <v>112</v>
      </c>
      <c r="H14" s="100">
        <v>21.553061</v>
      </c>
      <c r="I14" s="101">
        <v>39.116312999999998</v>
      </c>
      <c r="J14" s="101">
        <v>11</v>
      </c>
      <c r="K14" s="33">
        <v>1980</v>
      </c>
      <c r="L14" s="19">
        <f>IF(Dashboard!$B$2&lt;Desal!K14,0,IF(Dashboard!$B$2&lt;=Desal!K14+Dashboard!$B$62,1,0))</f>
        <v>0</v>
      </c>
      <c r="M14" s="159">
        <v>227100</v>
      </c>
      <c r="N14" s="194">
        <f t="shared" si="0"/>
        <v>0</v>
      </c>
      <c r="O14" s="164">
        <f ca="1">OFFSET(Dashboard!$B$48,MATCH(Desal!E14,Dashboard!$A$48:$A$53,0)-1,0)</f>
        <v>13</v>
      </c>
      <c r="P14" s="92">
        <f>Dashboard!$C$66</f>
        <v>80</v>
      </c>
      <c r="Q14" s="65">
        <f>Dashboard!$B$73</f>
        <v>1.5</v>
      </c>
      <c r="R14" s="162">
        <f ca="1">OFFSET(Dashboard!$B$79,MATCH(Desal!E14,Dashboard!$A$79:$A$84,0)-1,0)</f>
        <v>23.41</v>
      </c>
      <c r="S14" s="159">
        <v>590</v>
      </c>
      <c r="T14" s="194">
        <f t="shared" si="1"/>
        <v>0</v>
      </c>
      <c r="U14" s="167">
        <f>Dashboard!$C$67</f>
        <v>20000</v>
      </c>
      <c r="V14" s="170">
        <f>Dashboard!$B$74</f>
        <v>0.1</v>
      </c>
      <c r="W14" s="200">
        <f ca="1">IF(F14=0,1,OFFSET(Dashboard!$B$88,MATCH(Desal!F14,Dashboard!$A$88:$A$91,0)-1,0))</f>
        <v>0.77800000000000002</v>
      </c>
      <c r="X14" s="134"/>
    </row>
    <row r="15" spans="1:24" s="132" customFormat="1" x14ac:dyDescent="0.3">
      <c r="A15" s="131" t="s">
        <v>296</v>
      </c>
      <c r="B15" s="159" t="s">
        <v>37</v>
      </c>
      <c r="C15" s="174" t="s">
        <v>28</v>
      </c>
      <c r="D15" s="176" t="s">
        <v>290</v>
      </c>
      <c r="E15" s="132" t="s">
        <v>88</v>
      </c>
      <c r="F15" s="132" t="s">
        <v>176</v>
      </c>
      <c r="G15" s="159">
        <v>113</v>
      </c>
      <c r="H15" s="100">
        <v>21.550639</v>
      </c>
      <c r="I15" s="101">
        <v>39.114814000000003</v>
      </c>
      <c r="J15" s="101">
        <v>10</v>
      </c>
      <c r="K15" s="33">
        <v>1980</v>
      </c>
      <c r="L15" s="19">
        <f>IF(Dashboard!$B$2&lt;Desal!K15,0,IF(Dashboard!$B$2&lt;=Desal!K15+Dashboard!$B$62,1,0))</f>
        <v>0</v>
      </c>
      <c r="M15" s="159">
        <v>90840</v>
      </c>
      <c r="N15" s="194">
        <f t="shared" si="0"/>
        <v>0</v>
      </c>
      <c r="O15" s="164">
        <f ca="1">OFFSET(Dashboard!$B$48,MATCH(Desal!E15,Dashboard!$A$48:$A$53,0)-1,0)</f>
        <v>13</v>
      </c>
      <c r="P15" s="92">
        <f>Dashboard!$C$66</f>
        <v>80</v>
      </c>
      <c r="Q15" s="65">
        <f>Dashboard!$B$73</f>
        <v>1.5</v>
      </c>
      <c r="R15" s="162">
        <f ca="1">OFFSET(Dashboard!$B$79,MATCH(Desal!E15,Dashboard!$A$79:$A$84,0)-1,0)</f>
        <v>23.41</v>
      </c>
      <c r="S15" s="159">
        <v>341</v>
      </c>
      <c r="T15" s="194">
        <f t="shared" si="1"/>
        <v>0</v>
      </c>
      <c r="U15" s="167">
        <f>Dashboard!$C$67</f>
        <v>20000</v>
      </c>
      <c r="V15" s="170">
        <f>Dashboard!$B$74</f>
        <v>0.1</v>
      </c>
      <c r="W15" s="200">
        <f ca="1">IF(F15=0,1,OFFSET(Dashboard!$B$88,MATCH(Desal!F15,Dashboard!$A$88:$A$91,0)-1,0))</f>
        <v>0.77800000000000002</v>
      </c>
      <c r="X15" s="134"/>
    </row>
    <row r="16" spans="1:24" s="132" customFormat="1" x14ac:dyDescent="0.3">
      <c r="A16" s="131" t="s">
        <v>293</v>
      </c>
      <c r="B16" s="159" t="s">
        <v>37</v>
      </c>
      <c r="C16" s="174" t="s">
        <v>28</v>
      </c>
      <c r="D16" s="176" t="s">
        <v>290</v>
      </c>
      <c r="E16" s="132" t="s">
        <v>346</v>
      </c>
      <c r="G16" s="159">
        <v>114</v>
      </c>
      <c r="H16" s="165">
        <v>21.553061</v>
      </c>
      <c r="I16" s="166">
        <v>39.116312999999998</v>
      </c>
      <c r="J16" s="166">
        <v>11</v>
      </c>
      <c r="K16" s="33">
        <v>1994</v>
      </c>
      <c r="L16" s="19">
        <f>IF(Dashboard!$B$2&lt;Desal!K16,0,IF(Dashboard!$B$2&lt;=Desal!K16+Dashboard!$B$62,1,0))</f>
        <v>1</v>
      </c>
      <c r="M16" s="159">
        <v>56800</v>
      </c>
      <c r="N16" s="194">
        <f t="shared" si="0"/>
        <v>56800</v>
      </c>
      <c r="O16" s="164">
        <f ca="1">OFFSET(Dashboard!$B$48,MATCH(Desal!E16,Dashboard!$A$48:$A$53,0)-1,0)</f>
        <v>4.7</v>
      </c>
      <c r="P16" s="92">
        <f>Dashboard!$C$66</f>
        <v>80</v>
      </c>
      <c r="Q16" s="65">
        <f>Dashboard!$B$73</f>
        <v>1.5</v>
      </c>
      <c r="R16" s="162">
        <f ca="1">OFFSET(Dashboard!$B$79,MATCH(Desal!E16,Dashboard!$A$79:$A$84,0)-1,0)</f>
        <v>1.78</v>
      </c>
      <c r="S16" s="159">
        <v>0</v>
      </c>
      <c r="T16" s="194">
        <f t="shared" si="1"/>
        <v>0</v>
      </c>
      <c r="U16" s="167">
        <f>Dashboard!$C$67</f>
        <v>20000</v>
      </c>
      <c r="V16" s="170">
        <f>Dashboard!$B$74</f>
        <v>0.1</v>
      </c>
      <c r="W16" s="200">
        <f ca="1">IF(F16=0,1,OFFSET(Dashboard!$B$88,MATCH(Desal!F16,Dashboard!$A$88:$A$91,0)-1,0))</f>
        <v>1</v>
      </c>
      <c r="X16" s="134"/>
    </row>
    <row r="17" spans="1:24" s="132" customFormat="1" x14ac:dyDescent="0.3">
      <c r="A17" s="131" t="s">
        <v>294</v>
      </c>
      <c r="B17" s="159" t="s">
        <v>37</v>
      </c>
      <c r="C17" s="174" t="s">
        <v>28</v>
      </c>
      <c r="D17" s="176" t="s">
        <v>290</v>
      </c>
      <c r="E17" s="132" t="s">
        <v>346</v>
      </c>
      <c r="G17" s="159">
        <v>115</v>
      </c>
      <c r="H17" s="165">
        <v>21.553061</v>
      </c>
      <c r="I17" s="166">
        <v>39.116312999999998</v>
      </c>
      <c r="J17" s="166">
        <v>11</v>
      </c>
      <c r="K17" s="33">
        <v>1988</v>
      </c>
      <c r="L17" s="19">
        <f>IF(Dashboard!$B$2&lt;Desal!K17,0,IF(Dashboard!$B$2&lt;=Desal!K17+Dashboard!$B$62,1,0))</f>
        <v>1</v>
      </c>
      <c r="M17" s="159">
        <v>56800</v>
      </c>
      <c r="N17" s="194">
        <f t="shared" si="0"/>
        <v>56800</v>
      </c>
      <c r="O17" s="164">
        <f ca="1">OFFSET(Dashboard!$B$48,MATCH(Desal!E17,Dashboard!$A$48:$A$53,0)-1,0)</f>
        <v>4.7</v>
      </c>
      <c r="P17" s="92">
        <f>Dashboard!$C$66</f>
        <v>80</v>
      </c>
      <c r="Q17" s="65">
        <f>Dashboard!$B$73</f>
        <v>1.5</v>
      </c>
      <c r="R17" s="162">
        <f ca="1">OFFSET(Dashboard!$B$79,MATCH(Desal!E17,Dashboard!$A$79:$A$84,0)-1,0)</f>
        <v>1.78</v>
      </c>
      <c r="S17" s="159">
        <v>0</v>
      </c>
      <c r="T17" s="194">
        <f t="shared" si="1"/>
        <v>0</v>
      </c>
      <c r="U17" s="167">
        <f>Dashboard!$C$67</f>
        <v>20000</v>
      </c>
      <c r="V17" s="170">
        <f>Dashboard!$B$74</f>
        <v>0.1</v>
      </c>
      <c r="W17" s="200">
        <f ca="1">IF(F17=0,1,OFFSET(Dashboard!$B$88,MATCH(Desal!F17,Dashboard!$A$88:$A$91,0)-1,0))</f>
        <v>1</v>
      </c>
      <c r="X17" s="134"/>
    </row>
    <row r="18" spans="1:24" s="132" customFormat="1" x14ac:dyDescent="0.3">
      <c r="A18" s="131" t="s">
        <v>330</v>
      </c>
      <c r="B18" s="159" t="s">
        <v>37</v>
      </c>
      <c r="C18" s="174" t="s">
        <v>28</v>
      </c>
      <c r="D18" s="176" t="s">
        <v>290</v>
      </c>
      <c r="E18" s="132" t="s">
        <v>346</v>
      </c>
      <c r="G18" s="159">
        <v>116</v>
      </c>
      <c r="H18" s="165">
        <v>21.553061</v>
      </c>
      <c r="I18" s="166">
        <v>39.116312999999998</v>
      </c>
      <c r="J18" s="166">
        <v>11</v>
      </c>
      <c r="K18" s="165">
        <v>2008</v>
      </c>
      <c r="L18" s="19">
        <f>IF(Dashboard!$B$2&lt;Desal!K18,0,IF(Dashboard!$B$2&lt;=Desal!K18+Dashboard!$B$62,1,0))</f>
        <v>1</v>
      </c>
      <c r="M18" s="159">
        <f>10000+9600+8000</f>
        <v>27600</v>
      </c>
      <c r="N18" s="194">
        <f t="shared" si="0"/>
        <v>27600</v>
      </c>
      <c r="O18" s="164">
        <f ca="1">OFFSET(Dashboard!$B$48,MATCH(Desal!E18,Dashboard!$A$48:$A$53,0)-1,0)</f>
        <v>4.7</v>
      </c>
      <c r="P18" s="92">
        <f>Dashboard!$C$66</f>
        <v>80</v>
      </c>
      <c r="Q18" s="65">
        <f>Dashboard!$B$73</f>
        <v>1.5</v>
      </c>
      <c r="R18" s="162">
        <f ca="1">OFFSET(Dashboard!$B$79,MATCH(Desal!E18,Dashboard!$A$79:$A$84,0)-1,0)</f>
        <v>1.78</v>
      </c>
      <c r="S18" s="159">
        <v>0</v>
      </c>
      <c r="T18" s="194">
        <f t="shared" si="1"/>
        <v>0</v>
      </c>
      <c r="U18" s="167">
        <f>Dashboard!$C$67</f>
        <v>20000</v>
      </c>
      <c r="V18" s="170">
        <f>Dashboard!$B$74</f>
        <v>0.1</v>
      </c>
      <c r="W18" s="200">
        <f ca="1">IF(F18=0,1,OFFSET(Dashboard!$B$88,MATCH(Desal!F18,Dashboard!$A$88:$A$91,0)-1,0))</f>
        <v>1</v>
      </c>
      <c r="X18" s="134"/>
    </row>
    <row r="19" spans="1:24" s="132" customFormat="1" x14ac:dyDescent="0.3">
      <c r="A19" s="194" t="s">
        <v>327</v>
      </c>
      <c r="B19" s="159" t="s">
        <v>37</v>
      </c>
      <c r="C19" s="174" t="s">
        <v>28</v>
      </c>
      <c r="D19" s="176" t="s">
        <v>328</v>
      </c>
      <c r="E19" s="195" t="s">
        <v>346</v>
      </c>
      <c r="F19" s="174"/>
      <c r="G19" s="159">
        <v>117</v>
      </c>
      <c r="H19" s="70">
        <v>21.543489000000001</v>
      </c>
      <c r="I19" s="201">
        <v>39.172989000000001</v>
      </c>
      <c r="J19" s="201">
        <v>15</v>
      </c>
      <c r="K19" s="33">
        <v>1990</v>
      </c>
      <c r="L19" s="19">
        <f>IF(Dashboard!$B$2&lt;Desal!K19,0,IF(Dashboard!$B$2&lt;=Desal!K19+Dashboard!$B$62,1,0))</f>
        <v>1</v>
      </c>
      <c r="M19" s="159">
        <v>30000</v>
      </c>
      <c r="N19" s="194">
        <f t="shared" si="0"/>
        <v>30000</v>
      </c>
      <c r="O19" s="268">
        <f ca="1">OFFSET(Dashboard!$B$48,MATCH(Desal!E19,Dashboard!$A$48:$A$53,0)-1,0)</f>
        <v>4.7</v>
      </c>
      <c r="P19" s="269">
        <f>Dashboard!$C$66</f>
        <v>80</v>
      </c>
      <c r="Q19" s="68">
        <f>Dashboard!$B$73</f>
        <v>1.5</v>
      </c>
      <c r="R19" s="162">
        <f ca="1">OFFSET(Dashboard!$B$79,MATCH(Desal!E19,Dashboard!$A$79:$A$84,0)-1,0)</f>
        <v>1.78</v>
      </c>
      <c r="S19" s="159">
        <v>0</v>
      </c>
      <c r="T19" s="194">
        <f t="shared" si="1"/>
        <v>0</v>
      </c>
      <c r="U19" s="167">
        <f>Dashboard!$C$67</f>
        <v>20000</v>
      </c>
      <c r="V19" s="170">
        <f>Dashboard!$B$74</f>
        <v>0.1</v>
      </c>
      <c r="W19" s="200">
        <f ca="1">IF(F19=0,1,OFFSET(Dashboard!$B$88,MATCH(Desal!F19,Dashboard!$A$88:$A$91,0)-1,0))</f>
        <v>1</v>
      </c>
      <c r="X19" s="134"/>
    </row>
    <row r="20" spans="1:24" s="132" customFormat="1" x14ac:dyDescent="0.3">
      <c r="A20" s="131" t="s">
        <v>284</v>
      </c>
      <c r="B20" s="159" t="s">
        <v>37</v>
      </c>
      <c r="C20" s="174" t="s">
        <v>28</v>
      </c>
      <c r="D20" s="176" t="s">
        <v>290</v>
      </c>
      <c r="E20" s="132" t="s">
        <v>88</v>
      </c>
      <c r="F20" s="132" t="s">
        <v>176</v>
      </c>
      <c r="G20" s="159">
        <v>118</v>
      </c>
      <c r="H20" s="35">
        <v>20.681197999999998</v>
      </c>
      <c r="I20" s="4">
        <v>39.520305</v>
      </c>
      <c r="J20" s="4">
        <v>7</v>
      </c>
      <c r="K20" s="33">
        <v>2009</v>
      </c>
      <c r="L20" s="19">
        <f>IF(Dashboard!$B$2&lt;Desal!K20,0,IF(Dashboard!$B$2&lt;=Desal!K20+Dashboard!$B$62,1,0))</f>
        <v>1</v>
      </c>
      <c r="M20" s="159">
        <v>880000</v>
      </c>
      <c r="N20" s="194">
        <f t="shared" si="0"/>
        <v>880000</v>
      </c>
      <c r="O20" s="164">
        <f ca="1">OFFSET(Dashboard!$B$48,MATCH(Desal!E20,Dashboard!$A$48:$A$53,0)-1,0)</f>
        <v>13</v>
      </c>
      <c r="P20" s="92">
        <f>Dashboard!$C$66</f>
        <v>80</v>
      </c>
      <c r="Q20" s="65">
        <f>Dashboard!$B$73</f>
        <v>1.5</v>
      </c>
      <c r="R20" s="162">
        <f ca="1">OFFSET(Dashboard!$B$79,MATCH(Desal!E20,Dashboard!$A$79:$A$84,0)-1,0)</f>
        <v>23.41</v>
      </c>
      <c r="S20" s="159">
        <v>1190.7</v>
      </c>
      <c r="T20" s="194">
        <f t="shared" si="1"/>
        <v>1190.7</v>
      </c>
      <c r="U20" s="167">
        <f>Dashboard!$C$67</f>
        <v>20000</v>
      </c>
      <c r="V20" s="170">
        <f>Dashboard!$B$74</f>
        <v>0.1</v>
      </c>
      <c r="W20" s="200">
        <f ca="1">IF(F20=0,1,OFFSET(Dashboard!$B$88,MATCH(Desal!F20,Dashboard!$A$88:$A$91,0)-1,0))</f>
        <v>0.77800000000000002</v>
      </c>
      <c r="X20" s="134"/>
    </row>
    <row r="21" spans="1:24" s="132" customFormat="1" x14ac:dyDescent="0.3">
      <c r="A21" s="131" t="s">
        <v>287</v>
      </c>
      <c r="B21" s="159" t="s">
        <v>37</v>
      </c>
      <c r="C21" s="174" t="s">
        <v>28</v>
      </c>
      <c r="D21" s="176" t="s">
        <v>290</v>
      </c>
      <c r="E21" s="132" t="s">
        <v>346</v>
      </c>
      <c r="G21" s="159">
        <v>119</v>
      </c>
      <c r="H21" s="35">
        <v>20.676091</v>
      </c>
      <c r="I21" s="4">
        <v>39.523209999999999</v>
      </c>
      <c r="J21" s="4">
        <v>8</v>
      </c>
      <c r="K21" s="33">
        <v>2009</v>
      </c>
      <c r="L21" s="19">
        <f>IF(Dashboard!$B$2&lt;Desal!K21,0,IF(Dashboard!$B$2&lt;=Desal!K21+Dashboard!$B$62,1,0))</f>
        <v>1</v>
      </c>
      <c r="M21" s="159">
        <v>150000</v>
      </c>
      <c r="N21" s="194">
        <f t="shared" si="0"/>
        <v>150000</v>
      </c>
      <c r="O21" s="164">
        <f ca="1">OFFSET(Dashboard!$B$48,MATCH(Desal!E21,Dashboard!$A$48:$A$53,0)-1,0)</f>
        <v>4.7</v>
      </c>
      <c r="P21" s="92">
        <f>Dashboard!$C$66</f>
        <v>80</v>
      </c>
      <c r="Q21" s="65">
        <f>Dashboard!$B$73</f>
        <v>1.5</v>
      </c>
      <c r="R21" s="162">
        <f ca="1">OFFSET(Dashboard!$B$79,MATCH(Desal!E21,Dashboard!$A$79:$A$84,0)-1,0)</f>
        <v>1.78</v>
      </c>
      <c r="S21" s="159">
        <v>0</v>
      </c>
      <c r="T21" s="194">
        <f t="shared" si="1"/>
        <v>0</v>
      </c>
      <c r="U21" s="167">
        <f>Dashboard!$C$67</f>
        <v>20000</v>
      </c>
      <c r="V21" s="170">
        <f>Dashboard!$B$74</f>
        <v>0.1</v>
      </c>
      <c r="W21" s="200">
        <f ca="1">IF(F21=0,1,OFFSET(Dashboard!$B$88,MATCH(Desal!F21,Dashboard!$A$88:$A$91,0)-1,0))</f>
        <v>1</v>
      </c>
      <c r="X21" s="134"/>
    </row>
    <row r="22" spans="1:24" s="132" customFormat="1" x14ac:dyDescent="0.3">
      <c r="A22" s="131" t="s">
        <v>286</v>
      </c>
      <c r="B22" s="159" t="s">
        <v>37</v>
      </c>
      <c r="C22" s="174" t="s">
        <v>28</v>
      </c>
      <c r="D22" s="176" t="s">
        <v>290</v>
      </c>
      <c r="E22" s="132" t="s">
        <v>88</v>
      </c>
      <c r="F22" s="132" t="s">
        <v>176</v>
      </c>
      <c r="G22" s="159">
        <v>120</v>
      </c>
      <c r="H22" s="35">
        <v>20.671396000000001</v>
      </c>
      <c r="I22" s="4">
        <v>39.526242000000003</v>
      </c>
      <c r="J22" s="4">
        <v>9</v>
      </c>
      <c r="K22" s="33">
        <v>2002</v>
      </c>
      <c r="L22" s="19">
        <f>IF(Dashboard!$B$2&lt;Desal!K22,0,IF(Dashboard!$B$2&lt;=Desal!K22+Dashboard!$B$62,1,0))</f>
        <v>1</v>
      </c>
      <c r="M22" s="159">
        <v>454000</v>
      </c>
      <c r="N22" s="194">
        <f t="shared" si="0"/>
        <v>454000</v>
      </c>
      <c r="O22" s="164">
        <f ca="1">OFFSET(Dashboard!$B$48,MATCH(Desal!E22,Dashboard!$A$48:$A$53,0)-1,0)</f>
        <v>13</v>
      </c>
      <c r="P22" s="92">
        <f>Dashboard!$C$66</f>
        <v>80</v>
      </c>
      <c r="Q22" s="65">
        <f>Dashboard!$B$73</f>
        <v>1.5</v>
      </c>
      <c r="R22" s="162">
        <f ca="1">OFFSET(Dashboard!$B$79,MATCH(Desal!E22,Dashboard!$A$79:$A$84,0)-1,0)</f>
        <v>23.41</v>
      </c>
      <c r="S22" s="159">
        <v>520</v>
      </c>
      <c r="T22" s="194">
        <f t="shared" si="1"/>
        <v>520</v>
      </c>
      <c r="U22" s="167">
        <f>Dashboard!$C$67</f>
        <v>20000</v>
      </c>
      <c r="V22" s="170">
        <f>Dashboard!$B$74</f>
        <v>0.1</v>
      </c>
      <c r="W22" s="200">
        <f ca="1">IF(F22=0,1,OFFSET(Dashboard!$B$88,MATCH(Desal!F22,Dashboard!$A$88:$A$91,0)-1,0))</f>
        <v>0.77800000000000002</v>
      </c>
      <c r="X22" s="134"/>
    </row>
    <row r="23" spans="1:24" s="132" customFormat="1" x14ac:dyDescent="0.3">
      <c r="A23" s="194" t="s">
        <v>285</v>
      </c>
      <c r="B23" s="159" t="s">
        <v>37</v>
      </c>
      <c r="C23" s="174" t="s">
        <v>28</v>
      </c>
      <c r="D23" s="176" t="s">
        <v>290</v>
      </c>
      <c r="E23" s="174" t="s">
        <v>88</v>
      </c>
      <c r="F23" s="174" t="s">
        <v>176</v>
      </c>
      <c r="G23" s="159">
        <v>121</v>
      </c>
      <c r="H23" s="159">
        <v>20.627625999999999</v>
      </c>
      <c r="I23" s="194">
        <v>39.555765000000001</v>
      </c>
      <c r="J23" s="194">
        <v>7</v>
      </c>
      <c r="K23" s="33">
        <v>1988</v>
      </c>
      <c r="L23" s="19">
        <f>IF(Dashboard!$B$2&lt;Desal!K23,0,IF(Dashboard!$B$2&lt;=Desal!K23+Dashboard!$B$62,1,0))</f>
        <v>1</v>
      </c>
      <c r="M23" s="159">
        <v>223000</v>
      </c>
      <c r="N23" s="194">
        <f t="shared" si="0"/>
        <v>223000</v>
      </c>
      <c r="O23" s="268">
        <f ca="1">OFFSET(Dashboard!$B$48,MATCH(Desal!E23,Dashboard!$A$48:$A$53,0)-1,0)</f>
        <v>13</v>
      </c>
      <c r="P23" s="269">
        <f>Dashboard!$C$66</f>
        <v>80</v>
      </c>
      <c r="Q23" s="68">
        <f>Dashboard!$B$73</f>
        <v>1.5</v>
      </c>
      <c r="R23" s="162">
        <f ca="1">OFFSET(Dashboard!$B$79,MATCH(Desal!E23,Dashboard!$A$79:$A$84,0)-1,0)</f>
        <v>23.41</v>
      </c>
      <c r="S23" s="159">
        <v>262.8</v>
      </c>
      <c r="T23" s="194">
        <f t="shared" si="1"/>
        <v>262.8</v>
      </c>
      <c r="U23" s="167">
        <f>Dashboard!$C$67</f>
        <v>20000</v>
      </c>
      <c r="V23" s="170">
        <f>Dashboard!$B$74</f>
        <v>0.1</v>
      </c>
      <c r="W23" s="200">
        <f ca="1">IF(F23=0,1,OFFSET(Dashboard!$B$88,MATCH(Desal!F23,Dashboard!$A$88:$A$91,0)-1,0))</f>
        <v>0.77800000000000002</v>
      </c>
      <c r="X23" s="134"/>
    </row>
    <row r="24" spans="1:24" s="132" customFormat="1" x14ac:dyDescent="0.3">
      <c r="A24" s="194" t="s">
        <v>329</v>
      </c>
      <c r="B24" s="159" t="s">
        <v>37</v>
      </c>
      <c r="C24" s="174" t="s">
        <v>28</v>
      </c>
      <c r="D24" s="176" t="s">
        <v>290</v>
      </c>
      <c r="E24" s="132" t="s">
        <v>346</v>
      </c>
      <c r="F24" s="174"/>
      <c r="G24" s="159">
        <v>122</v>
      </c>
      <c r="H24" s="165">
        <v>20.627625999999999</v>
      </c>
      <c r="I24" s="267">
        <v>39.555765000000001</v>
      </c>
      <c r="J24" s="267">
        <v>7</v>
      </c>
      <c r="K24" s="33">
        <v>2008</v>
      </c>
      <c r="L24" s="19">
        <f>IF(Dashboard!$B$2&lt;Desal!K24,0,IF(Dashboard!$B$2&lt;=Desal!K24+Dashboard!$B$62,1,0))</f>
        <v>1</v>
      </c>
      <c r="M24" s="159">
        <v>52000</v>
      </c>
      <c r="N24" s="194">
        <f t="shared" si="0"/>
        <v>52000</v>
      </c>
      <c r="O24" s="268">
        <f ca="1">OFFSET(Dashboard!$B$48,MATCH(Desal!E24,Dashboard!$A$48:$A$53,0)-1,0)</f>
        <v>4.7</v>
      </c>
      <c r="P24" s="269">
        <f>Dashboard!$C$66</f>
        <v>80</v>
      </c>
      <c r="Q24" s="270">
        <v>2.27</v>
      </c>
      <c r="R24" s="162">
        <f ca="1">OFFSET(Dashboard!$B$79,MATCH(Desal!E24,Dashboard!$A$79:$A$84,0)-1,0)</f>
        <v>1.78</v>
      </c>
      <c r="S24" s="159">
        <v>0</v>
      </c>
      <c r="T24" s="194">
        <f t="shared" si="1"/>
        <v>0</v>
      </c>
      <c r="U24" s="167">
        <f>Dashboard!$C$67</f>
        <v>20000</v>
      </c>
      <c r="V24" s="170">
        <f>Dashboard!$B$74</f>
        <v>0.1</v>
      </c>
      <c r="W24" s="200">
        <f ca="1">IF(F24=0,1,OFFSET(Dashboard!$B$88,MATCH(Desal!F24,Dashboard!$A$88:$A$91,0)-1,0))</f>
        <v>1</v>
      </c>
      <c r="X24" s="134"/>
    </row>
    <row r="25" spans="1:24" s="132" customFormat="1" x14ac:dyDescent="0.3">
      <c r="A25" s="131" t="s">
        <v>323</v>
      </c>
      <c r="B25" s="159" t="s">
        <v>37</v>
      </c>
      <c r="C25" s="174" t="s">
        <v>28</v>
      </c>
      <c r="D25" s="176" t="s">
        <v>290</v>
      </c>
      <c r="E25" s="132" t="s">
        <v>75</v>
      </c>
      <c r="G25" s="159">
        <v>123</v>
      </c>
      <c r="H25" s="159">
        <v>20.150511000000002</v>
      </c>
      <c r="I25" s="131">
        <v>40.266849999999998</v>
      </c>
      <c r="J25" s="131">
        <v>3</v>
      </c>
      <c r="K25" s="33">
        <v>2009</v>
      </c>
      <c r="L25" s="19">
        <f>IF(Dashboard!$B$2&lt;Desal!K25,0,IF(Dashboard!$B$2&lt;=Desal!K25+Dashboard!$B$62,1,0))</f>
        <v>1</v>
      </c>
      <c r="M25" s="159">
        <v>9000</v>
      </c>
      <c r="N25" s="194">
        <f t="shared" si="0"/>
        <v>9000</v>
      </c>
      <c r="O25" s="164">
        <f ca="1">OFFSET(Dashboard!$B$48,MATCH(Desal!E25,Dashboard!$A$48:$A$53,0)-1,0)</f>
        <v>7.5</v>
      </c>
      <c r="P25" s="92">
        <f>Dashboard!$C$66</f>
        <v>80</v>
      </c>
      <c r="Q25" s="65">
        <f>Dashboard!$B$73</f>
        <v>1.5</v>
      </c>
      <c r="R25" s="162">
        <f ca="1">OFFSET(Dashboard!$B$79,MATCH(Desal!E25,Dashboard!$A$79:$A$84,0)-1,0)</f>
        <v>18.05</v>
      </c>
      <c r="S25" s="159">
        <v>0</v>
      </c>
      <c r="T25" s="194">
        <f t="shared" si="1"/>
        <v>0</v>
      </c>
      <c r="U25" s="167">
        <f>Dashboard!$C$67</f>
        <v>20000</v>
      </c>
      <c r="V25" s="170">
        <f>Dashboard!$B$74</f>
        <v>0.1</v>
      </c>
      <c r="W25" s="200">
        <f ca="1">IF(F25=0,1,OFFSET(Dashboard!$B$88,MATCH(Desal!F25,Dashboard!$A$88:$A$91,0)-1,0))</f>
        <v>1</v>
      </c>
      <c r="X25" s="134"/>
    </row>
    <row r="26" spans="1:24" s="132" customFormat="1" x14ac:dyDescent="0.3">
      <c r="A26" s="131" t="s">
        <v>325</v>
      </c>
      <c r="B26" s="159" t="s">
        <v>37</v>
      </c>
      <c r="C26" s="174" t="s">
        <v>28</v>
      </c>
      <c r="D26" s="176" t="s">
        <v>290</v>
      </c>
      <c r="E26" s="132" t="s">
        <v>75</v>
      </c>
      <c r="G26" s="159">
        <v>124</v>
      </c>
      <c r="H26" s="35">
        <v>19.075762999999998</v>
      </c>
      <c r="I26" s="4">
        <v>41.164482</v>
      </c>
      <c r="J26" s="4">
        <v>5</v>
      </c>
      <c r="K26" s="33">
        <v>2009</v>
      </c>
      <c r="L26" s="19">
        <f>IF(Dashboard!$B$2&lt;Desal!K26,0,IF(Dashboard!$B$2&lt;=Desal!K26+Dashboard!$B$62,1,0))</f>
        <v>1</v>
      </c>
      <c r="M26" s="159">
        <v>9000</v>
      </c>
      <c r="N26" s="194">
        <f t="shared" si="0"/>
        <v>9000</v>
      </c>
      <c r="O26" s="164">
        <f ca="1">OFFSET(Dashboard!$B$48,MATCH(Desal!E26,Dashboard!$A$48:$A$53,0)-1,0)</f>
        <v>7.5</v>
      </c>
      <c r="P26" s="92">
        <f>Dashboard!$C$66</f>
        <v>80</v>
      </c>
      <c r="Q26" s="65">
        <f>Dashboard!$B$73</f>
        <v>1.5</v>
      </c>
      <c r="R26" s="162">
        <f ca="1">OFFSET(Dashboard!$B$79,MATCH(Desal!E26,Dashboard!$A$79:$A$84,0)-1,0)</f>
        <v>18.05</v>
      </c>
      <c r="S26" s="159">
        <v>0</v>
      </c>
      <c r="T26" s="194">
        <f t="shared" si="1"/>
        <v>0</v>
      </c>
      <c r="U26" s="167">
        <f>Dashboard!$C$67</f>
        <v>20000</v>
      </c>
      <c r="V26" s="170">
        <f>Dashboard!$B$74</f>
        <v>0.1</v>
      </c>
      <c r="W26" s="200">
        <f ca="1">IF(F26=0,1,OFFSET(Dashboard!$B$88,MATCH(Desal!F26,Dashboard!$A$88:$A$91,0)-1,0))</f>
        <v>1</v>
      </c>
      <c r="X26" s="134"/>
    </row>
    <row r="27" spans="1:24" s="204" customFormat="1" x14ac:dyDescent="0.3">
      <c r="A27" s="202" t="s">
        <v>310</v>
      </c>
      <c r="B27" s="203" t="s">
        <v>37</v>
      </c>
      <c r="C27" s="204" t="s">
        <v>28</v>
      </c>
      <c r="D27" s="205" t="s">
        <v>290</v>
      </c>
      <c r="E27" s="132" t="s">
        <v>346</v>
      </c>
      <c r="G27" s="159">
        <v>125</v>
      </c>
      <c r="H27" s="215">
        <v>18.209489000000001</v>
      </c>
      <c r="I27" s="216">
        <v>41.525435000000002</v>
      </c>
      <c r="J27" s="216">
        <v>5</v>
      </c>
      <c r="K27" s="33">
        <v>2001</v>
      </c>
      <c r="L27" s="19">
        <f>IF(Dashboard!$B$2&lt;Desal!K27,0,IF(Dashboard!$B$2&lt;=Desal!K27+Dashboard!$B$62,1,0))</f>
        <v>1</v>
      </c>
      <c r="M27" s="203">
        <v>2200</v>
      </c>
      <c r="N27" s="194">
        <f t="shared" si="0"/>
        <v>2200</v>
      </c>
      <c r="O27" s="208">
        <f ca="1">OFFSET(Dashboard!$B$48,MATCH(Desal!E27,Dashboard!$A$48:$A$53,0)-1,0)</f>
        <v>4.7</v>
      </c>
      <c r="P27" s="209">
        <f>Dashboard!$C$66</f>
        <v>80</v>
      </c>
      <c r="Q27" s="210">
        <f>Dashboard!$B$73</f>
        <v>1.5</v>
      </c>
      <c r="R27" s="211">
        <f ca="1">OFFSET(Dashboard!$B$79,MATCH(Desal!E27,Dashboard!$A$79:$A$84,0)-1,0)</f>
        <v>1.78</v>
      </c>
      <c r="S27" s="203">
        <v>0</v>
      </c>
      <c r="T27" s="194">
        <f t="shared" si="1"/>
        <v>0</v>
      </c>
      <c r="U27" s="167">
        <f>Dashboard!$C$67</f>
        <v>20000</v>
      </c>
      <c r="V27" s="170">
        <f>Dashboard!$B$74</f>
        <v>0.1</v>
      </c>
      <c r="W27" s="200">
        <f ca="1">IF(F27=0,1,OFFSET(Dashboard!$B$88,MATCH(Desal!F27,Dashboard!$A$88:$A$91,0)-1,0))</f>
        <v>1</v>
      </c>
      <c r="X27" s="212"/>
    </row>
    <row r="28" spans="1:24" s="132" customFormat="1" x14ac:dyDescent="0.3">
      <c r="A28" s="131" t="s">
        <v>299</v>
      </c>
      <c r="B28" s="159" t="s">
        <v>39</v>
      </c>
      <c r="C28" s="174" t="s">
        <v>89</v>
      </c>
      <c r="D28" s="176" t="s">
        <v>290</v>
      </c>
      <c r="E28" s="132" t="s">
        <v>346</v>
      </c>
      <c r="F28" s="132" t="s">
        <v>175</v>
      </c>
      <c r="G28" s="159">
        <v>126</v>
      </c>
      <c r="H28" s="35">
        <v>17.658759</v>
      </c>
      <c r="I28" s="4">
        <v>42.076808999999997</v>
      </c>
      <c r="J28" s="4">
        <v>7</v>
      </c>
      <c r="K28" s="33">
        <v>2010</v>
      </c>
      <c r="L28" s="19">
        <f>IF(Dashboard!$B$2&lt;Desal!K28,0,IF(Dashboard!$B$2&lt;=Desal!K28+Dashboard!$B$62,1,0))</f>
        <v>1</v>
      </c>
      <c r="M28" s="159">
        <v>213000</v>
      </c>
      <c r="N28" s="194">
        <f t="shared" si="0"/>
        <v>213000</v>
      </c>
      <c r="O28" s="164">
        <f ca="1">OFFSET(Dashboard!$B$48,MATCH(Desal!E28,Dashboard!$A$48:$A$53,0)-1,0)</f>
        <v>4.7</v>
      </c>
      <c r="P28" s="92">
        <f>Dashboard!$C$66</f>
        <v>80</v>
      </c>
      <c r="Q28" s="65">
        <f>Dashboard!$B$73</f>
        <v>1.5</v>
      </c>
      <c r="R28" s="162">
        <f ca="1">OFFSET(Dashboard!$B$79,MATCH(Desal!E28,Dashboard!$A$79:$A$84,0)-1,0)</f>
        <v>1.78</v>
      </c>
      <c r="S28" s="159">
        <v>1020</v>
      </c>
      <c r="T28" s="194">
        <f t="shared" si="1"/>
        <v>1020</v>
      </c>
      <c r="U28" s="167">
        <f>Dashboard!$C$67</f>
        <v>20000</v>
      </c>
      <c r="V28" s="170">
        <f>Dashboard!$B$74</f>
        <v>0.1</v>
      </c>
      <c r="W28" s="200">
        <f ca="1">IF(F28=0,1,OFFSET(Dashboard!$B$88,MATCH(Desal!F28,Dashboard!$A$88:$A$91,0)-1,0))</f>
        <v>0.77800000000000002</v>
      </c>
      <c r="X28" s="134"/>
    </row>
    <row r="29" spans="1:24" s="204" customFormat="1" x14ac:dyDescent="0.3">
      <c r="A29" s="202" t="s">
        <v>300</v>
      </c>
      <c r="B29" s="203" t="s">
        <v>39</v>
      </c>
      <c r="C29" s="204" t="s">
        <v>89</v>
      </c>
      <c r="D29" s="205" t="s">
        <v>290</v>
      </c>
      <c r="E29" s="204" t="s">
        <v>88</v>
      </c>
      <c r="F29" s="204" t="s">
        <v>176</v>
      </c>
      <c r="G29" s="159">
        <v>127</v>
      </c>
      <c r="H29" s="215">
        <v>17.660903999999999</v>
      </c>
      <c r="I29" s="216">
        <v>42.063008000000004</v>
      </c>
      <c r="J29" s="216">
        <v>14</v>
      </c>
      <c r="K29" s="33">
        <v>1989</v>
      </c>
      <c r="L29" s="19">
        <f>IF(Dashboard!$B$2&lt;Desal!K29,0,IF(Dashboard!$B$2&lt;=Desal!K29+Dashboard!$B$62,1,0))</f>
        <v>1</v>
      </c>
      <c r="M29" s="203">
        <v>97014</v>
      </c>
      <c r="N29" s="194">
        <f t="shared" si="0"/>
        <v>97014</v>
      </c>
      <c r="O29" s="208">
        <f ca="1">OFFSET(Dashboard!$B$48,MATCH(Desal!E29,Dashboard!$A$48:$A$53,0)-1,0)</f>
        <v>13</v>
      </c>
      <c r="P29" s="209">
        <f>Dashboard!$C$66</f>
        <v>80</v>
      </c>
      <c r="Q29" s="210">
        <f>Dashboard!$B$73</f>
        <v>1.5</v>
      </c>
      <c r="R29" s="211">
        <f ca="1">OFFSET(Dashboard!$B$79,MATCH(Desal!E29,Dashboard!$A$79:$A$84,0)-1,0)</f>
        <v>23.41</v>
      </c>
      <c r="S29" s="203">
        <v>128</v>
      </c>
      <c r="T29" s="194">
        <f t="shared" si="1"/>
        <v>128</v>
      </c>
      <c r="U29" s="167">
        <f>Dashboard!$C$67</f>
        <v>20000</v>
      </c>
      <c r="V29" s="170">
        <f>Dashboard!$B$74</f>
        <v>0.1</v>
      </c>
      <c r="W29" s="200">
        <f ca="1">IF(F29=0,1,OFFSET(Dashboard!$B$88,MATCH(Desal!F29,Dashboard!$A$88:$A$91,0)-1,0))</f>
        <v>0.77800000000000002</v>
      </c>
      <c r="X29" s="212"/>
    </row>
    <row r="30" spans="1:24" s="132" customFormat="1" x14ac:dyDescent="0.3">
      <c r="A30" s="131" t="s">
        <v>307</v>
      </c>
      <c r="B30" s="159" t="s">
        <v>42</v>
      </c>
      <c r="C30" s="174" t="s">
        <v>30</v>
      </c>
      <c r="D30" s="176" t="s">
        <v>290</v>
      </c>
      <c r="E30" s="132" t="s">
        <v>88</v>
      </c>
      <c r="G30" s="159">
        <v>128</v>
      </c>
      <c r="H30" s="100">
        <v>28.414542000000001</v>
      </c>
      <c r="I30" s="101">
        <v>48.530718</v>
      </c>
      <c r="J30" s="101">
        <v>6</v>
      </c>
      <c r="K30" s="33">
        <v>1985</v>
      </c>
      <c r="L30" s="19">
        <f>IF(Dashboard!$B$2&lt;Desal!K30,0,IF(Dashboard!$B$2&lt;=Desal!K30+Dashboard!$B$62,1,0))</f>
        <v>1</v>
      </c>
      <c r="M30" s="159">
        <f>22500+13500</f>
        <v>36000</v>
      </c>
      <c r="N30" s="194">
        <f t="shared" si="0"/>
        <v>36000</v>
      </c>
      <c r="O30" s="164">
        <f ca="1">OFFSET(Dashboard!$B$48,MATCH(Desal!E30,Dashboard!$A$48:$A$53,0)-1,0)</f>
        <v>13</v>
      </c>
      <c r="P30" s="92">
        <f>Dashboard!$C$66</f>
        <v>80</v>
      </c>
      <c r="Q30" s="65">
        <f>Dashboard!$B$73</f>
        <v>1.5</v>
      </c>
      <c r="R30" s="162">
        <f ca="1">OFFSET(Dashboard!$B$79,MATCH(Desal!E30,Dashboard!$A$79:$A$84,0)-1,0)</f>
        <v>23.41</v>
      </c>
      <c r="S30" s="159">
        <v>0</v>
      </c>
      <c r="T30" s="194">
        <f t="shared" si="1"/>
        <v>0</v>
      </c>
      <c r="U30" s="167">
        <f>Dashboard!$C$67</f>
        <v>20000</v>
      </c>
      <c r="V30" s="170">
        <f>Dashboard!$B$74</f>
        <v>0.1</v>
      </c>
      <c r="W30" s="200">
        <f ca="1">IF(F30=0,1,OFFSET(Dashboard!$B$88,MATCH(Desal!F30,Dashboard!$A$88:$A$91,0)-1,0))</f>
        <v>1</v>
      </c>
      <c r="X30" s="134"/>
    </row>
    <row r="31" spans="1:24" s="132" customFormat="1" x14ac:dyDescent="0.3">
      <c r="A31" s="131" t="s">
        <v>309</v>
      </c>
      <c r="B31" s="159" t="s">
        <v>42</v>
      </c>
      <c r="C31" s="174" t="s">
        <v>30</v>
      </c>
      <c r="D31" s="176" t="s">
        <v>290</v>
      </c>
      <c r="E31" s="132" t="s">
        <v>88</v>
      </c>
      <c r="F31" s="132" t="s">
        <v>176</v>
      </c>
      <c r="G31" s="159">
        <v>129</v>
      </c>
      <c r="H31" s="100">
        <v>26.897219</v>
      </c>
      <c r="I31" s="101">
        <v>49.778863000000001</v>
      </c>
      <c r="J31" s="101">
        <v>10</v>
      </c>
      <c r="K31" s="165">
        <v>1983</v>
      </c>
      <c r="L31" s="19">
        <f>IF(Dashboard!$B$2&lt;Desal!K31,0,IF(Dashboard!$B$2&lt;=Desal!K31+Dashboard!$B$62,1,0))</f>
        <v>0</v>
      </c>
      <c r="M31" s="159">
        <f>474000+279200+236180+235000+136830+100000</f>
        <v>1461210</v>
      </c>
      <c r="N31" s="194">
        <f t="shared" si="0"/>
        <v>0</v>
      </c>
      <c r="O31" s="164">
        <f ca="1">OFFSET(Dashboard!$B$48,MATCH(Desal!E31,Dashboard!$A$48:$A$53,0)-1,0)</f>
        <v>13</v>
      </c>
      <c r="P31" s="92">
        <f>Dashboard!$C$66</f>
        <v>80</v>
      </c>
      <c r="Q31" s="65">
        <f>Dashboard!$B$73</f>
        <v>1.5</v>
      </c>
      <c r="R31" s="162">
        <f ca="1">OFFSET(Dashboard!$B$79,MATCH(Desal!E31,Dashboard!$A$79:$A$84,0)-1,0)</f>
        <v>23.41</v>
      </c>
      <c r="S31" s="159">
        <f>360+1225</f>
        <v>1585</v>
      </c>
      <c r="T31" s="194">
        <f t="shared" si="1"/>
        <v>0</v>
      </c>
      <c r="U31" s="167">
        <f>Dashboard!$C$67</f>
        <v>20000</v>
      </c>
      <c r="V31" s="170">
        <f>Dashboard!$B$74</f>
        <v>0.1</v>
      </c>
      <c r="W31" s="200">
        <f ca="1">IF(F31=0,1,OFFSET(Dashboard!$B$88,MATCH(Desal!F31,Dashboard!$A$88:$A$91,0)-1,0))</f>
        <v>0.77800000000000002</v>
      </c>
      <c r="X31" s="134"/>
    </row>
    <row r="32" spans="1:24" s="132" customFormat="1" x14ac:dyDescent="0.3">
      <c r="A32" s="131" t="s">
        <v>308</v>
      </c>
      <c r="B32" s="159" t="s">
        <v>42</v>
      </c>
      <c r="C32" s="174" t="s">
        <v>30</v>
      </c>
      <c r="D32" s="176" t="s">
        <v>290</v>
      </c>
      <c r="E32" s="132" t="s">
        <v>346</v>
      </c>
      <c r="G32" s="159">
        <v>130</v>
      </c>
      <c r="H32" s="165">
        <v>26.897219</v>
      </c>
      <c r="I32" s="166">
        <v>49.778863000000001</v>
      </c>
      <c r="J32" s="166">
        <v>10</v>
      </c>
      <c r="K32" s="165">
        <v>2007</v>
      </c>
      <c r="L32" s="19">
        <f>IF(Dashboard!$B$2&lt;Desal!K32,0,IF(Dashboard!$B$2&lt;=Desal!K32+Dashboard!$B$62,1,0))</f>
        <v>1</v>
      </c>
      <c r="M32" s="159">
        <f>90909+66660+60000+24240+20000</f>
        <v>261809</v>
      </c>
      <c r="N32" s="194">
        <f t="shared" si="0"/>
        <v>261809</v>
      </c>
      <c r="O32" s="164">
        <f ca="1">OFFSET(Dashboard!$B$48,MATCH(Desal!E32,Dashboard!$A$48:$A$53,0)-1,0)</f>
        <v>4.7</v>
      </c>
      <c r="P32" s="92">
        <f>Dashboard!$C$66</f>
        <v>80</v>
      </c>
      <c r="Q32" s="65">
        <f>Dashboard!$B$73</f>
        <v>1.5</v>
      </c>
      <c r="R32" s="162">
        <f ca="1">OFFSET(Dashboard!$B$79,MATCH(Desal!E32,Dashboard!$A$79:$A$84,0)-1,0)</f>
        <v>1.78</v>
      </c>
      <c r="S32" s="159">
        <v>0</v>
      </c>
      <c r="T32" s="194">
        <f t="shared" si="1"/>
        <v>0</v>
      </c>
      <c r="U32" s="167">
        <f>Dashboard!$C$67</f>
        <v>20000</v>
      </c>
      <c r="V32" s="170">
        <f>Dashboard!$B$74</f>
        <v>0.1</v>
      </c>
      <c r="W32" s="200">
        <f ca="1">IF(F32=0,1,OFFSET(Dashboard!$B$88,MATCH(Desal!F32,Dashboard!$A$88:$A$91,0)-1,0))</f>
        <v>1</v>
      </c>
      <c r="X32" s="134"/>
    </row>
    <row r="33" spans="1:24" s="132" customFormat="1" x14ac:dyDescent="0.3">
      <c r="A33" s="194" t="s">
        <v>297</v>
      </c>
      <c r="B33" s="159" t="s">
        <v>42</v>
      </c>
      <c r="C33" s="174" t="s">
        <v>30</v>
      </c>
      <c r="D33" s="176" t="s">
        <v>290</v>
      </c>
      <c r="E33" s="174" t="s">
        <v>88</v>
      </c>
      <c r="F33" s="174" t="s">
        <v>173</v>
      </c>
      <c r="G33" s="159">
        <v>131</v>
      </c>
      <c r="H33" s="159">
        <v>26.178118000000001</v>
      </c>
      <c r="I33" s="194">
        <v>50.210178999999997</v>
      </c>
      <c r="J33" s="194">
        <v>12</v>
      </c>
      <c r="K33" s="33">
        <v>1984</v>
      </c>
      <c r="L33" s="19">
        <f>IF(Dashboard!$B$2&lt;Desal!K33,0,IF(Dashboard!$B$2&lt;=Desal!K33+Dashboard!$B$62,1,0))</f>
        <v>0</v>
      </c>
      <c r="M33" s="159">
        <v>267000</v>
      </c>
      <c r="N33" s="194">
        <f t="shared" si="0"/>
        <v>0</v>
      </c>
      <c r="O33" s="268">
        <f ca="1">OFFSET(Dashboard!$B$48,MATCH(Desal!E33,Dashboard!$A$48:$A$53,0)-1,0)</f>
        <v>13</v>
      </c>
      <c r="P33" s="269">
        <f>Dashboard!$C$66</f>
        <v>80</v>
      </c>
      <c r="Q33" s="68">
        <f>Dashboard!$B$73</f>
        <v>1.5</v>
      </c>
      <c r="R33" s="162">
        <f ca="1">OFFSET(Dashboard!$B$79,MATCH(Desal!E33,Dashboard!$A$79:$A$84,0)-1,0)</f>
        <v>23.41</v>
      </c>
      <c r="S33" s="159">
        <v>710</v>
      </c>
      <c r="T33" s="194">
        <f t="shared" si="1"/>
        <v>0</v>
      </c>
      <c r="U33" s="167">
        <f>Dashboard!$C$67</f>
        <v>20000</v>
      </c>
      <c r="V33" s="170">
        <f>Dashboard!$B$74</f>
        <v>0.1</v>
      </c>
      <c r="W33" s="200">
        <f ca="1">IF(F33=0,1,OFFSET(Dashboard!$B$88,MATCH(Desal!F33,Dashboard!$A$88:$A$91,0)-1,0))</f>
        <v>0.443</v>
      </c>
      <c r="X33" s="134"/>
    </row>
    <row r="34" spans="1:24" s="204" customFormat="1" x14ac:dyDescent="0.3">
      <c r="A34" s="202" t="s">
        <v>298</v>
      </c>
      <c r="B34" s="203" t="s">
        <v>42</v>
      </c>
      <c r="C34" s="204" t="s">
        <v>30</v>
      </c>
      <c r="D34" s="205" t="s">
        <v>290</v>
      </c>
      <c r="E34" s="204" t="s">
        <v>88</v>
      </c>
      <c r="F34" s="204" t="s">
        <v>176</v>
      </c>
      <c r="G34" s="159">
        <v>132</v>
      </c>
      <c r="H34" s="213">
        <v>26.175467000000001</v>
      </c>
      <c r="I34" s="214">
        <v>50.207548000000003</v>
      </c>
      <c r="J34" s="214">
        <v>9</v>
      </c>
      <c r="K34" s="33">
        <v>1997</v>
      </c>
      <c r="L34" s="19">
        <f>IF(Dashboard!$B$2&lt;Desal!K34,0,IF(Dashboard!$B$2&lt;=Desal!K34+Dashboard!$B$62,1,0))</f>
        <v>1</v>
      </c>
      <c r="M34" s="203">
        <v>280000</v>
      </c>
      <c r="N34" s="194">
        <f t="shared" si="0"/>
        <v>280000</v>
      </c>
      <c r="O34" s="208">
        <f ca="1">OFFSET(Dashboard!$B$48,MATCH(Desal!E34,Dashboard!$A$48:$A$53,0)-1,0)</f>
        <v>13</v>
      </c>
      <c r="P34" s="209">
        <f>Dashboard!$C$66</f>
        <v>80</v>
      </c>
      <c r="Q34" s="210">
        <f>Dashboard!$B$73</f>
        <v>1.5</v>
      </c>
      <c r="R34" s="211">
        <f ca="1">OFFSET(Dashboard!$B$79,MATCH(Desal!E34,Dashboard!$A$79:$A$84,0)-1,0)</f>
        <v>23.41</v>
      </c>
      <c r="S34" s="203">
        <v>478.8</v>
      </c>
      <c r="T34" s="194">
        <f t="shared" si="1"/>
        <v>478.8</v>
      </c>
      <c r="U34" s="167">
        <f>Dashboard!$C$67</f>
        <v>20000</v>
      </c>
      <c r="V34" s="170">
        <f>Dashboard!$B$74</f>
        <v>0.1</v>
      </c>
      <c r="W34" s="200">
        <f ca="1">IF(F34=0,1,OFFSET(Dashboard!$B$88,MATCH(Desal!F34,Dashboard!$A$88:$A$91,0)-1,0))</f>
        <v>0.77800000000000002</v>
      </c>
      <c r="X34" s="212"/>
    </row>
  </sheetData>
  <mergeCells count="21">
    <mergeCell ref="W1:W2"/>
    <mergeCell ref="D1:D2"/>
    <mergeCell ref="P1:P2"/>
    <mergeCell ref="U1:U2"/>
    <mergeCell ref="Q1:Q2"/>
    <mergeCell ref="V1:V2"/>
    <mergeCell ref="S1:S2"/>
    <mergeCell ref="R1:R2"/>
    <mergeCell ref="E1:E2"/>
    <mergeCell ref="O1:O2"/>
    <mergeCell ref="H1:H2"/>
    <mergeCell ref="I1:I2"/>
    <mergeCell ref="K1:K2"/>
    <mergeCell ref="L1:L2"/>
    <mergeCell ref="N1:N2"/>
    <mergeCell ref="T1:T2"/>
    <mergeCell ref="J1:J2"/>
    <mergeCell ref="M1:M2"/>
    <mergeCell ref="G1:G2"/>
    <mergeCell ref="B1:C1"/>
    <mergeCell ref="F1:F2"/>
  </mergeCells>
  <hyperlinks>
    <hyperlink ref="A2" r:id="rId1"/>
  </hyperlinks>
  <pageMargins left="0.7" right="0.7" top="0.75" bottom="0.75" header="0.3" footer="0.3"/>
  <pageSetup paperSize="9"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38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defaultRowHeight="14.4" x14ac:dyDescent="0.3"/>
  <cols>
    <col min="1" max="1" width="26.77734375" style="18" customWidth="1"/>
    <col min="2" max="2" width="16.77734375" style="33" customWidth="1"/>
    <col min="3" max="3" width="8.77734375" style="175" customWidth="1"/>
    <col min="4" max="4" width="16.88671875" style="177" customWidth="1"/>
    <col min="5" max="6" width="12.77734375" style="12" customWidth="1"/>
    <col min="7" max="7" width="4.6640625" style="27" customWidth="1"/>
    <col min="8" max="8" width="12.77734375" style="34" customWidth="1"/>
    <col min="9" max="10" width="12.77734375" style="18" customWidth="1"/>
    <col min="11" max="11" width="12.77734375" style="35" customWidth="1"/>
    <col min="12" max="12" width="12.77734375" style="262" customWidth="1"/>
    <col min="13" max="13" width="16.77734375" style="34" customWidth="1"/>
    <col min="14" max="14" width="20.77734375" style="271" customWidth="1"/>
    <col min="15" max="15" width="20.77734375" style="66" customWidth="1"/>
    <col min="16" max="16" width="18.77734375" style="94" customWidth="1"/>
    <col min="17" max="17" width="16.77734375" style="69" customWidth="1"/>
    <col min="18" max="18" width="16.77734375" style="186" customWidth="1"/>
    <col min="19" max="19" width="16.77734375" style="34" customWidth="1"/>
    <col min="20" max="20" width="20.77734375" style="271" customWidth="1"/>
    <col min="21" max="21" width="18.77734375" style="189" customWidth="1"/>
    <col min="22" max="22" width="16.77734375" style="188" customWidth="1"/>
    <col min="23" max="23" width="16.77734375" style="192" customWidth="1"/>
    <col min="24" max="24" width="16.77734375" style="35" customWidth="1"/>
    <col min="25" max="25" width="16.77734375" style="262" customWidth="1"/>
    <col min="26" max="26" width="18.77734375" style="18" customWidth="1"/>
    <col min="27" max="27" width="8.88671875" style="27"/>
    <col min="28" max="16384" width="8.88671875" style="13"/>
  </cols>
  <sheetData>
    <row r="1" spans="1:27" s="248" customFormat="1" ht="14.4" customHeight="1" x14ac:dyDescent="0.3">
      <c r="A1" s="295" t="s">
        <v>45</v>
      </c>
      <c r="B1" s="292" t="s">
        <v>31</v>
      </c>
      <c r="C1" s="305"/>
      <c r="D1" s="289" t="s">
        <v>288</v>
      </c>
      <c r="E1" s="295" t="s">
        <v>49</v>
      </c>
      <c r="F1" s="310" t="s">
        <v>179</v>
      </c>
      <c r="G1" s="292" t="s">
        <v>58</v>
      </c>
      <c r="H1" s="289" t="s">
        <v>25</v>
      </c>
      <c r="I1" s="294" t="s">
        <v>26</v>
      </c>
      <c r="J1" s="294" t="s">
        <v>3</v>
      </c>
      <c r="K1" s="312" t="s">
        <v>341</v>
      </c>
      <c r="L1" s="311" t="s">
        <v>342</v>
      </c>
      <c r="M1" s="289" t="s">
        <v>68</v>
      </c>
      <c r="N1" s="301" t="s">
        <v>343</v>
      </c>
      <c r="O1" s="308" t="s">
        <v>69</v>
      </c>
      <c r="P1" s="302" t="s">
        <v>150</v>
      </c>
      <c r="Q1" s="303" t="s">
        <v>132</v>
      </c>
      <c r="R1" s="304" t="s">
        <v>283</v>
      </c>
      <c r="S1" s="289" t="s">
        <v>46</v>
      </c>
      <c r="T1" s="301" t="s">
        <v>344</v>
      </c>
      <c r="U1" s="304" t="s">
        <v>151</v>
      </c>
      <c r="V1" s="303" t="s">
        <v>133</v>
      </c>
      <c r="W1" s="313" t="s">
        <v>312</v>
      </c>
      <c r="X1" s="312" t="s">
        <v>339</v>
      </c>
      <c r="Y1" s="311" t="s">
        <v>345</v>
      </c>
      <c r="Z1" s="310" t="s">
        <v>340</v>
      </c>
      <c r="AA1" s="259"/>
    </row>
    <row r="2" spans="1:27" s="248" customFormat="1" x14ac:dyDescent="0.3">
      <c r="A2" s="295"/>
      <c r="B2" s="247" t="s">
        <v>35</v>
      </c>
      <c r="C2" s="249" t="s">
        <v>36</v>
      </c>
      <c r="D2" s="289"/>
      <c r="E2" s="295"/>
      <c r="F2" s="310"/>
      <c r="G2" s="292"/>
      <c r="H2" s="292"/>
      <c r="I2" s="295"/>
      <c r="J2" s="295"/>
      <c r="K2" s="312"/>
      <c r="L2" s="311"/>
      <c r="M2" s="289"/>
      <c r="N2" s="305"/>
      <c r="O2" s="309"/>
      <c r="P2" s="302"/>
      <c r="Q2" s="303"/>
      <c r="R2" s="304"/>
      <c r="S2" s="292"/>
      <c r="T2" s="305"/>
      <c r="U2" s="304"/>
      <c r="V2" s="303"/>
      <c r="W2" s="313"/>
      <c r="X2" s="312"/>
      <c r="Y2" s="311"/>
      <c r="Z2" s="310"/>
      <c r="AA2" s="259"/>
    </row>
    <row r="3" spans="1:27" s="14" customFormat="1" x14ac:dyDescent="0.3">
      <c r="A3" s="131" t="s">
        <v>322</v>
      </c>
      <c r="B3" s="159" t="s">
        <v>78</v>
      </c>
      <c r="C3" s="174" t="s">
        <v>104</v>
      </c>
      <c r="D3" s="176" t="s">
        <v>290</v>
      </c>
      <c r="E3" s="132" t="s">
        <v>75</v>
      </c>
      <c r="F3" s="172"/>
      <c r="G3" s="33">
        <v>501</v>
      </c>
      <c r="H3" s="165">
        <v>26.239238</v>
      </c>
      <c r="I3" s="166">
        <v>36.450558000000001</v>
      </c>
      <c r="J3" s="166">
        <v>6</v>
      </c>
      <c r="K3" s="165">
        <v>2020</v>
      </c>
      <c r="L3" s="261">
        <f>IF(Dashboard!$B$2&lt;Desal_Candid!K3,0,IF(Dashboard!$B$2&lt;=Desal_Candid!K3+Desal_Candid!X3,1,0))</f>
        <v>0</v>
      </c>
      <c r="M3" s="33">
        <v>11000</v>
      </c>
      <c r="N3" s="125">
        <f t="shared" ref="N3:N12" si="0">M3*L3</f>
        <v>0</v>
      </c>
      <c r="O3" s="65">
        <f ca="1">OFFSET(Dashboard!$B$48,MATCH(Desal_Candid!E3,Dashboard!$A$48:$A$53,0)-1,0)</f>
        <v>7.5</v>
      </c>
      <c r="P3" s="92">
        <f>IF(Dashboard!$B$3&lt;Desal_Candid!K3,10^9,Dashboard!$C$66)</f>
        <v>80</v>
      </c>
      <c r="Q3" s="68">
        <f>Dashboard!$B$73</f>
        <v>1.5</v>
      </c>
      <c r="R3" s="185">
        <f ca="1">OFFSET(Dashboard!$B$79,MATCH(Desal_Candid!E3,Dashboard!$A$79:$A$84,0)-1,0)</f>
        <v>18.05</v>
      </c>
      <c r="S3" s="33">
        <v>0</v>
      </c>
      <c r="T3" s="125">
        <f>S3*L3</f>
        <v>0</v>
      </c>
      <c r="U3" s="190">
        <f>IF(Dashboard!$B$3&lt;Desal_Candid!K3,10^9,Dashboard!$C$67)</f>
        <v>20000</v>
      </c>
      <c r="V3" s="187">
        <f>Dashboard!$B$74</f>
        <v>0.1</v>
      </c>
      <c r="W3" s="191">
        <f ca="1">IF(F3=0,1,OFFSET(Dashboard!$B$88,MATCH(F3,Dashboard!$A$88:$A$91,0)-1,0))</f>
        <v>1</v>
      </c>
      <c r="X3" s="263">
        <f>Dashboard!$B$62</f>
        <v>25</v>
      </c>
      <c r="Y3" s="260"/>
      <c r="Z3" s="101">
        <f t="shared" ref="Z3:Z12" si="1">IF(Y3=0,M3*P3+S3*U3,Y3/X3)</f>
        <v>880000</v>
      </c>
      <c r="AA3" s="32"/>
    </row>
    <row r="4" spans="1:27" s="14" customFormat="1" x14ac:dyDescent="0.3">
      <c r="A4" s="19" t="s">
        <v>315</v>
      </c>
      <c r="B4" s="159" t="s">
        <v>38</v>
      </c>
      <c r="C4" s="174" t="s">
        <v>29</v>
      </c>
      <c r="D4" s="176" t="s">
        <v>290</v>
      </c>
      <c r="E4" s="132" t="s">
        <v>88</v>
      </c>
      <c r="F4" s="172" t="s">
        <v>176</v>
      </c>
      <c r="G4" s="33">
        <v>502</v>
      </c>
      <c r="H4" s="165">
        <v>23.872239</v>
      </c>
      <c r="I4" s="166">
        <v>38.364825000000003</v>
      </c>
      <c r="J4" s="166">
        <v>6</v>
      </c>
      <c r="K4" s="100">
        <v>2016</v>
      </c>
      <c r="L4" s="261">
        <f>IF(Dashboard!$B$2&lt;Desal_Candid!K4,0,IF(Dashboard!$B$2&lt;=Desal_Candid!K4+Desal_Candid!X4,1,0))</f>
        <v>0</v>
      </c>
      <c r="M4" s="33">
        <v>550000</v>
      </c>
      <c r="N4" s="125">
        <f t="shared" si="0"/>
        <v>0</v>
      </c>
      <c r="O4" s="65">
        <f ca="1">OFFSET(Dashboard!$B$48,MATCH(Desal_Candid!E4,Dashboard!$A$48:$A$53,0)-1,0)</f>
        <v>13</v>
      </c>
      <c r="P4" s="92">
        <f>IF(Dashboard!$B$3&lt;Desal_Candid!K4,10^9,Dashboard!$C$66)</f>
        <v>80</v>
      </c>
      <c r="Q4" s="68">
        <f>Dashboard!$B$73</f>
        <v>1.5</v>
      </c>
      <c r="R4" s="185">
        <f ca="1">OFFSET(Dashboard!$B$79,MATCH(Desal_Candid!E4,Dashboard!$A$79:$A$84,0)-1,0)</f>
        <v>23.41</v>
      </c>
      <c r="S4" s="33">
        <v>1700</v>
      </c>
      <c r="T4" s="125">
        <f t="shared" ref="T4:T12" si="2">S4*L4</f>
        <v>0</v>
      </c>
      <c r="U4" s="190">
        <f>IF(Dashboard!$B$3&lt;Desal_Candid!K4,10^9,Dashboard!$C$67)</f>
        <v>20000</v>
      </c>
      <c r="V4" s="187">
        <f>Dashboard!$B$74</f>
        <v>0.1</v>
      </c>
      <c r="W4" s="191">
        <f ca="1">IF(F4=0,1,OFFSET(Dashboard!$B$88,MATCH(F4,Dashboard!$A$88:$A$91,0)-1,0))</f>
        <v>0.77800000000000002</v>
      </c>
      <c r="X4" s="264">
        <v>25</v>
      </c>
      <c r="Y4" s="261">
        <v>1000000000</v>
      </c>
      <c r="Z4" s="101">
        <f t="shared" si="1"/>
        <v>40000000</v>
      </c>
      <c r="AA4" s="32"/>
    </row>
    <row r="5" spans="1:27" s="14" customFormat="1" x14ac:dyDescent="0.3">
      <c r="A5" s="19" t="s">
        <v>319</v>
      </c>
      <c r="B5" s="159" t="s">
        <v>38</v>
      </c>
      <c r="C5" s="174" t="s">
        <v>29</v>
      </c>
      <c r="D5" s="176" t="s">
        <v>290</v>
      </c>
      <c r="E5" s="132" t="s">
        <v>75</v>
      </c>
      <c r="F5" s="172"/>
      <c r="G5" s="33">
        <v>503</v>
      </c>
      <c r="H5" s="165">
        <v>23.872239</v>
      </c>
      <c r="I5" s="166">
        <v>38.364825000000003</v>
      </c>
      <c r="J5" s="166">
        <v>6</v>
      </c>
      <c r="K5" s="100">
        <v>2012</v>
      </c>
      <c r="L5" s="261">
        <f>IF(Dashboard!$B$2&lt;Desal_Candid!K5,0,IF(Dashboard!$B$2&lt;=Desal_Candid!K5+Desal_Candid!X5,1,0))</f>
        <v>0</v>
      </c>
      <c r="M5" s="33">
        <v>68190</v>
      </c>
      <c r="N5" s="125">
        <f t="shared" si="0"/>
        <v>0</v>
      </c>
      <c r="O5" s="65">
        <f ca="1">OFFSET(Dashboard!$B$48,MATCH(Desal_Candid!E5,Dashboard!$A$48:$A$53,0)-1,0)</f>
        <v>7.5</v>
      </c>
      <c r="P5" s="92">
        <f>IF(Dashboard!$B$3&lt;Desal_Candid!K5,10^9,Dashboard!$C$66)</f>
        <v>80</v>
      </c>
      <c r="Q5" s="68">
        <f>Dashboard!$B$73</f>
        <v>1.5</v>
      </c>
      <c r="R5" s="185">
        <f ca="1">OFFSET(Dashboard!$B$79,MATCH(Desal_Candid!E5,Dashboard!$A$79:$A$84,0)-1,0)</f>
        <v>18.05</v>
      </c>
      <c r="S5" s="33">
        <v>0</v>
      </c>
      <c r="T5" s="125">
        <f t="shared" si="2"/>
        <v>0</v>
      </c>
      <c r="U5" s="190">
        <f>IF(Dashboard!$B$3&lt;Desal_Candid!K5,10^9,Dashboard!$C$67)</f>
        <v>20000</v>
      </c>
      <c r="V5" s="187">
        <f>Dashboard!$B$74</f>
        <v>0.1</v>
      </c>
      <c r="W5" s="191">
        <f ca="1">IF(F5=0,1,OFFSET(Dashboard!$B$88,MATCH(F5,Dashboard!$A$88:$A$91,0)-1,0))</f>
        <v>1</v>
      </c>
      <c r="X5" s="263">
        <f>Dashboard!$B$62</f>
        <v>25</v>
      </c>
      <c r="Y5" s="260"/>
      <c r="Z5" s="101">
        <f t="shared" si="1"/>
        <v>5455200</v>
      </c>
      <c r="AA5" s="32"/>
    </row>
    <row r="6" spans="1:27" s="14" customFormat="1" x14ac:dyDescent="0.3">
      <c r="A6" s="19" t="s">
        <v>318</v>
      </c>
      <c r="B6" s="159" t="s">
        <v>38</v>
      </c>
      <c r="C6" s="174" t="s">
        <v>29</v>
      </c>
      <c r="D6" s="176" t="s">
        <v>290</v>
      </c>
      <c r="E6" s="132" t="s">
        <v>75</v>
      </c>
      <c r="F6" s="172"/>
      <c r="G6" s="33">
        <v>504</v>
      </c>
      <c r="H6" s="100">
        <v>23.972715999999998</v>
      </c>
      <c r="I6" s="101">
        <v>38.215687000000003</v>
      </c>
      <c r="J6" s="101">
        <v>8</v>
      </c>
      <c r="K6" s="100">
        <v>2013</v>
      </c>
      <c r="L6" s="261">
        <f>IF(Dashboard!$B$2&lt;Desal_Candid!K6,0,IF(Dashboard!$B$2&lt;=Desal_Candid!K6+Desal_Candid!X6,1,0))</f>
        <v>0</v>
      </c>
      <c r="M6" s="33">
        <v>54552</v>
      </c>
      <c r="N6" s="125">
        <f t="shared" si="0"/>
        <v>0</v>
      </c>
      <c r="O6" s="65">
        <f ca="1">OFFSET(Dashboard!$B$48,MATCH(Desal_Candid!E6,Dashboard!$A$48:$A$53,0)-1,0)</f>
        <v>7.5</v>
      </c>
      <c r="P6" s="92">
        <f>IF(Dashboard!$B$3&lt;Desal_Candid!K6,10^9,Dashboard!$C$66)</f>
        <v>80</v>
      </c>
      <c r="Q6" s="68">
        <f>Dashboard!$B$73</f>
        <v>1.5</v>
      </c>
      <c r="R6" s="185">
        <f ca="1">OFFSET(Dashboard!$B$79,MATCH(Desal_Candid!E6,Dashboard!$A$79:$A$84,0)-1,0)</f>
        <v>18.05</v>
      </c>
      <c r="S6" s="33">
        <v>0</v>
      </c>
      <c r="T6" s="125">
        <f t="shared" si="2"/>
        <v>0</v>
      </c>
      <c r="U6" s="190">
        <f>IF(Dashboard!$B$3&lt;Desal_Candid!K6,10^9,Dashboard!$C$67)</f>
        <v>20000</v>
      </c>
      <c r="V6" s="187">
        <f>Dashboard!$B$74</f>
        <v>0.1</v>
      </c>
      <c r="W6" s="191">
        <f ca="1">IF(F6=0,1,OFFSET(Dashboard!$B$88,MATCH(F6,Dashboard!$A$88:$A$91,0)-1,0))</f>
        <v>1</v>
      </c>
      <c r="X6" s="263">
        <f>Dashboard!$B$62</f>
        <v>25</v>
      </c>
      <c r="Y6" s="260"/>
      <c r="Z6" s="101">
        <f t="shared" si="1"/>
        <v>4364160</v>
      </c>
      <c r="AA6" s="32"/>
    </row>
    <row r="7" spans="1:27" s="14" customFormat="1" x14ac:dyDescent="0.3">
      <c r="A7" s="19" t="s">
        <v>320</v>
      </c>
      <c r="B7" s="159" t="s">
        <v>38</v>
      </c>
      <c r="C7" s="174" t="s">
        <v>29</v>
      </c>
      <c r="D7" s="176" t="s">
        <v>290</v>
      </c>
      <c r="E7" s="132" t="s">
        <v>75</v>
      </c>
      <c r="F7" s="172" t="s">
        <v>176</v>
      </c>
      <c r="G7" s="33">
        <v>505</v>
      </c>
      <c r="H7" s="100">
        <v>23.972715999999998</v>
      </c>
      <c r="I7" s="101">
        <v>38.215687000000003</v>
      </c>
      <c r="J7" s="101">
        <v>8</v>
      </c>
      <c r="K7" s="100">
        <v>2013</v>
      </c>
      <c r="L7" s="261">
        <f>IF(Dashboard!$B$2&lt;Desal_Candid!K7,0,IF(Dashboard!$B$2&lt;=Desal_Candid!K7+Desal_Candid!X7,1,0))</f>
        <v>0</v>
      </c>
      <c r="M7" s="33">
        <v>60348</v>
      </c>
      <c r="N7" s="125">
        <f t="shared" si="0"/>
        <v>0</v>
      </c>
      <c r="O7" s="65">
        <f ca="1">OFFSET(Dashboard!$B$48,MATCH(Desal_Candid!E7,Dashboard!$A$48:$A$53,0)-1,0)</f>
        <v>7.5</v>
      </c>
      <c r="P7" s="92">
        <f>IF(Dashboard!$B$3&lt;Desal_Candid!K7,10^9,Dashboard!$C$66)</f>
        <v>80</v>
      </c>
      <c r="Q7" s="68">
        <f>Dashboard!$B$73</f>
        <v>1.5</v>
      </c>
      <c r="R7" s="185">
        <f ca="1">OFFSET(Dashboard!$B$79,MATCH(Desal_Candid!E7,Dashboard!$A$79:$A$84,0)-1,0)</f>
        <v>18.05</v>
      </c>
      <c r="S7" s="33">
        <v>690</v>
      </c>
      <c r="T7" s="125">
        <f t="shared" si="2"/>
        <v>0</v>
      </c>
      <c r="U7" s="190">
        <f>IF(Dashboard!$B$3&lt;Desal_Candid!K7,10^9,Dashboard!$C$67)</f>
        <v>20000</v>
      </c>
      <c r="V7" s="187">
        <f>Dashboard!$B$74</f>
        <v>0.1</v>
      </c>
      <c r="W7" s="191">
        <f ca="1">IF(F7=0,1,OFFSET(Dashboard!$B$88,MATCH(F7,Dashboard!$A$88:$A$91,0)-1,0))</f>
        <v>0.77800000000000002</v>
      </c>
      <c r="X7" s="263">
        <f>Dashboard!$B$62</f>
        <v>25</v>
      </c>
      <c r="Y7" s="261">
        <v>900000000</v>
      </c>
      <c r="Z7" s="101">
        <f t="shared" si="1"/>
        <v>36000000</v>
      </c>
      <c r="AA7" s="32"/>
    </row>
    <row r="8" spans="1:27" s="14" customFormat="1" x14ac:dyDescent="0.3">
      <c r="A8" s="19" t="s">
        <v>317</v>
      </c>
      <c r="B8" s="159" t="s">
        <v>37</v>
      </c>
      <c r="C8" s="174" t="s">
        <v>28</v>
      </c>
      <c r="D8" s="176" t="s">
        <v>290</v>
      </c>
      <c r="E8" s="132" t="s">
        <v>346</v>
      </c>
      <c r="F8" s="133"/>
      <c r="G8" s="33">
        <v>506</v>
      </c>
      <c r="H8" s="165">
        <v>22.778949999999998</v>
      </c>
      <c r="I8" s="166">
        <v>38.961911000000001</v>
      </c>
      <c r="J8" s="166">
        <v>0</v>
      </c>
      <c r="K8" s="165">
        <v>2020</v>
      </c>
      <c r="L8" s="261">
        <f>IF(Dashboard!$B$2&lt;Desal_Candid!K8,0,IF(Dashboard!$B$2&lt;=Desal_Candid!K8+Desal_Candid!X8,1,0))</f>
        <v>0</v>
      </c>
      <c r="M8" s="33">
        <v>600000</v>
      </c>
      <c r="N8" s="125">
        <f t="shared" si="0"/>
        <v>0</v>
      </c>
      <c r="O8" s="65">
        <f ca="1">OFFSET(Dashboard!$B$48,MATCH(Desal_Candid!E8,Dashboard!$A$48:$A$53,0)-1,0)</f>
        <v>4.7</v>
      </c>
      <c r="P8" s="92">
        <f>IF(Dashboard!$B$3&lt;Desal_Candid!K8,10^9,Dashboard!$C$66)</f>
        <v>80</v>
      </c>
      <c r="Q8" s="68">
        <f>Dashboard!$B$73</f>
        <v>1.5</v>
      </c>
      <c r="R8" s="185">
        <f ca="1">OFFSET(Dashboard!$B$79,MATCH(Desal_Candid!E8,Dashboard!$A$79:$A$84,0)-1,0)</f>
        <v>1.78</v>
      </c>
      <c r="S8" s="33">
        <v>0</v>
      </c>
      <c r="T8" s="125">
        <f t="shared" si="2"/>
        <v>0</v>
      </c>
      <c r="U8" s="190">
        <f>IF(Dashboard!$B$3&lt;Desal_Candid!K8,10^9,Dashboard!$C$67)</f>
        <v>20000</v>
      </c>
      <c r="V8" s="187">
        <f>Dashboard!$B$74</f>
        <v>0.1</v>
      </c>
      <c r="W8" s="191">
        <f ca="1">IF(F8=0,1,OFFSET(Dashboard!$B$88,MATCH(F8,Dashboard!$A$88:$A$91,0)-1,0))</f>
        <v>1</v>
      </c>
      <c r="X8" s="263">
        <f>Dashboard!$B$62</f>
        <v>25</v>
      </c>
      <c r="Y8" s="260"/>
      <c r="Z8" s="101">
        <f t="shared" si="1"/>
        <v>48000000</v>
      </c>
      <c r="AA8" s="32"/>
    </row>
    <row r="9" spans="1:27" s="14" customFormat="1" x14ac:dyDescent="0.3">
      <c r="A9" s="131" t="s">
        <v>316</v>
      </c>
      <c r="B9" s="159" t="s">
        <v>37</v>
      </c>
      <c r="C9" s="174" t="s">
        <v>28</v>
      </c>
      <c r="D9" s="176" t="s">
        <v>290</v>
      </c>
      <c r="E9" s="132" t="s">
        <v>346</v>
      </c>
      <c r="F9" s="133"/>
      <c r="G9" s="33">
        <v>507</v>
      </c>
      <c r="H9" s="165">
        <v>21.553061</v>
      </c>
      <c r="I9" s="166">
        <v>39.116312999999998</v>
      </c>
      <c r="J9" s="166">
        <v>11</v>
      </c>
      <c r="K9" s="100">
        <v>2012</v>
      </c>
      <c r="L9" s="261">
        <f>IF(Dashboard!$B$2&lt;Desal_Candid!K9,0,IF(Dashboard!$B$2&lt;=Desal_Candid!K9+Desal_Candid!X9,1,0))</f>
        <v>0</v>
      </c>
      <c r="M9" s="33">
        <v>240000</v>
      </c>
      <c r="N9" s="125">
        <f t="shared" si="0"/>
        <v>0</v>
      </c>
      <c r="O9" s="65">
        <f ca="1">OFFSET(Dashboard!$B$48,MATCH(Desal_Candid!E9,Dashboard!$A$48:$A$53,0)-1,0)</f>
        <v>4.7</v>
      </c>
      <c r="P9" s="92">
        <f>IF(Dashboard!$B$3&lt;Desal_Candid!K9,10^9,Dashboard!$C$66)</f>
        <v>80</v>
      </c>
      <c r="Q9" s="68">
        <f>Dashboard!$B$73</f>
        <v>1.5</v>
      </c>
      <c r="R9" s="185">
        <f ca="1">OFFSET(Dashboard!$B$79,MATCH(Desal_Candid!E9,Dashboard!$A$79:$A$84,0)-1,0)</f>
        <v>1.78</v>
      </c>
      <c r="S9" s="33">
        <v>0</v>
      </c>
      <c r="T9" s="125">
        <f t="shared" si="2"/>
        <v>0</v>
      </c>
      <c r="U9" s="190">
        <f>IF(Dashboard!$B$3&lt;Desal_Candid!K9,10^9,Dashboard!$C$67)</f>
        <v>20000</v>
      </c>
      <c r="V9" s="187">
        <f>Dashboard!$B$74</f>
        <v>0.1</v>
      </c>
      <c r="W9" s="191">
        <f ca="1">IF(F9=0,1,OFFSET(Dashboard!$B$88,MATCH(F9,Dashboard!$A$88:$A$91,0)-1,0))</f>
        <v>1</v>
      </c>
      <c r="X9" s="263">
        <f>Dashboard!$B$62</f>
        <v>25</v>
      </c>
      <c r="Y9" s="261">
        <v>300000000</v>
      </c>
      <c r="Z9" s="101">
        <f t="shared" si="1"/>
        <v>12000000</v>
      </c>
      <c r="AA9" s="32"/>
    </row>
    <row r="10" spans="1:27" s="14" customFormat="1" x14ac:dyDescent="0.3">
      <c r="A10" s="19" t="s">
        <v>314</v>
      </c>
      <c r="B10" s="159" t="s">
        <v>42</v>
      </c>
      <c r="C10" s="174" t="s">
        <v>30</v>
      </c>
      <c r="D10" s="176" t="s">
        <v>290</v>
      </c>
      <c r="E10" s="132" t="s">
        <v>88</v>
      </c>
      <c r="F10" s="133" t="s">
        <v>173</v>
      </c>
      <c r="G10" s="33">
        <v>508</v>
      </c>
      <c r="H10" s="100">
        <v>27.539057</v>
      </c>
      <c r="I10" s="101">
        <v>49.196598000000002</v>
      </c>
      <c r="J10" s="101">
        <v>2</v>
      </c>
      <c r="K10" s="100">
        <v>2014</v>
      </c>
      <c r="L10" s="261">
        <f>IF(Dashboard!$B$2&lt;Desal_Candid!K10,0,IF(Dashboard!$B$2&lt;=Desal_Candid!K10+Desal_Candid!X10,1,0))</f>
        <v>0</v>
      </c>
      <c r="M10" s="34">
        <v>768750</v>
      </c>
      <c r="N10" s="125">
        <f t="shared" si="0"/>
        <v>0</v>
      </c>
      <c r="O10" s="65">
        <f ca="1">OFFSET(Dashboard!$B$48,MATCH(Desal_Candid!E10,Dashboard!$A$48:$A$53,0)-1,0)</f>
        <v>13</v>
      </c>
      <c r="P10" s="92">
        <f>IF(Dashboard!$B$3&lt;Desal_Candid!K10,10^9,Dashboard!$C$66)</f>
        <v>80</v>
      </c>
      <c r="Q10" s="193">
        <v>1.1000000000000001</v>
      </c>
      <c r="R10" s="185">
        <f ca="1">OFFSET(Dashboard!$B$79,MATCH(Desal_Candid!E10,Dashboard!$A$79:$A$84,0)-1,0)</f>
        <v>23.41</v>
      </c>
      <c r="S10" s="33">
        <v>2400</v>
      </c>
      <c r="T10" s="125">
        <f t="shared" si="2"/>
        <v>0</v>
      </c>
      <c r="U10" s="190">
        <f>IF(Dashboard!$B$3&lt;Desal_Candid!K10,10^9,Dashboard!$C$67)</f>
        <v>20000</v>
      </c>
      <c r="V10" s="187">
        <f>Dashboard!$B$74</f>
        <v>0.1</v>
      </c>
      <c r="W10" s="191">
        <f ca="1">IF(F10=0,1,OFFSET(Dashboard!$B$88,MATCH(F10,Dashboard!$A$88:$A$91,0)-1,0))</f>
        <v>0.443</v>
      </c>
      <c r="X10" s="264">
        <v>20</v>
      </c>
      <c r="Y10" s="261">
        <f>4202000000*M10/(M10+M11)</f>
        <v>3151500000</v>
      </c>
      <c r="Z10" s="101">
        <f t="shared" si="1"/>
        <v>157575000</v>
      </c>
      <c r="AA10" s="32"/>
    </row>
    <row r="11" spans="1:27" s="14" customFormat="1" x14ac:dyDescent="0.3">
      <c r="A11" s="19" t="s">
        <v>313</v>
      </c>
      <c r="B11" s="159" t="s">
        <v>42</v>
      </c>
      <c r="C11" s="174" t="s">
        <v>30</v>
      </c>
      <c r="D11" s="176" t="s">
        <v>290</v>
      </c>
      <c r="E11" s="132" t="s">
        <v>346</v>
      </c>
      <c r="F11" s="133"/>
      <c r="G11" s="33">
        <v>509</v>
      </c>
      <c r="H11" s="100">
        <v>27.539057</v>
      </c>
      <c r="I11" s="101">
        <v>49.196598000000002</v>
      </c>
      <c r="J11" s="101">
        <v>2</v>
      </c>
      <c r="K11" s="100">
        <v>2014</v>
      </c>
      <c r="L11" s="261">
        <f>IF(Dashboard!$B$2&lt;Desal_Candid!K11,0,IF(Dashboard!$B$2&lt;=Desal_Candid!K11+Desal_Candid!X11,1,0))</f>
        <v>0</v>
      </c>
      <c r="M11" s="35">
        <v>256250</v>
      </c>
      <c r="N11" s="125">
        <f t="shared" si="0"/>
        <v>0</v>
      </c>
      <c r="O11" s="65">
        <f ca="1">OFFSET(Dashboard!$B$48,MATCH(Desal_Candid!E11,Dashboard!$A$48:$A$53,0)-1,0)</f>
        <v>4.7</v>
      </c>
      <c r="P11" s="92">
        <f>IF(Dashboard!$B$3&lt;Desal_Candid!K11,10^9,Dashboard!$C$66)</f>
        <v>80</v>
      </c>
      <c r="Q11" s="193">
        <v>1.1000000000000001</v>
      </c>
      <c r="R11" s="185">
        <f ca="1">OFFSET(Dashboard!$B$79,MATCH(Desal_Candid!E11,Dashboard!$A$79:$A$84,0)-1,0)</f>
        <v>1.78</v>
      </c>
      <c r="S11" s="35">
        <v>0</v>
      </c>
      <c r="T11" s="125">
        <f t="shared" si="2"/>
        <v>0</v>
      </c>
      <c r="U11" s="190">
        <f>IF(Dashboard!$B$3&lt;Desal_Candid!K11,10^9,Dashboard!$C$67)</f>
        <v>20000</v>
      </c>
      <c r="V11" s="187">
        <f>Dashboard!$B$74</f>
        <v>0.1</v>
      </c>
      <c r="W11" s="191">
        <f ca="1">IF(F11=0,1,OFFSET(Dashboard!$B$88,MATCH(F11,Dashboard!$A$88:$A$91,0)-1,0))</f>
        <v>1</v>
      </c>
      <c r="X11" s="264">
        <v>20</v>
      </c>
      <c r="Y11" s="261">
        <f>4202000000*M11/(M10+M11)</f>
        <v>1050500000</v>
      </c>
      <c r="Z11" s="101">
        <f t="shared" si="1"/>
        <v>52525000</v>
      </c>
      <c r="AA11" s="32"/>
    </row>
    <row r="12" spans="1:27" x14ac:dyDescent="0.3">
      <c r="A12" s="131" t="s">
        <v>321</v>
      </c>
      <c r="B12" s="159" t="s">
        <v>42</v>
      </c>
      <c r="C12" s="174" t="s">
        <v>30</v>
      </c>
      <c r="D12" s="176" t="s">
        <v>290</v>
      </c>
      <c r="E12" s="132" t="s">
        <v>346</v>
      </c>
      <c r="F12" s="133"/>
      <c r="G12" s="33">
        <v>510</v>
      </c>
      <c r="H12" s="165">
        <v>26.897219</v>
      </c>
      <c r="I12" s="166">
        <v>49.778863000000001</v>
      </c>
      <c r="J12" s="166">
        <v>10</v>
      </c>
      <c r="K12" s="100">
        <v>2013</v>
      </c>
      <c r="L12" s="261">
        <f>IF(Dashboard!$B$2&lt;Desal_Candid!K12,0,IF(Dashboard!$B$2&lt;=Desal_Candid!K12+Desal_Candid!X12,1,0))</f>
        <v>0</v>
      </c>
      <c r="M12" s="34">
        <v>58500</v>
      </c>
      <c r="N12" s="125">
        <f t="shared" si="0"/>
        <v>0</v>
      </c>
      <c r="O12" s="65">
        <f ca="1">OFFSET(Dashboard!$B$48,MATCH(Desal_Candid!E12,Dashboard!$A$48:$A$53,0)-1,0)</f>
        <v>4.7</v>
      </c>
      <c r="P12" s="92">
        <f>IF(Dashboard!$B$3&lt;Desal_Candid!K12,10^9,Dashboard!$C$66)</f>
        <v>80</v>
      </c>
      <c r="Q12" s="68">
        <f>Dashboard!$B$73</f>
        <v>1.5</v>
      </c>
      <c r="R12" s="185">
        <f ca="1">OFFSET(Dashboard!$B$79,MATCH(Desal_Candid!E12,Dashboard!$A$79:$A$84,0)-1,0)</f>
        <v>1.78</v>
      </c>
      <c r="S12" s="35">
        <v>0</v>
      </c>
      <c r="T12" s="125">
        <f t="shared" si="2"/>
        <v>0</v>
      </c>
      <c r="U12" s="190">
        <f>IF(Dashboard!$B$3&lt;Desal_Candid!K12,10^9,Dashboard!$C$67)</f>
        <v>20000</v>
      </c>
      <c r="V12" s="187">
        <f>Dashboard!$B$74</f>
        <v>0.1</v>
      </c>
      <c r="W12" s="191">
        <f ca="1">IF(F12=0,1,OFFSET(Dashboard!$B$88,MATCH(F12,Dashboard!$A$88:$A$91,0)-1,0))</f>
        <v>1</v>
      </c>
      <c r="X12" s="263">
        <f>Dashboard!$B$62</f>
        <v>25</v>
      </c>
      <c r="Y12" s="260"/>
      <c r="Z12" s="101">
        <f t="shared" si="1"/>
        <v>4680000</v>
      </c>
      <c r="AA12" s="32"/>
    </row>
    <row r="13" spans="1:27" x14ac:dyDescent="0.3">
      <c r="B13" s="159"/>
      <c r="C13" s="174"/>
      <c r="D13" s="176"/>
      <c r="E13" s="132"/>
      <c r="F13" s="133"/>
    </row>
    <row r="14" spans="1:27" x14ac:dyDescent="0.3">
      <c r="B14" s="159"/>
      <c r="C14" s="174"/>
      <c r="D14" s="176"/>
      <c r="E14" s="132"/>
      <c r="F14" s="133"/>
    </row>
    <row r="15" spans="1:27" x14ac:dyDescent="0.3">
      <c r="B15" s="159"/>
      <c r="C15" s="174"/>
      <c r="D15" s="176"/>
      <c r="E15" s="132"/>
      <c r="F15" s="133"/>
    </row>
    <row r="16" spans="1:27" x14ac:dyDescent="0.3">
      <c r="B16" s="159"/>
      <c r="C16" s="174"/>
      <c r="D16" s="176"/>
      <c r="E16" s="132"/>
      <c r="F16" s="133"/>
    </row>
    <row r="17" spans="2:6" x14ac:dyDescent="0.3">
      <c r="B17" s="159"/>
      <c r="C17" s="174"/>
      <c r="D17" s="176"/>
      <c r="E17" s="132"/>
      <c r="F17" s="133"/>
    </row>
    <row r="18" spans="2:6" x14ac:dyDescent="0.3">
      <c r="B18" s="159"/>
      <c r="C18" s="174"/>
      <c r="D18" s="176"/>
      <c r="E18" s="132"/>
      <c r="F18" s="133"/>
    </row>
    <row r="19" spans="2:6" x14ac:dyDescent="0.3">
      <c r="B19" s="159"/>
      <c r="C19" s="174"/>
      <c r="D19" s="176"/>
      <c r="E19" s="132"/>
      <c r="F19" s="133"/>
    </row>
    <row r="20" spans="2:6" x14ac:dyDescent="0.3">
      <c r="B20" s="159"/>
      <c r="C20" s="174"/>
      <c r="D20" s="176"/>
      <c r="E20" s="132"/>
      <c r="F20" s="133"/>
    </row>
    <row r="21" spans="2:6" x14ac:dyDescent="0.3">
      <c r="B21" s="159"/>
      <c r="C21" s="174"/>
      <c r="D21" s="176"/>
      <c r="E21" s="132"/>
      <c r="F21" s="133"/>
    </row>
    <row r="22" spans="2:6" x14ac:dyDescent="0.3">
      <c r="B22" s="159"/>
      <c r="C22" s="174"/>
      <c r="D22" s="176"/>
      <c r="E22" s="132"/>
      <c r="F22" s="133"/>
    </row>
    <row r="23" spans="2:6" x14ac:dyDescent="0.3">
      <c r="B23" s="159"/>
      <c r="C23" s="174"/>
      <c r="D23" s="176"/>
      <c r="E23" s="132"/>
      <c r="F23" s="133"/>
    </row>
    <row r="26" spans="2:6" x14ac:dyDescent="0.3">
      <c r="D26" s="178"/>
      <c r="E26" s="14"/>
      <c r="F26" s="16"/>
    </row>
    <row r="27" spans="2:6" x14ac:dyDescent="0.3">
      <c r="B27" s="100"/>
      <c r="C27" s="179"/>
      <c r="D27" s="180"/>
      <c r="E27" s="3"/>
      <c r="F27" s="3"/>
    </row>
    <row r="28" spans="2:6" x14ac:dyDescent="0.3">
      <c r="D28" s="178"/>
      <c r="E28" s="14"/>
      <c r="F28" s="16"/>
    </row>
    <row r="31" spans="2:6" x14ac:dyDescent="0.3">
      <c r="B31" s="100"/>
      <c r="C31" s="179"/>
      <c r="D31" s="180"/>
      <c r="E31" s="3"/>
      <c r="F31" s="3"/>
    </row>
    <row r="32" spans="2:6" x14ac:dyDescent="0.3">
      <c r="D32" s="178"/>
      <c r="E32" s="14"/>
      <c r="F32" s="16"/>
    </row>
    <row r="33" spans="2:6" x14ac:dyDescent="0.3">
      <c r="B33" s="165"/>
      <c r="C33" s="181"/>
      <c r="D33" s="182"/>
      <c r="E33" s="195"/>
      <c r="F33" s="172"/>
    </row>
    <row r="34" spans="2:6" x14ac:dyDescent="0.3">
      <c r="D34" s="178"/>
      <c r="E34" s="14"/>
      <c r="F34" s="16"/>
    </row>
    <row r="35" spans="2:6" x14ac:dyDescent="0.3">
      <c r="D35" s="178"/>
      <c r="E35" s="14"/>
      <c r="F35" s="16"/>
    </row>
    <row r="36" spans="2:6" x14ac:dyDescent="0.3">
      <c r="D36" s="32"/>
      <c r="E36" s="14"/>
      <c r="F36" s="14"/>
    </row>
    <row r="37" spans="2:6" x14ac:dyDescent="0.3">
      <c r="D37" s="32"/>
      <c r="E37" s="14"/>
      <c r="F37" s="14"/>
    </row>
    <row r="38" spans="2:6" x14ac:dyDescent="0.3">
      <c r="D38" s="32"/>
      <c r="E38" s="14"/>
      <c r="F38" s="14"/>
    </row>
  </sheetData>
  <mergeCells count="25">
    <mergeCell ref="I1:I2"/>
    <mergeCell ref="A1:A2"/>
    <mergeCell ref="G1:G2"/>
    <mergeCell ref="H1:H2"/>
    <mergeCell ref="B1:C1"/>
    <mergeCell ref="D1:D2"/>
    <mergeCell ref="E1:E2"/>
    <mergeCell ref="F1:F2"/>
    <mergeCell ref="J1:J2"/>
    <mergeCell ref="M1:M2"/>
    <mergeCell ref="O1:O2"/>
    <mergeCell ref="S1:S2"/>
    <mergeCell ref="P1:P2"/>
    <mergeCell ref="Q1:Q2"/>
    <mergeCell ref="Y1:Y2"/>
    <mergeCell ref="Z1:Z2"/>
    <mergeCell ref="X1:X2"/>
    <mergeCell ref="K1:K2"/>
    <mergeCell ref="L1:L2"/>
    <mergeCell ref="N1:N2"/>
    <mergeCell ref="T1:T2"/>
    <mergeCell ref="U1:U2"/>
    <mergeCell ref="V1:V2"/>
    <mergeCell ref="R1:R2"/>
    <mergeCell ref="W1:W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94"/>
  <sheetViews>
    <sheetView zoomScale="80" zoomScaleNormal="80" workbookViewId="0">
      <pane ySplit="2" topLeftCell="A3" activePane="bottomLeft" state="frozen"/>
      <selection pane="bottomLeft" sqref="A1:A2"/>
    </sheetView>
  </sheetViews>
  <sheetFormatPr defaultRowHeight="14.4" x14ac:dyDescent="0.3"/>
  <cols>
    <col min="1" max="1" width="20.77734375" customWidth="1"/>
    <col min="2" max="2" width="16.77734375" style="26" customWidth="1"/>
    <col min="3" max="3" width="8.77734375" style="107" customWidth="1"/>
    <col min="4" max="4" width="12.77734375" style="140" customWidth="1"/>
    <col min="5" max="5" width="4.6640625" style="26" customWidth="1"/>
    <col min="6" max="6" width="12.77734375" style="199" customWidth="1"/>
    <col min="7" max="8" width="12.77734375" customWidth="1"/>
    <col min="9" max="9" width="16.77734375" style="136" customWidth="1"/>
    <col min="10" max="10" width="18.77734375" style="95" customWidth="1"/>
    <col min="11" max="11" width="16.77734375" style="67" customWidth="1"/>
    <col min="12" max="12" width="16.77734375" style="108" customWidth="1"/>
    <col min="13" max="13" width="8.88671875" style="26"/>
  </cols>
  <sheetData>
    <row r="1" spans="1:14" s="5" customFormat="1" ht="14.4" customHeight="1" x14ac:dyDescent="0.3">
      <c r="A1" s="314" t="s">
        <v>47</v>
      </c>
      <c r="B1" s="319" t="s">
        <v>31</v>
      </c>
      <c r="C1" s="322"/>
      <c r="D1" s="318" t="s">
        <v>179</v>
      </c>
      <c r="E1" s="319" t="s">
        <v>58</v>
      </c>
      <c r="F1" s="315" t="s">
        <v>25</v>
      </c>
      <c r="G1" s="316" t="s">
        <v>26</v>
      </c>
      <c r="H1" s="316" t="s">
        <v>3</v>
      </c>
      <c r="I1" s="320" t="s">
        <v>48</v>
      </c>
      <c r="J1" s="302" t="s">
        <v>151</v>
      </c>
      <c r="K1" s="303" t="s">
        <v>133</v>
      </c>
      <c r="L1" s="317" t="s">
        <v>178</v>
      </c>
      <c r="M1" s="31"/>
    </row>
    <row r="2" spans="1:14" s="5" customFormat="1" x14ac:dyDescent="0.3">
      <c r="A2" s="314"/>
      <c r="B2" s="111" t="s">
        <v>35</v>
      </c>
      <c r="C2" s="112" t="s">
        <v>36</v>
      </c>
      <c r="D2" s="318"/>
      <c r="E2" s="319"/>
      <c r="F2" s="315"/>
      <c r="G2" s="314"/>
      <c r="H2" s="314"/>
      <c r="I2" s="321"/>
      <c r="J2" s="302"/>
      <c r="K2" s="303"/>
      <c r="L2" s="317"/>
      <c r="M2" s="31"/>
    </row>
    <row r="3" spans="1:14" s="21" customFormat="1" x14ac:dyDescent="0.3">
      <c r="A3" t="s">
        <v>216</v>
      </c>
      <c r="B3" s="26" t="s">
        <v>78</v>
      </c>
      <c r="C3" s="107" t="s">
        <v>104</v>
      </c>
      <c r="D3" s="140" t="s">
        <v>174</v>
      </c>
      <c r="E3" s="26">
        <v>201</v>
      </c>
      <c r="F3" s="34">
        <v>28.330835</v>
      </c>
      <c r="G3" s="13">
        <v>36.584622000000003</v>
      </c>
      <c r="H3" s="13">
        <v>767</v>
      </c>
      <c r="I3" s="136">
        <v>134.19999999999999</v>
      </c>
      <c r="J3" s="95">
        <f>Dashboard!$C$67</f>
        <v>20000</v>
      </c>
      <c r="K3" s="67">
        <f>Dashboard!$B$74</f>
        <v>0.1</v>
      </c>
      <c r="L3" s="108">
        <f ca="1">OFFSET(Dashboard!$B$88,MATCH(Power!D3,Dashboard!$A$88:$A$91,0)-1,0)</f>
        <v>0.77800000000000002</v>
      </c>
      <c r="M3" s="31"/>
    </row>
    <row r="4" spans="1:14" s="24" customFormat="1" x14ac:dyDescent="0.3">
      <c r="A4" s="10" t="s">
        <v>217</v>
      </c>
      <c r="B4" s="26" t="s">
        <v>78</v>
      </c>
      <c r="C4" s="107" t="s">
        <v>104</v>
      </c>
      <c r="D4" s="140" t="s">
        <v>174</v>
      </c>
      <c r="E4" s="27">
        <v>202</v>
      </c>
      <c r="F4" s="34">
        <v>28.469697</v>
      </c>
      <c r="G4" s="13">
        <v>36.517380000000003</v>
      </c>
      <c r="H4" s="13">
        <v>751</v>
      </c>
      <c r="I4" s="137">
        <v>335.6</v>
      </c>
      <c r="J4" s="95">
        <f>Dashboard!$C$67</f>
        <v>20000</v>
      </c>
      <c r="K4" s="67">
        <f>Dashboard!$B$74</f>
        <v>0.1</v>
      </c>
      <c r="L4" s="108">
        <f ca="1">OFFSET(Dashboard!$B$88,MATCH(Power!D4,Dashboard!$A$88:$A$91,0)-1,0)</f>
        <v>0.77800000000000002</v>
      </c>
      <c r="M4" s="36"/>
      <c r="N4" s="25"/>
    </row>
    <row r="5" spans="1:14" s="21" customFormat="1" x14ac:dyDescent="0.3">
      <c r="A5" t="s">
        <v>215</v>
      </c>
      <c r="B5" s="26" t="s">
        <v>78</v>
      </c>
      <c r="C5" s="107" t="s">
        <v>104</v>
      </c>
      <c r="D5" s="140" t="s">
        <v>174</v>
      </c>
      <c r="E5" s="26">
        <v>203</v>
      </c>
      <c r="F5" s="34">
        <v>27.367543999999999</v>
      </c>
      <c r="G5" s="13">
        <v>35.659148000000002</v>
      </c>
      <c r="H5" s="13">
        <v>12</v>
      </c>
      <c r="I5" s="137">
        <f>18+144</f>
        <v>162</v>
      </c>
      <c r="J5" s="95">
        <f>Dashboard!$C$67</f>
        <v>20000</v>
      </c>
      <c r="K5" s="67">
        <f>Dashboard!$B$74</f>
        <v>0.1</v>
      </c>
      <c r="L5" s="108">
        <f ca="1">OFFSET(Dashboard!$B$88,MATCH(Power!D5,Dashboard!$A$88:$A$91,0)-1,0)</f>
        <v>0.77800000000000002</v>
      </c>
      <c r="M5" s="31"/>
    </row>
    <row r="6" spans="1:14" s="149" customFormat="1" x14ac:dyDescent="0.3">
      <c r="A6" s="120" t="s">
        <v>218</v>
      </c>
      <c r="B6" s="119" t="s">
        <v>78</v>
      </c>
      <c r="C6" s="160" t="s">
        <v>104</v>
      </c>
      <c r="D6" s="142" t="s">
        <v>174</v>
      </c>
      <c r="E6" s="27">
        <v>204</v>
      </c>
      <c r="F6" s="143">
        <v>26.223822999999999</v>
      </c>
      <c r="G6" s="144">
        <v>36.488844999999998</v>
      </c>
      <c r="H6" s="144">
        <v>8</v>
      </c>
      <c r="I6" s="145">
        <v>86</v>
      </c>
      <c r="J6" s="129">
        <f>Dashboard!$C$67</f>
        <v>20000</v>
      </c>
      <c r="K6" s="146">
        <f>Dashboard!$B$74</f>
        <v>0.1</v>
      </c>
      <c r="L6" s="147">
        <f ca="1">OFFSET(Dashboard!$B$88,MATCH(Power!D6,Dashboard!$A$88:$A$91,0)-1,0)</f>
        <v>0.77800000000000002</v>
      </c>
      <c r="M6" s="148"/>
    </row>
    <row r="7" spans="1:14" s="21" customFormat="1" x14ac:dyDescent="0.3">
      <c r="A7" t="s">
        <v>223</v>
      </c>
      <c r="B7" s="26" t="s">
        <v>38</v>
      </c>
      <c r="C7" s="107" t="s">
        <v>29</v>
      </c>
      <c r="D7" s="140" t="s">
        <v>174</v>
      </c>
      <c r="E7" s="26">
        <v>205</v>
      </c>
      <c r="F7" s="138">
        <v>24.460899999999999</v>
      </c>
      <c r="G7" s="15">
        <v>39.620190000000001</v>
      </c>
      <c r="H7" s="15">
        <v>613</v>
      </c>
      <c r="I7" s="136">
        <v>452.8</v>
      </c>
      <c r="J7" s="95">
        <f>Dashboard!$C$67</f>
        <v>20000</v>
      </c>
      <c r="K7" s="67">
        <f>Dashboard!$B$74</f>
        <v>0.1</v>
      </c>
      <c r="L7" s="108">
        <f ca="1">OFFSET(Dashboard!$B$88,MATCH(Power!D7,Dashboard!$A$88:$A$91,0)-1,0)</f>
        <v>0.77800000000000002</v>
      </c>
      <c r="M7" s="31"/>
    </row>
    <row r="8" spans="1:14" s="21" customFormat="1" x14ac:dyDescent="0.3">
      <c r="A8" s="2" t="s">
        <v>219</v>
      </c>
      <c r="B8" s="26" t="s">
        <v>38</v>
      </c>
      <c r="C8" s="107" t="s">
        <v>29</v>
      </c>
      <c r="D8" s="140" t="s">
        <v>173</v>
      </c>
      <c r="E8" s="27">
        <v>206</v>
      </c>
      <c r="F8" s="35">
        <v>23.970644</v>
      </c>
      <c r="G8" s="17">
        <v>38.262467999999998</v>
      </c>
      <c r="H8" s="17">
        <v>7</v>
      </c>
      <c r="I8" s="136">
        <v>82.5</v>
      </c>
      <c r="J8" s="95">
        <f>Dashboard!$C$67</f>
        <v>20000</v>
      </c>
      <c r="K8" s="67">
        <f>Dashboard!$B$74</f>
        <v>0.1</v>
      </c>
      <c r="L8" s="108">
        <f ca="1">OFFSET(Dashboard!$B$88,MATCH(Power!D8,Dashboard!$A$88:$A$91,0)-1,0)</f>
        <v>0.443</v>
      </c>
      <c r="M8" s="31"/>
    </row>
    <row r="9" spans="1:14" s="109" customFormat="1" x14ac:dyDescent="0.3">
      <c r="A9" s="10" t="s">
        <v>221</v>
      </c>
      <c r="B9" s="26" t="s">
        <v>38</v>
      </c>
      <c r="C9" s="107" t="s">
        <v>29</v>
      </c>
      <c r="D9" s="140" t="s">
        <v>173</v>
      </c>
      <c r="E9" s="26">
        <v>207</v>
      </c>
      <c r="F9" s="35">
        <v>23.991672999999999</v>
      </c>
      <c r="G9" s="17">
        <v>38.232959999999999</v>
      </c>
      <c r="H9" s="17">
        <v>8</v>
      </c>
      <c r="I9" s="136">
        <v>524.6</v>
      </c>
      <c r="J9" s="95">
        <f>Dashboard!$C$67</f>
        <v>20000</v>
      </c>
      <c r="K9" s="67">
        <f>Dashboard!$B$74</f>
        <v>0.1</v>
      </c>
      <c r="L9" s="108">
        <f ca="1">OFFSET(Dashboard!$B$88,MATCH(Power!D9,Dashboard!$A$88:$A$91,0)-1,0)</f>
        <v>0.443</v>
      </c>
      <c r="M9" s="110"/>
    </row>
    <row r="10" spans="1:14" s="109" customFormat="1" x14ac:dyDescent="0.3">
      <c r="A10" s="10" t="s">
        <v>222</v>
      </c>
      <c r="B10" s="26" t="s">
        <v>38</v>
      </c>
      <c r="C10" s="107" t="s">
        <v>29</v>
      </c>
      <c r="D10" s="140" t="s">
        <v>176</v>
      </c>
      <c r="E10" s="27">
        <v>208</v>
      </c>
      <c r="F10" s="138">
        <v>23.991672999999999</v>
      </c>
      <c r="G10" s="15">
        <v>38.232959999999999</v>
      </c>
      <c r="H10" s="15">
        <v>8</v>
      </c>
      <c r="I10" s="136">
        <v>508</v>
      </c>
      <c r="J10" s="95">
        <f>Dashboard!$C$67</f>
        <v>20000</v>
      </c>
      <c r="K10" s="67">
        <f>Dashboard!$B$74</f>
        <v>0.1</v>
      </c>
      <c r="L10" s="108">
        <f ca="1">OFFSET(Dashboard!$B$88,MATCH(Power!D10,Dashboard!$A$88:$A$91,0)-1,0)</f>
        <v>0.77800000000000002</v>
      </c>
      <c r="M10" s="110"/>
    </row>
    <row r="11" spans="1:14" s="149" customFormat="1" x14ac:dyDescent="0.3">
      <c r="A11" s="120" t="s">
        <v>220</v>
      </c>
      <c r="B11" s="119" t="s">
        <v>38</v>
      </c>
      <c r="C11" s="160" t="s">
        <v>29</v>
      </c>
      <c r="D11" s="142" t="s">
        <v>174</v>
      </c>
      <c r="E11" s="26">
        <v>209</v>
      </c>
      <c r="F11" s="196">
        <v>24.0867</v>
      </c>
      <c r="G11" s="150">
        <v>38.058551999999999</v>
      </c>
      <c r="H11" s="150">
        <v>11</v>
      </c>
      <c r="I11" s="145">
        <v>54.5</v>
      </c>
      <c r="J11" s="129">
        <f>Dashboard!$C$67</f>
        <v>20000</v>
      </c>
      <c r="K11" s="146">
        <f>Dashboard!$B$74</f>
        <v>0.1</v>
      </c>
      <c r="L11" s="147">
        <f ca="1">OFFSET(Dashboard!$B$88,MATCH(Power!D11,Dashboard!$A$88:$A$91,0)-1,0)</f>
        <v>0.77800000000000002</v>
      </c>
      <c r="M11" s="148"/>
    </row>
    <row r="12" spans="1:14" s="21" customFormat="1" x14ac:dyDescent="0.3">
      <c r="A12" t="s">
        <v>224</v>
      </c>
      <c r="B12" s="26" t="s">
        <v>37</v>
      </c>
      <c r="C12" s="107" t="s">
        <v>28</v>
      </c>
      <c r="D12" s="140" t="s">
        <v>175</v>
      </c>
      <c r="E12" s="27">
        <v>210</v>
      </c>
      <c r="F12" s="138">
        <v>22.8</v>
      </c>
      <c r="G12" s="15">
        <v>39.033332999999999</v>
      </c>
      <c r="H12" s="15">
        <v>7</v>
      </c>
      <c r="I12" s="136">
        <v>3113.46</v>
      </c>
      <c r="J12" s="95">
        <f>Dashboard!$C$67</f>
        <v>20000</v>
      </c>
      <c r="K12" s="67">
        <f>Dashboard!$B$74</f>
        <v>0.1</v>
      </c>
      <c r="L12" s="108">
        <f ca="1">OFFSET(Dashboard!$B$88,MATCH(Power!D12,Dashboard!$A$88:$A$91,0)-1,0)</f>
        <v>0.77800000000000002</v>
      </c>
      <c r="M12" s="31"/>
    </row>
    <row r="13" spans="1:14" s="112" customFormat="1" x14ac:dyDescent="0.3">
      <c r="A13" s="10" t="s">
        <v>225</v>
      </c>
      <c r="B13" s="26" t="s">
        <v>37</v>
      </c>
      <c r="C13" s="107" t="s">
        <v>28</v>
      </c>
      <c r="D13" s="140" t="s">
        <v>176</v>
      </c>
      <c r="E13" s="26">
        <v>211</v>
      </c>
      <c r="F13" s="138">
        <v>22.8</v>
      </c>
      <c r="G13" s="15">
        <v>39.033332999999999</v>
      </c>
      <c r="H13" s="15">
        <v>7</v>
      </c>
      <c r="I13" s="136">
        <v>1575.6</v>
      </c>
      <c r="J13" s="95">
        <f>Dashboard!$C$67</f>
        <v>20000</v>
      </c>
      <c r="K13" s="67">
        <f>Dashboard!$B$74</f>
        <v>0.1</v>
      </c>
      <c r="L13" s="108">
        <f ca="1">OFFSET(Dashboard!$B$88,MATCH(Power!D13,Dashboard!$A$88:$A$91,0)-1,0)</f>
        <v>0.77800000000000002</v>
      </c>
      <c r="M13" s="111"/>
    </row>
    <row r="14" spans="1:14" s="109" customFormat="1" x14ac:dyDescent="0.3">
      <c r="A14" s="10" t="s">
        <v>227</v>
      </c>
      <c r="B14" s="26" t="s">
        <v>37</v>
      </c>
      <c r="C14" s="107" t="s">
        <v>28</v>
      </c>
      <c r="D14" s="140" t="s">
        <v>174</v>
      </c>
      <c r="E14" s="27">
        <v>212</v>
      </c>
      <c r="F14" s="138">
        <v>21.543489000000001</v>
      </c>
      <c r="G14" s="15">
        <v>39.172989000000001</v>
      </c>
      <c r="H14" s="15">
        <v>15</v>
      </c>
      <c r="I14" s="136">
        <v>806.9</v>
      </c>
      <c r="J14" s="95">
        <f>Dashboard!$C$67</f>
        <v>20000</v>
      </c>
      <c r="K14" s="67">
        <f>Dashboard!$B$74</f>
        <v>0.1</v>
      </c>
      <c r="L14" s="108">
        <f ca="1">OFFSET(Dashboard!$B$88,MATCH(Power!D14,Dashboard!$A$88:$A$91,0)-1,0)</f>
        <v>0.77800000000000002</v>
      </c>
      <c r="M14" s="110"/>
    </row>
    <row r="15" spans="1:14" s="109" customFormat="1" x14ac:dyDescent="0.3">
      <c r="A15" s="10" t="s">
        <v>226</v>
      </c>
      <c r="B15" s="26" t="s">
        <v>37</v>
      </c>
      <c r="C15" s="107" t="s">
        <v>28</v>
      </c>
      <c r="D15" s="140" t="s">
        <v>175</v>
      </c>
      <c r="E15" s="26">
        <v>213</v>
      </c>
      <c r="F15" s="138">
        <v>21.543489000000001</v>
      </c>
      <c r="G15" s="15">
        <v>39.172989000000001</v>
      </c>
      <c r="H15" s="15">
        <v>15</v>
      </c>
      <c r="I15" s="136">
        <v>1630</v>
      </c>
      <c r="J15" s="95">
        <f>Dashboard!$C$67</f>
        <v>20000</v>
      </c>
      <c r="K15" s="67">
        <f>Dashboard!$B$74</f>
        <v>0.1</v>
      </c>
      <c r="L15" s="108">
        <f ca="1">OFFSET(Dashboard!$B$88,MATCH(Power!D15,Dashboard!$A$88:$A$91,0)-1,0)</f>
        <v>0.77800000000000002</v>
      </c>
      <c r="M15" s="110"/>
    </row>
    <row r="16" spans="1:14" s="21" customFormat="1" x14ac:dyDescent="0.3">
      <c r="A16" t="s">
        <v>228</v>
      </c>
      <c r="B16" s="26" t="s">
        <v>37</v>
      </c>
      <c r="C16" s="107" t="s">
        <v>28</v>
      </c>
      <c r="D16" s="140" t="s">
        <v>174</v>
      </c>
      <c r="E16" s="27">
        <v>214</v>
      </c>
      <c r="F16" s="138">
        <v>21.41667</v>
      </c>
      <c r="G16" s="15">
        <v>39.816670000000002</v>
      </c>
      <c r="H16" s="15">
        <v>330</v>
      </c>
      <c r="I16" s="136">
        <v>1147.0999999999999</v>
      </c>
      <c r="J16" s="95">
        <f>Dashboard!$C$67</f>
        <v>20000</v>
      </c>
      <c r="K16" s="67">
        <f>Dashboard!$B$74</f>
        <v>0.1</v>
      </c>
      <c r="L16" s="108">
        <f ca="1">OFFSET(Dashboard!$B$88,MATCH(Power!D16,Dashboard!$A$88:$A$91,0)-1,0)</f>
        <v>0.77800000000000002</v>
      </c>
      <c r="M16" s="31"/>
    </row>
    <row r="17" spans="1:13" s="21" customFormat="1" x14ac:dyDescent="0.3">
      <c r="A17" t="s">
        <v>229</v>
      </c>
      <c r="B17" s="26" t="s">
        <v>37</v>
      </c>
      <c r="C17" s="107" t="s">
        <v>28</v>
      </c>
      <c r="D17" s="140" t="s">
        <v>174</v>
      </c>
      <c r="E17" s="26">
        <v>215</v>
      </c>
      <c r="F17" s="34">
        <v>21.282223999999999</v>
      </c>
      <c r="G17" s="13">
        <v>40.406194999999997</v>
      </c>
      <c r="H17" s="13">
        <v>1673</v>
      </c>
      <c r="I17" s="136">
        <v>200.4</v>
      </c>
      <c r="J17" s="95">
        <f>Dashboard!$C$67</f>
        <v>20000</v>
      </c>
      <c r="K17" s="67">
        <f>Dashboard!$B$74</f>
        <v>0.1</v>
      </c>
      <c r="L17" s="108">
        <f ca="1">OFFSET(Dashboard!$B$88,MATCH(Power!D17,Dashboard!$A$88:$A$91,0)-1,0)</f>
        <v>0.77800000000000002</v>
      </c>
      <c r="M17" s="26"/>
    </row>
    <row r="18" spans="1:13" x14ac:dyDescent="0.3">
      <c r="A18" t="s">
        <v>230</v>
      </c>
      <c r="B18" s="26" t="s">
        <v>37</v>
      </c>
      <c r="C18" s="107" t="s">
        <v>28</v>
      </c>
      <c r="D18" s="140" t="s">
        <v>176</v>
      </c>
      <c r="E18" s="27">
        <v>216</v>
      </c>
      <c r="F18" s="138">
        <v>20.627516</v>
      </c>
      <c r="G18" s="15">
        <v>39.555705000000003</v>
      </c>
      <c r="H18" s="15">
        <v>7</v>
      </c>
      <c r="I18" s="136">
        <v>4323</v>
      </c>
      <c r="J18" s="95">
        <f>Dashboard!$C$67</f>
        <v>20000</v>
      </c>
      <c r="K18" s="67">
        <f>Dashboard!$B$74</f>
        <v>0.1</v>
      </c>
      <c r="L18" s="108">
        <f ca="1">OFFSET(Dashboard!$B$88,MATCH(Power!D18,Dashboard!$A$88:$A$91,0)-1,0)</f>
        <v>0.77800000000000002</v>
      </c>
    </row>
    <row r="19" spans="1:13" s="149" customFormat="1" x14ac:dyDescent="0.3">
      <c r="A19" s="120" t="s">
        <v>231</v>
      </c>
      <c r="B19" s="119" t="s">
        <v>37</v>
      </c>
      <c r="C19" s="160" t="s">
        <v>28</v>
      </c>
      <c r="D19" s="142" t="s">
        <v>174</v>
      </c>
      <c r="E19" s="26">
        <v>217</v>
      </c>
      <c r="F19" s="197">
        <v>19.095824</v>
      </c>
      <c r="G19" s="117">
        <v>41.157887000000002</v>
      </c>
      <c r="H19" s="117">
        <v>10</v>
      </c>
      <c r="I19" s="145">
        <v>697.09</v>
      </c>
      <c r="J19" s="129">
        <f>Dashboard!$C$67</f>
        <v>20000</v>
      </c>
      <c r="K19" s="146">
        <f>Dashboard!$B$74</f>
        <v>0.1</v>
      </c>
      <c r="L19" s="147">
        <f ca="1">OFFSET(Dashboard!$B$88,MATCH(Power!D19,Dashboard!$A$88:$A$91,0)-1,0)</f>
        <v>0.77800000000000002</v>
      </c>
      <c r="M19" s="119"/>
    </row>
    <row r="20" spans="1:13" s="157" customFormat="1" x14ac:dyDescent="0.3">
      <c r="A20" s="122" t="s">
        <v>232</v>
      </c>
      <c r="B20" s="121" t="s">
        <v>24</v>
      </c>
      <c r="C20" s="161" t="s">
        <v>34</v>
      </c>
      <c r="D20" s="151" t="s">
        <v>174</v>
      </c>
      <c r="E20" s="27">
        <v>218</v>
      </c>
      <c r="F20" s="198">
        <v>20.012991</v>
      </c>
      <c r="G20" s="152">
        <v>41.460448999999997</v>
      </c>
      <c r="H20" s="152">
        <v>2175</v>
      </c>
      <c r="I20" s="153">
        <v>85.6</v>
      </c>
      <c r="J20" s="130">
        <f>Dashboard!$C$67</f>
        <v>20000</v>
      </c>
      <c r="K20" s="154">
        <f>Dashboard!$B$74</f>
        <v>0.1</v>
      </c>
      <c r="L20" s="155">
        <f ca="1">OFFSET(Dashboard!$B$88,MATCH(Power!D20,Dashboard!$A$88:$A$91,0)-1,0)</f>
        <v>0.77800000000000002</v>
      </c>
      <c r="M20" s="156"/>
    </row>
    <row r="21" spans="1:13" s="21" customFormat="1" x14ac:dyDescent="0.3">
      <c r="A21" t="s">
        <v>233</v>
      </c>
      <c r="B21" s="26" t="s">
        <v>41</v>
      </c>
      <c r="C21" s="107" t="s">
        <v>33</v>
      </c>
      <c r="D21" s="140" t="s">
        <v>174</v>
      </c>
      <c r="E21" s="26">
        <v>219</v>
      </c>
      <c r="F21" s="34">
        <v>19.987241000000001</v>
      </c>
      <c r="G21" s="13">
        <v>42.393704</v>
      </c>
      <c r="H21" s="13">
        <v>1220</v>
      </c>
      <c r="I21" s="136">
        <v>365.4</v>
      </c>
      <c r="J21" s="95">
        <f>Dashboard!$C$67</f>
        <v>20000</v>
      </c>
      <c r="K21" s="67">
        <f>Dashboard!$B$74</f>
        <v>0.1</v>
      </c>
      <c r="L21" s="108">
        <f ca="1">OFFSET(Dashboard!$B$88,MATCH(Power!D21,Dashboard!$A$88:$A$91,0)-1,0)</f>
        <v>0.77800000000000002</v>
      </c>
      <c r="M21" s="26"/>
    </row>
    <row r="22" spans="1:13" s="149" customFormat="1" x14ac:dyDescent="0.3">
      <c r="A22" s="120" t="s">
        <v>234</v>
      </c>
      <c r="B22" s="119" t="s">
        <v>41</v>
      </c>
      <c r="C22" s="160" t="s">
        <v>33</v>
      </c>
      <c r="D22" s="142" t="s">
        <v>174</v>
      </c>
      <c r="E22" s="27">
        <v>220</v>
      </c>
      <c r="F22" s="197">
        <v>18.246182999999998</v>
      </c>
      <c r="G22" s="117">
        <v>42.578330999999999</v>
      </c>
      <c r="H22" s="117">
        <v>2172</v>
      </c>
      <c r="I22" s="145">
        <v>639.72</v>
      </c>
      <c r="J22" s="129">
        <f>Dashboard!$C$67</f>
        <v>20000</v>
      </c>
      <c r="K22" s="146">
        <f>Dashboard!$B$74</f>
        <v>0.1</v>
      </c>
      <c r="L22" s="147">
        <f ca="1">OFFSET(Dashboard!$B$88,MATCH(Power!D22,Dashboard!$A$88:$A$91,0)-1,0)</f>
        <v>0.77800000000000002</v>
      </c>
      <c r="M22" s="119"/>
    </row>
    <row r="23" spans="1:13" s="10" customFormat="1" x14ac:dyDescent="0.3">
      <c r="A23" s="10" t="s">
        <v>235</v>
      </c>
      <c r="B23" s="26" t="s">
        <v>39</v>
      </c>
      <c r="C23" s="107" t="s">
        <v>89</v>
      </c>
      <c r="D23" s="140" t="s">
        <v>174</v>
      </c>
      <c r="E23" s="26">
        <v>221</v>
      </c>
      <c r="F23" s="138">
        <v>17.374002999999998</v>
      </c>
      <c r="G23" s="15">
        <v>42.536250000000003</v>
      </c>
      <c r="H23" s="15">
        <v>78</v>
      </c>
      <c r="I23" s="136">
        <v>26.4</v>
      </c>
      <c r="J23" s="95">
        <f>Dashboard!$C$67</f>
        <v>20000</v>
      </c>
      <c r="K23" s="67">
        <f>Dashboard!$B$74</f>
        <v>0.1</v>
      </c>
      <c r="L23" s="108">
        <f ca="1">OFFSET(Dashboard!$B$88,MATCH(Power!D23,Dashboard!$A$88:$A$91,0)-1,0)</f>
        <v>0.77800000000000002</v>
      </c>
      <c r="M23" s="26"/>
    </row>
    <row r="24" spans="1:13" s="21" customFormat="1" x14ac:dyDescent="0.3">
      <c r="A24" t="s">
        <v>236</v>
      </c>
      <c r="B24" s="26" t="s">
        <v>39</v>
      </c>
      <c r="C24" s="107" t="s">
        <v>89</v>
      </c>
      <c r="D24" s="140" t="s">
        <v>174</v>
      </c>
      <c r="E24" s="27">
        <v>222</v>
      </c>
      <c r="F24" s="34">
        <v>16.937474000000002</v>
      </c>
      <c r="G24" s="13">
        <v>42.633229</v>
      </c>
      <c r="H24" s="13">
        <v>24</v>
      </c>
      <c r="I24" s="136">
        <v>1353.65</v>
      </c>
      <c r="J24" s="95">
        <f>Dashboard!$C$67</f>
        <v>20000</v>
      </c>
      <c r="K24" s="67">
        <f>Dashboard!$B$74</f>
        <v>0.1</v>
      </c>
      <c r="L24" s="108">
        <f ca="1">OFFSET(Dashboard!$B$88,MATCH(Power!D24,Dashboard!$A$88:$A$91,0)-1,0)</f>
        <v>0.77800000000000002</v>
      </c>
      <c r="M24" s="26"/>
    </row>
    <row r="25" spans="1:13" s="149" customFormat="1" x14ac:dyDescent="0.3">
      <c r="A25" s="120" t="s">
        <v>237</v>
      </c>
      <c r="B25" s="119" t="s">
        <v>39</v>
      </c>
      <c r="C25" s="160" t="s">
        <v>89</v>
      </c>
      <c r="D25" s="142" t="s">
        <v>174</v>
      </c>
      <c r="E25" s="26">
        <v>223</v>
      </c>
      <c r="F25" s="196">
        <v>16.597221999999999</v>
      </c>
      <c r="G25" s="150">
        <v>42.943888999999999</v>
      </c>
      <c r="H25" s="150">
        <v>62</v>
      </c>
      <c r="I25" s="145">
        <v>25</v>
      </c>
      <c r="J25" s="129">
        <f>Dashboard!$C$67</f>
        <v>20000</v>
      </c>
      <c r="K25" s="146">
        <f>Dashboard!$B$74</f>
        <v>0.1</v>
      </c>
      <c r="L25" s="147">
        <f ca="1">OFFSET(Dashboard!$B$88,MATCH(Power!D25,Dashboard!$A$88:$A$91,0)-1,0)</f>
        <v>0.77800000000000002</v>
      </c>
      <c r="M25" s="148"/>
    </row>
    <row r="26" spans="1:13" s="21" customFormat="1" x14ac:dyDescent="0.3">
      <c r="A26" s="10" t="s">
        <v>238</v>
      </c>
      <c r="B26" s="26" t="s">
        <v>81</v>
      </c>
      <c r="C26" s="107" t="s">
        <v>109</v>
      </c>
      <c r="D26" s="140" t="s">
        <v>174</v>
      </c>
      <c r="E26" s="27">
        <v>224</v>
      </c>
      <c r="F26" s="34">
        <v>17.596377</v>
      </c>
      <c r="G26" s="13">
        <v>44.33737</v>
      </c>
      <c r="H26" s="13">
        <v>1254</v>
      </c>
      <c r="I26" s="136">
        <v>436</v>
      </c>
      <c r="J26" s="95">
        <f>Dashboard!$C$67</f>
        <v>20000</v>
      </c>
      <c r="K26" s="67">
        <f>Dashboard!$B$74</f>
        <v>0.1</v>
      </c>
      <c r="L26" s="108">
        <f ca="1">OFFSET(Dashboard!$B$88,MATCH(Power!D26,Dashboard!$A$88:$A$91,0)-1,0)</f>
        <v>0.77800000000000002</v>
      </c>
      <c r="M26" s="31"/>
    </row>
    <row r="27" spans="1:13" s="120" customFormat="1" x14ac:dyDescent="0.3">
      <c r="A27" s="120" t="s">
        <v>239</v>
      </c>
      <c r="B27" s="119" t="s">
        <v>81</v>
      </c>
      <c r="C27" s="160" t="s">
        <v>109</v>
      </c>
      <c r="D27" s="142" t="s">
        <v>174</v>
      </c>
      <c r="E27" s="26">
        <v>225</v>
      </c>
      <c r="F27" s="197">
        <v>17.331102999999999</v>
      </c>
      <c r="G27" s="117">
        <v>47.093044999999996</v>
      </c>
      <c r="H27" s="117">
        <v>759</v>
      </c>
      <c r="I27" s="145">
        <v>105.92</v>
      </c>
      <c r="J27" s="129">
        <f>Dashboard!$C$67</f>
        <v>20000</v>
      </c>
      <c r="K27" s="146">
        <f>Dashboard!$B$74</f>
        <v>0.1</v>
      </c>
      <c r="L27" s="147">
        <f ca="1">OFFSET(Dashboard!$B$88,MATCH(Power!D27,Dashboard!$A$88:$A$91,0)-1,0)</f>
        <v>0.77800000000000002</v>
      </c>
      <c r="M27" s="119"/>
    </row>
    <row r="28" spans="1:13" s="10" customFormat="1" x14ac:dyDescent="0.3">
      <c r="A28" t="s">
        <v>241</v>
      </c>
      <c r="B28" s="26" t="s">
        <v>42</v>
      </c>
      <c r="C28" s="107" t="s">
        <v>30</v>
      </c>
      <c r="D28" s="140" t="s">
        <v>174</v>
      </c>
      <c r="E28" s="27">
        <v>226</v>
      </c>
      <c r="F28" s="34">
        <v>28.348841</v>
      </c>
      <c r="G28" s="13">
        <v>46.048965000000003</v>
      </c>
      <c r="H28" s="13">
        <v>369</v>
      </c>
      <c r="I28" s="136">
        <v>153.80000000000001</v>
      </c>
      <c r="J28" s="95">
        <f>Dashboard!$C$67</f>
        <v>20000</v>
      </c>
      <c r="K28" s="67">
        <f>Dashboard!$B$74</f>
        <v>0.1</v>
      </c>
      <c r="L28" s="108">
        <f ca="1">OFFSET(Dashboard!$B$88,MATCH(Power!D28,Dashboard!$A$88:$A$91,0)-1,0)</f>
        <v>0.77800000000000002</v>
      </c>
      <c r="M28" s="26"/>
    </row>
    <row r="29" spans="1:13" s="10" customFormat="1" x14ac:dyDescent="0.3">
      <c r="A29" s="10" t="s">
        <v>240</v>
      </c>
      <c r="B29" s="26" t="s">
        <v>42</v>
      </c>
      <c r="C29" s="107" t="s">
        <v>30</v>
      </c>
      <c r="D29" s="140" t="s">
        <v>173</v>
      </c>
      <c r="E29" s="26">
        <v>227</v>
      </c>
      <c r="F29" s="34">
        <v>28.000164999999999</v>
      </c>
      <c r="G29" s="13">
        <v>48.753340000000001</v>
      </c>
      <c r="H29" s="13">
        <v>10</v>
      </c>
      <c r="I29" s="136">
        <v>94.8</v>
      </c>
      <c r="J29" s="95">
        <f>Dashboard!$C$67</f>
        <v>20000</v>
      </c>
      <c r="K29" s="67">
        <f>Dashboard!$B$74</f>
        <v>0.1</v>
      </c>
      <c r="L29" s="108">
        <f ca="1">OFFSET(Dashboard!$B$88,MATCH(Power!D29,Dashboard!$A$88:$A$91,0)-1,0)</f>
        <v>0.443</v>
      </c>
      <c r="M29" s="26"/>
    </row>
    <row r="30" spans="1:13" s="10" customFormat="1" x14ac:dyDescent="0.3">
      <c r="A30" s="10" t="s">
        <v>262</v>
      </c>
      <c r="B30" s="26" t="s">
        <v>42</v>
      </c>
      <c r="C30" s="107" t="s">
        <v>30</v>
      </c>
      <c r="D30" s="140" t="s">
        <v>173</v>
      </c>
      <c r="E30" s="27">
        <v>228</v>
      </c>
      <c r="F30" s="34">
        <v>27.065248</v>
      </c>
      <c r="G30" s="13">
        <v>49.261288999999998</v>
      </c>
      <c r="H30" s="13">
        <v>24</v>
      </c>
      <c r="I30" s="136">
        <v>298</v>
      </c>
      <c r="J30" s="95">
        <f>Dashboard!$C$67</f>
        <v>20000</v>
      </c>
      <c r="K30" s="67">
        <f>Dashboard!$B$74</f>
        <v>0.1</v>
      </c>
      <c r="L30" s="108">
        <f ca="1">OFFSET(Dashboard!$B$88,MATCH(Power!D30,Dashboard!$A$88:$A$91,0)-1,0)</f>
        <v>0.443</v>
      </c>
      <c r="M30" s="26"/>
    </row>
    <row r="31" spans="1:13" s="10" customFormat="1" x14ac:dyDescent="0.3">
      <c r="A31" s="10" t="s">
        <v>242</v>
      </c>
      <c r="B31" s="26" t="s">
        <v>42</v>
      </c>
      <c r="C31" s="107" t="s">
        <v>30</v>
      </c>
      <c r="D31" s="140" t="s">
        <v>173</v>
      </c>
      <c r="E31" s="26">
        <v>229</v>
      </c>
      <c r="F31" s="35">
        <v>27.055052</v>
      </c>
      <c r="G31" s="17">
        <v>49.596195999999999</v>
      </c>
      <c r="H31" s="17">
        <v>14</v>
      </c>
      <c r="I31" s="136">
        <v>250</v>
      </c>
      <c r="J31" s="95">
        <f>Dashboard!$C$67</f>
        <v>20000</v>
      </c>
      <c r="K31" s="67">
        <f>Dashboard!$B$74</f>
        <v>0.1</v>
      </c>
      <c r="L31" s="108">
        <f ca="1">OFFSET(Dashboard!$B$88,MATCH(Power!D31,Dashboard!$A$88:$A$91,0)-1,0)</f>
        <v>0.443</v>
      </c>
      <c r="M31" s="26"/>
    </row>
    <row r="32" spans="1:13" s="10" customFormat="1" x14ac:dyDescent="0.3">
      <c r="A32" s="10" t="s">
        <v>243</v>
      </c>
      <c r="B32" s="26" t="s">
        <v>42</v>
      </c>
      <c r="C32" s="107" t="s">
        <v>30</v>
      </c>
      <c r="D32" s="140" t="s">
        <v>173</v>
      </c>
      <c r="E32" s="27">
        <v>230</v>
      </c>
      <c r="F32" s="138">
        <v>27.055052</v>
      </c>
      <c r="G32" s="15">
        <v>49.596195999999999</v>
      </c>
      <c r="H32" s="15">
        <v>14</v>
      </c>
      <c r="I32" s="136">
        <v>733.33</v>
      </c>
      <c r="J32" s="95">
        <f>Dashboard!$C$67</f>
        <v>20000</v>
      </c>
      <c r="K32" s="67">
        <f>Dashboard!$B$74</f>
        <v>0.1</v>
      </c>
      <c r="L32" s="108">
        <f ca="1">OFFSET(Dashboard!$B$88,MATCH(Power!D32,Dashboard!$A$88:$A$91,0)-1,0)</f>
        <v>0.443</v>
      </c>
      <c r="M32" s="26"/>
    </row>
    <row r="33" spans="1:13" x14ac:dyDescent="0.3">
      <c r="A33" t="s">
        <v>335</v>
      </c>
      <c r="B33" s="26" t="s">
        <v>42</v>
      </c>
      <c r="C33" s="107" t="s">
        <v>30</v>
      </c>
      <c r="D33" s="140" t="s">
        <v>173</v>
      </c>
      <c r="E33" s="26">
        <v>231</v>
      </c>
      <c r="F33" s="34">
        <v>26.956166</v>
      </c>
      <c r="G33" s="13">
        <v>49.589444999999998</v>
      </c>
      <c r="H33" s="13">
        <v>18</v>
      </c>
      <c r="I33" s="136">
        <v>298</v>
      </c>
      <c r="J33" s="95">
        <f>Dashboard!$C$67</f>
        <v>20000</v>
      </c>
      <c r="K33" s="67">
        <f>Dashboard!$B$74</f>
        <v>0.1</v>
      </c>
      <c r="L33" s="108">
        <f ca="1">OFFSET(Dashboard!$B$88,MATCH(Power!D33,Dashboard!$A$88:$A$91,0)-1,0)</f>
        <v>0.443</v>
      </c>
    </row>
    <row r="34" spans="1:13" x14ac:dyDescent="0.3">
      <c r="A34" t="s">
        <v>244</v>
      </c>
      <c r="B34" s="26" t="s">
        <v>42</v>
      </c>
      <c r="C34" s="107" t="s">
        <v>30</v>
      </c>
      <c r="D34" s="140" t="s">
        <v>173</v>
      </c>
      <c r="E34" s="27">
        <v>232</v>
      </c>
      <c r="F34" s="138">
        <v>26.956166</v>
      </c>
      <c r="G34" s="15">
        <v>49.589444999999998</v>
      </c>
      <c r="H34" s="15">
        <v>18</v>
      </c>
      <c r="I34" s="136">
        <v>278.10000000000002</v>
      </c>
      <c r="J34" s="95">
        <f>Dashboard!$C$67</f>
        <v>20000</v>
      </c>
      <c r="K34" s="67">
        <f>Dashboard!$B$74</f>
        <v>0.1</v>
      </c>
      <c r="L34" s="108">
        <f ca="1">OFFSET(Dashboard!$B$88,MATCH(Power!D34,Dashboard!$A$88:$A$91,0)-1,0)</f>
        <v>0.443</v>
      </c>
    </row>
    <row r="35" spans="1:13" x14ac:dyDescent="0.3">
      <c r="A35" t="s">
        <v>245</v>
      </c>
      <c r="B35" s="26" t="s">
        <v>42</v>
      </c>
      <c r="C35" s="107" t="s">
        <v>30</v>
      </c>
      <c r="D35" s="140" t="s">
        <v>173</v>
      </c>
      <c r="E35" s="26">
        <v>233</v>
      </c>
      <c r="F35" s="34">
        <v>26.854569000000001</v>
      </c>
      <c r="G35" s="13">
        <v>49.895606999999998</v>
      </c>
      <c r="H35" s="13">
        <v>13</v>
      </c>
      <c r="I35" s="136">
        <v>4256</v>
      </c>
      <c r="J35" s="95">
        <f>Dashboard!$C$67</f>
        <v>20000</v>
      </c>
      <c r="K35" s="67">
        <f>Dashboard!$B$74</f>
        <v>0.1</v>
      </c>
      <c r="L35" s="108">
        <f ca="1">OFFSET(Dashboard!$B$88,MATCH(Power!D35,Dashboard!$A$88:$A$91,0)-1,0)</f>
        <v>0.443</v>
      </c>
    </row>
    <row r="36" spans="1:13" x14ac:dyDescent="0.3">
      <c r="A36" t="s">
        <v>246</v>
      </c>
      <c r="B36" s="26" t="s">
        <v>42</v>
      </c>
      <c r="C36" s="107" t="s">
        <v>30</v>
      </c>
      <c r="D36" s="140" t="s">
        <v>173</v>
      </c>
      <c r="E36" s="27">
        <v>234</v>
      </c>
      <c r="F36" s="34">
        <v>26.793365999999999</v>
      </c>
      <c r="G36" s="13">
        <v>50.006867999999997</v>
      </c>
      <c r="H36" s="13">
        <v>7</v>
      </c>
      <c r="I36" s="136">
        <v>158.69999999999999</v>
      </c>
      <c r="J36" s="95">
        <f>Dashboard!$C$67</f>
        <v>20000</v>
      </c>
      <c r="K36" s="67">
        <f>Dashboard!$B$74</f>
        <v>0.1</v>
      </c>
      <c r="L36" s="108">
        <f ca="1">OFFSET(Dashboard!$B$88,MATCH(Power!D36,Dashboard!$A$88:$A$91,0)-1,0)</f>
        <v>0.443</v>
      </c>
    </row>
    <row r="37" spans="1:13" x14ac:dyDescent="0.3">
      <c r="A37" t="s">
        <v>247</v>
      </c>
      <c r="B37" s="26" t="s">
        <v>42</v>
      </c>
      <c r="C37" s="107" t="s">
        <v>30</v>
      </c>
      <c r="D37" s="140" t="s">
        <v>174</v>
      </c>
      <c r="E37" s="26">
        <v>235</v>
      </c>
      <c r="F37" s="138">
        <v>26.793365999999999</v>
      </c>
      <c r="G37" s="15">
        <v>50.006867999999997</v>
      </c>
      <c r="H37" s="15">
        <v>7</v>
      </c>
      <c r="I37" s="136">
        <v>10.8</v>
      </c>
      <c r="J37" s="95">
        <f>Dashboard!$C$67</f>
        <v>20000</v>
      </c>
      <c r="K37" s="67">
        <f>Dashboard!$B$74</f>
        <v>0.1</v>
      </c>
      <c r="L37" s="108">
        <f ca="1">OFFSET(Dashboard!$B$88,MATCH(Power!D37,Dashboard!$A$88:$A$91,0)-1,0)</f>
        <v>0.77800000000000002</v>
      </c>
    </row>
    <row r="38" spans="1:13" x14ac:dyDescent="0.3">
      <c r="A38" t="s">
        <v>248</v>
      </c>
      <c r="B38" s="26" t="s">
        <v>42</v>
      </c>
      <c r="C38" s="107" t="s">
        <v>30</v>
      </c>
      <c r="D38" s="140" t="s">
        <v>173</v>
      </c>
      <c r="E38" s="27">
        <v>236</v>
      </c>
      <c r="F38" s="138">
        <v>26.793365999999999</v>
      </c>
      <c r="G38" s="15">
        <v>50.006867999999997</v>
      </c>
      <c r="H38" s="15">
        <v>7</v>
      </c>
      <c r="I38" s="136">
        <v>310</v>
      </c>
      <c r="J38" s="95">
        <f>Dashboard!$C$67</f>
        <v>20000</v>
      </c>
      <c r="K38" s="67">
        <f>Dashboard!$B$74</f>
        <v>0.1</v>
      </c>
      <c r="L38" s="108">
        <f ca="1">OFFSET(Dashboard!$B$88,MATCH(Power!D38,Dashboard!$A$88:$A$91,0)-1,0)</f>
        <v>0.443</v>
      </c>
    </row>
    <row r="39" spans="1:13" s="10" customFormat="1" x14ac:dyDescent="0.3">
      <c r="A39" t="s">
        <v>249</v>
      </c>
      <c r="B39" s="26" t="s">
        <v>42</v>
      </c>
      <c r="C39" s="107" t="s">
        <v>30</v>
      </c>
      <c r="D39" s="140" t="s">
        <v>173</v>
      </c>
      <c r="E39" s="26">
        <v>237</v>
      </c>
      <c r="F39" s="34">
        <v>26.788264999999999</v>
      </c>
      <c r="G39" s="13">
        <v>49.944083999999997</v>
      </c>
      <c r="H39" s="13">
        <v>5</v>
      </c>
      <c r="I39" s="136">
        <v>144</v>
      </c>
      <c r="J39" s="95">
        <f>Dashboard!$C$67</f>
        <v>20000</v>
      </c>
      <c r="K39" s="67">
        <f>Dashboard!$B$74</f>
        <v>0.1</v>
      </c>
      <c r="L39" s="108">
        <f ca="1">OFFSET(Dashboard!$B$88,MATCH(Power!D39,Dashboard!$A$88:$A$91,0)-1,0)</f>
        <v>0.443</v>
      </c>
      <c r="M39" s="26"/>
    </row>
    <row r="40" spans="1:13" x14ac:dyDescent="0.3">
      <c r="A40" t="s">
        <v>250</v>
      </c>
      <c r="B40" s="26" t="s">
        <v>42</v>
      </c>
      <c r="C40" s="107" t="s">
        <v>30</v>
      </c>
      <c r="D40" s="140" t="s">
        <v>173</v>
      </c>
      <c r="E40" s="27">
        <v>238</v>
      </c>
      <c r="F40" s="34">
        <v>26.698637000000002</v>
      </c>
      <c r="G40" s="13">
        <v>50.097105999999997</v>
      </c>
      <c r="H40" s="13">
        <v>6</v>
      </c>
      <c r="I40" s="136">
        <v>153</v>
      </c>
      <c r="J40" s="95">
        <f>Dashboard!$C$67</f>
        <v>20000</v>
      </c>
      <c r="K40" s="67">
        <f>Dashboard!$B$74</f>
        <v>0.1</v>
      </c>
      <c r="L40" s="108">
        <f ca="1">OFFSET(Dashboard!$B$88,MATCH(Power!D40,Dashboard!$A$88:$A$91,0)-1,0)</f>
        <v>0.443</v>
      </c>
    </row>
    <row r="41" spans="1:13" s="10" customFormat="1" x14ac:dyDescent="0.3">
      <c r="A41" t="s">
        <v>251</v>
      </c>
      <c r="B41" s="26" t="s">
        <v>42</v>
      </c>
      <c r="C41" s="107" t="s">
        <v>30</v>
      </c>
      <c r="D41" s="140" t="s">
        <v>173</v>
      </c>
      <c r="E41" s="26">
        <v>239</v>
      </c>
      <c r="F41" s="34">
        <v>26.381623000000001</v>
      </c>
      <c r="G41" s="13">
        <v>50.093836000000003</v>
      </c>
      <c r="H41" s="13">
        <v>47</v>
      </c>
      <c r="I41" s="136">
        <f>23.8+558.7</f>
        <v>582.5</v>
      </c>
      <c r="J41" s="95">
        <f>Dashboard!$C$67</f>
        <v>20000</v>
      </c>
      <c r="K41" s="67">
        <f>Dashboard!$B$74</f>
        <v>0.1</v>
      </c>
      <c r="L41" s="108">
        <f ca="1">OFFSET(Dashboard!$B$88,MATCH(Power!D41,Dashboard!$A$88:$A$91,0)-1,0)</f>
        <v>0.443</v>
      </c>
      <c r="M41" s="26"/>
    </row>
    <row r="42" spans="1:13" s="10" customFormat="1" x14ac:dyDescent="0.3">
      <c r="A42" t="s">
        <v>252</v>
      </c>
      <c r="B42" s="26" t="s">
        <v>42</v>
      </c>
      <c r="C42" s="107" t="s">
        <v>30</v>
      </c>
      <c r="D42" s="140" t="s">
        <v>173</v>
      </c>
      <c r="E42" s="27">
        <v>240</v>
      </c>
      <c r="F42" s="34">
        <v>25.928889000000002</v>
      </c>
      <c r="G42" s="13">
        <v>49.687778000000002</v>
      </c>
      <c r="H42" s="13">
        <v>97</v>
      </c>
      <c r="I42" s="136">
        <v>129</v>
      </c>
      <c r="J42" s="95">
        <f>Dashboard!$C$67</f>
        <v>20000</v>
      </c>
      <c r="K42" s="67">
        <f>Dashboard!$B$74</f>
        <v>0.1</v>
      </c>
      <c r="L42" s="108">
        <f ca="1">OFFSET(Dashboard!$B$88,MATCH(Power!D42,Dashboard!$A$88:$A$91,0)-1,0)</f>
        <v>0.443</v>
      </c>
      <c r="M42" s="26"/>
    </row>
    <row r="43" spans="1:13" s="10" customFormat="1" x14ac:dyDescent="0.3">
      <c r="A43" s="10" t="s">
        <v>253</v>
      </c>
      <c r="B43" s="26" t="s">
        <v>42</v>
      </c>
      <c r="C43" s="107" t="s">
        <v>30</v>
      </c>
      <c r="D43" s="140" t="s">
        <v>173</v>
      </c>
      <c r="E43" s="26">
        <v>241</v>
      </c>
      <c r="F43" s="34">
        <v>25.925675999999999</v>
      </c>
      <c r="G43" s="13">
        <v>49.469298000000002</v>
      </c>
      <c r="H43" s="13">
        <v>146</v>
      </c>
      <c r="I43" s="136">
        <v>76.8</v>
      </c>
      <c r="J43" s="95">
        <f>Dashboard!$C$67</f>
        <v>20000</v>
      </c>
      <c r="K43" s="67">
        <f>Dashboard!$B$74</f>
        <v>0.1</v>
      </c>
      <c r="L43" s="108">
        <f ca="1">OFFSET(Dashboard!$B$88,MATCH(Power!D43,Dashboard!$A$88:$A$91,0)-1,0)</f>
        <v>0.443</v>
      </c>
      <c r="M43" s="26"/>
    </row>
    <row r="44" spans="1:13" s="10" customFormat="1" x14ac:dyDescent="0.3">
      <c r="A44" t="s">
        <v>254</v>
      </c>
      <c r="B44" s="26" t="s">
        <v>42</v>
      </c>
      <c r="C44" s="107" t="s">
        <v>30</v>
      </c>
      <c r="D44" s="140" t="s">
        <v>173</v>
      </c>
      <c r="E44" s="27">
        <v>242</v>
      </c>
      <c r="F44" s="34">
        <v>25.859580999999999</v>
      </c>
      <c r="G44" s="13">
        <v>50.115572999999998</v>
      </c>
      <c r="H44" s="13">
        <v>6</v>
      </c>
      <c r="I44" s="136">
        <f>635+3897</f>
        <v>4532</v>
      </c>
      <c r="J44" s="95">
        <f>Dashboard!$C$67</f>
        <v>20000</v>
      </c>
      <c r="K44" s="67">
        <f>Dashboard!$B$74</f>
        <v>0.1</v>
      </c>
      <c r="L44" s="108">
        <f ca="1">OFFSET(Dashboard!$B$88,MATCH(Power!D44,Dashboard!$A$88:$A$91,0)-1,0)</f>
        <v>0.443</v>
      </c>
      <c r="M44" s="26"/>
    </row>
    <row r="45" spans="1:13" x14ac:dyDescent="0.3">
      <c r="A45" t="s">
        <v>261</v>
      </c>
      <c r="B45" s="26" t="s">
        <v>42</v>
      </c>
      <c r="C45" s="107" t="s">
        <v>30</v>
      </c>
      <c r="D45" s="140" t="s">
        <v>173</v>
      </c>
      <c r="E45" s="26">
        <v>243</v>
      </c>
      <c r="F45" s="34">
        <v>25.652018000000002</v>
      </c>
      <c r="G45" s="13">
        <v>49.391654000000003</v>
      </c>
      <c r="H45" s="13">
        <v>298</v>
      </c>
      <c r="I45" s="136">
        <v>1429.5</v>
      </c>
      <c r="J45" s="95">
        <f>Dashboard!$C$67</f>
        <v>20000</v>
      </c>
      <c r="K45" s="67">
        <f>Dashboard!$B$74</f>
        <v>0.1</v>
      </c>
      <c r="L45" s="108">
        <f ca="1">OFFSET(Dashboard!$B$88,MATCH(Power!D45,Dashboard!$A$88:$A$91,0)-1,0)</f>
        <v>0.443</v>
      </c>
    </row>
    <row r="46" spans="1:13" x14ac:dyDescent="0.3">
      <c r="A46" t="s">
        <v>255</v>
      </c>
      <c r="B46" s="26" t="s">
        <v>42</v>
      </c>
      <c r="C46" s="107" t="s">
        <v>30</v>
      </c>
      <c r="D46" s="140" t="s">
        <v>173</v>
      </c>
      <c r="E46" s="27">
        <v>244</v>
      </c>
      <c r="F46" s="138">
        <v>25.652018000000002</v>
      </c>
      <c r="G46" s="15">
        <v>49.391654000000003</v>
      </c>
      <c r="H46" s="15">
        <v>298</v>
      </c>
      <c r="I46" s="136">
        <v>310</v>
      </c>
      <c r="J46" s="95">
        <f>Dashboard!$C$67</f>
        <v>20000</v>
      </c>
      <c r="K46" s="67">
        <f>Dashboard!$B$74</f>
        <v>0.1</v>
      </c>
      <c r="L46" s="108">
        <f ca="1">OFFSET(Dashboard!$B$88,MATCH(Power!D46,Dashboard!$A$88:$A$91,0)-1,0)</f>
        <v>0.443</v>
      </c>
    </row>
    <row r="47" spans="1:13" x14ac:dyDescent="0.3">
      <c r="A47" t="s">
        <v>256</v>
      </c>
      <c r="B47" s="26" t="s">
        <v>42</v>
      </c>
      <c r="C47" s="107" t="s">
        <v>30</v>
      </c>
      <c r="D47" s="140" t="s">
        <v>173</v>
      </c>
      <c r="E47" s="26">
        <v>245</v>
      </c>
      <c r="F47" s="138">
        <v>25.332825</v>
      </c>
      <c r="G47" s="15">
        <v>49.722983999999997</v>
      </c>
      <c r="H47" s="15">
        <v>138</v>
      </c>
      <c r="I47" s="136">
        <v>81</v>
      </c>
      <c r="J47" s="95">
        <f>Dashboard!$C$67</f>
        <v>20000</v>
      </c>
      <c r="K47" s="67">
        <f>Dashboard!$B$74</f>
        <v>0.1</v>
      </c>
      <c r="L47" s="108">
        <f ca="1">OFFSET(Dashboard!$B$88,MATCH(Power!D47,Dashboard!$A$88:$A$91,0)-1,0)</f>
        <v>0.443</v>
      </c>
    </row>
    <row r="48" spans="1:13" x14ac:dyDescent="0.3">
      <c r="A48" t="s">
        <v>257</v>
      </c>
      <c r="B48" s="26" t="s">
        <v>42</v>
      </c>
      <c r="C48" s="107" t="s">
        <v>30</v>
      </c>
      <c r="D48" s="140" t="s">
        <v>175</v>
      </c>
      <c r="E48" s="27">
        <v>246</v>
      </c>
      <c r="F48" s="138">
        <v>25.332825</v>
      </c>
      <c r="G48" s="15">
        <v>49.722983999999997</v>
      </c>
      <c r="H48" s="15">
        <v>138</v>
      </c>
      <c r="I48" s="136">
        <v>108</v>
      </c>
      <c r="J48" s="95">
        <f>Dashboard!$C$67</f>
        <v>20000</v>
      </c>
      <c r="K48" s="67">
        <f>Dashboard!$B$74</f>
        <v>0.1</v>
      </c>
      <c r="L48" s="108">
        <f ca="1">OFFSET(Dashboard!$B$88,MATCH(Power!D48,Dashboard!$A$88:$A$91,0)-1,0)</f>
        <v>0.77800000000000002</v>
      </c>
    </row>
    <row r="49" spans="1:13" s="10" customFormat="1" x14ac:dyDescent="0.3">
      <c r="A49" s="10" t="s">
        <v>258</v>
      </c>
      <c r="B49" s="26" t="s">
        <v>42</v>
      </c>
      <c r="C49" s="107" t="s">
        <v>30</v>
      </c>
      <c r="D49" s="140" t="s">
        <v>173</v>
      </c>
      <c r="E49" s="26">
        <v>247</v>
      </c>
      <c r="F49" s="35">
        <v>25.312004999999999</v>
      </c>
      <c r="G49" s="17">
        <v>49.343107000000003</v>
      </c>
      <c r="H49" s="17">
        <v>293</v>
      </c>
      <c r="I49" s="136">
        <v>412.2</v>
      </c>
      <c r="J49" s="95">
        <f>Dashboard!$C$67</f>
        <v>20000</v>
      </c>
      <c r="K49" s="67">
        <f>Dashboard!$B$74</f>
        <v>0.1</v>
      </c>
      <c r="L49" s="108">
        <f ca="1">OFFSET(Dashboard!$B$88,MATCH(Power!D49,Dashboard!$A$88:$A$91,0)-1,0)</f>
        <v>0.443</v>
      </c>
      <c r="M49" s="26"/>
    </row>
    <row r="50" spans="1:13" s="10" customFormat="1" x14ac:dyDescent="0.3">
      <c r="A50" s="10" t="s">
        <v>259</v>
      </c>
      <c r="B50" s="26" t="s">
        <v>42</v>
      </c>
      <c r="C50" s="107" t="s">
        <v>30</v>
      </c>
      <c r="D50" s="140" t="s">
        <v>173</v>
      </c>
      <c r="E50" s="27">
        <v>248</v>
      </c>
      <c r="F50" s="138">
        <v>25.312004999999999</v>
      </c>
      <c r="G50" s="15">
        <v>49.343107000000003</v>
      </c>
      <c r="H50" s="15">
        <v>293</v>
      </c>
      <c r="I50" s="136">
        <v>310</v>
      </c>
      <c r="J50" s="95">
        <f>Dashboard!$C$67</f>
        <v>20000</v>
      </c>
      <c r="K50" s="67">
        <f>Dashboard!$B$74</f>
        <v>0.1</v>
      </c>
      <c r="L50" s="108">
        <f ca="1">OFFSET(Dashboard!$B$88,MATCH(Power!D50,Dashboard!$A$88:$A$91,0)-1,0)</f>
        <v>0.443</v>
      </c>
      <c r="M50" s="26"/>
    </row>
    <row r="51" spans="1:13" s="120" customFormat="1" x14ac:dyDescent="0.3">
      <c r="A51" s="120" t="s">
        <v>260</v>
      </c>
      <c r="B51" s="119" t="s">
        <v>42</v>
      </c>
      <c r="C51" s="160" t="s">
        <v>30</v>
      </c>
      <c r="D51" s="142" t="s">
        <v>173</v>
      </c>
      <c r="E51" s="26">
        <v>249</v>
      </c>
      <c r="F51" s="197">
        <v>25.210032000000002</v>
      </c>
      <c r="G51" s="117">
        <v>49.285314</v>
      </c>
      <c r="H51" s="117">
        <v>261</v>
      </c>
      <c r="I51" s="158">
        <v>1568.7</v>
      </c>
      <c r="J51" s="129">
        <f>Dashboard!$C$67</f>
        <v>20000</v>
      </c>
      <c r="K51" s="146">
        <f>Dashboard!$B$74</f>
        <v>0.1</v>
      </c>
      <c r="L51" s="147">
        <f ca="1">OFFSET(Dashboard!$B$88,MATCH(Power!D51,Dashboard!$A$88:$A$91,0)-1,0)</f>
        <v>0.443</v>
      </c>
      <c r="M51" s="119"/>
    </row>
    <row r="52" spans="1:13" s="10" customFormat="1" x14ac:dyDescent="0.3">
      <c r="A52" s="10" t="s">
        <v>282</v>
      </c>
      <c r="B52" s="26" t="s">
        <v>18</v>
      </c>
      <c r="C52" s="107" t="s">
        <v>27</v>
      </c>
      <c r="D52" s="140" t="s">
        <v>173</v>
      </c>
      <c r="E52" s="27">
        <v>250</v>
      </c>
      <c r="F52" s="34">
        <v>24.945654999999999</v>
      </c>
      <c r="G52" s="13">
        <v>47.065095999999997</v>
      </c>
      <c r="H52" s="13">
        <v>668</v>
      </c>
      <c r="I52" s="137">
        <v>3760.6</v>
      </c>
      <c r="J52" s="95">
        <f>Dashboard!$C$67</f>
        <v>20000</v>
      </c>
      <c r="K52" s="67">
        <f>Dashboard!$B$74</f>
        <v>0.1</v>
      </c>
      <c r="L52" s="108">
        <f ca="1">OFFSET(Dashboard!$B$88,MATCH(Power!D52,Dashboard!$A$88:$A$91,0)-1,0)</f>
        <v>0.443</v>
      </c>
      <c r="M52" s="26"/>
    </row>
    <row r="53" spans="1:13" s="11" customFormat="1" x14ac:dyDescent="0.3">
      <c r="A53" s="11" t="s">
        <v>279</v>
      </c>
      <c r="B53" s="26" t="s">
        <v>18</v>
      </c>
      <c r="C53" s="107" t="s">
        <v>27</v>
      </c>
      <c r="D53" s="141" t="s">
        <v>175</v>
      </c>
      <c r="E53" s="26">
        <v>251</v>
      </c>
      <c r="F53" s="35">
        <v>24.759032000000001</v>
      </c>
      <c r="G53" s="17">
        <v>46.592737</v>
      </c>
      <c r="H53" s="17">
        <v>680</v>
      </c>
      <c r="I53" s="139">
        <v>608</v>
      </c>
      <c r="J53" s="95">
        <f>Dashboard!$C$67</f>
        <v>20000</v>
      </c>
      <c r="K53" s="67">
        <f>Dashboard!$B$74</f>
        <v>0.1</v>
      </c>
      <c r="L53" s="108">
        <f ca="1">OFFSET(Dashboard!$B$88,MATCH(Power!D53,Dashboard!$A$88:$A$91,0)-1,0)</f>
        <v>0.77800000000000002</v>
      </c>
      <c r="M53" s="71"/>
    </row>
    <row r="54" spans="1:13" s="11" customFormat="1" x14ac:dyDescent="0.3">
      <c r="A54" s="11" t="s">
        <v>280</v>
      </c>
      <c r="B54" s="26" t="s">
        <v>18</v>
      </c>
      <c r="C54" s="107" t="s">
        <v>27</v>
      </c>
      <c r="D54" s="141" t="s">
        <v>174</v>
      </c>
      <c r="E54" s="27">
        <v>252</v>
      </c>
      <c r="F54" s="35">
        <v>24.652951999999999</v>
      </c>
      <c r="G54" s="17">
        <v>46.726875</v>
      </c>
      <c r="H54" s="17">
        <v>590</v>
      </c>
      <c r="I54" s="139">
        <v>65</v>
      </c>
      <c r="J54" s="95">
        <f>Dashboard!$C$67</f>
        <v>20000</v>
      </c>
      <c r="K54" s="67">
        <f>Dashboard!$B$74</f>
        <v>0.1</v>
      </c>
      <c r="L54" s="108">
        <f ca="1">OFFSET(Dashboard!$B$88,MATCH(Power!D54,Dashboard!$A$88:$A$91,0)-1,0)</f>
        <v>0.77800000000000002</v>
      </c>
      <c r="M54" s="71"/>
    </row>
    <row r="55" spans="1:13" s="11" customFormat="1" x14ac:dyDescent="0.3">
      <c r="A55" s="11" t="s">
        <v>281</v>
      </c>
      <c r="B55" s="26" t="s">
        <v>18</v>
      </c>
      <c r="C55" s="107" t="s">
        <v>27</v>
      </c>
      <c r="D55" s="141" t="s">
        <v>174</v>
      </c>
      <c r="E55" s="26">
        <v>253</v>
      </c>
      <c r="F55" s="35">
        <v>24.652539999999998</v>
      </c>
      <c r="G55" s="17">
        <v>46.672353000000001</v>
      </c>
      <c r="H55" s="17">
        <v>610</v>
      </c>
      <c r="I55" s="139">
        <v>336.49</v>
      </c>
      <c r="J55" s="95">
        <f>Dashboard!$C$67</f>
        <v>20000</v>
      </c>
      <c r="K55" s="67">
        <f>Dashboard!$B$74</f>
        <v>0.1</v>
      </c>
      <c r="L55" s="108">
        <f ca="1">OFFSET(Dashboard!$B$88,MATCH(Power!D55,Dashboard!$A$88:$A$91,0)-1,0)</f>
        <v>0.77800000000000002</v>
      </c>
      <c r="M55" s="71"/>
    </row>
    <row r="56" spans="1:13" s="10" customFormat="1" x14ac:dyDescent="0.3">
      <c r="A56" s="10" t="s">
        <v>277</v>
      </c>
      <c r="B56" s="26" t="s">
        <v>18</v>
      </c>
      <c r="C56" s="107" t="s">
        <v>27</v>
      </c>
      <c r="D56" s="140" t="s">
        <v>173</v>
      </c>
      <c r="E56" s="27">
        <v>254</v>
      </c>
      <c r="F56" s="34">
        <v>24.597211999999999</v>
      </c>
      <c r="G56" s="17">
        <v>46.571972000000002</v>
      </c>
      <c r="H56" s="17">
        <v>740</v>
      </c>
      <c r="I56" s="137">
        <v>2060.5</v>
      </c>
      <c r="J56" s="95">
        <f>Dashboard!$C$67</f>
        <v>20000</v>
      </c>
      <c r="K56" s="67">
        <f>Dashboard!$B$74</f>
        <v>0.1</v>
      </c>
      <c r="L56" s="108">
        <f ca="1">OFFSET(Dashboard!$B$88,MATCH(Power!D56,Dashboard!$A$88:$A$91,0)-1,0)</f>
        <v>0.443</v>
      </c>
      <c r="M56" s="26"/>
    </row>
    <row r="57" spans="1:13" s="10" customFormat="1" x14ac:dyDescent="0.3">
      <c r="A57" s="10" t="s">
        <v>278</v>
      </c>
      <c r="B57" s="26" t="s">
        <v>18</v>
      </c>
      <c r="C57" s="107" t="s">
        <v>27</v>
      </c>
      <c r="D57" s="140" t="s">
        <v>173</v>
      </c>
      <c r="E57" s="26">
        <v>255</v>
      </c>
      <c r="F57" s="34">
        <v>24.569941</v>
      </c>
      <c r="G57" s="17">
        <v>46.885402999999997</v>
      </c>
      <c r="H57" s="17">
        <v>566</v>
      </c>
      <c r="I57" s="137">
        <v>1315.78</v>
      </c>
      <c r="J57" s="95">
        <f>Dashboard!$C$67</f>
        <v>20000</v>
      </c>
      <c r="K57" s="67">
        <f>Dashboard!$B$74</f>
        <v>0.1</v>
      </c>
      <c r="L57" s="108">
        <f ca="1">OFFSET(Dashboard!$B$88,MATCH(Power!D57,Dashboard!$A$88:$A$91,0)-1,0)</f>
        <v>0.443</v>
      </c>
      <c r="M57" s="26"/>
    </row>
    <row r="58" spans="1:13" s="10" customFormat="1" x14ac:dyDescent="0.3">
      <c r="A58" s="10" t="s">
        <v>276</v>
      </c>
      <c r="B58" s="26" t="s">
        <v>18</v>
      </c>
      <c r="C58" s="107" t="s">
        <v>27</v>
      </c>
      <c r="D58" s="140" t="s">
        <v>173</v>
      </c>
      <c r="E58" s="27">
        <v>256</v>
      </c>
      <c r="F58" s="34">
        <v>24.522473999999999</v>
      </c>
      <c r="G58" s="13">
        <v>46.866235000000003</v>
      </c>
      <c r="H58" s="13">
        <v>567</v>
      </c>
      <c r="I58" s="137">
        <v>66</v>
      </c>
      <c r="J58" s="95">
        <f>Dashboard!$C$67</f>
        <v>20000</v>
      </c>
      <c r="K58" s="67">
        <f>Dashboard!$B$74</f>
        <v>0.1</v>
      </c>
      <c r="L58" s="108">
        <f ca="1">OFFSET(Dashboard!$B$88,MATCH(Power!D58,Dashboard!$A$88:$A$91,0)-1,0)</f>
        <v>0.443</v>
      </c>
      <c r="M58" s="26"/>
    </row>
    <row r="59" spans="1:13" s="10" customFormat="1" x14ac:dyDescent="0.3">
      <c r="A59" s="10" t="s">
        <v>275</v>
      </c>
      <c r="B59" s="26" t="s">
        <v>18</v>
      </c>
      <c r="C59" s="107" t="s">
        <v>27</v>
      </c>
      <c r="D59" s="140" t="s">
        <v>175</v>
      </c>
      <c r="E59" s="26">
        <v>257</v>
      </c>
      <c r="F59" s="34">
        <v>24.415381</v>
      </c>
      <c r="G59" s="13">
        <v>47.013970999999998</v>
      </c>
      <c r="H59" s="13">
        <v>511</v>
      </c>
      <c r="I59" s="137">
        <v>1118</v>
      </c>
      <c r="J59" s="95">
        <f>Dashboard!$C$67</f>
        <v>20000</v>
      </c>
      <c r="K59" s="67">
        <f>Dashboard!$B$74</f>
        <v>0.1</v>
      </c>
      <c r="L59" s="108">
        <f ca="1">OFFSET(Dashboard!$B$88,MATCH(Power!D59,Dashboard!$A$88:$A$91,0)-1,0)</f>
        <v>0.77800000000000002</v>
      </c>
      <c r="M59" s="26"/>
    </row>
    <row r="60" spans="1:13" s="10" customFormat="1" x14ac:dyDescent="0.3">
      <c r="A60" t="s">
        <v>263</v>
      </c>
      <c r="B60" s="26" t="s">
        <v>18</v>
      </c>
      <c r="C60" s="107" t="s">
        <v>27</v>
      </c>
      <c r="D60" s="140" t="s">
        <v>175</v>
      </c>
      <c r="E60" s="27">
        <v>258</v>
      </c>
      <c r="F60" s="34">
        <v>22.309044</v>
      </c>
      <c r="G60" s="13">
        <v>46.662492</v>
      </c>
      <c r="H60" s="13">
        <v>558</v>
      </c>
      <c r="I60" s="136">
        <v>102</v>
      </c>
      <c r="J60" s="95">
        <f>Dashboard!$C$67</f>
        <v>20000</v>
      </c>
      <c r="K60" s="67">
        <f>Dashboard!$B$74</f>
        <v>0.1</v>
      </c>
      <c r="L60" s="108">
        <f ca="1">OFFSET(Dashboard!$B$88,MATCH(Power!D60,Dashboard!$A$88:$A$91,0)-1,0)</f>
        <v>0.77800000000000002</v>
      </c>
      <c r="M60" s="26"/>
    </row>
    <row r="61" spans="1:13" s="10" customFormat="1" x14ac:dyDescent="0.3">
      <c r="A61" s="10" t="s">
        <v>265</v>
      </c>
      <c r="B61" s="26" t="s">
        <v>18</v>
      </c>
      <c r="C61" s="107" t="s">
        <v>27</v>
      </c>
      <c r="D61" s="140" t="s">
        <v>175</v>
      </c>
      <c r="E61" s="26">
        <v>259</v>
      </c>
      <c r="F61" s="34">
        <v>20.392969999999998</v>
      </c>
      <c r="G61" s="13">
        <v>45.206758999999998</v>
      </c>
      <c r="H61" s="13">
        <v>630</v>
      </c>
      <c r="I61" s="137">
        <v>230.35</v>
      </c>
      <c r="J61" s="95">
        <f>Dashboard!$C$67</f>
        <v>20000</v>
      </c>
      <c r="K61" s="67">
        <f>Dashboard!$B$74</f>
        <v>0.1</v>
      </c>
      <c r="L61" s="108">
        <f ca="1">OFFSET(Dashboard!$B$88,MATCH(Power!D61,Dashboard!$A$88:$A$91,0)-1,0)</f>
        <v>0.77800000000000002</v>
      </c>
      <c r="M61" s="26"/>
    </row>
    <row r="62" spans="1:13" s="120" customFormat="1" x14ac:dyDescent="0.3">
      <c r="A62" s="120" t="s">
        <v>264</v>
      </c>
      <c r="B62" s="119" t="s">
        <v>18</v>
      </c>
      <c r="C62" s="160" t="s">
        <v>27</v>
      </c>
      <c r="D62" s="142" t="s">
        <v>174</v>
      </c>
      <c r="E62" s="27">
        <v>260</v>
      </c>
      <c r="F62" s="196">
        <v>20.392969999999998</v>
      </c>
      <c r="G62" s="150">
        <v>45.206758999999998</v>
      </c>
      <c r="H62" s="150">
        <v>630</v>
      </c>
      <c r="I62" s="158">
        <v>100.08</v>
      </c>
      <c r="J62" s="129">
        <f>Dashboard!$C$67</f>
        <v>20000</v>
      </c>
      <c r="K62" s="146">
        <f>Dashboard!$B$74</f>
        <v>0.1</v>
      </c>
      <c r="L62" s="147">
        <f ca="1">OFFSET(Dashboard!$B$88,MATCH(Power!D62,Dashboard!$A$88:$A$91,0)-1,0)</f>
        <v>0.77800000000000002</v>
      </c>
      <c r="M62" s="119"/>
    </row>
    <row r="63" spans="1:13" x14ac:dyDescent="0.3">
      <c r="A63" t="s">
        <v>266</v>
      </c>
      <c r="B63" s="26" t="s">
        <v>40</v>
      </c>
      <c r="C63" s="107" t="s">
        <v>32</v>
      </c>
      <c r="D63" s="140" t="s">
        <v>174</v>
      </c>
      <c r="E63" s="26">
        <v>261</v>
      </c>
      <c r="F63" s="34">
        <v>26.402125999999999</v>
      </c>
      <c r="G63" s="13">
        <v>43.944572999999998</v>
      </c>
      <c r="H63" s="13">
        <v>624</v>
      </c>
      <c r="I63" s="136">
        <v>104.5</v>
      </c>
      <c r="J63" s="95">
        <f>Dashboard!$C$67</f>
        <v>20000</v>
      </c>
      <c r="K63" s="67">
        <f>Dashboard!$B$74</f>
        <v>0.1</v>
      </c>
      <c r="L63" s="108">
        <f ca="1">OFFSET(Dashboard!$B$88,MATCH(Power!D63,Dashboard!$A$88:$A$91,0)-1,0)</f>
        <v>0.77800000000000002</v>
      </c>
    </row>
    <row r="64" spans="1:13" s="120" customFormat="1" x14ac:dyDescent="0.3">
      <c r="A64" s="120" t="s">
        <v>267</v>
      </c>
      <c r="B64" s="119" t="s">
        <v>40</v>
      </c>
      <c r="C64" s="160" t="s">
        <v>32</v>
      </c>
      <c r="D64" s="142" t="s">
        <v>175</v>
      </c>
      <c r="E64" s="27">
        <v>262</v>
      </c>
      <c r="F64" s="197">
        <v>26.203288000000001</v>
      </c>
      <c r="G64" s="117">
        <v>44.014916999999997</v>
      </c>
      <c r="H64" s="117">
        <v>622</v>
      </c>
      <c r="I64" s="145">
        <f>1138.06</f>
        <v>1138.06</v>
      </c>
      <c r="J64" s="129">
        <f>Dashboard!$C$67</f>
        <v>20000</v>
      </c>
      <c r="K64" s="146">
        <f>Dashboard!$B$74</f>
        <v>0.1</v>
      </c>
      <c r="L64" s="147">
        <f ca="1">OFFSET(Dashboard!$B$88,MATCH(Power!D64,Dashboard!$A$88:$A$91,0)-1,0)</f>
        <v>0.77800000000000002</v>
      </c>
      <c r="M64" s="119"/>
    </row>
    <row r="65" spans="1:13" x14ac:dyDescent="0.3">
      <c r="A65" t="s">
        <v>268</v>
      </c>
      <c r="B65" s="26" t="s">
        <v>79</v>
      </c>
      <c r="C65" s="107" t="s">
        <v>114</v>
      </c>
      <c r="D65" s="140" t="s">
        <v>174</v>
      </c>
      <c r="E65" s="26">
        <v>263</v>
      </c>
      <c r="F65" s="34">
        <v>27.535063000000001</v>
      </c>
      <c r="G65" s="13">
        <v>41.701593000000003</v>
      </c>
      <c r="H65" s="13">
        <v>994</v>
      </c>
      <c r="I65" s="136">
        <v>48.4</v>
      </c>
      <c r="J65" s="95">
        <f>Dashboard!$C$67</f>
        <v>20000</v>
      </c>
      <c r="K65" s="67">
        <f>Dashboard!$B$74</f>
        <v>0.1</v>
      </c>
      <c r="L65" s="108">
        <f ca="1">OFFSET(Dashboard!$B$88,MATCH(Power!D65,Dashboard!$A$88:$A$91,0)-1,0)</f>
        <v>0.77800000000000002</v>
      </c>
    </row>
    <row r="66" spans="1:13" s="120" customFormat="1" x14ac:dyDescent="0.3">
      <c r="A66" s="120" t="s">
        <v>269</v>
      </c>
      <c r="B66" s="119" t="s">
        <v>79</v>
      </c>
      <c r="C66" s="160" t="s">
        <v>114</v>
      </c>
      <c r="D66" s="142" t="s">
        <v>175</v>
      </c>
      <c r="E66" s="27">
        <v>264</v>
      </c>
      <c r="F66" s="197">
        <v>27.468809</v>
      </c>
      <c r="G66" s="117">
        <v>41.741723</v>
      </c>
      <c r="H66" s="117">
        <v>1004</v>
      </c>
      <c r="I66" s="158">
        <v>340.4</v>
      </c>
      <c r="J66" s="129">
        <f>Dashboard!$C$67</f>
        <v>20000</v>
      </c>
      <c r="K66" s="146">
        <f>Dashboard!$B$74</f>
        <v>0.1</v>
      </c>
      <c r="L66" s="147">
        <f ca="1">OFFSET(Dashboard!$B$88,MATCH(Power!D66,Dashboard!$A$88:$A$91,0)-1,0)</f>
        <v>0.77800000000000002</v>
      </c>
      <c r="M66" s="119"/>
    </row>
    <row r="67" spans="1:13" x14ac:dyDescent="0.3">
      <c r="A67" t="s">
        <v>270</v>
      </c>
      <c r="B67" s="26" t="s">
        <v>80</v>
      </c>
      <c r="C67" s="107" t="s">
        <v>113</v>
      </c>
      <c r="D67" s="140" t="s">
        <v>174</v>
      </c>
      <c r="E67" s="26">
        <v>265</v>
      </c>
      <c r="F67" s="34">
        <v>30.927202999999999</v>
      </c>
      <c r="G67" s="13">
        <v>41.055819</v>
      </c>
      <c r="H67" s="13">
        <v>545</v>
      </c>
      <c r="I67" s="136">
        <v>273.8</v>
      </c>
      <c r="J67" s="95">
        <f>Dashboard!$C$67</f>
        <v>20000</v>
      </c>
      <c r="K67" s="67">
        <f>Dashboard!$B$74</f>
        <v>0.1</v>
      </c>
      <c r="L67" s="108">
        <f ca="1">OFFSET(Dashboard!$B$88,MATCH(Power!D67,Dashboard!$A$88:$A$91,0)-1,0)</f>
        <v>0.77800000000000002</v>
      </c>
    </row>
    <row r="68" spans="1:13" s="120" customFormat="1" x14ac:dyDescent="0.3">
      <c r="A68" s="120" t="s">
        <v>271</v>
      </c>
      <c r="B68" s="119" t="s">
        <v>80</v>
      </c>
      <c r="C68" s="160" t="s">
        <v>113</v>
      </c>
      <c r="D68" s="142" t="s">
        <v>174</v>
      </c>
      <c r="E68" s="27">
        <v>266</v>
      </c>
      <c r="F68" s="197">
        <v>29.619087</v>
      </c>
      <c r="G68" s="117">
        <v>43.526290000000003</v>
      </c>
      <c r="H68" s="117">
        <v>458</v>
      </c>
      <c r="I68" s="145">
        <v>126.4</v>
      </c>
      <c r="J68" s="129">
        <f>Dashboard!$C$67</f>
        <v>20000</v>
      </c>
      <c r="K68" s="146">
        <f>Dashboard!$B$74</f>
        <v>0.1</v>
      </c>
      <c r="L68" s="147">
        <f ca="1">OFFSET(Dashboard!$B$88,MATCH(Power!D68,Dashboard!$A$88:$A$91,0)-1,0)</f>
        <v>0.77800000000000002</v>
      </c>
      <c r="M68" s="119"/>
    </row>
    <row r="69" spans="1:13" x14ac:dyDescent="0.3">
      <c r="A69" t="s">
        <v>272</v>
      </c>
      <c r="B69" s="26" t="s">
        <v>85</v>
      </c>
      <c r="C69" s="107" t="s">
        <v>111</v>
      </c>
      <c r="D69" s="140" t="s">
        <v>174</v>
      </c>
      <c r="E69" s="26">
        <v>267</v>
      </c>
      <c r="F69" s="34">
        <v>31.251532000000001</v>
      </c>
      <c r="G69" s="13">
        <v>37.427176000000003</v>
      </c>
      <c r="H69" s="13">
        <v>517</v>
      </c>
      <c r="I69" s="136">
        <v>116.8</v>
      </c>
      <c r="J69" s="95">
        <f>Dashboard!$C$67</f>
        <v>20000</v>
      </c>
      <c r="K69" s="67">
        <f>Dashboard!$B$74</f>
        <v>0.1</v>
      </c>
      <c r="L69" s="108">
        <f ca="1">OFFSET(Dashboard!$B$88,MATCH(Power!D69,Dashboard!$A$88:$A$91,0)-1,0)</f>
        <v>0.77800000000000002</v>
      </c>
    </row>
    <row r="70" spans="1:13" x14ac:dyDescent="0.3">
      <c r="A70" t="s">
        <v>273</v>
      </c>
      <c r="B70" s="26" t="s">
        <v>85</v>
      </c>
      <c r="C70" s="107" t="s">
        <v>111</v>
      </c>
      <c r="D70" s="140" t="s">
        <v>174</v>
      </c>
      <c r="E70" s="27">
        <v>268</v>
      </c>
      <c r="F70" s="34">
        <v>30.455556999999999</v>
      </c>
      <c r="G70" s="13">
        <v>38.212876000000001</v>
      </c>
      <c r="H70" s="13">
        <v>552</v>
      </c>
      <c r="I70" s="136">
        <v>99.9</v>
      </c>
      <c r="J70" s="95">
        <f>Dashboard!$C$67</f>
        <v>20000</v>
      </c>
      <c r="K70" s="67">
        <f>Dashboard!$B$74</f>
        <v>0.1</v>
      </c>
      <c r="L70" s="108">
        <f ca="1">OFFSET(Dashboard!$B$88,MATCH(Power!D70,Dashboard!$A$88:$A$91,0)-1,0)</f>
        <v>0.77800000000000002</v>
      </c>
    </row>
    <row r="71" spans="1:13" s="120" customFormat="1" x14ac:dyDescent="0.3">
      <c r="A71" s="120" t="s">
        <v>274</v>
      </c>
      <c r="B71" s="119" t="s">
        <v>85</v>
      </c>
      <c r="C71" s="160" t="s">
        <v>111</v>
      </c>
      <c r="D71" s="142" t="s">
        <v>175</v>
      </c>
      <c r="E71" s="26">
        <v>269</v>
      </c>
      <c r="F71" s="197">
        <v>29.777394000000001</v>
      </c>
      <c r="G71" s="117">
        <v>40.011580000000002</v>
      </c>
      <c r="H71" s="117">
        <v>673</v>
      </c>
      <c r="I71" s="145">
        <v>238</v>
      </c>
      <c r="J71" s="129">
        <f>Dashboard!$C$67</f>
        <v>20000</v>
      </c>
      <c r="K71" s="146">
        <f>Dashboard!$B$74</f>
        <v>0.1</v>
      </c>
      <c r="L71" s="147">
        <f ca="1">OFFSET(Dashboard!$B$88,MATCH(Power!D71,Dashboard!$A$88:$A$91,0)-1,0)</f>
        <v>0.77800000000000002</v>
      </c>
      <c r="M71" s="119"/>
    </row>
    <row r="72" spans="1:13" s="10" customFormat="1" x14ac:dyDescent="0.3">
      <c r="B72" s="26"/>
      <c r="C72" s="107"/>
      <c r="D72" s="140"/>
      <c r="E72" s="27"/>
      <c r="F72" s="34"/>
      <c r="G72" s="13"/>
      <c r="H72" s="13"/>
      <c r="I72" s="136"/>
      <c r="J72" s="95"/>
      <c r="K72" s="67"/>
      <c r="L72" s="108"/>
      <c r="M72" s="26"/>
    </row>
    <row r="73" spans="1:13" s="10" customFormat="1" x14ac:dyDescent="0.3">
      <c r="B73" s="26"/>
      <c r="C73" s="107"/>
      <c r="D73" s="140"/>
      <c r="E73" s="27"/>
      <c r="F73" s="34"/>
      <c r="G73" s="13"/>
      <c r="H73" s="13"/>
      <c r="I73" s="136"/>
      <c r="J73" s="95"/>
      <c r="K73" s="67"/>
      <c r="L73" s="108"/>
      <c r="M73" s="26"/>
    </row>
    <row r="94" spans="2:13" s="10" customFormat="1" x14ac:dyDescent="0.3">
      <c r="B94" s="26"/>
      <c r="C94" s="107"/>
      <c r="D94" s="140"/>
      <c r="E94" s="26"/>
      <c r="F94" s="199"/>
      <c r="I94" s="136"/>
      <c r="J94" s="95"/>
      <c r="K94" s="67"/>
      <c r="L94" s="108"/>
      <c r="M94" s="26"/>
    </row>
  </sheetData>
  <mergeCells count="11">
    <mergeCell ref="A1:A2"/>
    <mergeCell ref="F1:F2"/>
    <mergeCell ref="G1:G2"/>
    <mergeCell ref="H1:H2"/>
    <mergeCell ref="L1:L2"/>
    <mergeCell ref="D1:D2"/>
    <mergeCell ref="J1:J2"/>
    <mergeCell ref="K1:K2"/>
    <mergeCell ref="E1:E2"/>
    <mergeCell ref="I1:I2"/>
    <mergeCell ref="B1:C1"/>
  </mergeCells>
  <pageMargins left="0.7" right="0.7" top="0.75" bottom="0.75" header="0.3" footer="0.3"/>
  <pageSetup paperSize="12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78"/>
  <sheetViews>
    <sheetView zoomScale="80" zoomScaleNormal="80" workbookViewId="0">
      <pane ySplit="2" topLeftCell="A3" activePane="bottomLeft" state="frozen"/>
      <selection pane="bottomLeft" sqref="A1:B1"/>
    </sheetView>
  </sheetViews>
  <sheetFormatPr defaultRowHeight="14.4" x14ac:dyDescent="0.3"/>
  <cols>
    <col min="1" max="1" width="21.77734375" style="26" customWidth="1"/>
    <col min="2" max="2" width="21.77734375" style="10" customWidth="1"/>
    <col min="3" max="3" width="6.77734375" style="26" customWidth="1"/>
    <col min="4" max="4" width="16.77734375" style="26" customWidth="1"/>
    <col min="5" max="5" width="16.77734375" customWidth="1"/>
    <col min="6" max="6" width="16.77734375" style="265" customWidth="1"/>
    <col min="7" max="7" width="16.77734375" style="26" customWidth="1"/>
    <col min="8" max="8" width="16.77734375" style="10" customWidth="1"/>
    <col min="9" max="9" width="16.77734375" style="80" customWidth="1"/>
    <col min="10" max="10" width="18.77734375" style="71" customWidth="1"/>
    <col min="11" max="11" width="16.77734375" style="81" customWidth="1"/>
    <col min="12" max="12" width="16.77734375" style="82" customWidth="1"/>
    <col min="13" max="13" width="20.77734375" style="71" customWidth="1"/>
    <col min="14" max="14" width="20.77734375" style="79" customWidth="1"/>
    <col min="15" max="15" width="8.88671875" style="26"/>
  </cols>
  <sheetData>
    <row r="1" spans="1:15" s="5" customFormat="1" ht="14.4" customHeight="1" x14ac:dyDescent="0.3">
      <c r="A1" s="319" t="s">
        <v>59</v>
      </c>
      <c r="B1" s="322"/>
      <c r="C1" s="319" t="s">
        <v>58</v>
      </c>
      <c r="D1" s="319" t="s">
        <v>60</v>
      </c>
      <c r="E1" s="314" t="s">
        <v>61</v>
      </c>
      <c r="F1" s="330" t="s">
        <v>349</v>
      </c>
      <c r="G1" s="315" t="s">
        <v>62</v>
      </c>
      <c r="H1" s="316" t="s">
        <v>63</v>
      </c>
      <c r="I1" s="325" t="s">
        <v>163</v>
      </c>
      <c r="J1" s="327" t="s">
        <v>158</v>
      </c>
      <c r="K1" s="328" t="s">
        <v>161</v>
      </c>
      <c r="L1" s="329" t="s">
        <v>162</v>
      </c>
      <c r="M1" s="324" t="s">
        <v>164</v>
      </c>
      <c r="N1" s="323" t="s">
        <v>165</v>
      </c>
      <c r="O1" s="75"/>
    </row>
    <row r="2" spans="1:15" s="5" customFormat="1" x14ac:dyDescent="0.3">
      <c r="A2" s="183" t="s">
        <v>105</v>
      </c>
      <c r="B2" s="184" t="s">
        <v>106</v>
      </c>
      <c r="C2" s="319"/>
      <c r="D2" s="319"/>
      <c r="E2" s="314"/>
      <c r="F2" s="318"/>
      <c r="G2" s="319"/>
      <c r="H2" s="314"/>
      <c r="I2" s="326"/>
      <c r="J2" s="327"/>
      <c r="K2" s="328"/>
      <c r="L2" s="329"/>
      <c r="M2" s="324"/>
      <c r="N2" s="323"/>
      <c r="O2" s="75"/>
    </row>
    <row r="3" spans="1:15" x14ac:dyDescent="0.3">
      <c r="A3" s="26" t="s">
        <v>331</v>
      </c>
      <c r="B3" s="10" t="s">
        <v>181</v>
      </c>
      <c r="C3" s="26">
        <v>1001</v>
      </c>
      <c r="D3" s="26">
        <f ca="1">OFFSET(Node_List!$B$2,MATCH(Pipeline!A3,Node_List!$A$2:$A$999,0)-1,0)</f>
        <v>101</v>
      </c>
      <c r="E3" s="10">
        <f ca="1">OFFSET(Node_List!$B$2,MATCH(Pipeline!B3,Node_List!$A$2:$A$999,0)-1,0)</f>
        <v>1</v>
      </c>
      <c r="F3" s="265">
        <v>0</v>
      </c>
      <c r="G3" s="26">
        <v>1.44</v>
      </c>
      <c r="H3" s="20">
        <v>1500</v>
      </c>
      <c r="I3" s="80">
        <f>PI()*(H3/10^3/2)^2*Dashboard!$B$58*3600*24</f>
        <v>305362.80592892785</v>
      </c>
      <c r="J3" s="71">
        <f>Dashboard!$B$57*(G3*10^3)/(H3/10^3)*Dashboard!$B$58^2/2</f>
        <v>19.2</v>
      </c>
      <c r="K3" s="81">
        <f>Dashboard!$B$59*G3</f>
        <v>7.1999999999999994E-4</v>
      </c>
      <c r="L3" s="82">
        <f>Dashboard!$B$60*G3</f>
        <v>4.32E-5</v>
      </c>
      <c r="M3" s="72">
        <f>Dashboard!$B$75*G3</f>
        <v>52560</v>
      </c>
      <c r="N3" s="78">
        <f>Dashboard!$B$76*G3</f>
        <v>52560</v>
      </c>
    </row>
    <row r="4" spans="1:15" s="10" customFormat="1" x14ac:dyDescent="0.3">
      <c r="A4" s="26" t="s">
        <v>78</v>
      </c>
      <c r="B4" s="10" t="s">
        <v>216</v>
      </c>
      <c r="C4" s="26">
        <v>1002</v>
      </c>
      <c r="D4" s="26">
        <f ca="1">OFFSET(Node_List!$B$2,MATCH(Pipeline!A4,Node_List!$A$2:$A$999,0)-1,0)</f>
        <v>2</v>
      </c>
      <c r="E4" s="10">
        <f ca="1">OFFSET(Node_List!$B$2,MATCH(Pipeline!B4,Node_List!$A$2:$A$999,0)-1,0)</f>
        <v>201</v>
      </c>
      <c r="F4" s="265">
        <v>0</v>
      </c>
      <c r="G4" s="26">
        <v>8.6999999999999993</v>
      </c>
      <c r="H4" s="20">
        <v>1500</v>
      </c>
      <c r="I4" s="80">
        <f>PI()*(H4/10^3/2)^2*Dashboard!$B$58*3600*24</f>
        <v>305362.80592892785</v>
      </c>
      <c r="J4" s="71">
        <f>Dashboard!$B$57*(G4*10^3)/(H4/10^3)*Dashboard!$B$58^2/2</f>
        <v>116</v>
      </c>
      <c r="K4" s="81">
        <f>Dashboard!$B$59*G4</f>
        <v>4.3499999999999997E-3</v>
      </c>
      <c r="L4" s="82">
        <f>Dashboard!$B$60*G4</f>
        <v>2.61E-4</v>
      </c>
      <c r="M4" s="72">
        <f>Dashboard!$B$75*G4</f>
        <v>317550</v>
      </c>
      <c r="N4" s="78">
        <f>Dashboard!$B$76*G4</f>
        <v>317550</v>
      </c>
      <c r="O4" s="26"/>
    </row>
    <row r="5" spans="1:15" s="10" customFormat="1" x14ac:dyDescent="0.3">
      <c r="A5" s="26" t="s">
        <v>78</v>
      </c>
      <c r="B5" s="10" t="s">
        <v>217</v>
      </c>
      <c r="C5" s="26">
        <v>1003</v>
      </c>
      <c r="D5" s="26">
        <f ca="1">OFFSET(Node_List!$B$2,MATCH(Pipeline!A5,Node_List!$A$2:$A$999,0)-1,0)</f>
        <v>2</v>
      </c>
      <c r="E5" s="10">
        <f ca="1">OFFSET(Node_List!$B$2,MATCH(Pipeline!B5,Node_List!$A$2:$A$999,0)-1,0)</f>
        <v>202</v>
      </c>
      <c r="F5" s="265">
        <v>0</v>
      </c>
      <c r="G5" s="26">
        <v>11.7</v>
      </c>
      <c r="H5" s="20">
        <v>1500</v>
      </c>
      <c r="I5" s="80">
        <f>PI()*(H5/10^3/2)^2*Dashboard!$B$58*3600*24</f>
        <v>305362.80592892785</v>
      </c>
      <c r="J5" s="71">
        <f>Dashboard!$B$57*(G5*10^3)/(H5/10^3)*Dashboard!$B$58^2/2</f>
        <v>156</v>
      </c>
      <c r="K5" s="81">
        <f>Dashboard!$B$59*G5</f>
        <v>5.8500000000000002E-3</v>
      </c>
      <c r="L5" s="82">
        <f>Dashboard!$B$60*G5</f>
        <v>3.5099999999999997E-4</v>
      </c>
      <c r="M5" s="72">
        <f>Dashboard!$B$75*G5</f>
        <v>427050</v>
      </c>
      <c r="N5" s="78">
        <f>Dashboard!$B$76*G5</f>
        <v>427050</v>
      </c>
      <c r="O5" s="26"/>
    </row>
    <row r="6" spans="1:15" s="10" customFormat="1" x14ac:dyDescent="0.3">
      <c r="A6" s="26" t="s">
        <v>291</v>
      </c>
      <c r="B6" s="10" t="s">
        <v>98</v>
      </c>
      <c r="C6" s="26">
        <v>1004</v>
      </c>
      <c r="D6" s="26">
        <f ca="1">OFFSET(Node_List!$B$2,MATCH(Pipeline!A6,Node_List!$A$2:$A$999,0)-1,0)</f>
        <v>102</v>
      </c>
      <c r="E6" s="10">
        <f ca="1">OFFSET(Node_List!$B$2,MATCH(Pipeline!B6,Node_List!$A$2:$A$999,0)-1,0)</f>
        <v>4</v>
      </c>
      <c r="F6" s="265">
        <v>0</v>
      </c>
      <c r="G6" s="26">
        <v>4.0999999999999996</v>
      </c>
      <c r="H6" s="20">
        <v>1500</v>
      </c>
      <c r="I6" s="80">
        <f>PI()*(H6/10^3/2)^2*Dashboard!$B$58*3600*24</f>
        <v>305362.80592892785</v>
      </c>
      <c r="J6" s="71">
        <f>Dashboard!$B$57*(G6*10^3)/(H6/10^3)*Dashboard!$B$58^2/2</f>
        <v>54.666666666666664</v>
      </c>
      <c r="K6" s="81">
        <f>Dashboard!$B$59*G6</f>
        <v>2.0499999999999997E-3</v>
      </c>
      <c r="L6" s="82">
        <f>Dashboard!$B$60*G6</f>
        <v>1.2299999999999998E-4</v>
      </c>
      <c r="M6" s="72">
        <f>Dashboard!$B$75*G6</f>
        <v>149650</v>
      </c>
      <c r="N6" s="78">
        <f>Dashboard!$B$76*G6</f>
        <v>149650</v>
      </c>
      <c r="O6" s="26"/>
    </row>
    <row r="7" spans="1:15" s="10" customFormat="1" x14ac:dyDescent="0.3">
      <c r="A7" s="26" t="s">
        <v>291</v>
      </c>
      <c r="B7" s="10" t="s">
        <v>215</v>
      </c>
      <c r="C7" s="26">
        <v>1005</v>
      </c>
      <c r="D7" s="26">
        <f ca="1">OFFSET(Node_List!$B$2,MATCH(Pipeline!A7,Node_List!$A$2:$A$999,0)-1,0)</f>
        <v>102</v>
      </c>
      <c r="E7" s="10">
        <f ca="1">OFFSET(Node_List!$B$2,MATCH(Pipeline!B7,Node_List!$A$2:$A$999,0)-1,0)</f>
        <v>203</v>
      </c>
      <c r="F7" s="265">
        <v>0</v>
      </c>
      <c r="G7" s="26">
        <v>4.5999999999999996</v>
      </c>
      <c r="H7" s="20">
        <v>1500</v>
      </c>
      <c r="I7" s="80">
        <f>PI()*(H7/10^3/2)^2*Dashboard!$B$58*3600*24</f>
        <v>305362.80592892785</v>
      </c>
      <c r="J7" s="71">
        <f>Dashboard!$B$57*(G7*10^3)/(H7/10^3)*Dashboard!$B$58^2/2</f>
        <v>61.333333333333336</v>
      </c>
      <c r="K7" s="81">
        <f>Dashboard!$B$59*G7</f>
        <v>2.3E-3</v>
      </c>
      <c r="L7" s="82">
        <f>Dashboard!$B$60*G7</f>
        <v>1.3799999999999999E-4</v>
      </c>
      <c r="M7" s="72">
        <f>Dashboard!$B$75*G7</f>
        <v>167900</v>
      </c>
      <c r="N7" s="78">
        <f>Dashboard!$B$76*G7</f>
        <v>167900</v>
      </c>
      <c r="O7" s="26"/>
    </row>
    <row r="8" spans="1:15" s="10" customFormat="1" x14ac:dyDescent="0.3">
      <c r="A8" s="26" t="s">
        <v>292</v>
      </c>
      <c r="B8" s="10" t="s">
        <v>99</v>
      </c>
      <c r="C8" s="26">
        <v>1006</v>
      </c>
      <c r="D8" s="26">
        <f ca="1">OFFSET(Node_List!$B$2,MATCH(Pipeline!A8,Node_List!$A$2:$A$999,0)-1,0)</f>
        <v>103</v>
      </c>
      <c r="E8" s="10">
        <f ca="1">OFFSET(Node_List!$B$2,MATCH(Pipeline!B8,Node_List!$A$2:$A$999,0)-1,0)</f>
        <v>5</v>
      </c>
      <c r="F8" s="265">
        <v>0</v>
      </c>
      <c r="G8" s="26">
        <v>2.6</v>
      </c>
      <c r="H8" s="20">
        <v>1500</v>
      </c>
      <c r="I8" s="80">
        <f>PI()*(H8/10^3/2)^2*Dashboard!$B$58*3600*24</f>
        <v>305362.80592892785</v>
      </c>
      <c r="J8" s="71">
        <f>Dashboard!$B$57*(G8*10^3)/(H8/10^3)*Dashboard!$B$58^2/2</f>
        <v>34.666666666666664</v>
      </c>
      <c r="K8" s="81">
        <f>Dashboard!$B$59*G8</f>
        <v>1.3000000000000002E-3</v>
      </c>
      <c r="L8" s="82">
        <f>Dashboard!$B$60*G8</f>
        <v>7.7999999999999999E-5</v>
      </c>
      <c r="M8" s="72">
        <f>Dashboard!$B$75*G8</f>
        <v>94900</v>
      </c>
      <c r="N8" s="78">
        <f>Dashboard!$B$76*G8</f>
        <v>94900</v>
      </c>
      <c r="O8" s="26"/>
    </row>
    <row r="9" spans="1:15" s="10" customFormat="1" x14ac:dyDescent="0.3">
      <c r="A9" s="26" t="s">
        <v>99</v>
      </c>
      <c r="B9" s="10" t="s">
        <v>218</v>
      </c>
      <c r="C9" s="26">
        <v>1007</v>
      </c>
      <c r="D9" s="26">
        <f ca="1">OFFSET(Node_List!$B$2,MATCH(Pipeline!A9,Node_List!$A$2:$A$999,0)-1,0)</f>
        <v>5</v>
      </c>
      <c r="E9" s="10">
        <f ca="1">OFFSET(Node_List!$B$2,MATCH(Pipeline!B9,Node_List!$A$2:$A$999,0)-1,0)</f>
        <v>204</v>
      </c>
      <c r="F9" s="265">
        <v>0</v>
      </c>
      <c r="G9" s="26">
        <v>4.3</v>
      </c>
      <c r="H9" s="20">
        <v>1500</v>
      </c>
      <c r="I9" s="80">
        <f>PI()*(H9/10^3/2)^2*Dashboard!$B$58*3600*24</f>
        <v>305362.80592892785</v>
      </c>
      <c r="J9" s="71">
        <f>Dashboard!$B$57*(G9*10^3)/(H9/10^3)*Dashboard!$B$58^2/2</f>
        <v>57.333333333333336</v>
      </c>
      <c r="K9" s="81">
        <f>Dashboard!$B$59*G9</f>
        <v>2.15E-3</v>
      </c>
      <c r="L9" s="82">
        <f>Dashboard!$B$60*G9</f>
        <v>1.2899999999999999E-4</v>
      </c>
      <c r="M9" s="72">
        <f>Dashboard!$B$75*G9</f>
        <v>156950</v>
      </c>
      <c r="N9" s="78">
        <f>Dashboard!$B$76*G9</f>
        <v>156950</v>
      </c>
      <c r="O9" s="26"/>
    </row>
    <row r="10" spans="1:15" s="10" customFormat="1" x14ac:dyDescent="0.3">
      <c r="A10" s="26" t="s">
        <v>333</v>
      </c>
      <c r="B10" s="10" t="s">
        <v>183</v>
      </c>
      <c r="C10" s="26">
        <v>1008</v>
      </c>
      <c r="D10" s="26">
        <f ca="1">OFFSET(Node_List!$B$2,MATCH(Pipeline!A10,Node_List!$A$2:$A$999,0)-1,0)</f>
        <v>104</v>
      </c>
      <c r="E10" s="10">
        <f ca="1">OFFSET(Node_List!$B$2,MATCH(Pipeline!B10,Node_List!$A$2:$A$999,0)-1,0)</f>
        <v>6</v>
      </c>
      <c r="F10" s="265">
        <v>0</v>
      </c>
      <c r="G10" s="26">
        <v>5.6</v>
      </c>
      <c r="H10" s="20">
        <v>1500</v>
      </c>
      <c r="I10" s="80">
        <f>PI()*(H10/10^3/2)^2*Dashboard!$B$58*3600*24</f>
        <v>305362.80592892785</v>
      </c>
      <c r="J10" s="71">
        <f>Dashboard!$B$57*(G10*10^3)/(H10/10^3)*Dashboard!$B$58^2/2</f>
        <v>74.666666666666671</v>
      </c>
      <c r="K10" s="81">
        <f>Dashboard!$B$59*G10</f>
        <v>2.8E-3</v>
      </c>
      <c r="L10" s="82">
        <f>Dashboard!$B$60*G10</f>
        <v>1.6799999999999999E-4</v>
      </c>
      <c r="M10" s="72">
        <f>Dashboard!$B$75*G10</f>
        <v>204400</v>
      </c>
      <c r="N10" s="78">
        <f>Dashboard!$B$76*G10</f>
        <v>204400</v>
      </c>
      <c r="O10" s="26"/>
    </row>
    <row r="11" spans="1:15" s="10" customFormat="1" x14ac:dyDescent="0.3">
      <c r="A11" s="26" t="s">
        <v>334</v>
      </c>
      <c r="B11" s="10" t="s">
        <v>333</v>
      </c>
      <c r="C11" s="26">
        <v>1009</v>
      </c>
      <c r="D11" s="26">
        <f ca="1">OFFSET(Node_List!$B$2,MATCH(Pipeline!A11,Node_List!$A$2:$A$999,0)-1,0)</f>
        <v>105</v>
      </c>
      <c r="E11" s="10">
        <f ca="1">OFFSET(Node_List!$B$2,MATCH(Pipeline!B11,Node_List!$A$2:$A$999,0)-1,0)</f>
        <v>104</v>
      </c>
      <c r="F11" s="265">
        <v>0</v>
      </c>
      <c r="G11" s="70">
        <v>0</v>
      </c>
      <c r="H11" s="20">
        <v>1500</v>
      </c>
      <c r="I11" s="80">
        <f>PI()*(H11/10^3/2)^2*Dashboard!$B$58*3600*24</f>
        <v>305362.80592892785</v>
      </c>
      <c r="J11" s="71">
        <f>Dashboard!$B$57*(G11*10^3)/(H11/10^3)*Dashboard!$B$58^2/2</f>
        <v>0</v>
      </c>
      <c r="K11" s="81">
        <f>Dashboard!$B$59*G11</f>
        <v>0</v>
      </c>
      <c r="L11" s="82">
        <f>Dashboard!$B$60*G11</f>
        <v>0</v>
      </c>
      <c r="M11" s="72">
        <f>Dashboard!$B$75*G11</f>
        <v>0</v>
      </c>
      <c r="N11" s="78">
        <f>Dashboard!$B$76*G11</f>
        <v>0</v>
      </c>
      <c r="O11" s="26"/>
    </row>
    <row r="12" spans="1:15" s="10" customFormat="1" x14ac:dyDescent="0.3">
      <c r="A12" s="228" t="s">
        <v>301</v>
      </c>
      <c r="B12" s="228" t="s">
        <v>302</v>
      </c>
      <c r="C12" s="26">
        <v>1010</v>
      </c>
      <c r="D12" s="26">
        <f ca="1">OFFSET(Node_List!$B$2,MATCH(Pipeline!A12,Node_List!$A$2:$A$999,0)-1,0)</f>
        <v>108</v>
      </c>
      <c r="E12" s="10">
        <f ca="1">OFFSET(Node_List!$B$2,MATCH(Pipeline!B12,Node_List!$A$2:$A$999,0)-1,0)</f>
        <v>106</v>
      </c>
      <c r="F12" s="265">
        <v>0</v>
      </c>
      <c r="G12" s="26">
        <v>0</v>
      </c>
      <c r="H12" s="11">
        <v>1500</v>
      </c>
      <c r="I12" s="80">
        <f>PI()*(H12/10^3/2)^2*Dashboard!$B$58*3600*24</f>
        <v>305362.80592892785</v>
      </c>
      <c r="J12" s="71">
        <f>Dashboard!$B$57*(G12*10^3)/(H12/10^3)*Dashboard!$B$58^2/2</f>
        <v>0</v>
      </c>
      <c r="K12" s="81">
        <f>Dashboard!$B$59*G12</f>
        <v>0</v>
      </c>
      <c r="L12" s="82">
        <f>Dashboard!$B$60*G12</f>
        <v>0</v>
      </c>
      <c r="M12" s="72">
        <f>Dashboard!$B$75*G12</f>
        <v>0</v>
      </c>
      <c r="N12" s="78">
        <f>Dashboard!$B$76*G12</f>
        <v>0</v>
      </c>
      <c r="O12" s="26"/>
    </row>
    <row r="13" spans="1:15" s="10" customFormat="1" x14ac:dyDescent="0.3">
      <c r="A13" s="228" t="s">
        <v>303</v>
      </c>
      <c r="B13" s="228" t="s">
        <v>302</v>
      </c>
      <c r="C13" s="26">
        <v>1011</v>
      </c>
      <c r="D13" s="26">
        <f ca="1">OFFSET(Node_List!$B$2,MATCH(Pipeline!A13,Node_List!$A$2:$A$999,0)-1,0)</f>
        <v>107</v>
      </c>
      <c r="E13" s="10">
        <f ca="1">OFFSET(Node_List!$B$2,MATCH(Pipeline!B13,Node_List!$A$2:$A$999,0)-1,0)</f>
        <v>106</v>
      </c>
      <c r="F13" s="265">
        <v>0</v>
      </c>
      <c r="G13" s="70">
        <v>0</v>
      </c>
      <c r="H13" s="11">
        <v>1500</v>
      </c>
      <c r="I13" s="80">
        <f>PI()*(H13/10^3/2)^2*Dashboard!$B$58*3600*24</f>
        <v>305362.80592892785</v>
      </c>
      <c r="J13" s="71">
        <f>Dashboard!$B$57*(G13*10^3)/(H13/10^3)*Dashboard!$B$58^2/2</f>
        <v>0</v>
      </c>
      <c r="K13" s="81">
        <f>Dashboard!$B$59*G13</f>
        <v>0</v>
      </c>
      <c r="L13" s="82">
        <f>Dashboard!$B$60*G13</f>
        <v>0</v>
      </c>
      <c r="M13" s="72">
        <f>Dashboard!$B$75*G13</f>
        <v>0</v>
      </c>
      <c r="N13" s="78">
        <f>Dashboard!$B$76*G13</f>
        <v>0</v>
      </c>
      <c r="O13" s="26"/>
    </row>
    <row r="14" spans="1:15" s="10" customFormat="1" x14ac:dyDescent="0.3">
      <c r="A14" s="26" t="s">
        <v>302</v>
      </c>
      <c r="B14" s="28" t="s">
        <v>219</v>
      </c>
      <c r="C14" s="26">
        <v>1012</v>
      </c>
      <c r="D14" s="26">
        <f ca="1">OFFSET(Node_List!$B$2,MATCH(Pipeline!A14,Node_List!$A$2:$A$999,0)-1,0)</f>
        <v>106</v>
      </c>
      <c r="E14" s="10">
        <f ca="1">OFFSET(Node_List!$B$2,MATCH(Pipeline!B14,Node_List!$A$2:$A$999,0)-1,0)</f>
        <v>206</v>
      </c>
      <c r="F14" s="265">
        <v>0</v>
      </c>
      <c r="G14" s="71">
        <v>20.7</v>
      </c>
      <c r="H14" s="11">
        <v>1500</v>
      </c>
      <c r="I14" s="80">
        <f>PI()*(H14/10^3/2)^2*Dashboard!$B$58*3600*24</f>
        <v>305362.80592892785</v>
      </c>
      <c r="J14" s="71">
        <f>Dashboard!$B$57*(G14*10^3)/(H14/10^3)*Dashboard!$B$58^2/2</f>
        <v>276</v>
      </c>
      <c r="K14" s="81">
        <f>Dashboard!$B$59*G14</f>
        <v>1.035E-2</v>
      </c>
      <c r="L14" s="82">
        <f>Dashboard!$B$60*G14</f>
        <v>6.2100000000000002E-4</v>
      </c>
      <c r="M14" s="72">
        <f>Dashboard!$B$75*G14</f>
        <v>755550</v>
      </c>
      <c r="N14" s="78">
        <f>Dashboard!$B$76*G14</f>
        <v>755550</v>
      </c>
      <c r="O14" s="26"/>
    </row>
    <row r="15" spans="1:15" s="10" customFormat="1" x14ac:dyDescent="0.3">
      <c r="A15" s="26" t="s">
        <v>219</v>
      </c>
      <c r="B15" s="28" t="s">
        <v>221</v>
      </c>
      <c r="C15" s="26">
        <v>1013</v>
      </c>
      <c r="D15" s="26">
        <f ca="1">OFFSET(Node_List!$B$2,MATCH(Pipeline!A15,Node_List!$A$2:$A$999,0)-1,0)</f>
        <v>206</v>
      </c>
      <c r="E15" s="10">
        <f ca="1">OFFSET(Node_List!$B$2,MATCH(Pipeline!B15,Node_List!$A$2:$A$999,0)-1,0)</f>
        <v>207</v>
      </c>
      <c r="F15" s="265">
        <v>0</v>
      </c>
      <c r="G15" s="71">
        <v>3.8</v>
      </c>
      <c r="H15" s="11">
        <v>1500</v>
      </c>
      <c r="I15" s="80">
        <f>PI()*(H15/10^3/2)^2*Dashboard!$B$58*3600*24</f>
        <v>305362.80592892785</v>
      </c>
      <c r="J15" s="71">
        <f>Dashboard!$B$57*(G15*10^3)/(H15/10^3)*Dashboard!$B$58^2/2</f>
        <v>50.666666666666664</v>
      </c>
      <c r="K15" s="81">
        <f>Dashboard!$B$59*G15</f>
        <v>1.9E-3</v>
      </c>
      <c r="L15" s="82">
        <f>Dashboard!$B$60*G15</f>
        <v>1.1399999999999999E-4</v>
      </c>
      <c r="M15" s="72">
        <f>Dashboard!$B$75*G15</f>
        <v>138700</v>
      </c>
      <c r="N15" s="78">
        <f>Dashboard!$B$76*G15</f>
        <v>138700</v>
      </c>
      <c r="O15" s="26"/>
    </row>
    <row r="16" spans="1:15" s="10" customFormat="1" x14ac:dyDescent="0.3">
      <c r="A16" s="28" t="s">
        <v>222</v>
      </c>
      <c r="B16" s="28" t="s">
        <v>221</v>
      </c>
      <c r="C16" s="26">
        <v>1014</v>
      </c>
      <c r="D16" s="26">
        <f ca="1">OFFSET(Node_List!$B$2,MATCH(Pipeline!A16,Node_List!$A$2:$A$999,0)-1,0)</f>
        <v>208</v>
      </c>
      <c r="E16" s="10">
        <f ca="1">OFFSET(Node_List!$B$2,MATCH(Pipeline!B16,Node_List!$A$2:$A$999,0)-1,0)</f>
        <v>207</v>
      </c>
      <c r="F16" s="265">
        <v>0</v>
      </c>
      <c r="G16" s="70">
        <v>0</v>
      </c>
      <c r="H16" s="11">
        <v>1500</v>
      </c>
      <c r="I16" s="80">
        <f>PI()*(H16/10^3/2)^2*Dashboard!$B$58*3600*24</f>
        <v>305362.80592892785</v>
      </c>
      <c r="J16" s="71">
        <f>Dashboard!$B$57*(G16*10^3)/(H16/10^3)*Dashboard!$B$58^2/2</f>
        <v>0</v>
      </c>
      <c r="K16" s="81">
        <f>Dashboard!$B$59*G16</f>
        <v>0</v>
      </c>
      <c r="L16" s="82">
        <f>Dashboard!$B$60*G16</f>
        <v>0</v>
      </c>
      <c r="M16" s="72">
        <f>Dashboard!$B$75*G16</f>
        <v>0</v>
      </c>
      <c r="N16" s="78">
        <f>Dashboard!$B$76*G16</f>
        <v>0</v>
      </c>
      <c r="O16" s="26"/>
    </row>
    <row r="17" spans="1:15" s="10" customFormat="1" x14ac:dyDescent="0.3">
      <c r="A17" s="28" t="s">
        <v>221</v>
      </c>
      <c r="B17" s="28" t="s">
        <v>22</v>
      </c>
      <c r="C17" s="26">
        <v>1015</v>
      </c>
      <c r="D17" s="26">
        <f ca="1">OFFSET(Node_List!$B$2,MATCH(Pipeline!A17,Node_List!$A$2:$A$999,0)-1,0)</f>
        <v>207</v>
      </c>
      <c r="E17" s="10">
        <f ca="1">OFFSET(Node_List!$B$2,MATCH(Pipeline!B17,Node_List!$A$2:$A$999,0)-1,0)</f>
        <v>10</v>
      </c>
      <c r="F17" s="265">
        <v>0</v>
      </c>
      <c r="G17" s="71">
        <v>23.3</v>
      </c>
      <c r="H17" s="11">
        <v>1500</v>
      </c>
      <c r="I17" s="80">
        <f>PI()*(H17/10^3/2)^2*Dashboard!$B$58*3600*24</f>
        <v>305362.80592892785</v>
      </c>
      <c r="J17" s="71">
        <f>Dashboard!$B$57*(G17*10^3)/(H17/10^3)*Dashboard!$B$58^2/2</f>
        <v>310.66666666666669</v>
      </c>
      <c r="K17" s="81">
        <f>Dashboard!$B$59*G17</f>
        <v>1.1650000000000001E-2</v>
      </c>
      <c r="L17" s="82">
        <f>Dashboard!$B$60*G17</f>
        <v>6.9900000000000008E-4</v>
      </c>
      <c r="M17" s="72">
        <f>Dashboard!$B$75*G17</f>
        <v>850450</v>
      </c>
      <c r="N17" s="78">
        <f>Dashboard!$B$76*G17</f>
        <v>850450</v>
      </c>
      <c r="O17" s="26"/>
    </row>
    <row r="18" spans="1:15" s="10" customFormat="1" x14ac:dyDescent="0.3">
      <c r="A18" s="26" t="s">
        <v>22</v>
      </c>
      <c r="B18" s="28" t="s">
        <v>220</v>
      </c>
      <c r="C18" s="26">
        <v>1016</v>
      </c>
      <c r="D18" s="26">
        <f ca="1">OFFSET(Node_List!$B$2,MATCH(Pipeline!A18,Node_List!$A$2:$A$999,0)-1,0)</f>
        <v>10</v>
      </c>
      <c r="E18" s="10">
        <f ca="1">OFFSET(Node_List!$B$2,MATCH(Pipeline!B18,Node_List!$A$2:$A$999,0)-1,0)</f>
        <v>209</v>
      </c>
      <c r="F18" s="265">
        <v>0</v>
      </c>
      <c r="G18" s="70">
        <v>0</v>
      </c>
      <c r="H18" s="11">
        <v>1500</v>
      </c>
      <c r="I18" s="80">
        <f>PI()*(H18/10^3/2)^2*Dashboard!$B$58*3600*24</f>
        <v>305362.80592892785</v>
      </c>
      <c r="J18" s="71">
        <f>Dashboard!$B$57*(G18*10^3)/(H18/10^3)*Dashboard!$B$58^2/2</f>
        <v>0</v>
      </c>
      <c r="K18" s="81">
        <f>Dashboard!$B$59*G18</f>
        <v>0</v>
      </c>
      <c r="L18" s="82">
        <f>Dashboard!$B$60*G18</f>
        <v>0</v>
      </c>
      <c r="M18" s="72">
        <f>Dashboard!$B$75*G18</f>
        <v>0</v>
      </c>
      <c r="N18" s="78">
        <f>Dashboard!$B$76*G18</f>
        <v>0</v>
      </c>
      <c r="O18" s="26"/>
    </row>
    <row r="19" spans="1:15" s="10" customFormat="1" x14ac:dyDescent="0.3">
      <c r="A19" s="228" t="s">
        <v>302</v>
      </c>
      <c r="B19" s="28" t="s">
        <v>185</v>
      </c>
      <c r="C19" s="26">
        <v>1017</v>
      </c>
      <c r="D19" s="26">
        <f ca="1">OFFSET(Node_List!$B$2,MATCH(Pipeline!A19,Node_List!$A$2:$A$999,0)-1,0)</f>
        <v>106</v>
      </c>
      <c r="E19" s="10">
        <f ca="1">OFFSET(Node_List!$B$2,MATCH(Pipeline!B19,Node_List!$A$2:$A$999,0)-1,0)</f>
        <v>11</v>
      </c>
      <c r="F19" s="265">
        <v>0</v>
      </c>
      <c r="G19" s="71">
        <v>54.3</v>
      </c>
      <c r="H19" s="11">
        <v>1500</v>
      </c>
      <c r="I19" s="80">
        <f>PI()*(H19/10^3/2)^2*Dashboard!$B$58*3600*24</f>
        <v>305362.80592892785</v>
      </c>
      <c r="J19" s="71">
        <f>Dashboard!$B$57*(G19*10^3)/(H19/10^3)*Dashboard!$B$58^2/2</f>
        <v>724</v>
      </c>
      <c r="K19" s="81">
        <f>Dashboard!$B$59*G19</f>
        <v>2.7150000000000001E-2</v>
      </c>
      <c r="L19" s="82">
        <f>Dashboard!$B$60*G19</f>
        <v>1.629E-3</v>
      </c>
      <c r="M19" s="72">
        <f>Dashboard!$B$75*G19</f>
        <v>1981950</v>
      </c>
      <c r="N19" s="78">
        <f>Dashboard!$B$76*G19</f>
        <v>1981950</v>
      </c>
      <c r="O19" s="26"/>
    </row>
    <row r="20" spans="1:15" s="10" customFormat="1" x14ac:dyDescent="0.3">
      <c r="A20" s="26" t="s">
        <v>185</v>
      </c>
      <c r="B20" s="28" t="s">
        <v>15</v>
      </c>
      <c r="C20" s="26">
        <v>1018</v>
      </c>
      <c r="D20" s="26">
        <f ca="1">OFFSET(Node_List!$B$2,MATCH(Pipeline!A20,Node_List!$A$2:$A$999,0)-1,0)</f>
        <v>11</v>
      </c>
      <c r="E20" s="10">
        <f ca="1">OFFSET(Node_List!$B$2,MATCH(Pipeline!B20,Node_List!$A$2:$A$999,0)-1,0)</f>
        <v>9</v>
      </c>
      <c r="F20" s="265">
        <v>0</v>
      </c>
      <c r="G20" s="71">
        <v>150</v>
      </c>
      <c r="H20" s="11">
        <v>1500</v>
      </c>
      <c r="I20" s="80">
        <f>PI()*(H20/10^3/2)^2*Dashboard!$B$58*3600*24</f>
        <v>305362.80592892785</v>
      </c>
      <c r="J20" s="71">
        <f>Dashboard!$B$57*(G20*10^3)/(H20/10^3)*Dashboard!$B$58^2/2</f>
        <v>2000</v>
      </c>
      <c r="K20" s="81">
        <f>Dashboard!$B$59*G20</f>
        <v>7.4999999999999997E-2</v>
      </c>
      <c r="L20" s="82">
        <f>Dashboard!$B$60*G20</f>
        <v>4.5000000000000005E-3</v>
      </c>
      <c r="M20" s="72">
        <f>Dashboard!$B$75*G20</f>
        <v>5475000</v>
      </c>
      <c r="N20" s="78">
        <f>Dashboard!$B$76*G20</f>
        <v>5475000</v>
      </c>
      <c r="O20" s="26"/>
    </row>
    <row r="21" spans="1:15" s="10" customFormat="1" x14ac:dyDescent="0.3">
      <c r="A21" s="26" t="s">
        <v>15</v>
      </c>
      <c r="B21" s="28" t="s">
        <v>223</v>
      </c>
      <c r="C21" s="26">
        <v>1019</v>
      </c>
      <c r="D21" s="26">
        <f ca="1">OFFSET(Node_List!$B$2,MATCH(Pipeline!A21,Node_List!$A$2:$A$999,0)-1,0)</f>
        <v>9</v>
      </c>
      <c r="E21" s="10">
        <f ca="1">OFFSET(Node_List!$B$2,MATCH(Pipeline!B21,Node_List!$A$2:$A$999,0)-1,0)</f>
        <v>205</v>
      </c>
      <c r="F21" s="265">
        <v>0</v>
      </c>
      <c r="G21" s="71">
        <v>0</v>
      </c>
      <c r="H21" s="11">
        <v>1500</v>
      </c>
      <c r="I21" s="80">
        <f>PI()*(H21/10^3/2)^2*Dashboard!$B$58*3600*24</f>
        <v>305362.80592892785</v>
      </c>
      <c r="J21" s="71">
        <f>Dashboard!$B$57*(G21*10^3)/(H21/10^3)*Dashboard!$B$58^2/2</f>
        <v>0</v>
      </c>
      <c r="K21" s="81">
        <f>Dashboard!$B$59*G21</f>
        <v>0</v>
      </c>
      <c r="L21" s="82">
        <f>Dashboard!$B$60*G21</f>
        <v>0</v>
      </c>
      <c r="M21" s="72">
        <f>Dashboard!$B$75*G21</f>
        <v>0</v>
      </c>
      <c r="N21" s="78">
        <f>Dashboard!$B$76*G21</f>
        <v>0</v>
      </c>
      <c r="O21" s="26"/>
    </row>
    <row r="22" spans="1:15" s="10" customFormat="1" x14ac:dyDescent="0.3">
      <c r="A22" s="26" t="s">
        <v>15</v>
      </c>
      <c r="B22" s="28" t="s">
        <v>53</v>
      </c>
      <c r="C22" s="26">
        <v>1020</v>
      </c>
      <c r="D22" s="26">
        <f ca="1">OFFSET(Node_List!$B$2,MATCH(Pipeline!A22,Node_List!$A$2:$A$999,0)-1,0)</f>
        <v>9</v>
      </c>
      <c r="E22" s="10">
        <f ca="1">OFFSET(Node_List!$B$2,MATCH(Pipeline!B22,Node_List!$A$2:$A$999,0)-1,0)</f>
        <v>8</v>
      </c>
      <c r="F22" s="265">
        <v>0</v>
      </c>
      <c r="G22" s="71">
        <v>168</v>
      </c>
      <c r="H22" s="11">
        <v>1500</v>
      </c>
      <c r="I22" s="80">
        <f>PI()*(H22/10^3/2)^2*Dashboard!$B$58*3600*24</f>
        <v>305362.80592892785</v>
      </c>
      <c r="J22" s="71">
        <f>Dashboard!$B$57*(G22*10^3)/(H22/10^3)*Dashboard!$B$58^2/2</f>
        <v>2240</v>
      </c>
      <c r="K22" s="81">
        <f>Dashboard!$B$59*G22</f>
        <v>8.4000000000000005E-2</v>
      </c>
      <c r="L22" s="82">
        <f>Dashboard!$B$60*G22</f>
        <v>5.0400000000000002E-3</v>
      </c>
      <c r="M22" s="72">
        <f>Dashboard!$B$75*G22</f>
        <v>6132000</v>
      </c>
      <c r="N22" s="78">
        <f>Dashboard!$B$76*G22</f>
        <v>6132000</v>
      </c>
      <c r="O22" s="26"/>
    </row>
    <row r="23" spans="1:15" s="10" customFormat="1" x14ac:dyDescent="0.3">
      <c r="A23" s="26" t="s">
        <v>304</v>
      </c>
      <c r="B23" s="28" t="s">
        <v>50</v>
      </c>
      <c r="C23" s="26">
        <v>1021</v>
      </c>
      <c r="D23" s="26">
        <f ca="1">OFFSET(Node_List!$B$2,MATCH(Pipeline!A23,Node_List!$A$2:$A$999,0)-1,0)</f>
        <v>109</v>
      </c>
      <c r="E23" s="10">
        <f ca="1">OFFSET(Node_List!$B$2,MATCH(Pipeline!B23,Node_List!$A$2:$A$999,0)-1,0)</f>
        <v>13</v>
      </c>
      <c r="F23" s="265">
        <v>0</v>
      </c>
      <c r="G23" s="71">
        <v>10.3</v>
      </c>
      <c r="H23" s="11">
        <v>450</v>
      </c>
      <c r="I23" s="80">
        <f>PI()*(H23/10^3/2)^2*Dashboard!$B$58*3600*24</f>
        <v>27482.652533603512</v>
      </c>
      <c r="J23" s="71">
        <f>Dashboard!$B$57*(G23*10^3)/(H23/10^3)*Dashboard!$B$58^2/2</f>
        <v>457.77777777777777</v>
      </c>
      <c r="K23" s="81">
        <f>Dashboard!$B$59*G23</f>
        <v>5.1500000000000001E-3</v>
      </c>
      <c r="L23" s="82">
        <f>Dashboard!$B$60*G23</f>
        <v>3.0900000000000003E-4</v>
      </c>
      <c r="M23" s="72">
        <f>Dashboard!$B$75*G23</f>
        <v>375950</v>
      </c>
      <c r="N23" s="78">
        <f>Dashboard!$B$76*G23</f>
        <v>375950</v>
      </c>
      <c r="O23" s="26"/>
    </row>
    <row r="24" spans="1:15" s="10" customFormat="1" x14ac:dyDescent="0.3">
      <c r="A24" s="26" t="s">
        <v>305</v>
      </c>
      <c r="B24" s="28" t="s">
        <v>304</v>
      </c>
      <c r="C24" s="26">
        <v>1022</v>
      </c>
      <c r="D24" s="26">
        <f ca="1">OFFSET(Node_List!$B$2,MATCH(Pipeline!A24,Node_List!$A$2:$A$999,0)-1,0)</f>
        <v>110</v>
      </c>
      <c r="E24" s="10">
        <f ca="1">OFFSET(Node_List!$B$2,MATCH(Pipeline!B24,Node_List!$A$2:$A$999,0)-1,0)</f>
        <v>109</v>
      </c>
      <c r="F24" s="265">
        <v>0</v>
      </c>
      <c r="G24" s="70">
        <v>0</v>
      </c>
      <c r="H24" s="11">
        <v>450</v>
      </c>
      <c r="I24" s="80">
        <f>PI()*(H24/10^3/2)^2*Dashboard!$B$58*3600*24</f>
        <v>27482.652533603512</v>
      </c>
      <c r="J24" s="71">
        <f>Dashboard!$B$57*(G24*10^3)/(H24/10^3)*Dashboard!$B$58^2/2</f>
        <v>0</v>
      </c>
      <c r="K24" s="81">
        <f>Dashboard!$B$59*G24</f>
        <v>0</v>
      </c>
      <c r="L24" s="82">
        <f>Dashboard!$B$60*G24</f>
        <v>0</v>
      </c>
      <c r="M24" s="72">
        <f>Dashboard!$B$75*G24</f>
        <v>0</v>
      </c>
      <c r="N24" s="78">
        <f>Dashboard!$B$76*G24</f>
        <v>0</v>
      </c>
      <c r="O24" s="26"/>
    </row>
    <row r="25" spans="1:15" x14ac:dyDescent="0.3">
      <c r="A25" s="26" t="s">
        <v>50</v>
      </c>
      <c r="B25" s="28" t="s">
        <v>224</v>
      </c>
      <c r="C25" s="26">
        <v>1023</v>
      </c>
      <c r="D25" s="26">
        <f ca="1">OFFSET(Node_List!$B$2,MATCH(Pipeline!A25,Node_List!$A$2:$A$999,0)-1,0)</f>
        <v>13</v>
      </c>
      <c r="E25" s="10">
        <f ca="1">OFFSET(Node_List!$B$2,MATCH(Pipeline!B25,Node_List!$A$2:$A$999,0)-1,0)</f>
        <v>210</v>
      </c>
      <c r="F25" s="265">
        <v>0</v>
      </c>
      <c r="G25" s="70">
        <v>0</v>
      </c>
      <c r="H25" s="11">
        <v>450</v>
      </c>
      <c r="I25" s="80">
        <f>PI()*(H25/10^3/2)^2*Dashboard!$B$58*3600*24</f>
        <v>27482.652533603512</v>
      </c>
      <c r="J25" s="71">
        <f>Dashboard!$B$57*(G25*10^3)/(H25/10^3)*Dashboard!$B$58^2/2</f>
        <v>0</v>
      </c>
      <c r="K25" s="81">
        <f>Dashboard!$B$59*G25</f>
        <v>0</v>
      </c>
      <c r="L25" s="82">
        <f>Dashboard!$B$60*G25</f>
        <v>0</v>
      </c>
      <c r="M25" s="72">
        <f>Dashboard!$B$75*G25</f>
        <v>0</v>
      </c>
      <c r="N25" s="78">
        <f>Dashboard!$B$76*G25</f>
        <v>0</v>
      </c>
    </row>
    <row r="26" spans="1:15" x14ac:dyDescent="0.3">
      <c r="A26" s="26" t="s">
        <v>224</v>
      </c>
      <c r="B26" s="28" t="s">
        <v>225</v>
      </c>
      <c r="C26" s="26">
        <v>1024</v>
      </c>
      <c r="D26" s="26">
        <f ca="1">OFFSET(Node_List!$B$2,MATCH(Pipeline!A26,Node_List!$A$2:$A$999,0)-1,0)</f>
        <v>210</v>
      </c>
      <c r="E26" s="10">
        <f ca="1">OFFSET(Node_List!$B$2,MATCH(Pipeline!B26,Node_List!$A$2:$A$999,0)-1,0)</f>
        <v>211</v>
      </c>
      <c r="F26" s="265">
        <v>0</v>
      </c>
      <c r="G26" s="70">
        <v>0</v>
      </c>
      <c r="H26" s="11">
        <v>450</v>
      </c>
      <c r="I26" s="80">
        <f>PI()*(H26/10^3/2)^2*Dashboard!$B$58*3600*24</f>
        <v>27482.652533603512</v>
      </c>
      <c r="J26" s="71">
        <f>Dashboard!$B$57*(G26*10^3)/(H26/10^3)*Dashboard!$B$58^2/2</f>
        <v>0</v>
      </c>
      <c r="K26" s="81">
        <f>Dashboard!$B$59*G26</f>
        <v>0</v>
      </c>
      <c r="L26" s="82">
        <f>Dashboard!$B$60*G26</f>
        <v>0</v>
      </c>
      <c r="M26" s="72">
        <f>Dashboard!$B$75*G26</f>
        <v>0</v>
      </c>
      <c r="N26" s="78">
        <f>Dashboard!$B$76*G26</f>
        <v>0</v>
      </c>
    </row>
    <row r="27" spans="1:15" s="10" customFormat="1" x14ac:dyDescent="0.3">
      <c r="A27" s="26" t="s">
        <v>50</v>
      </c>
      <c r="B27" s="28" t="s">
        <v>51</v>
      </c>
      <c r="C27" s="26">
        <v>1025</v>
      </c>
      <c r="D27" s="26">
        <f ca="1">OFFSET(Node_List!$B$2,MATCH(Pipeline!A27,Node_List!$A$2:$A$999,0)-1,0)</f>
        <v>13</v>
      </c>
      <c r="E27" s="10">
        <f ca="1">OFFSET(Node_List!$B$2,MATCH(Pipeline!B27,Node_List!$A$2:$A$999,0)-1,0)</f>
        <v>12</v>
      </c>
      <c r="F27" s="265">
        <v>0</v>
      </c>
      <c r="G27" s="71">
        <v>41.7</v>
      </c>
      <c r="H27" s="11">
        <v>450</v>
      </c>
      <c r="I27" s="80">
        <f>PI()*(H27/10^3/2)^2*Dashboard!$B$58*3600*24</f>
        <v>27482.652533603512</v>
      </c>
      <c r="J27" s="71">
        <f>Dashboard!$B$57*(G27*10^3)/(H27/10^3)*Dashboard!$B$58^2/2</f>
        <v>1853.3333333333333</v>
      </c>
      <c r="K27" s="81">
        <f>Dashboard!$B$59*G27</f>
        <v>2.085E-2</v>
      </c>
      <c r="L27" s="82">
        <f>Dashboard!$B$60*G27</f>
        <v>1.2510000000000002E-3</v>
      </c>
      <c r="M27" s="72">
        <f>Dashboard!$B$75*G27</f>
        <v>1522050</v>
      </c>
      <c r="N27" s="78">
        <f>Dashboard!$B$76*G27</f>
        <v>1522050</v>
      </c>
      <c r="O27" s="26"/>
    </row>
    <row r="28" spans="1:15" s="10" customFormat="1" x14ac:dyDescent="0.3">
      <c r="A28" s="26" t="s">
        <v>50</v>
      </c>
      <c r="B28" s="28" t="s">
        <v>52</v>
      </c>
      <c r="C28" s="26">
        <v>1026</v>
      </c>
      <c r="D28" s="26">
        <f ca="1">OFFSET(Node_List!$B$2,MATCH(Pipeline!A28,Node_List!$A$2:$A$999,0)-1,0)</f>
        <v>13</v>
      </c>
      <c r="E28" s="10">
        <f ca="1">OFFSET(Node_List!$B$2,MATCH(Pipeline!B28,Node_List!$A$2:$A$999,0)-1,0)</f>
        <v>14</v>
      </c>
      <c r="F28" s="265">
        <v>0</v>
      </c>
      <c r="G28" s="71">
        <v>71.900000000000006</v>
      </c>
      <c r="H28" s="11">
        <v>450</v>
      </c>
      <c r="I28" s="80">
        <f>PI()*(H28/10^3/2)^2*Dashboard!$B$58*3600*24</f>
        <v>27482.652533603512</v>
      </c>
      <c r="J28" s="71">
        <f>Dashboard!$B$57*(G28*10^3)/(H28/10^3)*Dashboard!$B$58^2/2</f>
        <v>3195.5555555555557</v>
      </c>
      <c r="K28" s="81">
        <f>Dashboard!$B$59*G28</f>
        <v>3.5950000000000003E-2</v>
      </c>
      <c r="L28" s="82">
        <f>Dashboard!$B$60*G28</f>
        <v>2.1570000000000001E-3</v>
      </c>
      <c r="M28" s="72">
        <f>Dashboard!$B$75*G28</f>
        <v>2624350</v>
      </c>
      <c r="N28" s="78">
        <f>Dashboard!$B$76*G28</f>
        <v>2624350</v>
      </c>
      <c r="O28" s="26"/>
    </row>
    <row r="29" spans="1:15" s="10" customFormat="1" x14ac:dyDescent="0.3">
      <c r="A29" s="26" t="s">
        <v>295</v>
      </c>
      <c r="B29" s="28" t="s">
        <v>10</v>
      </c>
      <c r="C29" s="26">
        <v>1027</v>
      </c>
      <c r="D29" s="26">
        <f ca="1">OFFSET(Node_List!$B$2,MATCH(Pipeline!A29,Node_List!$A$2:$A$999,0)-1,0)</f>
        <v>112</v>
      </c>
      <c r="E29" s="10">
        <f ca="1">OFFSET(Node_List!$B$2,MATCH(Pipeline!B29,Node_List!$A$2:$A$999,0)-1,0)</f>
        <v>16</v>
      </c>
      <c r="F29" s="265">
        <v>0</v>
      </c>
      <c r="G29" s="71">
        <v>7.6</v>
      </c>
      <c r="H29" s="11">
        <v>3000</v>
      </c>
      <c r="I29" s="80">
        <f>PI()*(H29/10^3/2)^2*Dashboard!$B$58*3600*24</f>
        <v>1221451.2237157114</v>
      </c>
      <c r="J29" s="71">
        <f>Dashboard!$B$57*(G29*10^3)/(H29/10^3)*Dashboard!$B$58^2/2</f>
        <v>50.666666666666664</v>
      </c>
      <c r="K29" s="81">
        <f>Dashboard!$B$59*G29</f>
        <v>3.8E-3</v>
      </c>
      <c r="L29" s="82">
        <f>Dashboard!$B$60*G29</f>
        <v>2.2799999999999999E-4</v>
      </c>
      <c r="M29" s="72">
        <f>Dashboard!$B$75*G29</f>
        <v>277400</v>
      </c>
      <c r="N29" s="78">
        <f>Dashboard!$B$76*G29</f>
        <v>277400</v>
      </c>
      <c r="O29" s="26"/>
    </row>
    <row r="30" spans="1:15" s="10" customFormat="1" x14ac:dyDescent="0.3">
      <c r="A30" s="26" t="s">
        <v>296</v>
      </c>
      <c r="B30" s="28" t="s">
        <v>295</v>
      </c>
      <c r="C30" s="26">
        <v>1028</v>
      </c>
      <c r="D30" s="26">
        <f ca="1">OFFSET(Node_List!$B$2,MATCH(Pipeline!A30,Node_List!$A$2:$A$999,0)-1,0)</f>
        <v>113</v>
      </c>
      <c r="E30" s="10">
        <f ca="1">OFFSET(Node_List!$B$2,MATCH(Pipeline!B30,Node_List!$A$2:$A$999,0)-1,0)</f>
        <v>112</v>
      </c>
      <c r="F30" s="265">
        <v>0</v>
      </c>
      <c r="G30" s="71">
        <v>0</v>
      </c>
      <c r="H30" s="11">
        <v>3000</v>
      </c>
      <c r="I30" s="80">
        <f>PI()*(H30/10^3/2)^2*Dashboard!$B$58*3600*24</f>
        <v>1221451.2237157114</v>
      </c>
      <c r="J30" s="71">
        <f>Dashboard!$B$57*(G30*10^3)/(H30/10^3)*Dashboard!$B$58^2/2</f>
        <v>0</v>
      </c>
      <c r="K30" s="81">
        <f>Dashboard!$B$59*G30</f>
        <v>0</v>
      </c>
      <c r="L30" s="82">
        <f>Dashboard!$B$60*G30</f>
        <v>0</v>
      </c>
      <c r="M30" s="72">
        <f>Dashboard!$B$75*G30</f>
        <v>0</v>
      </c>
      <c r="N30" s="78">
        <f>Dashboard!$B$76*G30</f>
        <v>0</v>
      </c>
      <c r="O30" s="26"/>
    </row>
    <row r="31" spans="1:15" x14ac:dyDescent="0.3">
      <c r="A31" s="26" t="s">
        <v>293</v>
      </c>
      <c r="B31" s="28" t="s">
        <v>295</v>
      </c>
      <c r="C31" s="26">
        <v>1029</v>
      </c>
      <c r="D31" s="26">
        <f ca="1">OFFSET(Node_List!$B$2,MATCH(Pipeline!A31,Node_List!$A$2:$A$999,0)-1,0)</f>
        <v>114</v>
      </c>
      <c r="E31" s="10">
        <f ca="1">OFFSET(Node_List!$B$2,MATCH(Pipeline!B31,Node_List!$A$2:$A$999,0)-1,0)</f>
        <v>112</v>
      </c>
      <c r="F31" s="265">
        <v>0</v>
      </c>
      <c r="G31" s="70">
        <v>0</v>
      </c>
      <c r="H31" s="11">
        <v>3000</v>
      </c>
      <c r="I31" s="80">
        <f>PI()*(H31/10^3/2)^2*Dashboard!$B$58*3600*24</f>
        <v>1221451.2237157114</v>
      </c>
      <c r="J31" s="71">
        <f>Dashboard!$B$57*(G31*10^3)/(H31/10^3)*Dashboard!$B$58^2/2</f>
        <v>0</v>
      </c>
      <c r="K31" s="81">
        <f>Dashboard!$B$59*G31</f>
        <v>0</v>
      </c>
      <c r="L31" s="82">
        <f>Dashboard!$B$60*G31</f>
        <v>0</v>
      </c>
      <c r="M31" s="72">
        <f>Dashboard!$B$75*G31</f>
        <v>0</v>
      </c>
      <c r="N31" s="78">
        <f>Dashboard!$B$76*G31</f>
        <v>0</v>
      </c>
    </row>
    <row r="32" spans="1:15" x14ac:dyDescent="0.3">
      <c r="A32" s="26" t="s">
        <v>294</v>
      </c>
      <c r="B32" s="28" t="s">
        <v>295</v>
      </c>
      <c r="C32" s="26">
        <v>1030</v>
      </c>
      <c r="D32" s="26">
        <f ca="1">OFFSET(Node_List!$B$2,MATCH(Pipeline!A32,Node_List!$A$2:$A$999,0)-1,0)</f>
        <v>115</v>
      </c>
      <c r="E32" s="10">
        <f ca="1">OFFSET(Node_List!$B$2,MATCH(Pipeline!B32,Node_List!$A$2:$A$999,0)-1,0)</f>
        <v>112</v>
      </c>
      <c r="F32" s="265">
        <v>0</v>
      </c>
      <c r="G32" s="70">
        <v>0</v>
      </c>
      <c r="H32" s="11">
        <v>3000</v>
      </c>
      <c r="I32" s="80">
        <f>PI()*(H32/10^3/2)^2*Dashboard!$B$58*3600*24</f>
        <v>1221451.2237157114</v>
      </c>
      <c r="J32" s="71">
        <f>Dashboard!$B$57*(G32*10^3)/(H32/10^3)*Dashboard!$B$58^2/2</f>
        <v>0</v>
      </c>
      <c r="K32" s="81">
        <f>Dashboard!$B$59*G32</f>
        <v>0</v>
      </c>
      <c r="L32" s="82">
        <f>Dashboard!$B$60*G32</f>
        <v>0</v>
      </c>
      <c r="M32" s="72">
        <f>Dashboard!$B$75*G32</f>
        <v>0</v>
      </c>
      <c r="N32" s="78">
        <f>Dashboard!$B$76*G32</f>
        <v>0</v>
      </c>
    </row>
    <row r="33" spans="1:15" x14ac:dyDescent="0.3">
      <c r="A33" s="26" t="s">
        <v>330</v>
      </c>
      <c r="B33" s="28" t="s">
        <v>295</v>
      </c>
      <c r="C33" s="26">
        <v>1031</v>
      </c>
      <c r="D33" s="26">
        <f ca="1">OFFSET(Node_List!$B$2,MATCH(Pipeline!A33,Node_List!$A$2:$A$999,0)-1,0)</f>
        <v>116</v>
      </c>
      <c r="E33" s="10">
        <f ca="1">OFFSET(Node_List!$B$2,MATCH(Pipeline!B33,Node_List!$A$2:$A$999,0)-1,0)</f>
        <v>112</v>
      </c>
      <c r="F33" s="265">
        <v>0</v>
      </c>
      <c r="G33" s="70">
        <v>0</v>
      </c>
      <c r="H33" s="11">
        <v>3000</v>
      </c>
      <c r="I33" s="80">
        <f>PI()*(H33/10^3/2)^2*Dashboard!$B$58*3600*24</f>
        <v>1221451.2237157114</v>
      </c>
      <c r="J33" s="71">
        <f>Dashboard!$B$57*(G33*10^3)/(H33/10^3)*Dashboard!$B$58^2/2</f>
        <v>0</v>
      </c>
      <c r="K33" s="81">
        <f>Dashboard!$B$59*G33</f>
        <v>0</v>
      </c>
      <c r="L33" s="82">
        <f>Dashboard!$B$60*G33</f>
        <v>0</v>
      </c>
      <c r="M33" s="72">
        <f>Dashboard!$B$75*G33</f>
        <v>0</v>
      </c>
      <c r="N33" s="78">
        <f>Dashboard!$B$76*G33</f>
        <v>0</v>
      </c>
    </row>
    <row r="34" spans="1:15" s="21" customFormat="1" x14ac:dyDescent="0.3">
      <c r="A34" s="26" t="s">
        <v>10</v>
      </c>
      <c r="B34" s="28" t="s">
        <v>227</v>
      </c>
      <c r="C34" s="26">
        <v>1032</v>
      </c>
      <c r="D34" s="26">
        <f ca="1">OFFSET(Node_List!$B$2,MATCH(Pipeline!A34,Node_List!$A$2:$A$999,0)-1,0)</f>
        <v>16</v>
      </c>
      <c r="E34" s="10">
        <f ca="1">OFFSET(Node_List!$B$2,MATCH(Pipeline!B34,Node_List!$A$2:$A$999,0)-1,0)</f>
        <v>212</v>
      </c>
      <c r="F34" s="265">
        <v>0</v>
      </c>
      <c r="G34" s="70">
        <v>0</v>
      </c>
      <c r="H34" s="11">
        <v>3000</v>
      </c>
      <c r="I34" s="80">
        <f>PI()*(H34/10^3/2)^2*Dashboard!$B$58*3600*24</f>
        <v>1221451.2237157114</v>
      </c>
      <c r="J34" s="71">
        <f>Dashboard!$B$57*(G34*10^3)/(H34/10^3)*Dashboard!$B$58^2/2</f>
        <v>0</v>
      </c>
      <c r="K34" s="81">
        <f>Dashboard!$B$59*G34</f>
        <v>0</v>
      </c>
      <c r="L34" s="82">
        <f>Dashboard!$B$60*G34</f>
        <v>0</v>
      </c>
      <c r="M34" s="72">
        <f>Dashboard!$B$75*G34</f>
        <v>0</v>
      </c>
      <c r="N34" s="78">
        <f>Dashboard!$B$76*G34</f>
        <v>0</v>
      </c>
      <c r="O34" s="75"/>
    </row>
    <row r="35" spans="1:15" s="21" customFormat="1" x14ac:dyDescent="0.3">
      <c r="A35" s="28" t="s">
        <v>227</v>
      </c>
      <c r="B35" s="28" t="s">
        <v>226</v>
      </c>
      <c r="C35" s="26">
        <v>1033</v>
      </c>
      <c r="D35" s="26">
        <f ca="1">OFFSET(Node_List!$B$2,MATCH(Pipeline!A35,Node_List!$A$2:$A$999,0)-1,0)</f>
        <v>212</v>
      </c>
      <c r="E35" s="10">
        <f ca="1">OFFSET(Node_List!$B$2,MATCH(Pipeline!B35,Node_List!$A$2:$A$999,0)-1,0)</f>
        <v>213</v>
      </c>
      <c r="F35" s="265">
        <v>0</v>
      </c>
      <c r="G35" s="70">
        <v>0</v>
      </c>
      <c r="H35" s="11">
        <v>3000</v>
      </c>
      <c r="I35" s="80">
        <f>PI()*(H35/10^3/2)^2*Dashboard!$B$58*3600*24</f>
        <v>1221451.2237157114</v>
      </c>
      <c r="J35" s="71">
        <f>Dashboard!$B$57*(G35*10^3)/(H35/10^3)*Dashboard!$B$58^2/2</f>
        <v>0</v>
      </c>
      <c r="K35" s="81">
        <f>Dashboard!$B$59*G35</f>
        <v>0</v>
      </c>
      <c r="L35" s="82">
        <f>Dashboard!$B$60*G35</f>
        <v>0</v>
      </c>
      <c r="M35" s="72">
        <f>Dashboard!$B$75*G35</f>
        <v>0</v>
      </c>
      <c r="N35" s="78">
        <f>Dashboard!$B$76*G35</f>
        <v>0</v>
      </c>
      <c r="O35" s="75"/>
    </row>
    <row r="36" spans="1:15" s="21" customFormat="1" x14ac:dyDescent="0.3">
      <c r="A36" s="26" t="s">
        <v>10</v>
      </c>
      <c r="B36" s="28" t="s">
        <v>188</v>
      </c>
      <c r="C36" s="26">
        <v>1034</v>
      </c>
      <c r="D36" s="26">
        <f ca="1">OFFSET(Node_List!$B$2,MATCH(Pipeline!A36,Node_List!$A$2:$A$999,0)-1,0)</f>
        <v>16</v>
      </c>
      <c r="E36" s="10">
        <f ca="1">OFFSET(Node_List!$B$2,MATCH(Pipeline!B36,Node_List!$A$2:$A$999,0)-1,0)</f>
        <v>19</v>
      </c>
      <c r="F36" s="265">
        <v>0</v>
      </c>
      <c r="G36" s="26">
        <v>37.299999999999997</v>
      </c>
      <c r="H36" s="11">
        <v>3000</v>
      </c>
      <c r="I36" s="80">
        <f>PI()*(H36/10^3/2)^2*Dashboard!$B$58*3600*24</f>
        <v>1221451.2237157114</v>
      </c>
      <c r="J36" s="71">
        <f>Dashboard!$B$57*(G36*10^3)/(H36/10^3)*Dashboard!$B$58^2/2</f>
        <v>248.66666666666666</v>
      </c>
      <c r="K36" s="81">
        <f>Dashboard!$B$59*G36</f>
        <v>1.865E-2</v>
      </c>
      <c r="L36" s="82">
        <f>Dashboard!$B$60*G36</f>
        <v>1.119E-3</v>
      </c>
      <c r="M36" s="72">
        <f>Dashboard!$B$75*G36</f>
        <v>1361450</v>
      </c>
      <c r="N36" s="78">
        <f>Dashboard!$B$76*G36</f>
        <v>1361450</v>
      </c>
      <c r="O36" s="75"/>
    </row>
    <row r="37" spans="1:15" s="220" customFormat="1" x14ac:dyDescent="0.3">
      <c r="A37" s="26" t="s">
        <v>188</v>
      </c>
      <c r="B37" s="28" t="s">
        <v>14</v>
      </c>
      <c r="C37" s="26">
        <v>1035</v>
      </c>
      <c r="D37" s="26">
        <f ca="1">OFFSET(Node_List!$B$2,MATCH(Pipeline!A37,Node_List!$A$2:$A$999,0)-1,0)</f>
        <v>19</v>
      </c>
      <c r="E37" s="10">
        <f ca="1">OFFSET(Node_List!$B$2,MATCH(Pipeline!B37,Node_List!$A$2:$A$999,0)-1,0)</f>
        <v>18</v>
      </c>
      <c r="F37" s="265">
        <v>0</v>
      </c>
      <c r="G37" s="26">
        <v>44</v>
      </c>
      <c r="H37" s="11">
        <v>3000</v>
      </c>
      <c r="I37" s="80">
        <f>PI()*(H37/10^3/2)^2*Dashboard!$B$58*3600*24</f>
        <v>1221451.2237157114</v>
      </c>
      <c r="J37" s="71">
        <f>Dashboard!$B$57*(G37*10^3)/(H37/10^3)*Dashboard!$B$58^2/2</f>
        <v>293.33333333333331</v>
      </c>
      <c r="K37" s="81">
        <f>Dashboard!$B$59*G37</f>
        <v>2.1999999999999999E-2</v>
      </c>
      <c r="L37" s="82">
        <f>Dashboard!$B$60*G37</f>
        <v>1.32E-3</v>
      </c>
      <c r="M37" s="72">
        <f>Dashboard!$B$75*G37</f>
        <v>1606000</v>
      </c>
      <c r="N37" s="78">
        <f>Dashboard!$B$76*G37</f>
        <v>1606000</v>
      </c>
      <c r="O37" s="219"/>
    </row>
    <row r="38" spans="1:15" s="220" customFormat="1" x14ac:dyDescent="0.3">
      <c r="A38" s="26" t="s">
        <v>14</v>
      </c>
      <c r="B38" s="28" t="s">
        <v>228</v>
      </c>
      <c r="C38" s="26">
        <v>1036</v>
      </c>
      <c r="D38" s="26">
        <f ca="1">OFFSET(Node_List!$B$2,MATCH(Pipeline!A38,Node_List!$A$2:$A$999,0)-1,0)</f>
        <v>18</v>
      </c>
      <c r="E38" s="10">
        <f ca="1">OFFSET(Node_List!$B$2,MATCH(Pipeline!B38,Node_List!$A$2:$A$999,0)-1,0)</f>
        <v>214</v>
      </c>
      <c r="F38" s="265">
        <v>0</v>
      </c>
      <c r="G38" s="70">
        <v>0</v>
      </c>
      <c r="H38" s="11">
        <v>3000</v>
      </c>
      <c r="I38" s="80">
        <f>PI()*(H38/10^3/2)^2*Dashboard!$B$58*3600*24</f>
        <v>1221451.2237157114</v>
      </c>
      <c r="J38" s="71">
        <f>Dashboard!$B$57*(G38*10^3)/(H38/10^3)*Dashboard!$B$58^2/2</f>
        <v>0</v>
      </c>
      <c r="K38" s="81">
        <f>Dashboard!$B$59*G38</f>
        <v>0</v>
      </c>
      <c r="L38" s="82">
        <f>Dashboard!$B$60*G38</f>
        <v>0</v>
      </c>
      <c r="M38" s="72">
        <f>Dashboard!$B$75*G38</f>
        <v>0</v>
      </c>
      <c r="N38" s="78">
        <f>Dashboard!$B$76*G38</f>
        <v>0</v>
      </c>
      <c r="O38" s="219"/>
    </row>
    <row r="39" spans="1:15" s="220" customFormat="1" x14ac:dyDescent="0.3">
      <c r="A39" s="27" t="s">
        <v>14</v>
      </c>
      <c r="B39" s="28" t="s">
        <v>186</v>
      </c>
      <c r="C39" s="26">
        <v>1037</v>
      </c>
      <c r="D39" s="26">
        <f ca="1">OFFSET(Node_List!$B$2,MATCH(Pipeline!A39,Node_List!$A$2:$A$999,0)-1,0)</f>
        <v>18</v>
      </c>
      <c r="E39" s="10">
        <f ca="1">OFFSET(Node_List!$B$2,MATCH(Pipeline!B39,Node_List!$A$2:$A$999,0)-1,0)</f>
        <v>15</v>
      </c>
      <c r="F39" s="265">
        <v>0</v>
      </c>
      <c r="G39" s="26">
        <v>30.2</v>
      </c>
      <c r="H39" s="20">
        <v>1500</v>
      </c>
      <c r="I39" s="80">
        <f>PI()*(H39/10^3/2)^2*Dashboard!$B$58*3600*24</f>
        <v>305362.80592892785</v>
      </c>
      <c r="J39" s="71">
        <f>Dashboard!$B$57*(G39*10^3)/(H39/10^3)*Dashboard!$B$58^2/2</f>
        <v>402.66666666666669</v>
      </c>
      <c r="K39" s="81">
        <f>Dashboard!$B$59*G39</f>
        <v>1.5100000000000001E-2</v>
      </c>
      <c r="L39" s="82">
        <f>Dashboard!$B$60*G39</f>
        <v>9.0600000000000001E-4</v>
      </c>
      <c r="M39" s="72">
        <f>Dashboard!$B$75*G39</f>
        <v>1102300</v>
      </c>
      <c r="N39" s="78">
        <f>Dashboard!$B$76*G39</f>
        <v>1102300</v>
      </c>
      <c r="O39" s="219"/>
    </row>
    <row r="40" spans="1:15" s="220" customFormat="1" x14ac:dyDescent="0.3">
      <c r="A40" s="26" t="s">
        <v>14</v>
      </c>
      <c r="B40" s="28" t="s">
        <v>20</v>
      </c>
      <c r="C40" s="26">
        <v>1038</v>
      </c>
      <c r="D40" s="26">
        <f ca="1">OFFSET(Node_List!$B$2,MATCH(Pipeline!A40,Node_List!$A$2:$A$999,0)-1,0)</f>
        <v>18</v>
      </c>
      <c r="E40" s="10">
        <f ca="1">OFFSET(Node_List!$B$2,MATCH(Pipeline!B40,Node_List!$A$2:$A$999,0)-1,0)</f>
        <v>21</v>
      </c>
      <c r="F40" s="265">
        <v>0</v>
      </c>
      <c r="G40" s="26">
        <v>90.3</v>
      </c>
      <c r="H40" s="11">
        <v>3000</v>
      </c>
      <c r="I40" s="80">
        <f>PI()*(H40/10^3/2)^2*Dashboard!$B$58*3600*24</f>
        <v>1221451.2237157114</v>
      </c>
      <c r="J40" s="71">
        <f>Dashboard!$B$57*(G40*10^3)/(H40/10^3)*Dashboard!$B$58^2/2</f>
        <v>602</v>
      </c>
      <c r="K40" s="81">
        <f>Dashboard!$B$59*G40</f>
        <v>4.5150000000000003E-2</v>
      </c>
      <c r="L40" s="82">
        <f>Dashboard!$B$60*G40</f>
        <v>2.709E-3</v>
      </c>
      <c r="M40" s="72">
        <f>Dashboard!$B$75*G40</f>
        <v>3295950</v>
      </c>
      <c r="N40" s="78">
        <f>Dashboard!$B$76*G40</f>
        <v>3295950</v>
      </c>
      <c r="O40" s="219"/>
    </row>
    <row r="41" spans="1:15" s="220" customFormat="1" x14ac:dyDescent="0.3">
      <c r="A41" s="26" t="s">
        <v>20</v>
      </c>
      <c r="B41" s="28" t="s">
        <v>229</v>
      </c>
      <c r="C41" s="26">
        <v>1039</v>
      </c>
      <c r="D41" s="26">
        <f ca="1">OFFSET(Node_List!$B$2,MATCH(Pipeline!A41,Node_List!$A$2:$A$999,0)-1,0)</f>
        <v>21</v>
      </c>
      <c r="E41" s="10">
        <f ca="1">OFFSET(Node_List!$B$2,MATCH(Pipeline!B41,Node_List!$A$2:$A$999,0)-1,0)</f>
        <v>215</v>
      </c>
      <c r="F41" s="265">
        <v>0</v>
      </c>
      <c r="G41" s="26">
        <v>2.6</v>
      </c>
      <c r="H41" s="11">
        <v>3000</v>
      </c>
      <c r="I41" s="80">
        <f>PI()*(H41/10^3/2)^2*Dashboard!$B$58*3600*24</f>
        <v>1221451.2237157114</v>
      </c>
      <c r="J41" s="71">
        <f>Dashboard!$B$57*(G41*10^3)/(H41/10^3)*Dashboard!$B$58^2/2</f>
        <v>17.333333333333332</v>
      </c>
      <c r="K41" s="81">
        <f>Dashboard!$B$59*G41</f>
        <v>1.3000000000000002E-3</v>
      </c>
      <c r="L41" s="82">
        <f>Dashboard!$B$60*G41</f>
        <v>7.7999999999999999E-5</v>
      </c>
      <c r="M41" s="72">
        <f>Dashboard!$B$75*G41</f>
        <v>94900</v>
      </c>
      <c r="N41" s="78">
        <f>Dashboard!$B$76*G41</f>
        <v>94900</v>
      </c>
      <c r="O41" s="219"/>
    </row>
    <row r="42" spans="1:15" s="220" customFormat="1" x14ac:dyDescent="0.3">
      <c r="A42" s="26" t="s">
        <v>20</v>
      </c>
      <c r="B42" s="28" t="s">
        <v>187</v>
      </c>
      <c r="C42" s="26">
        <v>1040</v>
      </c>
      <c r="D42" s="26">
        <f ca="1">OFFSET(Node_List!$B$2,MATCH(Pipeline!A42,Node_List!$A$2:$A$999,0)-1,0)</f>
        <v>21</v>
      </c>
      <c r="E42" s="10">
        <f ca="1">OFFSET(Node_List!$B$2,MATCH(Pipeline!B42,Node_List!$A$2:$A$999,0)-1,0)</f>
        <v>20</v>
      </c>
      <c r="F42" s="265">
        <v>0</v>
      </c>
      <c r="G42" s="26">
        <v>1.6</v>
      </c>
      <c r="H42" s="11">
        <v>3000</v>
      </c>
      <c r="I42" s="80">
        <f>PI()*(H42/10^3/2)^2*Dashboard!$B$58*3600*24</f>
        <v>1221451.2237157114</v>
      </c>
      <c r="J42" s="71">
        <f>Dashboard!$B$57*(G42*10^3)/(H42/10^3)*Dashboard!$B$58^2/2</f>
        <v>10.666666666666666</v>
      </c>
      <c r="K42" s="81">
        <f>Dashboard!$B$59*G42</f>
        <v>8.0000000000000004E-4</v>
      </c>
      <c r="L42" s="82">
        <f>Dashboard!$B$60*G42</f>
        <v>4.8000000000000001E-5</v>
      </c>
      <c r="M42" s="72">
        <f>Dashboard!$B$75*G42</f>
        <v>58400</v>
      </c>
      <c r="N42" s="78">
        <f>Dashboard!$B$76*G42</f>
        <v>58400</v>
      </c>
      <c r="O42" s="219"/>
    </row>
    <row r="43" spans="1:15" s="220" customFormat="1" x14ac:dyDescent="0.3">
      <c r="A43" s="26" t="s">
        <v>20</v>
      </c>
      <c r="B43" s="28" t="s">
        <v>128</v>
      </c>
      <c r="C43" s="26">
        <v>1041</v>
      </c>
      <c r="D43" s="26">
        <f ca="1">OFFSET(Node_List!$B$2,MATCH(Pipeline!A43,Node_List!$A$2:$A$999,0)-1,0)</f>
        <v>21</v>
      </c>
      <c r="E43" s="10">
        <f ca="1">OFFSET(Node_List!$B$2,MATCH(Pipeline!B43,Node_List!$A$2:$A$999,0)-1,0)</f>
        <v>17</v>
      </c>
      <c r="F43" s="265">
        <v>0</v>
      </c>
      <c r="G43" s="26">
        <v>22</v>
      </c>
      <c r="H43" s="11">
        <v>3000</v>
      </c>
      <c r="I43" s="80">
        <f>PI()*(H43/10^3/2)^2*Dashboard!$B$58*3600*24</f>
        <v>1221451.2237157114</v>
      </c>
      <c r="J43" s="71">
        <f>Dashboard!$B$57*(G43*10^3)/(H43/10^3)*Dashboard!$B$58^2/2</f>
        <v>146.66666666666666</v>
      </c>
      <c r="K43" s="81">
        <f>Dashboard!$B$59*G43</f>
        <v>1.0999999999999999E-2</v>
      </c>
      <c r="L43" s="82">
        <f>Dashboard!$B$60*G43</f>
        <v>6.6E-4</v>
      </c>
      <c r="M43" s="72">
        <f>Dashboard!$B$75*G43</f>
        <v>803000</v>
      </c>
      <c r="N43" s="78">
        <f>Dashboard!$B$76*G43</f>
        <v>803000</v>
      </c>
      <c r="O43" s="219"/>
    </row>
    <row r="44" spans="1:15" s="220" customFormat="1" x14ac:dyDescent="0.3">
      <c r="A44" s="26" t="s">
        <v>284</v>
      </c>
      <c r="B44" s="28" t="s">
        <v>10</v>
      </c>
      <c r="C44" s="26">
        <v>1042</v>
      </c>
      <c r="D44" s="26">
        <f ca="1">OFFSET(Node_List!$B$2,MATCH(Pipeline!A44,Node_List!$A$2:$A$999,0)-1,0)</f>
        <v>118</v>
      </c>
      <c r="E44" s="10">
        <f ca="1">OFFSET(Node_List!$B$2,MATCH(Pipeline!B44,Node_List!$A$2:$A$999,0)-1,0)</f>
        <v>16</v>
      </c>
      <c r="F44" s="265">
        <v>0</v>
      </c>
      <c r="G44" s="26">
        <v>109</v>
      </c>
      <c r="H44" s="11">
        <v>3000</v>
      </c>
      <c r="I44" s="80">
        <f>PI()*(H44/10^3/2)^2*Dashboard!$B$58*3600*24</f>
        <v>1221451.2237157114</v>
      </c>
      <c r="J44" s="71">
        <f>Dashboard!$B$57*(G44*10^3)/(H44/10^3)*Dashboard!$B$58^2/2</f>
        <v>726.66666666666663</v>
      </c>
      <c r="K44" s="81">
        <f>Dashboard!$B$59*G44</f>
        <v>5.45E-2</v>
      </c>
      <c r="L44" s="82">
        <f>Dashboard!$B$60*G44</f>
        <v>3.2699999999999999E-3</v>
      </c>
      <c r="M44" s="72">
        <f>Dashboard!$B$75*G44</f>
        <v>3978500</v>
      </c>
      <c r="N44" s="78">
        <f>Dashboard!$B$76*G44</f>
        <v>3978500</v>
      </c>
      <c r="O44" s="219"/>
    </row>
    <row r="45" spans="1:15" s="220" customFormat="1" x14ac:dyDescent="0.3">
      <c r="A45" s="26" t="s">
        <v>284</v>
      </c>
      <c r="B45" s="28" t="s">
        <v>14</v>
      </c>
      <c r="C45" s="26">
        <v>1043</v>
      </c>
      <c r="D45" s="26">
        <f ca="1">OFFSET(Node_List!$B$2,MATCH(Pipeline!A45,Node_List!$A$2:$A$999,0)-1,0)</f>
        <v>118</v>
      </c>
      <c r="E45" s="10">
        <f ca="1">OFFSET(Node_List!$B$2,MATCH(Pipeline!B45,Node_List!$A$2:$A$999,0)-1,0)</f>
        <v>18</v>
      </c>
      <c r="F45" s="265">
        <v>0</v>
      </c>
      <c r="G45" s="26">
        <v>99.5</v>
      </c>
      <c r="H45" s="11">
        <v>3000</v>
      </c>
      <c r="I45" s="80">
        <f>PI()*(H45/10^3/2)^2*Dashboard!$B$58*3600*24</f>
        <v>1221451.2237157114</v>
      </c>
      <c r="J45" s="71">
        <f>Dashboard!$B$57*(G45*10^3)/(H45/10^3)*Dashboard!$B$58^2/2</f>
        <v>663.33333333333337</v>
      </c>
      <c r="K45" s="81">
        <f>Dashboard!$B$59*G45</f>
        <v>4.9750000000000003E-2</v>
      </c>
      <c r="L45" s="82">
        <f>Dashboard!$B$60*G45</f>
        <v>2.9850000000000002E-3</v>
      </c>
      <c r="M45" s="72">
        <f>Dashboard!$B$75*G45</f>
        <v>3631750</v>
      </c>
      <c r="N45" s="78">
        <f>Dashboard!$B$76*G45</f>
        <v>3631750</v>
      </c>
      <c r="O45" s="219"/>
    </row>
    <row r="46" spans="1:15" x14ac:dyDescent="0.3">
      <c r="A46" s="228" t="s">
        <v>287</v>
      </c>
      <c r="B46" s="228" t="s">
        <v>284</v>
      </c>
      <c r="C46" s="26">
        <v>1044</v>
      </c>
      <c r="D46" s="26">
        <f ca="1">OFFSET(Node_List!$B$2,MATCH(Pipeline!A46,Node_List!$A$2:$A$999,0)-1,0)</f>
        <v>119</v>
      </c>
      <c r="E46" s="10">
        <f ca="1">OFFSET(Node_List!$B$2,MATCH(Pipeline!B46,Node_List!$A$2:$A$999,0)-1,0)</f>
        <v>118</v>
      </c>
      <c r="F46" s="265">
        <v>0</v>
      </c>
      <c r="G46" s="26">
        <v>0</v>
      </c>
      <c r="H46" s="11">
        <v>3000</v>
      </c>
      <c r="I46" s="80">
        <f>PI()*(H46/10^3/2)^2*Dashboard!$B$58*3600*24</f>
        <v>1221451.2237157114</v>
      </c>
      <c r="J46" s="71">
        <f>Dashboard!$B$57*(G46*10^3)/(H46/10^3)*Dashboard!$B$58^2/2</f>
        <v>0</v>
      </c>
      <c r="K46" s="81">
        <f>Dashboard!$B$59*G46</f>
        <v>0</v>
      </c>
      <c r="L46" s="82">
        <f>Dashboard!$B$60*G46</f>
        <v>0</v>
      </c>
      <c r="M46" s="72">
        <f>Dashboard!$B$75*G46</f>
        <v>0</v>
      </c>
      <c r="N46" s="78">
        <f>Dashboard!$B$76*G46</f>
        <v>0</v>
      </c>
    </row>
    <row r="47" spans="1:15" s="10" customFormat="1" x14ac:dyDescent="0.3">
      <c r="A47" s="26" t="s">
        <v>286</v>
      </c>
      <c r="B47" s="228" t="s">
        <v>284</v>
      </c>
      <c r="C47" s="26">
        <v>1045</v>
      </c>
      <c r="D47" s="26">
        <f ca="1">OFFSET(Node_List!$B$2,MATCH(Pipeline!A47,Node_List!$A$2:$A$999,0)-1,0)</f>
        <v>120</v>
      </c>
      <c r="E47" s="10">
        <f ca="1">OFFSET(Node_List!$B$2,MATCH(Pipeline!B47,Node_List!$A$2:$A$999,0)-1,0)</f>
        <v>118</v>
      </c>
      <c r="F47" s="265">
        <v>0</v>
      </c>
      <c r="G47" s="26">
        <v>0</v>
      </c>
      <c r="H47" s="11">
        <v>3000</v>
      </c>
      <c r="I47" s="80">
        <f>PI()*(H47/10^3/2)^2*Dashboard!$B$58*3600*24</f>
        <v>1221451.2237157114</v>
      </c>
      <c r="J47" s="71">
        <f>Dashboard!$B$57*(G47*10^3)/(H47/10^3)*Dashboard!$B$58^2/2</f>
        <v>0</v>
      </c>
      <c r="K47" s="81">
        <f>Dashboard!$B$59*G47</f>
        <v>0</v>
      </c>
      <c r="L47" s="82">
        <f>Dashboard!$B$60*G47</f>
        <v>0</v>
      </c>
      <c r="M47" s="72">
        <f>Dashboard!$B$75*G47</f>
        <v>0</v>
      </c>
      <c r="N47" s="78">
        <f>Dashboard!$B$76*G47</f>
        <v>0</v>
      </c>
      <c r="O47" s="26"/>
    </row>
    <row r="48" spans="1:15" s="10" customFormat="1" x14ac:dyDescent="0.3">
      <c r="A48" s="26" t="s">
        <v>285</v>
      </c>
      <c r="B48" s="228" t="s">
        <v>284</v>
      </c>
      <c r="C48" s="26">
        <v>1046</v>
      </c>
      <c r="D48" s="26">
        <f ca="1">OFFSET(Node_List!$B$2,MATCH(Pipeline!A48,Node_List!$A$2:$A$999,0)-1,0)</f>
        <v>121</v>
      </c>
      <c r="E48" s="10">
        <f ca="1">OFFSET(Node_List!$B$2,MATCH(Pipeline!B48,Node_List!$A$2:$A$999,0)-1,0)</f>
        <v>118</v>
      </c>
      <c r="F48" s="265">
        <v>0</v>
      </c>
      <c r="G48" s="26">
        <v>5.8</v>
      </c>
      <c r="H48" s="11">
        <v>3000</v>
      </c>
      <c r="I48" s="80">
        <f>PI()*(H48/10^3/2)^2*Dashboard!$B$58*3600*24</f>
        <v>1221451.2237157114</v>
      </c>
      <c r="J48" s="71">
        <f>Dashboard!$B$57*(G48*10^3)/(H48/10^3)*Dashboard!$B$58^2/2</f>
        <v>38.666666666666664</v>
      </c>
      <c r="K48" s="81">
        <f>Dashboard!$B$59*G48</f>
        <v>2.8999999999999998E-3</v>
      </c>
      <c r="L48" s="82">
        <f>Dashboard!$B$60*G48</f>
        <v>1.74E-4</v>
      </c>
      <c r="M48" s="72">
        <f>Dashboard!$B$75*G48</f>
        <v>211700</v>
      </c>
      <c r="N48" s="78">
        <f>Dashboard!$B$76*G48</f>
        <v>211700</v>
      </c>
      <c r="O48" s="26"/>
    </row>
    <row r="49" spans="1:15" s="10" customFormat="1" x14ac:dyDescent="0.3">
      <c r="A49" s="26" t="s">
        <v>285</v>
      </c>
      <c r="B49" s="28" t="s">
        <v>230</v>
      </c>
      <c r="C49" s="26">
        <v>1047</v>
      </c>
      <c r="D49" s="26">
        <f ca="1">OFFSET(Node_List!$B$2,MATCH(Pipeline!A49,Node_List!$A$2:$A$999,0)-1,0)</f>
        <v>121</v>
      </c>
      <c r="E49" s="10">
        <f ca="1">OFFSET(Node_List!$B$2,MATCH(Pipeline!B49,Node_List!$A$2:$A$999,0)-1,0)</f>
        <v>216</v>
      </c>
      <c r="F49" s="265">
        <v>0</v>
      </c>
      <c r="G49" s="70">
        <v>0</v>
      </c>
      <c r="H49" s="11">
        <v>3000</v>
      </c>
      <c r="I49" s="80">
        <f>PI()*(H49/10^3/2)^2*Dashboard!$B$58*3600*24</f>
        <v>1221451.2237157114</v>
      </c>
      <c r="J49" s="71">
        <f>Dashboard!$B$57*(G49*10^3)/(H49/10^3)*Dashboard!$B$58^2/2</f>
        <v>0</v>
      </c>
      <c r="K49" s="81">
        <f>Dashboard!$B$59*G49</f>
        <v>0</v>
      </c>
      <c r="L49" s="82">
        <f>Dashboard!$B$60*G49</f>
        <v>0</v>
      </c>
      <c r="M49" s="72">
        <f>Dashboard!$B$75*G49</f>
        <v>0</v>
      </c>
      <c r="N49" s="78">
        <f>Dashboard!$B$76*G49</f>
        <v>0</v>
      </c>
      <c r="O49" s="26"/>
    </row>
    <row r="50" spans="1:15" s="10" customFormat="1" x14ac:dyDescent="0.3">
      <c r="A50" s="228" t="s">
        <v>329</v>
      </c>
      <c r="B50" s="228" t="s">
        <v>285</v>
      </c>
      <c r="C50" s="26">
        <v>1048</v>
      </c>
      <c r="D50" s="26">
        <f ca="1">OFFSET(Node_List!$B$2,MATCH(Pipeline!A50,Node_List!$A$2:$A$999,0)-1,0)</f>
        <v>122</v>
      </c>
      <c r="E50" s="10">
        <f ca="1">OFFSET(Node_List!$B$2,MATCH(Pipeline!B50,Node_List!$A$2:$A$999,0)-1,0)</f>
        <v>121</v>
      </c>
      <c r="F50" s="265">
        <v>0</v>
      </c>
      <c r="G50" s="70">
        <v>0</v>
      </c>
      <c r="H50" s="11">
        <v>3000</v>
      </c>
      <c r="I50" s="80">
        <f>PI()*(H50/10^3/2)^2*Dashboard!$B$58*3600*24</f>
        <v>1221451.2237157114</v>
      </c>
      <c r="J50" s="71">
        <f>Dashboard!$B$57*(G50*10^3)/(H50/10^3)*Dashboard!$B$58^2/2</f>
        <v>0</v>
      </c>
      <c r="K50" s="81">
        <f>Dashboard!$B$59*G50</f>
        <v>0</v>
      </c>
      <c r="L50" s="82">
        <f>Dashboard!$B$60*G50</f>
        <v>0</v>
      </c>
      <c r="M50" s="72">
        <f>Dashboard!$B$75*G50</f>
        <v>0</v>
      </c>
      <c r="N50" s="78">
        <f>Dashboard!$B$76*G50</f>
        <v>0</v>
      </c>
      <c r="O50" s="26"/>
    </row>
    <row r="51" spans="1:15" s="10" customFormat="1" x14ac:dyDescent="0.3">
      <c r="A51" s="26" t="s">
        <v>325</v>
      </c>
      <c r="B51" s="28" t="s">
        <v>231</v>
      </c>
      <c r="C51" s="26">
        <v>1049</v>
      </c>
      <c r="D51" s="26">
        <f ca="1">OFFSET(Node_List!$B$2,MATCH(Pipeline!A51,Node_List!$A$2:$A$999,0)-1,0)</f>
        <v>124</v>
      </c>
      <c r="E51" s="10">
        <f ca="1">OFFSET(Node_List!$B$2,MATCH(Pipeline!B51,Node_List!$A$2:$A$999,0)-1,0)</f>
        <v>217</v>
      </c>
      <c r="F51" s="265">
        <v>0</v>
      </c>
      <c r="G51" s="26">
        <v>2.5</v>
      </c>
      <c r="H51" s="11">
        <v>300</v>
      </c>
      <c r="I51" s="80">
        <f>PI()*(H51/10^3/2)^2*Dashboard!$B$58*3600*24</f>
        <v>12214.512237157116</v>
      </c>
      <c r="J51" s="71">
        <f>Dashboard!$B$57*(G51*10^3)/(H51/10^3)*Dashboard!$B$58^2/2</f>
        <v>166.66666666666669</v>
      </c>
      <c r="K51" s="81">
        <f>Dashboard!$B$59*G51</f>
        <v>1.25E-3</v>
      </c>
      <c r="L51" s="82">
        <f>Dashboard!$B$60*G51</f>
        <v>7.5000000000000007E-5</v>
      </c>
      <c r="M51" s="72">
        <f>Dashboard!$B$75*G51</f>
        <v>91250</v>
      </c>
      <c r="N51" s="78">
        <f>Dashboard!$B$76*G51</f>
        <v>91250</v>
      </c>
      <c r="O51" s="26"/>
    </row>
    <row r="52" spans="1:15" s="10" customFormat="1" x14ac:dyDescent="0.3">
      <c r="A52" s="26" t="s">
        <v>231</v>
      </c>
      <c r="B52" s="28" t="s">
        <v>119</v>
      </c>
      <c r="C52" s="26">
        <v>1050</v>
      </c>
      <c r="D52" s="26">
        <f ca="1">OFFSET(Node_List!$B$2,MATCH(Pipeline!A52,Node_List!$A$2:$A$999,0)-1,0)</f>
        <v>217</v>
      </c>
      <c r="E52" s="10">
        <f ca="1">OFFSET(Node_List!$B$2,MATCH(Pipeline!B52,Node_List!$A$2:$A$999,0)-1,0)</f>
        <v>24</v>
      </c>
      <c r="F52" s="265">
        <v>0</v>
      </c>
      <c r="G52" s="26">
        <v>10.8</v>
      </c>
      <c r="H52" s="11">
        <v>300</v>
      </c>
      <c r="I52" s="80">
        <f>PI()*(H52/10^3/2)^2*Dashboard!$B$58*3600*24</f>
        <v>12214.512237157116</v>
      </c>
      <c r="J52" s="71">
        <f>Dashboard!$B$57*(G52*10^3)/(H52/10^3)*Dashboard!$B$58^2/2</f>
        <v>720</v>
      </c>
      <c r="K52" s="81">
        <f>Dashboard!$B$59*G52</f>
        <v>5.4000000000000003E-3</v>
      </c>
      <c r="L52" s="82">
        <f>Dashboard!$B$60*G52</f>
        <v>3.2400000000000001E-4</v>
      </c>
      <c r="M52" s="72">
        <f>Dashboard!$B$75*G52</f>
        <v>394200</v>
      </c>
      <c r="N52" s="78">
        <f>Dashboard!$B$76*G52</f>
        <v>394200</v>
      </c>
      <c r="O52" s="26"/>
    </row>
    <row r="53" spans="1:15" s="10" customFormat="1" x14ac:dyDescent="0.3">
      <c r="A53" s="26" t="s">
        <v>325</v>
      </c>
      <c r="B53" s="28" t="s">
        <v>120</v>
      </c>
      <c r="C53" s="26">
        <v>1051</v>
      </c>
      <c r="D53" s="26">
        <f ca="1">OFFSET(Node_List!$B$2,MATCH(Pipeline!A53,Node_List!$A$2:$A$999,0)-1,0)</f>
        <v>124</v>
      </c>
      <c r="E53" s="10">
        <f ca="1">OFFSET(Node_List!$B$2,MATCH(Pipeline!B53,Node_List!$A$2:$A$999,0)-1,0)</f>
        <v>25</v>
      </c>
      <c r="F53" s="265">
        <v>0</v>
      </c>
      <c r="G53" s="26">
        <v>20.3</v>
      </c>
      <c r="H53" s="11">
        <v>300</v>
      </c>
      <c r="I53" s="80">
        <f>PI()*(H53/10^3/2)^2*Dashboard!$B$58*3600*24</f>
        <v>12214.512237157116</v>
      </c>
      <c r="J53" s="71">
        <f>Dashboard!$B$57*(G53*10^3)/(H53/10^3)*Dashboard!$B$58^2/2</f>
        <v>1353.3333333333335</v>
      </c>
      <c r="K53" s="81">
        <f>Dashboard!$B$59*G53</f>
        <v>1.0150000000000001E-2</v>
      </c>
      <c r="L53" s="82">
        <f>Dashboard!$B$60*G53</f>
        <v>6.0900000000000006E-4</v>
      </c>
      <c r="M53" s="72">
        <f>Dashboard!$B$75*G53</f>
        <v>740950</v>
      </c>
      <c r="N53" s="78">
        <f>Dashboard!$B$76*G53</f>
        <v>740950</v>
      </c>
      <c r="O53" s="26"/>
    </row>
    <row r="54" spans="1:15" s="10" customFormat="1" x14ac:dyDescent="0.3">
      <c r="A54" s="26" t="s">
        <v>120</v>
      </c>
      <c r="B54" s="28" t="s">
        <v>71</v>
      </c>
      <c r="C54" s="26">
        <v>1052</v>
      </c>
      <c r="D54" s="26">
        <f ca="1">OFFSET(Node_List!$B$2,MATCH(Pipeline!A54,Node_List!$A$2:$A$999,0)-1,0)</f>
        <v>25</v>
      </c>
      <c r="E54" s="10">
        <f ca="1">OFFSET(Node_List!$B$2,MATCH(Pipeline!B54,Node_List!$A$2:$A$999,0)-1,0)</f>
        <v>26</v>
      </c>
      <c r="F54" s="265">
        <v>0</v>
      </c>
      <c r="G54" s="26">
        <v>42.3</v>
      </c>
      <c r="H54" s="11">
        <v>300</v>
      </c>
      <c r="I54" s="80">
        <f>PI()*(H54/10^3/2)^2*Dashboard!$B$58*3600*24</f>
        <v>12214.512237157116</v>
      </c>
      <c r="J54" s="71">
        <f>Dashboard!$B$57*(G54*10^3)/(H54/10^3)*Dashboard!$B$58^2/2</f>
        <v>2820</v>
      </c>
      <c r="K54" s="81">
        <f>Dashboard!$B$59*G54</f>
        <v>2.1149999999999999E-2</v>
      </c>
      <c r="L54" s="82">
        <f>Dashboard!$B$60*G54</f>
        <v>1.2689999999999999E-3</v>
      </c>
      <c r="M54" s="72">
        <f>Dashboard!$B$75*G54</f>
        <v>1543950</v>
      </c>
      <c r="N54" s="78">
        <f>Dashboard!$B$76*G54</f>
        <v>1543950</v>
      </c>
      <c r="O54" s="26"/>
    </row>
    <row r="55" spans="1:15" x14ac:dyDescent="0.3">
      <c r="A55" s="26" t="s">
        <v>20</v>
      </c>
      <c r="B55" s="28" t="s">
        <v>24</v>
      </c>
      <c r="C55" s="26">
        <v>1053</v>
      </c>
      <c r="D55" s="26">
        <f ca="1">OFFSET(Node_List!$B$2,MATCH(Pipeline!A55,Node_List!$A$2:$A$999,0)-1,0)</f>
        <v>21</v>
      </c>
      <c r="E55" s="10">
        <f ca="1">OFFSET(Node_List!$B$2,MATCH(Pipeline!B55,Node_List!$A$2:$A$999,0)-1,0)</f>
        <v>27</v>
      </c>
      <c r="F55" s="265">
        <v>0</v>
      </c>
      <c r="G55" s="26">
        <v>216</v>
      </c>
      <c r="H55" s="11">
        <v>3000</v>
      </c>
      <c r="I55" s="80">
        <f>PI()*(H55/10^3/2)^2*Dashboard!$B$58*3600*24</f>
        <v>1221451.2237157114</v>
      </c>
      <c r="J55" s="71">
        <f>Dashboard!$B$57*(G55*10^3)/(H55/10^3)*Dashboard!$B$58^2/2</f>
        <v>1440</v>
      </c>
      <c r="K55" s="81">
        <f>Dashboard!$B$59*G55</f>
        <v>0.108</v>
      </c>
      <c r="L55" s="82">
        <f>Dashboard!$B$60*G55</f>
        <v>6.4800000000000005E-3</v>
      </c>
      <c r="M55" s="72">
        <f>Dashboard!$B$75*G55</f>
        <v>7884000</v>
      </c>
      <c r="N55" s="78">
        <f>Dashboard!$B$76*G55</f>
        <v>7884000</v>
      </c>
    </row>
    <row r="56" spans="1:15" x14ac:dyDescent="0.3">
      <c r="A56" s="28" t="s">
        <v>24</v>
      </c>
      <c r="B56" s="28" t="s">
        <v>232</v>
      </c>
      <c r="C56" s="26">
        <v>1054</v>
      </c>
      <c r="D56" s="26">
        <f ca="1">OFFSET(Node_List!$B$2,MATCH(Pipeline!A56,Node_List!$A$2:$A$999,0)-1,0)</f>
        <v>27</v>
      </c>
      <c r="E56" s="10">
        <f ca="1">OFFSET(Node_List!$B$2,MATCH(Pipeline!B56,Node_List!$A$2:$A$999,0)-1,0)</f>
        <v>218</v>
      </c>
      <c r="F56" s="265">
        <v>0</v>
      </c>
      <c r="G56" s="70">
        <v>0</v>
      </c>
      <c r="H56" s="11">
        <v>3000</v>
      </c>
      <c r="I56" s="80">
        <f>PI()*(H56/10^3/2)^2*Dashboard!$B$58*3600*24</f>
        <v>1221451.2237157114</v>
      </c>
      <c r="J56" s="71">
        <f>Dashboard!$B$57*(G56*10^3)/(H56/10^3)*Dashboard!$B$58^2/2</f>
        <v>0</v>
      </c>
      <c r="K56" s="81">
        <f>Dashboard!$B$59*G56</f>
        <v>0</v>
      </c>
      <c r="L56" s="82">
        <f>Dashboard!$B$60*G56</f>
        <v>0</v>
      </c>
      <c r="M56" s="72">
        <f>Dashboard!$B$75*G56</f>
        <v>0</v>
      </c>
      <c r="N56" s="78">
        <f>Dashboard!$B$76*G56</f>
        <v>0</v>
      </c>
    </row>
    <row r="57" spans="1:15" x14ac:dyDescent="0.3">
      <c r="A57" s="28" t="s">
        <v>24</v>
      </c>
      <c r="B57" s="28" t="s">
        <v>192</v>
      </c>
      <c r="C57" s="26">
        <v>1055</v>
      </c>
      <c r="D57" s="26">
        <f ca="1">OFFSET(Node_List!$B$2,MATCH(Pipeline!A57,Node_List!$A$2:$A$999,0)-1,0)</f>
        <v>27</v>
      </c>
      <c r="E57" s="10">
        <f ca="1">OFFSET(Node_List!$B$2,MATCH(Pipeline!B57,Node_List!$A$2:$A$999,0)-1,0)</f>
        <v>28</v>
      </c>
      <c r="F57" s="265">
        <v>0</v>
      </c>
      <c r="G57" s="26">
        <v>31.2</v>
      </c>
      <c r="H57" s="20">
        <v>1500</v>
      </c>
      <c r="I57" s="80">
        <f>PI()*(H57/10^3/2)^2*Dashboard!$B$58*3600*24</f>
        <v>305362.80592892785</v>
      </c>
      <c r="J57" s="71">
        <f>Dashboard!$B$57*(G57*10^3)/(H57/10^3)*Dashboard!$B$58^2/2</f>
        <v>416</v>
      </c>
      <c r="K57" s="81">
        <f>Dashboard!$B$59*G57</f>
        <v>1.5599999999999999E-2</v>
      </c>
      <c r="L57" s="82">
        <f>Dashboard!$B$60*G57</f>
        <v>9.3599999999999998E-4</v>
      </c>
      <c r="M57" s="72">
        <f>Dashboard!$B$75*G57</f>
        <v>1138800</v>
      </c>
      <c r="N57" s="78">
        <f>Dashboard!$B$76*G57</f>
        <v>1138800</v>
      </c>
    </row>
    <row r="58" spans="1:15" s="10" customFormat="1" x14ac:dyDescent="0.3">
      <c r="A58" s="28" t="s">
        <v>192</v>
      </c>
      <c r="B58" s="28" t="s">
        <v>191</v>
      </c>
      <c r="C58" s="26">
        <v>1056</v>
      </c>
      <c r="D58" s="26">
        <f ca="1">OFFSET(Node_List!$B$2,MATCH(Pipeline!A58,Node_List!$A$2:$A$999,0)-1,0)</f>
        <v>28</v>
      </c>
      <c r="E58" s="10">
        <f ca="1">OFFSET(Node_List!$B$2,MATCH(Pipeline!B58,Node_List!$A$2:$A$999,0)-1,0)</f>
        <v>29</v>
      </c>
      <c r="F58" s="265">
        <v>0</v>
      </c>
      <c r="G58" s="26">
        <v>35</v>
      </c>
      <c r="H58" s="20">
        <v>1500</v>
      </c>
      <c r="I58" s="80">
        <f>PI()*(H58/10^3/2)^2*Dashboard!$B$58*3600*24</f>
        <v>305362.80592892785</v>
      </c>
      <c r="J58" s="71">
        <f>Dashboard!$B$57*(G58*10^3)/(H58/10^3)*Dashboard!$B$58^2/2</f>
        <v>466.66666666666669</v>
      </c>
      <c r="K58" s="81">
        <f>Dashboard!$B$59*G58</f>
        <v>1.7500000000000002E-2</v>
      </c>
      <c r="L58" s="82">
        <f>Dashboard!$B$60*G58</f>
        <v>1.0499999999999999E-3</v>
      </c>
      <c r="M58" s="72">
        <f>Dashboard!$B$75*G58</f>
        <v>1277500</v>
      </c>
      <c r="N58" s="78">
        <f>Dashboard!$B$76*G58</f>
        <v>1277500</v>
      </c>
      <c r="O58" s="26"/>
    </row>
    <row r="59" spans="1:15" s="10" customFormat="1" x14ac:dyDescent="0.3">
      <c r="A59" s="26" t="s">
        <v>97</v>
      </c>
      <c r="B59" s="28" t="s">
        <v>233</v>
      </c>
      <c r="C59" s="26">
        <v>1057</v>
      </c>
      <c r="D59" s="26">
        <f ca="1">OFFSET(Node_List!$B$2,MATCH(Pipeline!A59,Node_List!$A$2:$A$999,0)-1,0)</f>
        <v>30</v>
      </c>
      <c r="E59" s="10">
        <f ca="1">OFFSET(Node_List!$B$2,MATCH(Pipeline!B59,Node_List!$A$2:$A$999,0)-1,0)</f>
        <v>219</v>
      </c>
      <c r="F59" s="265">
        <v>0</v>
      </c>
      <c r="G59" s="26">
        <v>25.2</v>
      </c>
      <c r="H59" s="20">
        <v>1500</v>
      </c>
      <c r="I59" s="80">
        <f>PI()*(H59/10^3/2)^2*Dashboard!$B$58*3600*24</f>
        <v>305362.80592892785</v>
      </c>
      <c r="J59" s="71">
        <f>Dashboard!$B$57*(G59*10^3)/(H59/10^3)*Dashboard!$B$58^2/2</f>
        <v>336</v>
      </c>
      <c r="K59" s="81">
        <f>Dashboard!$B$59*G59</f>
        <v>1.26E-2</v>
      </c>
      <c r="L59" s="82">
        <f>Dashboard!$B$60*G59</f>
        <v>7.5599999999999994E-4</v>
      </c>
      <c r="M59" s="72">
        <f>Dashboard!$B$75*G59</f>
        <v>919800</v>
      </c>
      <c r="N59" s="78">
        <f>Dashboard!$B$76*G59</f>
        <v>919800</v>
      </c>
      <c r="O59" s="26"/>
    </row>
    <row r="60" spans="1:15" s="10" customFormat="1" x14ac:dyDescent="0.3">
      <c r="A60" s="26" t="s">
        <v>299</v>
      </c>
      <c r="B60" s="28" t="s">
        <v>4</v>
      </c>
      <c r="C60" s="26">
        <v>1058</v>
      </c>
      <c r="D60" s="26">
        <f ca="1">OFFSET(Node_List!$B$2,MATCH(Pipeline!A60,Node_List!$A$2:$A$999,0)-1,0)</f>
        <v>126</v>
      </c>
      <c r="E60" s="10">
        <f ca="1">OFFSET(Node_List!$B$2,MATCH(Pipeline!B60,Node_List!$A$2:$A$999,0)-1,0)</f>
        <v>35</v>
      </c>
      <c r="F60" s="265">
        <v>0</v>
      </c>
      <c r="G60" s="26">
        <v>110</v>
      </c>
      <c r="H60" s="11">
        <v>1200</v>
      </c>
      <c r="I60" s="80">
        <f>PI()*(H60/10^3/2)^2*Dashboard!$B$58*3600*24</f>
        <v>195432.19579451386</v>
      </c>
      <c r="J60" s="71">
        <f>Dashboard!$B$57*(G60*10^3)/(H60/10^3)*Dashboard!$B$58^2/2</f>
        <v>1833.3333333333335</v>
      </c>
      <c r="K60" s="81">
        <f>Dashboard!$B$59*G60</f>
        <v>5.5E-2</v>
      </c>
      <c r="L60" s="82">
        <f>Dashboard!$B$60*G60</f>
        <v>3.3E-3</v>
      </c>
      <c r="M60" s="72">
        <f>Dashboard!$B$75*G60</f>
        <v>4015000</v>
      </c>
      <c r="N60" s="78">
        <f>Dashboard!$B$76*G60</f>
        <v>4015000</v>
      </c>
      <c r="O60" s="26"/>
    </row>
    <row r="61" spans="1:15" s="10" customFormat="1" x14ac:dyDescent="0.3">
      <c r="A61" s="228" t="s">
        <v>300</v>
      </c>
      <c r="B61" s="228" t="s">
        <v>299</v>
      </c>
      <c r="C61" s="26">
        <v>1059</v>
      </c>
      <c r="D61" s="26">
        <f ca="1">OFFSET(Node_List!$B$2,MATCH(Pipeline!A61,Node_List!$A$2:$A$999,0)-1,0)</f>
        <v>127</v>
      </c>
      <c r="E61" s="10">
        <f ca="1">OFFSET(Node_List!$B$2,MATCH(Pipeline!B61,Node_List!$A$2:$A$999,0)-1,0)</f>
        <v>126</v>
      </c>
      <c r="F61" s="265">
        <v>0</v>
      </c>
      <c r="G61" s="26">
        <v>0</v>
      </c>
      <c r="H61" s="11">
        <v>1200</v>
      </c>
      <c r="I61" s="80">
        <f>PI()*(H61/10^3/2)^2*Dashboard!$B$58*3600*24</f>
        <v>195432.19579451386</v>
      </c>
      <c r="J61" s="71">
        <f>Dashboard!$B$57*(G61*10^3)/(H61/10^3)*Dashboard!$B$58^2/2</f>
        <v>0</v>
      </c>
      <c r="K61" s="81">
        <f>Dashboard!$B$59*G61</f>
        <v>0</v>
      </c>
      <c r="L61" s="82">
        <f>Dashboard!$B$60*G61</f>
        <v>0</v>
      </c>
      <c r="M61" s="72">
        <f>Dashboard!$B$75*G61</f>
        <v>0</v>
      </c>
      <c r="N61" s="78">
        <f>Dashboard!$B$76*G61</f>
        <v>0</v>
      </c>
      <c r="O61" s="26"/>
    </row>
    <row r="62" spans="1:15" s="10" customFormat="1" x14ac:dyDescent="0.3">
      <c r="A62" s="26" t="s">
        <v>4</v>
      </c>
      <c r="B62" s="28" t="s">
        <v>234</v>
      </c>
      <c r="C62" s="26">
        <v>1060</v>
      </c>
      <c r="D62" s="26">
        <f ca="1">OFFSET(Node_List!$B$2,MATCH(Pipeline!A62,Node_List!$A$2:$A$999,0)-1,0)</f>
        <v>35</v>
      </c>
      <c r="E62" s="10">
        <f ca="1">OFFSET(Node_List!$B$2,MATCH(Pipeline!B62,Node_List!$A$2:$A$999,0)-1,0)</f>
        <v>220</v>
      </c>
      <c r="F62" s="265">
        <v>0</v>
      </c>
      <c r="G62" s="26">
        <v>8.6999999999999993</v>
      </c>
      <c r="H62" s="11">
        <v>1200</v>
      </c>
      <c r="I62" s="80">
        <f>PI()*(H62/10^3/2)^2*Dashboard!$B$58*3600*24</f>
        <v>195432.19579451386</v>
      </c>
      <c r="J62" s="71">
        <f>Dashboard!$B$57*(G62*10^3)/(H62/10^3)*Dashboard!$B$58^2/2</f>
        <v>145</v>
      </c>
      <c r="K62" s="81">
        <f>Dashboard!$B$59*G62</f>
        <v>4.3499999999999997E-3</v>
      </c>
      <c r="L62" s="82">
        <f>Dashboard!$B$60*G62</f>
        <v>2.61E-4</v>
      </c>
      <c r="M62" s="72">
        <f>Dashboard!$B$75*G62</f>
        <v>317550</v>
      </c>
      <c r="N62" s="78">
        <f>Dashboard!$B$76*G62</f>
        <v>317550</v>
      </c>
      <c r="O62" s="26"/>
    </row>
    <row r="63" spans="1:15" s="10" customFormat="1" x14ac:dyDescent="0.3">
      <c r="A63" s="26" t="s">
        <v>234</v>
      </c>
      <c r="B63" s="28" t="s">
        <v>13</v>
      </c>
      <c r="C63" s="26">
        <v>1061</v>
      </c>
      <c r="D63" s="26">
        <f ca="1">OFFSET(Node_List!$B$2,MATCH(Pipeline!A63,Node_List!$A$2:$A$999,0)-1,0)</f>
        <v>220</v>
      </c>
      <c r="E63" s="10">
        <f ca="1">OFFSET(Node_List!$B$2,MATCH(Pipeline!B63,Node_List!$A$2:$A$999,0)-1,0)</f>
        <v>34</v>
      </c>
      <c r="F63" s="265">
        <v>0</v>
      </c>
      <c r="G63" s="26">
        <v>20.3</v>
      </c>
      <c r="H63" s="11">
        <v>1200</v>
      </c>
      <c r="I63" s="80">
        <f>PI()*(H63/10^3/2)^2*Dashboard!$B$58*3600*24</f>
        <v>195432.19579451386</v>
      </c>
      <c r="J63" s="71">
        <f>Dashboard!$B$57*(G63*10^3)/(H63/10^3)*Dashboard!$B$58^2/2</f>
        <v>338.33333333333337</v>
      </c>
      <c r="K63" s="81">
        <f>Dashboard!$B$59*G63</f>
        <v>1.0150000000000001E-2</v>
      </c>
      <c r="L63" s="82">
        <f>Dashboard!$B$60*G63</f>
        <v>6.0900000000000006E-4</v>
      </c>
      <c r="M63" s="72">
        <f>Dashboard!$B$75*G63</f>
        <v>740950</v>
      </c>
      <c r="N63" s="78">
        <f>Dashboard!$B$76*G63</f>
        <v>740950</v>
      </c>
      <c r="O63" s="26"/>
    </row>
    <row r="64" spans="1:15" s="10" customFormat="1" x14ac:dyDescent="0.3">
      <c r="A64" s="26" t="s">
        <v>13</v>
      </c>
      <c r="B64" s="28" t="s">
        <v>54</v>
      </c>
      <c r="C64" s="26">
        <v>1062</v>
      </c>
      <c r="D64" s="26">
        <f ca="1">OFFSET(Node_List!$B$2,MATCH(Pipeline!A64,Node_List!$A$2:$A$999,0)-1,0)</f>
        <v>34</v>
      </c>
      <c r="E64" s="10">
        <f ca="1">OFFSET(Node_List!$B$2,MATCH(Pipeline!B64,Node_List!$A$2:$A$999,0)-1,0)</f>
        <v>36</v>
      </c>
      <c r="F64" s="265">
        <v>0</v>
      </c>
      <c r="G64" s="26">
        <v>17.3</v>
      </c>
      <c r="H64" s="11">
        <v>1200</v>
      </c>
      <c r="I64" s="80">
        <f>PI()*(H64/10^3/2)^2*Dashboard!$B$58*3600*24</f>
        <v>195432.19579451386</v>
      </c>
      <c r="J64" s="71">
        <f>Dashboard!$B$57*(G64*10^3)/(H64/10^3)*Dashboard!$B$58^2/2</f>
        <v>288.33333333333337</v>
      </c>
      <c r="K64" s="81">
        <f>Dashboard!$B$59*G64</f>
        <v>8.6499999999999997E-3</v>
      </c>
      <c r="L64" s="82">
        <f>Dashboard!$B$60*G64</f>
        <v>5.1900000000000004E-4</v>
      </c>
      <c r="M64" s="72">
        <f>Dashboard!$B$75*G64</f>
        <v>631450</v>
      </c>
      <c r="N64" s="78">
        <f>Dashboard!$B$76*G64</f>
        <v>631450</v>
      </c>
      <c r="O64" s="26"/>
    </row>
    <row r="65" spans="1:15" s="10" customFormat="1" x14ac:dyDescent="0.3">
      <c r="A65" s="26" t="s">
        <v>54</v>
      </c>
      <c r="B65" s="28" t="s">
        <v>121</v>
      </c>
      <c r="C65" s="26">
        <v>1063</v>
      </c>
      <c r="D65" s="26">
        <f ca="1">OFFSET(Node_List!$B$2,MATCH(Pipeline!A65,Node_List!$A$2:$A$999,0)-1,0)</f>
        <v>36</v>
      </c>
      <c r="E65" s="10">
        <f ca="1">OFFSET(Node_List!$B$2,MATCH(Pipeline!B65,Node_List!$A$2:$A$999,0)-1,0)</f>
        <v>37</v>
      </c>
      <c r="F65" s="265">
        <v>0</v>
      </c>
      <c r="G65" s="26">
        <v>122</v>
      </c>
      <c r="H65" s="11">
        <v>1200</v>
      </c>
      <c r="I65" s="80">
        <f>PI()*(H65/10^3/2)^2*Dashboard!$B$58*3600*24</f>
        <v>195432.19579451386</v>
      </c>
      <c r="J65" s="71">
        <f>Dashboard!$B$57*(G65*10^3)/(H65/10^3)*Dashboard!$B$58^2/2</f>
        <v>2033.3333333333335</v>
      </c>
      <c r="K65" s="81">
        <f>Dashboard!$B$59*G65</f>
        <v>6.0999999999999999E-2</v>
      </c>
      <c r="L65" s="82">
        <f>Dashboard!$B$60*G65</f>
        <v>3.6600000000000001E-3</v>
      </c>
      <c r="M65" s="72">
        <f>Dashboard!$B$75*G65</f>
        <v>4453000</v>
      </c>
      <c r="N65" s="78">
        <f>Dashboard!$B$76*G65</f>
        <v>4453000</v>
      </c>
      <c r="O65" s="26"/>
    </row>
    <row r="66" spans="1:15" s="10" customFormat="1" x14ac:dyDescent="0.3">
      <c r="A66" s="26" t="s">
        <v>299</v>
      </c>
      <c r="B66" s="28" t="s">
        <v>198</v>
      </c>
      <c r="C66" s="26">
        <v>1064</v>
      </c>
      <c r="D66" s="26">
        <f ca="1">OFFSET(Node_List!$B$2,MATCH(Pipeline!A66,Node_List!$A$2:$A$999,0)-1,0)</f>
        <v>126</v>
      </c>
      <c r="E66" s="10">
        <f ca="1">OFFSET(Node_List!$B$2,MATCH(Pipeline!B66,Node_List!$A$2:$A$999,0)-1,0)</f>
        <v>38</v>
      </c>
      <c r="F66" s="265">
        <v>0</v>
      </c>
      <c r="G66" s="26">
        <v>79.599999999999994</v>
      </c>
      <c r="H66" s="11">
        <v>1200</v>
      </c>
      <c r="I66" s="80">
        <f>PI()*(H66/10^3/2)^2*Dashboard!$B$58*3600*24</f>
        <v>195432.19579451386</v>
      </c>
      <c r="J66" s="71">
        <f>Dashboard!$B$57*(G66*10^3)/(H66/10^3)*Dashboard!$B$58^2/2</f>
        <v>1326.6666666666667</v>
      </c>
      <c r="K66" s="81">
        <f>Dashboard!$B$59*G66</f>
        <v>3.9799999999999995E-2</v>
      </c>
      <c r="L66" s="82">
        <f>Dashboard!$B$60*G66</f>
        <v>2.3879999999999999E-3</v>
      </c>
      <c r="M66" s="72">
        <f>Dashboard!$B$75*G66</f>
        <v>2905400</v>
      </c>
      <c r="N66" s="78">
        <f>Dashboard!$B$76*G66</f>
        <v>2905400</v>
      </c>
      <c r="O66" s="26"/>
    </row>
    <row r="67" spans="1:15" s="10" customFormat="1" x14ac:dyDescent="0.3">
      <c r="A67" s="26" t="s">
        <v>198</v>
      </c>
      <c r="B67" s="28" t="s">
        <v>235</v>
      </c>
      <c r="C67" s="26">
        <v>1065</v>
      </c>
      <c r="D67" s="26">
        <f ca="1">OFFSET(Node_List!$B$2,MATCH(Pipeline!A67,Node_List!$A$2:$A$999,0)-1,0)</f>
        <v>38</v>
      </c>
      <c r="E67" s="10">
        <f ca="1">OFFSET(Node_List!$B$2,MATCH(Pipeline!B67,Node_List!$A$2:$A$999,0)-1,0)</f>
        <v>221</v>
      </c>
      <c r="F67" s="265">
        <v>0</v>
      </c>
      <c r="G67" s="70">
        <v>0</v>
      </c>
      <c r="H67" s="11">
        <v>1200</v>
      </c>
      <c r="I67" s="80">
        <f>PI()*(H67/10^3/2)^2*Dashboard!$B$58*3600*24</f>
        <v>195432.19579451386</v>
      </c>
      <c r="J67" s="71">
        <f>Dashboard!$B$57*(G67*10^3)/(H67/10^3)*Dashboard!$B$58^2/2</f>
        <v>0</v>
      </c>
      <c r="K67" s="81">
        <f>Dashboard!$B$59*G67</f>
        <v>0</v>
      </c>
      <c r="L67" s="82">
        <f>Dashboard!$B$60*G67</f>
        <v>0</v>
      </c>
      <c r="M67" s="72">
        <f>Dashboard!$B$75*G67</f>
        <v>0</v>
      </c>
      <c r="N67" s="78">
        <f>Dashboard!$B$76*G67</f>
        <v>0</v>
      </c>
      <c r="O67" s="26"/>
    </row>
    <row r="68" spans="1:15" s="10" customFormat="1" x14ac:dyDescent="0.3">
      <c r="A68" s="26" t="s">
        <v>198</v>
      </c>
      <c r="B68" s="28" t="s">
        <v>200</v>
      </c>
      <c r="C68" s="26">
        <v>1066</v>
      </c>
      <c r="D68" s="26">
        <f ca="1">OFFSET(Node_List!$B$2,MATCH(Pipeline!A68,Node_List!$A$2:$A$999,0)-1,0)</f>
        <v>38</v>
      </c>
      <c r="E68" s="10">
        <f ca="1">OFFSET(Node_List!$B$2,MATCH(Pipeline!B68,Node_List!$A$2:$A$999,0)-1,0)</f>
        <v>39</v>
      </c>
      <c r="F68" s="265">
        <v>0</v>
      </c>
      <c r="G68" s="26">
        <v>35.299999999999997</v>
      </c>
      <c r="H68" s="11">
        <v>1200</v>
      </c>
      <c r="I68" s="80">
        <f>PI()*(H68/10^3/2)^2*Dashboard!$B$58*3600*24</f>
        <v>195432.19579451386</v>
      </c>
      <c r="J68" s="71">
        <f>Dashboard!$B$57*(G68*10^3)/(H68/10^3)*Dashboard!$B$58^2/2</f>
        <v>588.33333333333337</v>
      </c>
      <c r="K68" s="81">
        <f>Dashboard!$B$59*G68</f>
        <v>1.7649999999999999E-2</v>
      </c>
      <c r="L68" s="82">
        <f>Dashboard!$B$60*G68</f>
        <v>1.059E-3</v>
      </c>
      <c r="M68" s="72">
        <f>Dashboard!$B$75*G68</f>
        <v>1288450</v>
      </c>
      <c r="N68" s="78">
        <f>Dashboard!$B$76*G68</f>
        <v>1288450</v>
      </c>
      <c r="O68" s="26"/>
    </row>
    <row r="69" spans="1:15" s="10" customFormat="1" x14ac:dyDescent="0.3">
      <c r="A69" s="26" t="s">
        <v>200</v>
      </c>
      <c r="B69" s="28" t="s">
        <v>39</v>
      </c>
      <c r="C69" s="26">
        <v>1067</v>
      </c>
      <c r="D69" s="26">
        <f ca="1">OFFSET(Node_List!$B$2,MATCH(Pipeline!A69,Node_List!$A$2:$A$999,0)-1,0)</f>
        <v>39</v>
      </c>
      <c r="E69" s="10">
        <f ca="1">OFFSET(Node_List!$B$2,MATCH(Pipeline!B69,Node_List!$A$2:$A$999,0)-1,0)</f>
        <v>42</v>
      </c>
      <c r="F69" s="265">
        <v>0</v>
      </c>
      <c r="G69" s="26">
        <v>37.200000000000003</v>
      </c>
      <c r="H69" s="11">
        <v>1200</v>
      </c>
      <c r="I69" s="80">
        <f>PI()*(H69/10^3/2)^2*Dashboard!$B$58*3600*24</f>
        <v>195432.19579451386</v>
      </c>
      <c r="J69" s="71">
        <f>Dashboard!$B$57*(G69*10^3)/(H69/10^3)*Dashboard!$B$58^2/2</f>
        <v>620</v>
      </c>
      <c r="K69" s="81">
        <f>Dashboard!$B$59*G69</f>
        <v>1.8600000000000002E-2</v>
      </c>
      <c r="L69" s="82">
        <f>Dashboard!$B$60*G69</f>
        <v>1.116E-3</v>
      </c>
      <c r="M69" s="72">
        <f>Dashboard!$B$75*G69</f>
        <v>1357800</v>
      </c>
      <c r="N69" s="78">
        <f>Dashboard!$B$76*G69</f>
        <v>1357800</v>
      </c>
      <c r="O69" s="26"/>
    </row>
    <row r="70" spans="1:15" s="10" customFormat="1" x14ac:dyDescent="0.3">
      <c r="A70" s="26" t="s">
        <v>39</v>
      </c>
      <c r="B70" s="28" t="s">
        <v>236</v>
      </c>
      <c r="C70" s="26">
        <v>1068</v>
      </c>
      <c r="D70" s="26">
        <f ca="1">OFFSET(Node_List!$B$2,MATCH(Pipeline!A70,Node_List!$A$2:$A$999,0)-1,0)</f>
        <v>42</v>
      </c>
      <c r="E70" s="10">
        <f ca="1">OFFSET(Node_List!$B$2,MATCH(Pipeline!B70,Node_List!$A$2:$A$999,0)-1,0)</f>
        <v>222</v>
      </c>
      <c r="F70" s="265">
        <v>0</v>
      </c>
      <c r="G70" s="26">
        <v>12.4</v>
      </c>
      <c r="H70" s="11">
        <v>1200</v>
      </c>
      <c r="I70" s="80">
        <f>PI()*(H70/10^3/2)^2*Dashboard!$B$58*3600*24</f>
        <v>195432.19579451386</v>
      </c>
      <c r="J70" s="71">
        <f>Dashboard!$B$57*(G70*10^3)/(H70/10^3)*Dashboard!$B$58^2/2</f>
        <v>206.66666666666669</v>
      </c>
      <c r="K70" s="81">
        <f>Dashboard!$B$59*G70</f>
        <v>6.2000000000000006E-3</v>
      </c>
      <c r="L70" s="82">
        <f>Dashboard!$B$60*G70</f>
        <v>3.7200000000000004E-4</v>
      </c>
      <c r="M70" s="72">
        <f>Dashboard!$B$75*G70</f>
        <v>452600</v>
      </c>
      <c r="N70" s="78">
        <f>Dashboard!$B$76*G70</f>
        <v>452600</v>
      </c>
      <c r="O70" s="26"/>
    </row>
    <row r="71" spans="1:15" s="10" customFormat="1" x14ac:dyDescent="0.3">
      <c r="A71" s="26" t="s">
        <v>200</v>
      </c>
      <c r="B71" s="28" t="s">
        <v>199</v>
      </c>
      <c r="C71" s="26">
        <v>1069</v>
      </c>
      <c r="D71" s="26">
        <f ca="1">OFFSET(Node_List!$B$2,MATCH(Pipeline!A71,Node_List!$A$2:$A$999,0)-1,0)</f>
        <v>39</v>
      </c>
      <c r="E71" s="10">
        <f ca="1">OFFSET(Node_List!$B$2,MATCH(Pipeline!B71,Node_List!$A$2:$A$999,0)-1,0)</f>
        <v>40</v>
      </c>
      <c r="F71" s="265">
        <v>0</v>
      </c>
      <c r="G71" s="26">
        <v>21</v>
      </c>
      <c r="H71" s="11">
        <v>1200</v>
      </c>
      <c r="I71" s="80">
        <f>PI()*(H71/10^3/2)^2*Dashboard!$B$58*3600*24</f>
        <v>195432.19579451386</v>
      </c>
      <c r="J71" s="71">
        <f>Dashboard!$B$57*(G71*10^3)/(H71/10^3)*Dashboard!$B$58^2/2</f>
        <v>350</v>
      </c>
      <c r="K71" s="81">
        <f>Dashboard!$B$59*G71</f>
        <v>1.0500000000000001E-2</v>
      </c>
      <c r="L71" s="82">
        <f>Dashboard!$B$60*G71</f>
        <v>6.3000000000000003E-4</v>
      </c>
      <c r="M71" s="72">
        <f>Dashboard!$B$75*G71</f>
        <v>766500</v>
      </c>
      <c r="N71" s="78">
        <f>Dashboard!$B$76*G71</f>
        <v>766500</v>
      </c>
      <c r="O71" s="26"/>
    </row>
    <row r="72" spans="1:15" x14ac:dyDescent="0.3">
      <c r="A72" s="26" t="s">
        <v>199</v>
      </c>
      <c r="B72" s="28" t="s">
        <v>196</v>
      </c>
      <c r="C72" s="26">
        <v>1070</v>
      </c>
      <c r="D72" s="26">
        <f ca="1">OFFSET(Node_List!$B$2,MATCH(Pipeline!A72,Node_List!$A$2:$A$999,0)-1,0)</f>
        <v>40</v>
      </c>
      <c r="E72" s="10">
        <f ca="1">OFFSET(Node_List!$B$2,MATCH(Pipeline!B72,Node_List!$A$2:$A$999,0)-1,0)</f>
        <v>41</v>
      </c>
      <c r="F72" s="265">
        <v>0</v>
      </c>
      <c r="G72" s="26">
        <v>20.5</v>
      </c>
      <c r="H72" s="11">
        <v>1200</v>
      </c>
      <c r="I72" s="80">
        <f>PI()*(H72/10^3/2)^2*Dashboard!$B$58*3600*24</f>
        <v>195432.19579451386</v>
      </c>
      <c r="J72" s="71">
        <f>Dashboard!$B$57*(G72*10^3)/(H72/10^3)*Dashboard!$B$58^2/2</f>
        <v>341.66666666666669</v>
      </c>
      <c r="K72" s="81">
        <f>Dashboard!$B$59*G72</f>
        <v>1.025E-2</v>
      </c>
      <c r="L72" s="82">
        <f>Dashboard!$B$60*G72</f>
        <v>6.1499999999999999E-4</v>
      </c>
      <c r="M72" s="72">
        <f>Dashboard!$B$75*G72</f>
        <v>748250</v>
      </c>
      <c r="N72" s="78">
        <f>Dashboard!$B$76*G72</f>
        <v>748250</v>
      </c>
    </row>
    <row r="73" spans="1:15" x14ac:dyDescent="0.3">
      <c r="A73" s="26" t="s">
        <v>39</v>
      </c>
      <c r="B73" s="28" t="s">
        <v>196</v>
      </c>
      <c r="C73" s="26">
        <v>1071</v>
      </c>
      <c r="D73" s="26">
        <f ca="1">OFFSET(Node_List!$B$2,MATCH(Pipeline!A73,Node_List!$A$2:$A$999,0)-1,0)</f>
        <v>42</v>
      </c>
      <c r="E73" s="10">
        <f ca="1">OFFSET(Node_List!$B$2,MATCH(Pipeline!B73,Node_List!$A$2:$A$999,0)-1,0)</f>
        <v>41</v>
      </c>
      <c r="F73" s="265">
        <v>0</v>
      </c>
      <c r="G73" s="26">
        <v>34.1</v>
      </c>
      <c r="H73" s="11">
        <v>1200</v>
      </c>
      <c r="I73" s="80">
        <f>PI()*(H73/10^3/2)^2*Dashboard!$B$58*3600*24</f>
        <v>195432.19579451386</v>
      </c>
      <c r="J73" s="71">
        <f>Dashboard!$B$57*(G73*10^3)/(H73/10^3)*Dashboard!$B$58^2/2</f>
        <v>568.33333333333337</v>
      </c>
      <c r="K73" s="81">
        <f>Dashboard!$B$59*G73</f>
        <v>1.7050000000000003E-2</v>
      </c>
      <c r="L73" s="82">
        <f>Dashboard!$B$60*G73</f>
        <v>1.023E-3</v>
      </c>
      <c r="M73" s="72">
        <f>Dashboard!$B$75*G73</f>
        <v>1244650</v>
      </c>
      <c r="N73" s="78">
        <f>Dashboard!$B$76*G73</f>
        <v>1244650</v>
      </c>
    </row>
    <row r="74" spans="1:15" x14ac:dyDescent="0.3">
      <c r="A74" s="26" t="s">
        <v>39</v>
      </c>
      <c r="B74" s="28" t="s">
        <v>197</v>
      </c>
      <c r="C74" s="26">
        <v>1072</v>
      </c>
      <c r="D74" s="26">
        <f ca="1">OFFSET(Node_List!$B$2,MATCH(Pipeline!A74,Node_List!$A$2:$A$999,0)-1,0)</f>
        <v>42</v>
      </c>
      <c r="E74" s="10">
        <f ca="1">OFFSET(Node_List!$B$2,MATCH(Pipeline!B74,Node_List!$A$2:$A$999,0)-1,0)</f>
        <v>43</v>
      </c>
      <c r="F74" s="265">
        <v>0</v>
      </c>
      <c r="G74" s="26">
        <v>51.9</v>
      </c>
      <c r="H74" s="11">
        <v>1200</v>
      </c>
      <c r="I74" s="80">
        <f>PI()*(H74/10^3/2)^2*Dashboard!$B$58*3600*24</f>
        <v>195432.19579451386</v>
      </c>
      <c r="J74" s="71">
        <f>Dashboard!$B$57*(G74*10^3)/(H74/10^3)*Dashboard!$B$58^2/2</f>
        <v>865</v>
      </c>
      <c r="K74" s="81">
        <f>Dashboard!$B$59*G74</f>
        <v>2.5950000000000001E-2</v>
      </c>
      <c r="L74" s="82">
        <f>Dashboard!$B$60*G74</f>
        <v>1.557E-3</v>
      </c>
      <c r="M74" s="72">
        <f>Dashboard!$B$75*G74</f>
        <v>1894350</v>
      </c>
      <c r="N74" s="78">
        <f>Dashboard!$B$76*G74</f>
        <v>1894350</v>
      </c>
    </row>
    <row r="75" spans="1:15" s="10" customFormat="1" x14ac:dyDescent="0.3">
      <c r="A75" s="26" t="s">
        <v>196</v>
      </c>
      <c r="B75" s="28" t="s">
        <v>197</v>
      </c>
      <c r="C75" s="26">
        <v>1073</v>
      </c>
      <c r="D75" s="26">
        <f ca="1">OFFSET(Node_List!$B$2,MATCH(Pipeline!A75,Node_List!$A$2:$A$999,0)-1,0)</f>
        <v>41</v>
      </c>
      <c r="E75" s="10">
        <f ca="1">OFFSET(Node_List!$B$2,MATCH(Pipeline!B75,Node_List!$A$2:$A$999,0)-1,0)</f>
        <v>43</v>
      </c>
      <c r="F75" s="265">
        <v>0</v>
      </c>
      <c r="G75" s="26">
        <v>35.1</v>
      </c>
      <c r="H75" s="11">
        <v>1200</v>
      </c>
      <c r="I75" s="80">
        <f>PI()*(H75/10^3/2)^2*Dashboard!$B$58*3600*24</f>
        <v>195432.19579451386</v>
      </c>
      <c r="J75" s="71">
        <f>Dashboard!$B$57*(G75*10^3)/(H75/10^3)*Dashboard!$B$58^2/2</f>
        <v>585</v>
      </c>
      <c r="K75" s="81">
        <f>Dashboard!$B$59*G75</f>
        <v>1.755E-2</v>
      </c>
      <c r="L75" s="82">
        <f>Dashboard!$B$60*G75</f>
        <v>1.0530000000000001E-3</v>
      </c>
      <c r="M75" s="72">
        <f>Dashboard!$B$75*G75</f>
        <v>1281150</v>
      </c>
      <c r="N75" s="78">
        <f>Dashboard!$B$76*G75</f>
        <v>1281150</v>
      </c>
      <c r="O75" s="26"/>
    </row>
    <row r="76" spans="1:15" s="10" customFormat="1" x14ac:dyDescent="0.3">
      <c r="A76" s="26" t="s">
        <v>197</v>
      </c>
      <c r="B76" s="28" t="s">
        <v>96</v>
      </c>
      <c r="C76" s="26">
        <v>1074</v>
      </c>
      <c r="D76" s="26">
        <f ca="1">OFFSET(Node_List!$B$2,MATCH(Pipeline!A76,Node_List!$A$2:$A$999,0)-1,0)</f>
        <v>43</v>
      </c>
      <c r="E76" s="10">
        <f ca="1">OFFSET(Node_List!$B$2,MATCH(Pipeline!B76,Node_List!$A$2:$A$999,0)-1,0)</f>
        <v>44</v>
      </c>
      <c r="F76" s="265">
        <v>0</v>
      </c>
      <c r="G76" s="26">
        <v>13.9</v>
      </c>
      <c r="H76" s="11">
        <v>1200</v>
      </c>
      <c r="I76" s="80">
        <f>PI()*(H76/10^3/2)^2*Dashboard!$B$58*3600*24</f>
        <v>195432.19579451386</v>
      </c>
      <c r="J76" s="71">
        <f>Dashboard!$B$57*(G76*10^3)/(H76/10^3)*Dashboard!$B$58^2/2</f>
        <v>231.66666666666669</v>
      </c>
      <c r="K76" s="81">
        <f>Dashboard!$B$59*G76</f>
        <v>6.9500000000000004E-3</v>
      </c>
      <c r="L76" s="82">
        <f>Dashboard!$B$60*G76</f>
        <v>4.17E-4</v>
      </c>
      <c r="M76" s="72">
        <f>Dashboard!$B$75*G76</f>
        <v>507350</v>
      </c>
      <c r="N76" s="78">
        <f>Dashboard!$B$76*G76</f>
        <v>507350</v>
      </c>
      <c r="O76" s="26"/>
    </row>
    <row r="77" spans="1:15" s="10" customFormat="1" x14ac:dyDescent="0.3">
      <c r="A77" s="26" t="s">
        <v>96</v>
      </c>
      <c r="B77" s="28" t="s">
        <v>237</v>
      </c>
      <c r="C77" s="26">
        <v>1075</v>
      </c>
      <c r="D77" s="26">
        <f ca="1">OFFSET(Node_List!$B$2,MATCH(Pipeline!A77,Node_List!$A$2:$A$999,0)-1,0)</f>
        <v>44</v>
      </c>
      <c r="E77" s="10">
        <f ca="1">OFFSET(Node_List!$B$2,MATCH(Pipeline!B77,Node_List!$A$2:$A$999,0)-1,0)</f>
        <v>223</v>
      </c>
      <c r="F77" s="265">
        <v>0</v>
      </c>
      <c r="G77" s="70">
        <v>0</v>
      </c>
      <c r="H77" s="11">
        <v>1200</v>
      </c>
      <c r="I77" s="80">
        <f>PI()*(H77/10^3/2)^2*Dashboard!$B$58*3600*24</f>
        <v>195432.19579451386</v>
      </c>
      <c r="J77" s="71">
        <f>Dashboard!$B$57*(G77*10^3)/(H77/10^3)*Dashboard!$B$58^2/2</f>
        <v>0</v>
      </c>
      <c r="K77" s="81">
        <f>Dashboard!$B$59*G77</f>
        <v>0</v>
      </c>
      <c r="L77" s="82">
        <f>Dashboard!$B$60*G77</f>
        <v>0</v>
      </c>
      <c r="M77" s="72">
        <f>Dashboard!$B$75*G77</f>
        <v>0</v>
      </c>
      <c r="N77" s="78">
        <f>Dashboard!$B$76*G77</f>
        <v>0</v>
      </c>
      <c r="O77" s="26"/>
    </row>
    <row r="78" spans="1:15" s="10" customFormat="1" x14ac:dyDescent="0.3">
      <c r="A78" s="26" t="s">
        <v>81</v>
      </c>
      <c r="B78" s="28" t="s">
        <v>238</v>
      </c>
      <c r="C78" s="26">
        <v>1076</v>
      </c>
      <c r="D78" s="26">
        <f ca="1">OFFSET(Node_List!$B$2,MATCH(Pipeline!A78,Node_List!$A$2:$A$999,0)-1,0)</f>
        <v>45</v>
      </c>
      <c r="E78" s="10">
        <f ca="1">OFFSET(Node_List!$B$2,MATCH(Pipeline!B78,Node_List!$A$2:$A$999,0)-1,0)</f>
        <v>224</v>
      </c>
      <c r="F78" s="265">
        <v>0</v>
      </c>
      <c r="G78" s="26">
        <v>27.3</v>
      </c>
      <c r="H78" s="20">
        <v>1500</v>
      </c>
      <c r="I78" s="80">
        <f>PI()*(H78/10^3/2)^2*Dashboard!$B$58*3600*24</f>
        <v>305362.80592892785</v>
      </c>
      <c r="J78" s="71">
        <f>Dashboard!$B$57*(G78*10^3)/(H78/10^3)*Dashboard!$B$58^2/2</f>
        <v>364</v>
      </c>
      <c r="K78" s="81">
        <f>Dashboard!$B$59*G78</f>
        <v>1.3650000000000001E-2</v>
      </c>
      <c r="L78" s="82">
        <f>Dashboard!$B$60*G78</f>
        <v>8.1900000000000007E-4</v>
      </c>
      <c r="M78" s="72">
        <f>Dashboard!$B$75*G78</f>
        <v>996450</v>
      </c>
      <c r="N78" s="78">
        <f>Dashboard!$B$76*G78</f>
        <v>996450</v>
      </c>
      <c r="O78" s="26"/>
    </row>
    <row r="79" spans="1:15" s="10" customFormat="1" x14ac:dyDescent="0.3">
      <c r="A79" s="26" t="s">
        <v>108</v>
      </c>
      <c r="B79" s="28" t="s">
        <v>239</v>
      </c>
      <c r="C79" s="26">
        <v>1077</v>
      </c>
      <c r="D79" s="26">
        <f ca="1">OFFSET(Node_List!$B$2,MATCH(Pipeline!A79,Node_List!$A$2:$A$999,0)-1,0)</f>
        <v>46</v>
      </c>
      <c r="E79" s="10">
        <f ca="1">OFFSET(Node_List!$B$2,MATCH(Pipeline!B79,Node_List!$A$2:$A$999,0)-1,0)</f>
        <v>225</v>
      </c>
      <c r="F79" s="265">
        <v>0</v>
      </c>
      <c r="G79" s="26">
        <v>18.7</v>
      </c>
      <c r="H79" s="20">
        <v>1500</v>
      </c>
      <c r="I79" s="80">
        <f>PI()*(H79/10^3/2)^2*Dashboard!$B$58*3600*24</f>
        <v>305362.80592892785</v>
      </c>
      <c r="J79" s="71">
        <f>Dashboard!$B$57*(G79*10^3)/(H79/10^3)*Dashboard!$B$58^2/2</f>
        <v>249.33333333333334</v>
      </c>
      <c r="K79" s="81">
        <f>Dashboard!$B$59*G79</f>
        <v>9.3500000000000007E-3</v>
      </c>
      <c r="L79" s="82">
        <f>Dashboard!$B$60*G79</f>
        <v>5.6099999999999998E-4</v>
      </c>
      <c r="M79" s="72">
        <f>Dashboard!$B$75*G79</f>
        <v>682550</v>
      </c>
      <c r="N79" s="78">
        <f>Dashboard!$B$76*G79</f>
        <v>682550</v>
      </c>
      <c r="O79" s="26"/>
    </row>
    <row r="80" spans="1:15" s="10" customFormat="1" x14ac:dyDescent="0.3">
      <c r="A80" s="26" t="s">
        <v>307</v>
      </c>
      <c r="B80" s="28" t="s">
        <v>12</v>
      </c>
      <c r="C80" s="26">
        <v>1078</v>
      </c>
      <c r="D80" s="26">
        <f ca="1">OFFSET(Node_List!$B$2,MATCH(Pipeline!A80,Node_List!$A$2:$A$999,0)-1,0)</f>
        <v>128</v>
      </c>
      <c r="E80" s="10">
        <f ca="1">OFFSET(Node_List!$B$2,MATCH(Pipeline!B80,Node_List!$A$2:$A$999,0)-1,0)</f>
        <v>48</v>
      </c>
      <c r="F80" s="265">
        <v>0</v>
      </c>
      <c r="G80" s="26">
        <v>4.4400000000000004</v>
      </c>
      <c r="H80" s="11">
        <v>600</v>
      </c>
      <c r="I80" s="80">
        <f>PI()*(H80/10^3/2)^2*Dashboard!$B$58*3600*24</f>
        <v>48858.048948628464</v>
      </c>
      <c r="J80" s="71">
        <f>Dashboard!$B$57*(G80*10^3)/(H80/10^3)*Dashboard!$B$58^2/2</f>
        <v>148</v>
      </c>
      <c r="K80" s="81">
        <f>Dashboard!$B$59*G80</f>
        <v>2.2200000000000002E-3</v>
      </c>
      <c r="L80" s="82">
        <f>Dashboard!$B$60*G80</f>
        <v>1.3320000000000001E-4</v>
      </c>
      <c r="M80" s="72">
        <f>Dashboard!$B$75*G80</f>
        <v>162060</v>
      </c>
      <c r="N80" s="78">
        <f>Dashboard!$B$76*G80</f>
        <v>162060</v>
      </c>
      <c r="O80" s="26"/>
    </row>
    <row r="81" spans="1:15" s="10" customFormat="1" x14ac:dyDescent="0.3">
      <c r="A81" s="26" t="s">
        <v>12</v>
      </c>
      <c r="B81" s="28" t="s">
        <v>240</v>
      </c>
      <c r="C81" s="26">
        <v>1079</v>
      </c>
      <c r="D81" s="26">
        <f ca="1">OFFSET(Node_List!$B$2,MATCH(Pipeline!A81,Node_List!$A$2:$A$999,0)-1,0)</f>
        <v>48</v>
      </c>
      <c r="E81" s="10">
        <f ca="1">OFFSET(Node_List!$B$2,MATCH(Pipeline!B81,Node_List!$A$2:$A$999,0)-1,0)</f>
        <v>227</v>
      </c>
      <c r="F81" s="265">
        <v>0</v>
      </c>
      <c r="G81" s="26">
        <v>69.900000000000006</v>
      </c>
      <c r="H81" s="20">
        <v>600</v>
      </c>
      <c r="I81" s="80">
        <f>PI()*(H81/10^3/2)^2*Dashboard!$B$58*3600*24</f>
        <v>48858.048948628464</v>
      </c>
      <c r="J81" s="71">
        <f>Dashboard!$B$57*(G81*10^3)/(H81/10^3)*Dashboard!$B$58^2/2</f>
        <v>2330</v>
      </c>
      <c r="K81" s="81">
        <f>Dashboard!$B$59*G81</f>
        <v>3.4950000000000002E-2</v>
      </c>
      <c r="L81" s="82">
        <f>Dashboard!$B$60*G81</f>
        <v>2.0970000000000003E-3</v>
      </c>
      <c r="M81" s="72">
        <f>Dashboard!$B$75*G81</f>
        <v>2551350</v>
      </c>
      <c r="N81" s="78">
        <f>Dashboard!$B$76*G81</f>
        <v>2551350</v>
      </c>
      <c r="O81" s="26"/>
    </row>
    <row r="82" spans="1:15" x14ac:dyDescent="0.3">
      <c r="A82" s="26" t="s">
        <v>9</v>
      </c>
      <c r="B82" s="28" t="s">
        <v>241</v>
      </c>
      <c r="C82" s="26">
        <v>1080</v>
      </c>
      <c r="D82" s="26">
        <f ca="1">OFFSET(Node_List!$B$2,MATCH(Pipeline!A82,Node_List!$A$2:$A$999,0)-1,0)</f>
        <v>47</v>
      </c>
      <c r="E82" s="10">
        <f ca="1">OFFSET(Node_List!$B$2,MATCH(Pipeline!B82,Node_List!$A$2:$A$999,0)-1,0)</f>
        <v>226</v>
      </c>
      <c r="F82" s="265">
        <v>0</v>
      </c>
      <c r="G82" s="26">
        <v>14.3</v>
      </c>
      <c r="H82" s="20">
        <v>1500</v>
      </c>
      <c r="I82" s="80">
        <f>PI()*(H82/10^3/2)^2*Dashboard!$B$58*3600*24</f>
        <v>305362.80592892785</v>
      </c>
      <c r="J82" s="71">
        <f>Dashboard!$B$57*(G82*10^3)/(H82/10^3)*Dashboard!$B$58^2/2</f>
        <v>190.66666666666666</v>
      </c>
      <c r="K82" s="81">
        <f>Dashboard!$B$59*G82</f>
        <v>7.1500000000000001E-3</v>
      </c>
      <c r="L82" s="82">
        <f>Dashboard!$B$60*G82</f>
        <v>4.2900000000000002E-4</v>
      </c>
      <c r="M82" s="72">
        <f>Dashboard!$B$75*G82</f>
        <v>521950</v>
      </c>
      <c r="N82" s="78">
        <f>Dashboard!$B$76*G82</f>
        <v>521950</v>
      </c>
    </row>
    <row r="83" spans="1:15" x14ac:dyDescent="0.3">
      <c r="A83" s="26" t="s">
        <v>241</v>
      </c>
      <c r="B83" s="28" t="s">
        <v>110</v>
      </c>
      <c r="C83" s="26">
        <v>1081</v>
      </c>
      <c r="D83" s="26">
        <f ca="1">OFFSET(Node_List!$B$2,MATCH(Pipeline!A83,Node_List!$A$2:$A$999,0)-1,0)</f>
        <v>226</v>
      </c>
      <c r="E83" s="10">
        <f ca="1">OFFSET(Node_List!$B$2,MATCH(Pipeline!B83,Node_List!$A$2:$A$999,0)-1,0)</f>
        <v>49</v>
      </c>
      <c r="F83" s="265">
        <v>0</v>
      </c>
      <c r="G83" s="26">
        <v>9.4</v>
      </c>
      <c r="H83" s="20">
        <v>1500</v>
      </c>
      <c r="I83" s="80">
        <f>PI()*(H83/10^3/2)^2*Dashboard!$B$58*3600*24</f>
        <v>305362.80592892785</v>
      </c>
      <c r="J83" s="71">
        <f>Dashboard!$B$57*(G83*10^3)/(H83/10^3)*Dashboard!$B$58^2/2</f>
        <v>125.33333333333333</v>
      </c>
      <c r="K83" s="81">
        <f>Dashboard!$B$59*G83</f>
        <v>4.7000000000000002E-3</v>
      </c>
      <c r="L83" s="82">
        <f>Dashboard!$B$60*G83</f>
        <v>2.8200000000000002E-4</v>
      </c>
      <c r="M83" s="72">
        <f>Dashboard!$B$75*G83</f>
        <v>343100</v>
      </c>
      <c r="N83" s="78">
        <f>Dashboard!$B$76*G83</f>
        <v>343100</v>
      </c>
    </row>
    <row r="84" spans="1:15" x14ac:dyDescent="0.3">
      <c r="A84" s="26" t="s">
        <v>309</v>
      </c>
      <c r="B84" s="28" t="s">
        <v>11</v>
      </c>
      <c r="C84" s="26">
        <v>1082</v>
      </c>
      <c r="D84" s="26">
        <f ca="1">OFFSET(Node_List!$B$2,MATCH(Pipeline!A84,Node_List!$A$2:$A$999,0)-1,0)</f>
        <v>129</v>
      </c>
      <c r="E84" s="10">
        <f ca="1">OFFSET(Node_List!$B$2,MATCH(Pipeline!B84,Node_List!$A$2:$A$999,0)-1,0)</f>
        <v>51</v>
      </c>
      <c r="F84" s="265">
        <v>0</v>
      </c>
      <c r="G84" s="26">
        <v>19</v>
      </c>
      <c r="H84" s="11">
        <v>1500</v>
      </c>
      <c r="I84" s="80">
        <f>PI()*(H84/10^3/2)^2*Dashboard!$B$58*3600*24</f>
        <v>305362.80592892785</v>
      </c>
      <c r="J84" s="71">
        <f>Dashboard!$B$57*(G84*10^3)/(H84/10^3)*Dashboard!$B$58^2/2</f>
        <v>253.33333333333334</v>
      </c>
      <c r="K84" s="81">
        <f>Dashboard!$B$59*G84</f>
        <v>9.4999999999999998E-3</v>
      </c>
      <c r="L84" s="82">
        <f>Dashboard!$B$60*G84</f>
        <v>5.6999999999999998E-4</v>
      </c>
      <c r="M84" s="72">
        <f>Dashboard!$B$75*G84</f>
        <v>693500</v>
      </c>
      <c r="N84" s="78">
        <f>Dashboard!$B$76*G84</f>
        <v>693500</v>
      </c>
    </row>
    <row r="85" spans="1:15" s="10" customFormat="1" x14ac:dyDescent="0.3">
      <c r="A85" s="26" t="s">
        <v>308</v>
      </c>
      <c r="B85" s="28" t="s">
        <v>309</v>
      </c>
      <c r="C85" s="26">
        <v>1083</v>
      </c>
      <c r="D85" s="26">
        <f ca="1">OFFSET(Node_List!$B$2,MATCH(Pipeline!A85,Node_List!$A$2:$A$999,0)-1,0)</f>
        <v>130</v>
      </c>
      <c r="E85" s="10">
        <f ca="1">OFFSET(Node_List!$B$2,MATCH(Pipeline!B85,Node_List!$A$2:$A$999,0)-1,0)</f>
        <v>129</v>
      </c>
      <c r="F85" s="265">
        <v>0</v>
      </c>
      <c r="G85" s="70">
        <v>0</v>
      </c>
      <c r="H85" s="11">
        <v>1500</v>
      </c>
      <c r="I85" s="80">
        <f>PI()*(H85/10^3/2)^2*Dashboard!$B$58*3600*24</f>
        <v>305362.80592892785</v>
      </c>
      <c r="J85" s="71">
        <f>Dashboard!$B$57*(G85*10^3)/(H85/10^3)*Dashboard!$B$58^2/2</f>
        <v>0</v>
      </c>
      <c r="K85" s="81">
        <f>Dashboard!$B$59*G85</f>
        <v>0</v>
      </c>
      <c r="L85" s="82">
        <f>Dashboard!$B$60*G85</f>
        <v>0</v>
      </c>
      <c r="M85" s="72">
        <f>Dashboard!$B$75*G85</f>
        <v>0</v>
      </c>
      <c r="N85" s="78">
        <f>Dashboard!$B$76*G85</f>
        <v>0</v>
      </c>
      <c r="O85" s="26"/>
    </row>
    <row r="86" spans="1:15" s="10" customFormat="1" x14ac:dyDescent="0.3">
      <c r="A86" s="26" t="s">
        <v>11</v>
      </c>
      <c r="B86" s="28" t="s">
        <v>242</v>
      </c>
      <c r="C86" s="26">
        <v>1084</v>
      </c>
      <c r="D86" s="26">
        <f ca="1">OFFSET(Node_List!$B$2,MATCH(Pipeline!A86,Node_List!$A$2:$A$999,0)-1,0)</f>
        <v>51</v>
      </c>
      <c r="E86" s="10">
        <f ca="1">OFFSET(Node_List!$B$2,MATCH(Pipeline!B86,Node_List!$A$2:$A$999,0)-1,0)</f>
        <v>229</v>
      </c>
      <c r="F86" s="265">
        <v>0</v>
      </c>
      <c r="G86" s="26">
        <v>9.1</v>
      </c>
      <c r="H86" s="11">
        <v>1500</v>
      </c>
      <c r="I86" s="80">
        <f>PI()*(H86/10^3/2)^2*Dashboard!$B$58*3600*24</f>
        <v>305362.80592892785</v>
      </c>
      <c r="J86" s="71">
        <f>Dashboard!$B$57*(G86*10^3)/(H86/10^3)*Dashboard!$B$58^2/2</f>
        <v>121.33333333333333</v>
      </c>
      <c r="K86" s="81">
        <f>Dashboard!$B$59*G86</f>
        <v>4.5500000000000002E-3</v>
      </c>
      <c r="L86" s="82">
        <f>Dashboard!$B$60*G86</f>
        <v>2.7300000000000002E-4</v>
      </c>
      <c r="M86" s="72">
        <f>Dashboard!$B$75*G86</f>
        <v>332150</v>
      </c>
      <c r="N86" s="78">
        <f>Dashboard!$B$76*G86</f>
        <v>332150</v>
      </c>
      <c r="O86" s="26"/>
    </row>
    <row r="87" spans="1:15" s="10" customFormat="1" x14ac:dyDescent="0.3">
      <c r="A87" s="26" t="s">
        <v>242</v>
      </c>
      <c r="B87" s="28" t="s">
        <v>243</v>
      </c>
      <c r="C87" s="26">
        <v>1085</v>
      </c>
      <c r="D87" s="26">
        <f ca="1">OFFSET(Node_List!$B$2,MATCH(Pipeline!A87,Node_List!$A$2:$A$999,0)-1,0)</f>
        <v>229</v>
      </c>
      <c r="E87" s="10">
        <f ca="1">OFFSET(Node_List!$B$2,MATCH(Pipeline!B87,Node_List!$A$2:$A$999,0)-1,0)</f>
        <v>230</v>
      </c>
      <c r="F87" s="265">
        <v>0</v>
      </c>
      <c r="G87" s="70">
        <v>0</v>
      </c>
      <c r="H87" s="11">
        <v>1500</v>
      </c>
      <c r="I87" s="80">
        <f>PI()*(H87/10^3/2)^2*Dashboard!$B$58*3600*24</f>
        <v>305362.80592892785</v>
      </c>
      <c r="J87" s="71">
        <f>Dashboard!$B$57*(G87*10^3)/(H87/10^3)*Dashboard!$B$58^2/2</f>
        <v>0</v>
      </c>
      <c r="K87" s="81">
        <f>Dashboard!$B$59*G87</f>
        <v>0</v>
      </c>
      <c r="L87" s="82">
        <f>Dashboard!$B$60*G87</f>
        <v>0</v>
      </c>
      <c r="M87" s="72">
        <f>Dashboard!$B$75*G87</f>
        <v>0</v>
      </c>
      <c r="N87" s="78">
        <f>Dashboard!$B$76*G87</f>
        <v>0</v>
      </c>
      <c r="O87" s="26"/>
    </row>
    <row r="88" spans="1:15" s="10" customFormat="1" x14ac:dyDescent="0.3">
      <c r="A88" s="26" t="s">
        <v>11</v>
      </c>
      <c r="B88" s="28" t="s">
        <v>262</v>
      </c>
      <c r="C88" s="26">
        <v>1086</v>
      </c>
      <c r="D88" s="26">
        <f ca="1">OFFSET(Node_List!$B$2,MATCH(Pipeline!A88,Node_List!$A$2:$A$999,0)-1,0)</f>
        <v>51</v>
      </c>
      <c r="E88" s="10">
        <f ca="1">OFFSET(Node_List!$B$2,MATCH(Pipeline!B88,Node_List!$A$2:$A$999,0)-1,0)</f>
        <v>228</v>
      </c>
      <c r="F88" s="265">
        <v>0</v>
      </c>
      <c r="G88" s="26">
        <v>51.9</v>
      </c>
      <c r="H88" s="11">
        <v>1500</v>
      </c>
      <c r="I88" s="80">
        <f>PI()*(H88/10^3/2)^2*Dashboard!$B$58*3600*24</f>
        <v>305362.80592892785</v>
      </c>
      <c r="J88" s="71">
        <f>Dashboard!$B$57*(G88*10^3)/(H88/10^3)*Dashboard!$B$58^2/2</f>
        <v>692</v>
      </c>
      <c r="K88" s="81">
        <f>Dashboard!$B$59*G88</f>
        <v>2.5950000000000001E-2</v>
      </c>
      <c r="L88" s="82">
        <f>Dashboard!$B$60*G88</f>
        <v>1.557E-3</v>
      </c>
      <c r="M88" s="72">
        <f>Dashboard!$B$75*G88</f>
        <v>1894350</v>
      </c>
      <c r="N88" s="78">
        <f>Dashboard!$B$76*G88</f>
        <v>1894350</v>
      </c>
      <c r="O88" s="26"/>
    </row>
    <row r="89" spans="1:15" s="10" customFormat="1" x14ac:dyDescent="0.3">
      <c r="A89" s="26" t="s">
        <v>11</v>
      </c>
      <c r="B89" s="28" t="s">
        <v>335</v>
      </c>
      <c r="C89" s="26">
        <v>1087</v>
      </c>
      <c r="D89" s="26">
        <f ca="1">OFFSET(Node_List!$B$2,MATCH(Pipeline!A89,Node_List!$A$2:$A$999,0)-1,0)</f>
        <v>51</v>
      </c>
      <c r="E89" s="10">
        <f ca="1">OFFSET(Node_List!$B$2,MATCH(Pipeline!B89,Node_List!$A$2:$A$999,0)-1,0)</f>
        <v>231</v>
      </c>
      <c r="F89" s="265">
        <v>0</v>
      </c>
      <c r="G89" s="26">
        <v>16</v>
      </c>
      <c r="H89" s="11">
        <v>1500</v>
      </c>
      <c r="I89" s="80">
        <f>PI()*(H89/10^3/2)^2*Dashboard!$B$58*3600*24</f>
        <v>305362.80592892785</v>
      </c>
      <c r="J89" s="71">
        <f>Dashboard!$B$57*(G89*10^3)/(H89/10^3)*Dashboard!$B$58^2/2</f>
        <v>213.33333333333334</v>
      </c>
      <c r="K89" s="81">
        <f>Dashboard!$B$59*G89</f>
        <v>8.0000000000000002E-3</v>
      </c>
      <c r="L89" s="82">
        <f>Dashboard!$B$60*G89</f>
        <v>4.8000000000000001E-4</v>
      </c>
      <c r="M89" s="72">
        <f>Dashboard!$B$75*G89</f>
        <v>584000</v>
      </c>
      <c r="N89" s="78">
        <f>Dashboard!$B$76*G89</f>
        <v>584000</v>
      </c>
      <c r="O89" s="26"/>
    </row>
    <row r="90" spans="1:15" s="10" customFormat="1" x14ac:dyDescent="0.3">
      <c r="A90" s="26" t="s">
        <v>335</v>
      </c>
      <c r="B90" s="28" t="s">
        <v>244</v>
      </c>
      <c r="C90" s="26">
        <v>1088</v>
      </c>
      <c r="D90" s="26">
        <f ca="1">OFFSET(Node_List!$B$2,MATCH(Pipeline!A90,Node_List!$A$2:$A$999,0)-1,0)</f>
        <v>231</v>
      </c>
      <c r="E90" s="10">
        <f ca="1">OFFSET(Node_List!$B$2,MATCH(Pipeline!B90,Node_List!$A$2:$A$999,0)-1,0)</f>
        <v>232</v>
      </c>
      <c r="F90" s="265">
        <v>0</v>
      </c>
      <c r="G90" s="70">
        <v>0</v>
      </c>
      <c r="H90" s="11">
        <v>1500</v>
      </c>
      <c r="I90" s="80">
        <f>PI()*(H90/10^3/2)^2*Dashboard!$B$58*3600*24</f>
        <v>305362.80592892785</v>
      </c>
      <c r="J90" s="71">
        <f>Dashboard!$B$57*(G90*10^3)/(H90/10^3)*Dashboard!$B$58^2/2</f>
        <v>0</v>
      </c>
      <c r="K90" s="81">
        <f>Dashboard!$B$59*G90</f>
        <v>0</v>
      </c>
      <c r="L90" s="82">
        <f>Dashboard!$B$60*G90</f>
        <v>0</v>
      </c>
      <c r="M90" s="72">
        <f>Dashboard!$B$75*G90</f>
        <v>0</v>
      </c>
      <c r="N90" s="78">
        <f>Dashboard!$B$76*G90</f>
        <v>0</v>
      </c>
      <c r="O90" s="26"/>
    </row>
    <row r="91" spans="1:15" s="10" customFormat="1" x14ac:dyDescent="0.3">
      <c r="A91" s="26" t="s">
        <v>309</v>
      </c>
      <c r="B91" s="28" t="s">
        <v>245</v>
      </c>
      <c r="C91" s="26">
        <v>1089</v>
      </c>
      <c r="D91" s="26">
        <f ca="1">OFFSET(Node_List!$B$2,MATCH(Pipeline!A91,Node_List!$A$2:$A$999,0)-1,0)</f>
        <v>129</v>
      </c>
      <c r="E91" s="10">
        <f ca="1">OFFSET(Node_List!$B$2,MATCH(Pipeline!B91,Node_List!$A$2:$A$999,0)-1,0)</f>
        <v>233</v>
      </c>
      <c r="F91" s="265">
        <v>0</v>
      </c>
      <c r="G91" s="26">
        <v>19.5</v>
      </c>
      <c r="H91" s="11">
        <v>1500</v>
      </c>
      <c r="I91" s="80">
        <f>PI()*(H91/10^3/2)^2*Dashboard!$B$58*3600*24</f>
        <v>305362.80592892785</v>
      </c>
      <c r="J91" s="71">
        <f>Dashboard!$B$57*(G91*10^3)/(H91/10^3)*Dashboard!$B$58^2/2</f>
        <v>260</v>
      </c>
      <c r="K91" s="81">
        <f>Dashboard!$B$59*G91</f>
        <v>9.75E-3</v>
      </c>
      <c r="L91" s="82">
        <f>Dashboard!$B$60*G91</f>
        <v>5.8500000000000002E-4</v>
      </c>
      <c r="M91" s="72">
        <f>Dashboard!$B$75*G91</f>
        <v>711750</v>
      </c>
      <c r="N91" s="78">
        <f>Dashboard!$B$76*G91</f>
        <v>711750</v>
      </c>
      <c r="O91" s="26"/>
    </row>
    <row r="92" spans="1:15" s="10" customFormat="1" x14ac:dyDescent="0.3">
      <c r="A92" s="26" t="s">
        <v>309</v>
      </c>
      <c r="B92" s="28" t="s">
        <v>55</v>
      </c>
      <c r="C92" s="26">
        <v>1090</v>
      </c>
      <c r="D92" s="26">
        <f ca="1">OFFSET(Node_List!$B$2,MATCH(Pipeline!A92,Node_List!$A$2:$A$999,0)-1,0)</f>
        <v>129</v>
      </c>
      <c r="E92" s="10">
        <f ca="1">OFFSET(Node_List!$B$2,MATCH(Pipeline!B92,Node_List!$A$2:$A$999,0)-1,0)</f>
        <v>53</v>
      </c>
      <c r="F92" s="265">
        <v>0</v>
      </c>
      <c r="G92" s="26">
        <v>36</v>
      </c>
      <c r="H92" s="11">
        <v>1500</v>
      </c>
      <c r="I92" s="80">
        <f>PI()*(H92/10^3/2)^2*Dashboard!$B$58*3600*24</f>
        <v>305362.80592892785</v>
      </c>
      <c r="J92" s="71">
        <f>Dashboard!$B$57*(G92*10^3)/(H92/10^3)*Dashboard!$B$58^2/2</f>
        <v>480</v>
      </c>
      <c r="K92" s="81">
        <f>Dashboard!$B$59*G92</f>
        <v>1.8000000000000002E-2</v>
      </c>
      <c r="L92" s="82">
        <f>Dashboard!$B$60*G92</f>
        <v>1.08E-3</v>
      </c>
      <c r="M92" s="72">
        <f>Dashboard!$B$75*G92</f>
        <v>1314000</v>
      </c>
      <c r="N92" s="78">
        <f>Dashboard!$B$76*G92</f>
        <v>1314000</v>
      </c>
      <c r="O92" s="26"/>
    </row>
    <row r="93" spans="1:15" s="10" customFormat="1" x14ac:dyDescent="0.3">
      <c r="A93" s="26" t="s">
        <v>245</v>
      </c>
      <c r="B93" s="28" t="s">
        <v>249</v>
      </c>
      <c r="C93" s="26">
        <v>1091</v>
      </c>
      <c r="D93" s="26">
        <f ca="1">OFFSET(Node_List!$B$2,MATCH(Pipeline!A93,Node_List!$A$2:$A$999,0)-1,0)</f>
        <v>233</v>
      </c>
      <c r="E93" s="10">
        <f ca="1">OFFSET(Node_List!$B$2,MATCH(Pipeline!B93,Node_List!$A$2:$A$999,0)-1,0)</f>
        <v>237</v>
      </c>
      <c r="F93" s="265">
        <v>0</v>
      </c>
      <c r="G93" s="26">
        <v>10.5</v>
      </c>
      <c r="H93" s="11">
        <v>1500</v>
      </c>
      <c r="I93" s="80">
        <f>PI()*(H93/10^3/2)^2*Dashboard!$B$58*3600*24</f>
        <v>305362.80592892785</v>
      </c>
      <c r="J93" s="71">
        <f>Dashboard!$B$57*(G93*10^3)/(H93/10^3)*Dashboard!$B$58^2/2</f>
        <v>140</v>
      </c>
      <c r="K93" s="81">
        <f>Dashboard!$B$59*G93</f>
        <v>5.2500000000000003E-3</v>
      </c>
      <c r="L93" s="82">
        <f>Dashboard!$B$60*G93</f>
        <v>3.1500000000000001E-4</v>
      </c>
      <c r="M93" s="72">
        <f>Dashboard!$B$75*G93</f>
        <v>383250</v>
      </c>
      <c r="N93" s="78">
        <f>Dashboard!$B$76*G93</f>
        <v>383250</v>
      </c>
      <c r="O93" s="26"/>
    </row>
    <row r="94" spans="1:15" s="10" customFormat="1" x14ac:dyDescent="0.3">
      <c r="A94" s="26" t="s">
        <v>246</v>
      </c>
      <c r="B94" s="28" t="s">
        <v>249</v>
      </c>
      <c r="C94" s="26">
        <v>1092</v>
      </c>
      <c r="D94" s="26">
        <f ca="1">OFFSET(Node_List!$B$2,MATCH(Pipeline!A94,Node_List!$A$2:$A$999,0)-1,0)</f>
        <v>234</v>
      </c>
      <c r="E94" s="10">
        <f ca="1">OFFSET(Node_List!$B$2,MATCH(Pipeline!B94,Node_List!$A$2:$A$999,0)-1,0)</f>
        <v>237</v>
      </c>
      <c r="F94" s="265">
        <v>0</v>
      </c>
      <c r="G94" s="26">
        <v>10.4</v>
      </c>
      <c r="H94" s="11">
        <v>1500</v>
      </c>
      <c r="I94" s="80">
        <f>PI()*(H94/10^3/2)^2*Dashboard!$B$58*3600*24</f>
        <v>305362.80592892785</v>
      </c>
      <c r="J94" s="71">
        <f>Dashboard!$B$57*(G94*10^3)/(H94/10^3)*Dashboard!$B$58^2/2</f>
        <v>138.66666666666666</v>
      </c>
      <c r="K94" s="81">
        <f>Dashboard!$B$59*G94</f>
        <v>5.2000000000000006E-3</v>
      </c>
      <c r="L94" s="82">
        <f>Dashboard!$B$60*G94</f>
        <v>3.1199999999999999E-4</v>
      </c>
      <c r="M94" s="72">
        <f>Dashboard!$B$75*G94</f>
        <v>379600</v>
      </c>
      <c r="N94" s="78">
        <f>Dashboard!$B$76*G94</f>
        <v>379600</v>
      </c>
      <c r="O94" s="26"/>
    </row>
    <row r="95" spans="1:15" s="10" customFormat="1" x14ac:dyDescent="0.3">
      <c r="A95" s="26" t="s">
        <v>247</v>
      </c>
      <c r="B95" s="28" t="s">
        <v>246</v>
      </c>
      <c r="C95" s="26">
        <v>1093</v>
      </c>
      <c r="D95" s="26">
        <f ca="1">OFFSET(Node_List!$B$2,MATCH(Pipeline!A95,Node_List!$A$2:$A$999,0)-1,0)</f>
        <v>235</v>
      </c>
      <c r="E95" s="10">
        <f ca="1">OFFSET(Node_List!$B$2,MATCH(Pipeline!B95,Node_List!$A$2:$A$999,0)-1,0)</f>
        <v>234</v>
      </c>
      <c r="F95" s="265">
        <v>0</v>
      </c>
      <c r="G95" s="70">
        <v>0</v>
      </c>
      <c r="H95" s="11">
        <v>1500</v>
      </c>
      <c r="I95" s="80">
        <f>PI()*(H95/10^3/2)^2*Dashboard!$B$58*3600*24</f>
        <v>305362.80592892785</v>
      </c>
      <c r="J95" s="71">
        <f>Dashboard!$B$57*(G95*10^3)/(H95/10^3)*Dashboard!$B$58^2/2</f>
        <v>0</v>
      </c>
      <c r="K95" s="81">
        <f>Dashboard!$B$59*G95</f>
        <v>0</v>
      </c>
      <c r="L95" s="82">
        <f>Dashboard!$B$60*G95</f>
        <v>0</v>
      </c>
      <c r="M95" s="72">
        <f>Dashboard!$B$75*G95</f>
        <v>0</v>
      </c>
      <c r="N95" s="78">
        <f>Dashboard!$B$76*G95</f>
        <v>0</v>
      </c>
      <c r="O95" s="26"/>
    </row>
    <row r="96" spans="1:15" s="10" customFormat="1" x14ac:dyDescent="0.3">
      <c r="A96" s="26" t="s">
        <v>248</v>
      </c>
      <c r="B96" s="28" t="s">
        <v>246</v>
      </c>
      <c r="C96" s="26">
        <v>1094</v>
      </c>
      <c r="D96" s="26">
        <f ca="1">OFFSET(Node_List!$B$2,MATCH(Pipeline!A96,Node_List!$A$2:$A$999,0)-1,0)</f>
        <v>236</v>
      </c>
      <c r="E96" s="10">
        <f ca="1">OFFSET(Node_List!$B$2,MATCH(Pipeline!B96,Node_List!$A$2:$A$999,0)-1,0)</f>
        <v>234</v>
      </c>
      <c r="F96" s="265">
        <v>0</v>
      </c>
      <c r="G96" s="70">
        <v>0</v>
      </c>
      <c r="H96" s="11">
        <v>1500</v>
      </c>
      <c r="I96" s="80">
        <f>PI()*(H96/10^3/2)^2*Dashboard!$B$58*3600*24</f>
        <v>305362.80592892785</v>
      </c>
      <c r="J96" s="71">
        <f>Dashboard!$B$57*(G96*10^3)/(H96/10^3)*Dashboard!$B$58^2/2</f>
        <v>0</v>
      </c>
      <c r="K96" s="81">
        <f>Dashboard!$B$59*G96</f>
        <v>0</v>
      </c>
      <c r="L96" s="82">
        <f>Dashboard!$B$60*G96</f>
        <v>0</v>
      </c>
      <c r="M96" s="72">
        <f>Dashboard!$B$75*G96</f>
        <v>0</v>
      </c>
      <c r="N96" s="78">
        <f>Dashboard!$B$76*G96</f>
        <v>0</v>
      </c>
      <c r="O96" s="26"/>
    </row>
    <row r="97" spans="1:15" s="10" customFormat="1" x14ac:dyDescent="0.3">
      <c r="A97" s="26" t="s">
        <v>246</v>
      </c>
      <c r="B97" s="28" t="s">
        <v>17</v>
      </c>
      <c r="C97" s="26">
        <v>1095</v>
      </c>
      <c r="D97" s="26">
        <f ca="1">OFFSET(Node_List!$B$2,MATCH(Pipeline!A97,Node_List!$A$2:$A$999,0)-1,0)</f>
        <v>234</v>
      </c>
      <c r="E97" s="10">
        <f ca="1">OFFSET(Node_List!$B$2,MATCH(Pipeline!B97,Node_List!$A$2:$A$999,0)-1,0)</f>
        <v>52</v>
      </c>
      <c r="F97" s="265">
        <v>0</v>
      </c>
      <c r="G97" s="26">
        <v>13.7</v>
      </c>
      <c r="H97" s="11">
        <v>1500</v>
      </c>
      <c r="I97" s="80">
        <f>PI()*(H97/10^3/2)^2*Dashboard!$B$58*3600*24</f>
        <v>305362.80592892785</v>
      </c>
      <c r="J97" s="71">
        <f>Dashboard!$B$57*(G97*10^3)/(H97/10^3)*Dashboard!$B$58^2/2</f>
        <v>182.66666666666666</v>
      </c>
      <c r="K97" s="81">
        <f>Dashboard!$B$59*G97</f>
        <v>6.8500000000000002E-3</v>
      </c>
      <c r="L97" s="82">
        <f>Dashboard!$B$60*G97</f>
        <v>4.1100000000000002E-4</v>
      </c>
      <c r="M97" s="72">
        <f>Dashboard!$B$75*G97</f>
        <v>500050</v>
      </c>
      <c r="N97" s="78">
        <f>Dashboard!$B$76*G97</f>
        <v>500050</v>
      </c>
      <c r="O97" s="26"/>
    </row>
    <row r="98" spans="1:15" s="10" customFormat="1" x14ac:dyDescent="0.3">
      <c r="A98" s="26" t="s">
        <v>17</v>
      </c>
      <c r="B98" s="28" t="s">
        <v>250</v>
      </c>
      <c r="C98" s="26">
        <v>1096</v>
      </c>
      <c r="D98" s="26">
        <f ca="1">OFFSET(Node_List!$B$2,MATCH(Pipeline!A98,Node_List!$A$2:$A$999,0)-1,0)</f>
        <v>52</v>
      </c>
      <c r="E98" s="10">
        <f ca="1">OFFSET(Node_List!$B$2,MATCH(Pipeline!B98,Node_List!$A$2:$A$999,0)-1,0)</f>
        <v>238</v>
      </c>
      <c r="F98" s="265">
        <v>0</v>
      </c>
      <c r="G98" s="26">
        <v>5.7</v>
      </c>
      <c r="H98" s="11">
        <v>1500</v>
      </c>
      <c r="I98" s="80">
        <f>PI()*(H98/10^3/2)^2*Dashboard!$B$58*3600*24</f>
        <v>305362.80592892785</v>
      </c>
      <c r="J98" s="71">
        <f>Dashboard!$B$57*(G98*10^3)/(H98/10^3)*Dashboard!$B$58^2/2</f>
        <v>76</v>
      </c>
      <c r="K98" s="81">
        <f>Dashboard!$B$59*G98</f>
        <v>2.8500000000000001E-3</v>
      </c>
      <c r="L98" s="82">
        <f>Dashboard!$B$60*G98</f>
        <v>1.7100000000000001E-4</v>
      </c>
      <c r="M98" s="72">
        <f>Dashboard!$B$75*G98</f>
        <v>208050</v>
      </c>
      <c r="N98" s="78">
        <f>Dashboard!$B$76*G98</f>
        <v>208050</v>
      </c>
      <c r="O98" s="26"/>
    </row>
    <row r="99" spans="1:15" s="10" customFormat="1" x14ac:dyDescent="0.3">
      <c r="A99" s="26" t="s">
        <v>249</v>
      </c>
      <c r="B99" s="28" t="s">
        <v>55</v>
      </c>
      <c r="C99" s="26">
        <v>1097</v>
      </c>
      <c r="D99" s="26">
        <f ca="1">OFFSET(Node_List!$B$2,MATCH(Pipeline!A99,Node_List!$A$2:$A$999,0)-1,0)</f>
        <v>237</v>
      </c>
      <c r="E99" s="10">
        <f ca="1">OFFSET(Node_List!$B$2,MATCH(Pipeline!B99,Node_List!$A$2:$A$999,0)-1,0)</f>
        <v>53</v>
      </c>
      <c r="F99" s="265">
        <v>0</v>
      </c>
      <c r="G99" s="26">
        <v>19.600000000000001</v>
      </c>
      <c r="H99" s="11">
        <v>1500</v>
      </c>
      <c r="I99" s="80">
        <f>PI()*(H99/10^3/2)^2*Dashboard!$B$58*3600*24</f>
        <v>305362.80592892785</v>
      </c>
      <c r="J99" s="71">
        <f>Dashboard!$B$57*(G99*10^3)/(H99/10^3)*Dashboard!$B$58^2/2</f>
        <v>261.33333333333331</v>
      </c>
      <c r="K99" s="81">
        <f>Dashboard!$B$59*G99</f>
        <v>9.8000000000000014E-3</v>
      </c>
      <c r="L99" s="82">
        <f>Dashboard!$B$60*G99</f>
        <v>5.8800000000000009E-4</v>
      </c>
      <c r="M99" s="72">
        <f>Dashboard!$B$75*G99</f>
        <v>715400</v>
      </c>
      <c r="N99" s="78">
        <f>Dashboard!$B$76*G99</f>
        <v>715400</v>
      </c>
      <c r="O99" s="26"/>
    </row>
    <row r="100" spans="1:15" s="10" customFormat="1" x14ac:dyDescent="0.3">
      <c r="A100" s="26" t="s">
        <v>297</v>
      </c>
      <c r="B100" s="28" t="s">
        <v>298</v>
      </c>
      <c r="C100" s="26">
        <v>1098</v>
      </c>
      <c r="D100" s="26">
        <f ca="1">OFFSET(Node_List!$B$2,MATCH(Pipeline!A100,Node_List!$A$2:$A$999,0)-1,0)</f>
        <v>131</v>
      </c>
      <c r="E100" s="10">
        <f ca="1">OFFSET(Node_List!$B$2,MATCH(Pipeline!B100,Node_List!$A$2:$A$999,0)-1,0)</f>
        <v>132</v>
      </c>
      <c r="F100" s="265">
        <v>0</v>
      </c>
      <c r="G100" s="26">
        <v>0</v>
      </c>
      <c r="H100" s="11">
        <v>1500</v>
      </c>
      <c r="I100" s="80">
        <f>PI()*(H100/10^3/2)^2*Dashboard!$B$58*3600*24</f>
        <v>305362.80592892785</v>
      </c>
      <c r="J100" s="71">
        <f>Dashboard!$B$57*(G100*10^3)/(H100/10^3)*Dashboard!$B$58^2/2</f>
        <v>0</v>
      </c>
      <c r="K100" s="81">
        <f>Dashboard!$B$59*G100</f>
        <v>0</v>
      </c>
      <c r="L100" s="82">
        <f>Dashboard!$B$60*G100</f>
        <v>0</v>
      </c>
      <c r="M100" s="72">
        <f>Dashboard!$B$75*G100</f>
        <v>0</v>
      </c>
      <c r="N100" s="78">
        <f>Dashboard!$B$76*G100</f>
        <v>0</v>
      </c>
      <c r="O100" s="26"/>
    </row>
    <row r="101" spans="1:15" s="10" customFormat="1" x14ac:dyDescent="0.3">
      <c r="A101" s="26" t="s">
        <v>298</v>
      </c>
      <c r="B101" s="28" t="s">
        <v>64</v>
      </c>
      <c r="C101" s="26">
        <v>1099</v>
      </c>
      <c r="D101" s="26">
        <f ca="1">OFFSET(Node_List!$B$2,MATCH(Pipeline!A101,Node_List!$A$2:$A$999,0)-1,0)</f>
        <v>132</v>
      </c>
      <c r="E101" s="10">
        <f ca="1">OFFSET(Node_List!$B$2,MATCH(Pipeline!B101,Node_List!$A$2:$A$999,0)-1,0)</f>
        <v>60</v>
      </c>
      <c r="F101" s="265">
        <v>0</v>
      </c>
      <c r="G101" s="26">
        <v>13.9</v>
      </c>
      <c r="H101" s="11">
        <v>1500</v>
      </c>
      <c r="I101" s="80">
        <f>PI()*(H101/10^3/2)^2*Dashboard!$B$58*3600*24</f>
        <v>305362.80592892785</v>
      </c>
      <c r="J101" s="71">
        <f>Dashboard!$B$57*(G101*10^3)/(H101/10^3)*Dashboard!$B$58^2/2</f>
        <v>185.33333333333334</v>
      </c>
      <c r="K101" s="81">
        <f>Dashboard!$B$59*G101</f>
        <v>6.9500000000000004E-3</v>
      </c>
      <c r="L101" s="82">
        <f>Dashboard!$B$60*G101</f>
        <v>4.17E-4</v>
      </c>
      <c r="M101" s="72">
        <f>Dashboard!$B$75*G101</f>
        <v>507350</v>
      </c>
      <c r="N101" s="78">
        <f>Dashboard!$B$76*G101</f>
        <v>507350</v>
      </c>
      <c r="O101" s="26"/>
    </row>
    <row r="102" spans="1:15" s="10" customFormat="1" x14ac:dyDescent="0.3">
      <c r="A102" s="26" t="s">
        <v>64</v>
      </c>
      <c r="B102" s="28" t="s">
        <v>23</v>
      </c>
      <c r="C102" s="26">
        <v>1100</v>
      </c>
      <c r="D102" s="26">
        <f ca="1">OFFSET(Node_List!$B$2,MATCH(Pipeline!A102,Node_List!$A$2:$A$999,0)-1,0)</f>
        <v>60</v>
      </c>
      <c r="E102" s="10">
        <f ca="1">OFFSET(Node_List!$B$2,MATCH(Pipeline!B102,Node_List!$A$2:$A$999,0)-1,0)</f>
        <v>59</v>
      </c>
      <c r="F102" s="265">
        <v>0</v>
      </c>
      <c r="G102" s="26">
        <v>13.2</v>
      </c>
      <c r="H102" s="11">
        <v>1500</v>
      </c>
      <c r="I102" s="80">
        <f>PI()*(H102/10^3/2)^2*Dashboard!$B$58*3600*24</f>
        <v>305362.80592892785</v>
      </c>
      <c r="J102" s="71">
        <f>Dashboard!$B$57*(G102*10^3)/(H102/10^3)*Dashboard!$B$58^2/2</f>
        <v>176</v>
      </c>
      <c r="K102" s="81">
        <f>Dashboard!$B$59*G102</f>
        <v>6.6E-3</v>
      </c>
      <c r="L102" s="82">
        <f>Dashboard!$B$60*G102</f>
        <v>3.9599999999999998E-4</v>
      </c>
      <c r="M102" s="72">
        <f>Dashboard!$B$75*G102</f>
        <v>481800</v>
      </c>
      <c r="N102" s="78">
        <f>Dashboard!$B$76*G102</f>
        <v>481800</v>
      </c>
      <c r="O102" s="26"/>
    </row>
    <row r="103" spans="1:15" s="10" customFormat="1" x14ac:dyDescent="0.3">
      <c r="A103" s="26" t="s">
        <v>23</v>
      </c>
      <c r="B103" s="28" t="s">
        <v>251</v>
      </c>
      <c r="C103" s="26">
        <v>1101</v>
      </c>
      <c r="D103" s="26">
        <f ca="1">OFFSET(Node_List!$B$2,MATCH(Pipeline!A103,Node_List!$A$2:$A$999,0)-1,0)</f>
        <v>59</v>
      </c>
      <c r="E103" s="10">
        <f ca="1">OFFSET(Node_List!$B$2,MATCH(Pipeline!B103,Node_List!$A$2:$A$999,0)-1,0)</f>
        <v>239</v>
      </c>
      <c r="F103" s="265">
        <v>0</v>
      </c>
      <c r="G103" s="26">
        <v>13.2</v>
      </c>
      <c r="H103" s="11">
        <v>1500</v>
      </c>
      <c r="I103" s="80">
        <f>PI()*(H103/10^3/2)^2*Dashboard!$B$58*3600*24</f>
        <v>305362.80592892785</v>
      </c>
      <c r="J103" s="71">
        <f>Dashboard!$B$57*(G103*10^3)/(H103/10^3)*Dashboard!$B$58^2/2</f>
        <v>176</v>
      </c>
      <c r="K103" s="81">
        <f>Dashboard!$B$59*G103</f>
        <v>6.6E-3</v>
      </c>
      <c r="L103" s="82">
        <f>Dashboard!$B$60*G103</f>
        <v>3.9599999999999998E-4</v>
      </c>
      <c r="M103" s="72">
        <f>Dashboard!$B$75*G103</f>
        <v>481800</v>
      </c>
      <c r="N103" s="78">
        <f>Dashboard!$B$76*G103</f>
        <v>481800</v>
      </c>
      <c r="O103" s="26"/>
    </row>
    <row r="104" spans="1:15" s="10" customFormat="1" x14ac:dyDescent="0.3">
      <c r="A104" s="26" t="s">
        <v>251</v>
      </c>
      <c r="B104" s="28" t="s">
        <v>7</v>
      </c>
      <c r="C104" s="26">
        <v>1102</v>
      </c>
      <c r="D104" s="26">
        <f ca="1">OFFSET(Node_List!$B$2,MATCH(Pipeline!A104,Node_List!$A$2:$A$999,0)-1,0)</f>
        <v>239</v>
      </c>
      <c r="E104" s="10">
        <f ca="1">OFFSET(Node_List!$B$2,MATCH(Pipeline!B104,Node_List!$A$2:$A$999,0)-1,0)</f>
        <v>58</v>
      </c>
      <c r="F104" s="265">
        <v>0</v>
      </c>
      <c r="G104" s="26">
        <v>15.8</v>
      </c>
      <c r="H104" s="11">
        <v>1500</v>
      </c>
      <c r="I104" s="80">
        <f>PI()*(H104/10^3/2)^2*Dashboard!$B$58*3600*24</f>
        <v>305362.80592892785</v>
      </c>
      <c r="J104" s="71">
        <f>Dashboard!$B$57*(G104*10^3)/(H104/10^3)*Dashboard!$B$58^2/2</f>
        <v>210.66666666666666</v>
      </c>
      <c r="K104" s="81">
        <f>Dashboard!$B$59*G104</f>
        <v>7.9000000000000008E-3</v>
      </c>
      <c r="L104" s="82">
        <f>Dashboard!$B$60*G104</f>
        <v>4.7400000000000003E-4</v>
      </c>
      <c r="M104" s="72">
        <f>Dashboard!$B$75*G104</f>
        <v>576700</v>
      </c>
      <c r="N104" s="78">
        <f>Dashboard!$B$76*G104</f>
        <v>576700</v>
      </c>
      <c r="O104" s="26"/>
    </row>
    <row r="105" spans="1:15" s="10" customFormat="1" x14ac:dyDescent="0.3">
      <c r="A105" s="26" t="s">
        <v>64</v>
      </c>
      <c r="B105" s="28" t="s">
        <v>19</v>
      </c>
      <c r="C105" s="26">
        <v>1103</v>
      </c>
      <c r="D105" s="26">
        <f ca="1">OFFSET(Node_List!$B$2,MATCH(Pipeline!A105,Node_List!$A$2:$A$999,0)-1,0)</f>
        <v>60</v>
      </c>
      <c r="E105" s="10">
        <f ca="1">OFFSET(Node_List!$B$2,MATCH(Pipeline!B105,Node_List!$A$2:$A$999,0)-1,0)</f>
        <v>57</v>
      </c>
      <c r="F105" s="265">
        <v>0</v>
      </c>
      <c r="G105" s="26">
        <v>31.6</v>
      </c>
      <c r="H105" s="11">
        <v>1500</v>
      </c>
      <c r="I105" s="80">
        <f>PI()*(H105/10^3/2)^2*Dashboard!$B$58*3600*24</f>
        <v>305362.80592892785</v>
      </c>
      <c r="J105" s="71">
        <f>Dashboard!$B$57*(G105*10^3)/(H105/10^3)*Dashboard!$B$58^2/2</f>
        <v>421.33333333333331</v>
      </c>
      <c r="K105" s="81">
        <f>Dashboard!$B$59*G105</f>
        <v>1.5800000000000002E-2</v>
      </c>
      <c r="L105" s="82">
        <f>Dashboard!$B$60*G105</f>
        <v>9.4800000000000006E-4</v>
      </c>
      <c r="M105" s="72">
        <f>Dashboard!$B$75*G105</f>
        <v>1153400</v>
      </c>
      <c r="N105" s="78">
        <f>Dashboard!$B$76*G105</f>
        <v>1153400</v>
      </c>
      <c r="O105" s="26"/>
    </row>
    <row r="106" spans="1:15" s="10" customFormat="1" x14ac:dyDescent="0.3">
      <c r="A106" s="26" t="s">
        <v>251</v>
      </c>
      <c r="B106" s="10" t="s">
        <v>19</v>
      </c>
      <c r="C106" s="26">
        <v>1104</v>
      </c>
      <c r="D106" s="26">
        <f ca="1">OFFSET(Node_List!$B$2,MATCH(Pipeline!A106,Node_List!$A$2:$A$999,0)-1,0)</f>
        <v>239</v>
      </c>
      <c r="E106" s="10">
        <f ca="1">OFFSET(Node_List!$B$2,MATCH(Pipeline!B106,Node_List!$A$2:$A$999,0)-1,0)</f>
        <v>57</v>
      </c>
      <c r="F106" s="265">
        <v>0</v>
      </c>
      <c r="G106" s="26">
        <v>13.9</v>
      </c>
      <c r="H106" s="11">
        <v>1500</v>
      </c>
      <c r="I106" s="80">
        <f>PI()*(H106/10^3/2)^2*Dashboard!$B$58*3600*24</f>
        <v>305362.80592892785</v>
      </c>
      <c r="J106" s="71">
        <f>Dashboard!$B$57*(G106*10^3)/(H106/10^3)*Dashboard!$B$58^2/2</f>
        <v>185.33333333333334</v>
      </c>
      <c r="K106" s="81">
        <f>Dashboard!$B$59*G106</f>
        <v>6.9500000000000004E-3</v>
      </c>
      <c r="L106" s="82">
        <f>Dashboard!$B$60*G106</f>
        <v>4.17E-4</v>
      </c>
      <c r="M106" s="72">
        <f>Dashboard!$B$75*G106</f>
        <v>507350</v>
      </c>
      <c r="N106" s="78">
        <f>Dashboard!$B$76*G106</f>
        <v>507350</v>
      </c>
      <c r="O106" s="26"/>
    </row>
    <row r="107" spans="1:15" s="10" customFormat="1" x14ac:dyDescent="0.3">
      <c r="A107" s="26" t="s">
        <v>7</v>
      </c>
      <c r="B107" s="10" t="s">
        <v>19</v>
      </c>
      <c r="C107" s="26">
        <v>1105</v>
      </c>
      <c r="D107" s="26">
        <f ca="1">OFFSET(Node_List!$B$2,MATCH(Pipeline!A107,Node_List!$A$2:$A$999,0)-1,0)</f>
        <v>58</v>
      </c>
      <c r="E107" s="10">
        <f ca="1">OFFSET(Node_List!$B$2,MATCH(Pipeline!B107,Node_List!$A$2:$A$999,0)-1,0)</f>
        <v>57</v>
      </c>
      <c r="F107" s="265">
        <v>0</v>
      </c>
      <c r="G107" s="26">
        <v>14.6</v>
      </c>
      <c r="H107" s="11">
        <v>1500</v>
      </c>
      <c r="I107" s="80">
        <f>PI()*(H107/10^3/2)^2*Dashboard!$B$58*3600*24</f>
        <v>305362.80592892785</v>
      </c>
      <c r="J107" s="71">
        <f>Dashboard!$B$57*(G107*10^3)/(H107/10^3)*Dashboard!$B$58^2/2</f>
        <v>194.66666666666666</v>
      </c>
      <c r="K107" s="81">
        <f>Dashboard!$B$59*G107</f>
        <v>7.3000000000000001E-3</v>
      </c>
      <c r="L107" s="82">
        <f>Dashboard!$B$60*G107</f>
        <v>4.3800000000000002E-4</v>
      </c>
      <c r="M107" s="72">
        <f>Dashboard!$B$75*G107</f>
        <v>532900</v>
      </c>
      <c r="N107" s="78">
        <f>Dashboard!$B$76*G107</f>
        <v>532900</v>
      </c>
      <c r="O107" s="26"/>
    </row>
    <row r="108" spans="1:15" s="10" customFormat="1" x14ac:dyDescent="0.3">
      <c r="A108" s="26" t="s">
        <v>19</v>
      </c>
      <c r="B108" s="10" t="s">
        <v>201</v>
      </c>
      <c r="C108" s="26">
        <v>1106</v>
      </c>
      <c r="D108" s="26">
        <f ca="1">OFFSET(Node_List!$B$2,MATCH(Pipeline!A108,Node_List!$A$2:$A$999,0)-1,0)</f>
        <v>57</v>
      </c>
      <c r="E108" s="10">
        <f ca="1">OFFSET(Node_List!$B$2,MATCH(Pipeline!B108,Node_List!$A$2:$A$999,0)-1,0)</f>
        <v>56</v>
      </c>
      <c r="F108" s="265">
        <v>0</v>
      </c>
      <c r="G108" s="26">
        <v>5.8</v>
      </c>
      <c r="H108" s="11">
        <v>1500</v>
      </c>
      <c r="I108" s="80">
        <f>PI()*(H108/10^3/2)^2*Dashboard!$B$58*3600*24</f>
        <v>305362.80592892785</v>
      </c>
      <c r="J108" s="71">
        <f>Dashboard!$B$57*(G108*10^3)/(H108/10^3)*Dashboard!$B$58^2/2</f>
        <v>77.333333333333329</v>
      </c>
      <c r="K108" s="81">
        <f>Dashboard!$B$59*G108</f>
        <v>2.8999999999999998E-3</v>
      </c>
      <c r="L108" s="82">
        <f>Dashboard!$B$60*G108</f>
        <v>1.74E-4</v>
      </c>
      <c r="M108" s="72">
        <f>Dashboard!$B$75*G108</f>
        <v>211700</v>
      </c>
      <c r="N108" s="78">
        <f>Dashboard!$B$76*G108</f>
        <v>211700</v>
      </c>
      <c r="O108" s="26"/>
    </row>
    <row r="109" spans="1:15" s="10" customFormat="1" x14ac:dyDescent="0.3">
      <c r="A109" s="26" t="s">
        <v>201</v>
      </c>
      <c r="B109" s="10" t="s">
        <v>16</v>
      </c>
      <c r="C109" s="26">
        <v>1107</v>
      </c>
      <c r="D109" s="26">
        <f ca="1">OFFSET(Node_List!$B$2,MATCH(Pipeline!A109,Node_List!$A$2:$A$999,0)-1,0)</f>
        <v>56</v>
      </c>
      <c r="E109" s="10">
        <f ca="1">OFFSET(Node_List!$B$2,MATCH(Pipeline!B109,Node_List!$A$2:$A$999,0)-1,0)</f>
        <v>55</v>
      </c>
      <c r="F109" s="265">
        <v>0</v>
      </c>
      <c r="G109" s="26">
        <v>6</v>
      </c>
      <c r="H109" s="11">
        <v>1500</v>
      </c>
      <c r="I109" s="80">
        <f>PI()*(H109/10^3/2)^2*Dashboard!$B$58*3600*24</f>
        <v>305362.80592892785</v>
      </c>
      <c r="J109" s="71">
        <f>Dashboard!$B$57*(G109*10^3)/(H109/10^3)*Dashboard!$B$58^2/2</f>
        <v>80</v>
      </c>
      <c r="K109" s="81">
        <f>Dashboard!$B$59*G109</f>
        <v>3.0000000000000001E-3</v>
      </c>
      <c r="L109" s="82">
        <f>Dashboard!$B$60*G109</f>
        <v>1.8000000000000001E-4</v>
      </c>
      <c r="M109" s="72">
        <f>Dashboard!$B$75*G109</f>
        <v>219000</v>
      </c>
      <c r="N109" s="78">
        <f>Dashboard!$B$76*G109</f>
        <v>219000</v>
      </c>
      <c r="O109" s="26"/>
    </row>
    <row r="110" spans="1:15" s="10" customFormat="1" x14ac:dyDescent="0.3">
      <c r="A110" s="26" t="s">
        <v>16</v>
      </c>
      <c r="B110" s="10" t="s">
        <v>203</v>
      </c>
      <c r="C110" s="26">
        <v>1108</v>
      </c>
      <c r="D110" s="26">
        <f ca="1">OFFSET(Node_List!$B$2,MATCH(Pipeline!A110,Node_List!$A$2:$A$999,0)-1,0)</f>
        <v>55</v>
      </c>
      <c r="E110" s="10">
        <f ca="1">OFFSET(Node_List!$B$2,MATCH(Pipeline!B110,Node_List!$A$2:$A$999,0)-1,0)</f>
        <v>54</v>
      </c>
      <c r="F110" s="265">
        <v>0</v>
      </c>
      <c r="G110" s="26">
        <v>8.6</v>
      </c>
      <c r="H110" s="11">
        <v>1500</v>
      </c>
      <c r="I110" s="80">
        <f>PI()*(H110/10^3/2)^2*Dashboard!$B$58*3600*24</f>
        <v>305362.80592892785</v>
      </c>
      <c r="J110" s="71">
        <f>Dashboard!$B$57*(G110*10^3)/(H110/10^3)*Dashboard!$B$58^2/2</f>
        <v>114.66666666666667</v>
      </c>
      <c r="K110" s="81">
        <f>Dashboard!$B$59*G110</f>
        <v>4.3E-3</v>
      </c>
      <c r="L110" s="82">
        <f>Dashboard!$B$60*G110</f>
        <v>2.5799999999999998E-4</v>
      </c>
      <c r="M110" s="72">
        <f>Dashboard!$B$75*G110</f>
        <v>313900</v>
      </c>
      <c r="N110" s="78">
        <f>Dashboard!$B$76*G110</f>
        <v>313900</v>
      </c>
      <c r="O110" s="26"/>
    </row>
    <row r="111" spans="1:15" s="10" customFormat="1" x14ac:dyDescent="0.3">
      <c r="A111" s="26" t="s">
        <v>16</v>
      </c>
      <c r="B111" s="10" t="s">
        <v>55</v>
      </c>
      <c r="C111" s="26">
        <v>1109</v>
      </c>
      <c r="D111" s="26">
        <f ca="1">OFFSET(Node_List!$B$2,MATCH(Pipeline!A111,Node_List!$A$2:$A$999,0)-1,0)</f>
        <v>55</v>
      </c>
      <c r="E111" s="10">
        <f ca="1">OFFSET(Node_List!$B$2,MATCH(Pipeline!B111,Node_List!$A$2:$A$999,0)-1,0)</f>
        <v>53</v>
      </c>
      <c r="F111" s="265">
        <v>0</v>
      </c>
      <c r="G111" s="26">
        <v>12.1</v>
      </c>
      <c r="H111" s="11">
        <v>1500</v>
      </c>
      <c r="I111" s="80">
        <f>PI()*(H111/10^3/2)^2*Dashboard!$B$58*3600*24</f>
        <v>305362.80592892785</v>
      </c>
      <c r="J111" s="71">
        <f>Dashboard!$B$57*(G111*10^3)/(H111/10^3)*Dashboard!$B$58^2/2</f>
        <v>161.33333333333334</v>
      </c>
      <c r="K111" s="81">
        <f>Dashboard!$B$59*G111</f>
        <v>6.0499999999999998E-3</v>
      </c>
      <c r="L111" s="82">
        <f>Dashboard!$B$60*G111</f>
        <v>3.6299999999999999E-4</v>
      </c>
      <c r="M111" s="72">
        <f>Dashboard!$B$75*G111</f>
        <v>441650</v>
      </c>
      <c r="N111" s="78">
        <f>Dashboard!$B$76*G111</f>
        <v>441650</v>
      </c>
      <c r="O111" s="26"/>
    </row>
    <row r="112" spans="1:15" x14ac:dyDescent="0.3">
      <c r="A112" s="26" t="s">
        <v>55</v>
      </c>
      <c r="B112" s="10" t="s">
        <v>17</v>
      </c>
      <c r="C112" s="26">
        <v>1110</v>
      </c>
      <c r="D112" s="26">
        <f ca="1">OFFSET(Node_List!$B$2,MATCH(Pipeline!A112,Node_List!$A$2:$A$999,0)-1,0)</f>
        <v>53</v>
      </c>
      <c r="E112" s="10">
        <f ca="1">OFFSET(Node_List!$B$2,MATCH(Pipeline!B112,Node_List!$A$2:$A$999,0)-1,0)</f>
        <v>52</v>
      </c>
      <c r="F112" s="265">
        <v>0</v>
      </c>
      <c r="G112" s="26">
        <v>21</v>
      </c>
      <c r="H112" s="11">
        <v>1500</v>
      </c>
      <c r="I112" s="80">
        <f>PI()*(H112/10^3/2)^2*Dashboard!$B$58*3600*24</f>
        <v>305362.80592892785</v>
      </c>
      <c r="J112" s="71">
        <f>Dashboard!$B$57*(G112*10^3)/(H112/10^3)*Dashboard!$B$58^2/2</f>
        <v>280</v>
      </c>
      <c r="K112" s="81">
        <f>Dashboard!$B$59*G112</f>
        <v>1.0500000000000001E-2</v>
      </c>
      <c r="L112" s="82">
        <f>Dashboard!$B$60*G112</f>
        <v>6.3000000000000003E-4</v>
      </c>
      <c r="M112" s="72">
        <f>Dashboard!$B$75*G112</f>
        <v>766500</v>
      </c>
      <c r="N112" s="78">
        <f>Dashboard!$B$76*G112</f>
        <v>766500</v>
      </c>
    </row>
    <row r="113" spans="1:15" x14ac:dyDescent="0.3">
      <c r="A113" s="26" t="s">
        <v>298</v>
      </c>
      <c r="B113" s="10" t="s">
        <v>254</v>
      </c>
      <c r="C113" s="26">
        <v>1111</v>
      </c>
      <c r="D113" s="26">
        <f ca="1">OFFSET(Node_List!$B$2,MATCH(Pipeline!A113,Node_List!$A$2:$A$999,0)-1,0)</f>
        <v>132</v>
      </c>
      <c r="E113" s="10">
        <f ca="1">OFFSET(Node_List!$B$2,MATCH(Pipeline!B113,Node_List!$A$2:$A$999,0)-1,0)</f>
        <v>242</v>
      </c>
      <c r="F113" s="265">
        <v>0</v>
      </c>
      <c r="G113" s="26">
        <v>74.5</v>
      </c>
      <c r="H113" s="11">
        <v>1500</v>
      </c>
      <c r="I113" s="80">
        <f>PI()*(H113/10^3/2)^2*Dashboard!$B$58*3600*24</f>
        <v>305362.80592892785</v>
      </c>
      <c r="J113" s="71">
        <f>Dashboard!$B$57*(G113*10^3)/(H113/10^3)*Dashboard!$B$58^2/2</f>
        <v>993.33333333333337</v>
      </c>
      <c r="K113" s="81">
        <f>Dashboard!$B$59*G113</f>
        <v>3.7249999999999998E-2</v>
      </c>
      <c r="L113" s="82">
        <f>Dashboard!$B$60*G113</f>
        <v>2.235E-3</v>
      </c>
      <c r="M113" s="72">
        <f>Dashboard!$B$75*G113</f>
        <v>2719250</v>
      </c>
      <c r="N113" s="78">
        <f>Dashboard!$B$76*G113</f>
        <v>2719250</v>
      </c>
    </row>
    <row r="114" spans="1:15" s="10" customFormat="1" x14ac:dyDescent="0.3">
      <c r="A114" s="26" t="s">
        <v>298</v>
      </c>
      <c r="B114" s="10" t="s">
        <v>5</v>
      </c>
      <c r="C114" s="26">
        <v>1112</v>
      </c>
      <c r="D114" s="26">
        <f ca="1">OFFSET(Node_List!$B$2,MATCH(Pipeline!A114,Node_List!$A$2:$A$999,0)-1,0)</f>
        <v>132</v>
      </c>
      <c r="E114" s="10">
        <f ca="1">OFFSET(Node_List!$B$2,MATCH(Pipeline!B114,Node_List!$A$2:$A$999,0)-1,0)</f>
        <v>61</v>
      </c>
      <c r="F114" s="265">
        <v>0</v>
      </c>
      <c r="G114" s="26">
        <v>68.8</v>
      </c>
      <c r="H114" s="11">
        <v>1400</v>
      </c>
      <c r="I114" s="80">
        <f>PI()*(H114/10^3/2)^2*Dashboard!$B$58*3600*24</f>
        <v>266004.93316475488</v>
      </c>
      <c r="J114" s="71">
        <f>Dashboard!$B$57*(G114*10^3)/(H114/10^3)*Dashboard!$B$58^2/2</f>
        <v>982.85714285714289</v>
      </c>
      <c r="K114" s="81">
        <f>Dashboard!$B$59*G114</f>
        <v>3.44E-2</v>
      </c>
      <c r="L114" s="82">
        <f>Dashboard!$B$60*G114</f>
        <v>2.0639999999999999E-3</v>
      </c>
      <c r="M114" s="72">
        <f>Dashboard!$B$75*G114</f>
        <v>2511200</v>
      </c>
      <c r="N114" s="78">
        <f>Dashboard!$B$76*G114</f>
        <v>2511200</v>
      </c>
      <c r="O114" s="26"/>
    </row>
    <row r="115" spans="1:15" s="10" customFormat="1" x14ac:dyDescent="0.3">
      <c r="A115" s="26" t="s">
        <v>5</v>
      </c>
      <c r="B115" s="10" t="s">
        <v>252</v>
      </c>
      <c r="C115" s="26">
        <v>1113</v>
      </c>
      <c r="D115" s="26">
        <f ca="1">OFFSET(Node_List!$B$2,MATCH(Pipeline!A115,Node_List!$A$2:$A$999,0)-1,0)</f>
        <v>61</v>
      </c>
      <c r="E115" s="10">
        <f ca="1">OFFSET(Node_List!$B$2,MATCH(Pipeline!B115,Node_List!$A$2:$A$999,0)-1,0)</f>
        <v>240</v>
      </c>
      <c r="F115" s="265">
        <v>0</v>
      </c>
      <c r="G115" s="26">
        <v>3.1</v>
      </c>
      <c r="H115" s="11">
        <v>1400</v>
      </c>
      <c r="I115" s="80">
        <f>PI()*(H115/10^3/2)^2*Dashboard!$B$58*3600*24</f>
        <v>266004.93316475488</v>
      </c>
      <c r="J115" s="71">
        <f>Dashboard!$B$57*(G115*10^3)/(H115/10^3)*Dashboard!$B$58^2/2</f>
        <v>44.285714285714292</v>
      </c>
      <c r="K115" s="81">
        <f>Dashboard!$B$59*G115</f>
        <v>1.5500000000000002E-3</v>
      </c>
      <c r="L115" s="82">
        <f>Dashboard!$B$60*G115</f>
        <v>9.3000000000000011E-5</v>
      </c>
      <c r="M115" s="72">
        <f>Dashboard!$B$75*G115</f>
        <v>113150</v>
      </c>
      <c r="N115" s="78">
        <f>Dashboard!$B$76*G115</f>
        <v>113150</v>
      </c>
      <c r="O115" s="26"/>
    </row>
    <row r="116" spans="1:15" x14ac:dyDescent="0.3">
      <c r="A116" s="26" t="s">
        <v>5</v>
      </c>
      <c r="B116" s="10" t="s">
        <v>253</v>
      </c>
      <c r="C116" s="26">
        <v>1114</v>
      </c>
      <c r="D116" s="26">
        <f ca="1">OFFSET(Node_List!$B$2,MATCH(Pipeline!A116,Node_List!$A$2:$A$999,0)-1,0)</f>
        <v>61</v>
      </c>
      <c r="E116" s="10">
        <f ca="1">OFFSET(Node_List!$B$2,MATCH(Pipeline!B116,Node_List!$A$2:$A$999,0)-1,0)</f>
        <v>241</v>
      </c>
      <c r="F116" s="265">
        <v>0</v>
      </c>
      <c r="G116" s="26">
        <v>3.1</v>
      </c>
      <c r="H116" s="11">
        <v>1400</v>
      </c>
      <c r="I116" s="80">
        <f>PI()*(H116/10^3/2)^2*Dashboard!$B$58*3600*24</f>
        <v>266004.93316475488</v>
      </c>
      <c r="J116" s="71">
        <f>Dashboard!$B$57*(G116*10^3)/(H116/10^3)*Dashboard!$B$58^2/2</f>
        <v>44.285714285714292</v>
      </c>
      <c r="K116" s="81">
        <f>Dashboard!$B$59*G116</f>
        <v>1.5500000000000002E-3</v>
      </c>
      <c r="L116" s="82">
        <f>Dashboard!$B$60*G116</f>
        <v>9.3000000000000011E-5</v>
      </c>
      <c r="M116" s="72">
        <f>Dashboard!$B$75*G116</f>
        <v>113150</v>
      </c>
      <c r="N116" s="78">
        <f>Dashboard!$B$76*G116</f>
        <v>113150</v>
      </c>
    </row>
    <row r="117" spans="1:15" x14ac:dyDescent="0.3">
      <c r="A117" s="26" t="s">
        <v>5</v>
      </c>
      <c r="B117" s="10" t="s">
        <v>115</v>
      </c>
      <c r="C117" s="26">
        <v>1115</v>
      </c>
      <c r="D117" s="26">
        <f ca="1">OFFSET(Node_List!$B$2,MATCH(Pipeline!A117,Node_List!$A$2:$A$999,0)-1,0)</f>
        <v>61</v>
      </c>
      <c r="E117" s="10">
        <f ca="1">OFFSET(Node_List!$B$2,MATCH(Pipeline!B117,Node_List!$A$2:$A$999,0)-1,0)</f>
        <v>62</v>
      </c>
      <c r="F117" s="265">
        <v>0</v>
      </c>
      <c r="G117" s="26">
        <v>44.4</v>
      </c>
      <c r="H117" s="11">
        <v>1400</v>
      </c>
      <c r="I117" s="80">
        <f>PI()*(H117/10^3/2)^2*Dashboard!$B$58*3600*24</f>
        <v>266004.93316475488</v>
      </c>
      <c r="J117" s="71">
        <f>Dashboard!$B$57*(G117*10^3)/(H117/10^3)*Dashboard!$B$58^2/2</f>
        <v>634.28571428571433</v>
      </c>
      <c r="K117" s="81">
        <f>Dashboard!$B$59*G117</f>
        <v>2.2200000000000001E-2</v>
      </c>
      <c r="L117" s="82">
        <f>Dashboard!$B$60*G117</f>
        <v>1.3320000000000001E-3</v>
      </c>
      <c r="M117" s="72">
        <f>Dashboard!$B$75*G117</f>
        <v>1620600</v>
      </c>
      <c r="N117" s="78">
        <f>Dashboard!$B$76*G117</f>
        <v>1620600</v>
      </c>
    </row>
    <row r="118" spans="1:15" x14ac:dyDescent="0.3">
      <c r="A118" s="26" t="s">
        <v>115</v>
      </c>
      <c r="B118" s="10" t="s">
        <v>261</v>
      </c>
      <c r="C118" s="26">
        <v>1116</v>
      </c>
      <c r="D118" s="26">
        <f ca="1">OFFSET(Node_List!$B$2,MATCH(Pipeline!A118,Node_List!$A$2:$A$999,0)-1,0)</f>
        <v>62</v>
      </c>
      <c r="E118" s="10">
        <f ca="1">OFFSET(Node_List!$B$2,MATCH(Pipeline!B118,Node_List!$A$2:$A$999,0)-1,0)</f>
        <v>243</v>
      </c>
      <c r="F118" s="265">
        <v>0</v>
      </c>
      <c r="G118" s="26">
        <v>18.5</v>
      </c>
      <c r="H118" s="11">
        <v>1400</v>
      </c>
      <c r="I118" s="80">
        <f>PI()*(H118/10^3/2)^2*Dashboard!$B$58*3600*24</f>
        <v>266004.93316475488</v>
      </c>
      <c r="J118" s="71">
        <f>Dashboard!$B$57*(G118*10^3)/(H118/10^3)*Dashboard!$B$58^2/2</f>
        <v>264.28571428571428</v>
      </c>
      <c r="K118" s="81">
        <f>Dashboard!$B$59*G118</f>
        <v>9.2499999999999995E-3</v>
      </c>
      <c r="L118" s="82">
        <f>Dashboard!$B$60*G118</f>
        <v>5.5500000000000005E-4</v>
      </c>
      <c r="M118" s="72">
        <f>Dashboard!$B$75*G118</f>
        <v>675250</v>
      </c>
      <c r="N118" s="78">
        <f>Dashboard!$B$76*G118</f>
        <v>675250</v>
      </c>
    </row>
    <row r="119" spans="1:15" x14ac:dyDescent="0.3">
      <c r="A119" s="26" t="s">
        <v>261</v>
      </c>
      <c r="B119" s="10" t="s">
        <v>255</v>
      </c>
      <c r="C119" s="26">
        <v>1117</v>
      </c>
      <c r="D119" s="26">
        <f ca="1">OFFSET(Node_List!$B$2,MATCH(Pipeline!A119,Node_List!$A$2:$A$999,0)-1,0)</f>
        <v>243</v>
      </c>
      <c r="E119" s="10">
        <f ca="1">OFFSET(Node_List!$B$2,MATCH(Pipeline!B119,Node_List!$A$2:$A$999,0)-1,0)</f>
        <v>244</v>
      </c>
      <c r="F119" s="265">
        <v>0</v>
      </c>
      <c r="G119" s="70">
        <v>0</v>
      </c>
      <c r="H119" s="11">
        <v>1400</v>
      </c>
      <c r="I119" s="80">
        <f>PI()*(H119/10^3/2)^2*Dashboard!$B$58*3600*24</f>
        <v>266004.93316475488</v>
      </c>
      <c r="J119" s="71">
        <f>Dashboard!$B$57*(G119*10^3)/(H119/10^3)*Dashboard!$B$58^2/2</f>
        <v>0</v>
      </c>
      <c r="K119" s="81">
        <f>Dashboard!$B$59*G119</f>
        <v>0</v>
      </c>
      <c r="L119" s="82">
        <f>Dashboard!$B$60*G119</f>
        <v>0</v>
      </c>
      <c r="M119" s="72">
        <f>Dashboard!$B$75*G119</f>
        <v>0</v>
      </c>
      <c r="N119" s="78">
        <f>Dashboard!$B$76*G119</f>
        <v>0</v>
      </c>
    </row>
    <row r="120" spans="1:15" x14ac:dyDescent="0.3">
      <c r="A120" s="26" t="s">
        <v>115</v>
      </c>
      <c r="B120" s="10" t="s">
        <v>8</v>
      </c>
      <c r="C120" s="26">
        <v>1118</v>
      </c>
      <c r="D120" s="26">
        <f ca="1">OFFSET(Node_List!$B$2,MATCH(Pipeline!A120,Node_List!$A$2:$A$999,0)-1,0)</f>
        <v>62</v>
      </c>
      <c r="E120" s="10">
        <f ca="1">OFFSET(Node_List!$B$2,MATCH(Pipeline!B120,Node_List!$A$2:$A$999,0)-1,0)</f>
        <v>63</v>
      </c>
      <c r="F120" s="265">
        <v>0</v>
      </c>
      <c r="G120" s="26">
        <v>26.4</v>
      </c>
      <c r="H120" s="11">
        <v>1400</v>
      </c>
      <c r="I120" s="80">
        <f>PI()*(H120/10^3/2)^2*Dashboard!$B$58*3600*24</f>
        <v>266004.93316475488</v>
      </c>
      <c r="J120" s="71">
        <f>Dashboard!$B$57*(G120*10^3)/(H120/10^3)*Dashboard!$B$58^2/2</f>
        <v>377.14285714285717</v>
      </c>
      <c r="K120" s="81">
        <f>Dashboard!$B$59*G120</f>
        <v>1.32E-2</v>
      </c>
      <c r="L120" s="82">
        <f>Dashboard!$B$60*G120</f>
        <v>7.9199999999999995E-4</v>
      </c>
      <c r="M120" s="72">
        <f>Dashboard!$B$75*G120</f>
        <v>963600</v>
      </c>
      <c r="N120" s="78">
        <f>Dashboard!$B$76*G120</f>
        <v>963600</v>
      </c>
    </row>
    <row r="121" spans="1:15" x14ac:dyDescent="0.3">
      <c r="A121" s="26" t="s">
        <v>8</v>
      </c>
      <c r="B121" s="10" t="s">
        <v>202</v>
      </c>
      <c r="C121" s="26">
        <v>1119</v>
      </c>
      <c r="D121" s="26">
        <f ca="1">OFFSET(Node_List!$B$2,MATCH(Pipeline!A121,Node_List!$A$2:$A$999,0)-1,0)</f>
        <v>63</v>
      </c>
      <c r="E121" s="10">
        <f ca="1">OFFSET(Node_List!$B$2,MATCH(Pipeline!B121,Node_List!$A$2:$A$999,0)-1,0)</f>
        <v>64</v>
      </c>
      <c r="F121" s="265">
        <v>0</v>
      </c>
      <c r="G121" s="26">
        <v>17.899999999999999</v>
      </c>
      <c r="H121" s="11">
        <v>1400</v>
      </c>
      <c r="I121" s="80">
        <f>PI()*(H121/10^3/2)^2*Dashboard!$B$58*3600*24</f>
        <v>266004.93316475488</v>
      </c>
      <c r="J121" s="71">
        <f>Dashboard!$B$57*(G121*10^3)/(H121/10^3)*Dashboard!$B$58^2/2</f>
        <v>255.71428571428572</v>
      </c>
      <c r="K121" s="81">
        <f>Dashboard!$B$59*G121</f>
        <v>8.9499999999999996E-3</v>
      </c>
      <c r="L121" s="82">
        <f>Dashboard!$B$60*G121</f>
        <v>5.3699999999999993E-4</v>
      </c>
      <c r="M121" s="72">
        <f>Dashboard!$B$75*G121</f>
        <v>653350</v>
      </c>
      <c r="N121" s="78">
        <f>Dashboard!$B$76*G121</f>
        <v>653350</v>
      </c>
    </row>
    <row r="122" spans="1:15" x14ac:dyDescent="0.3">
      <c r="A122" s="26" t="s">
        <v>202</v>
      </c>
      <c r="B122" s="10" t="s">
        <v>256</v>
      </c>
      <c r="C122" s="26">
        <v>1120</v>
      </c>
      <c r="D122" s="26">
        <f ca="1">OFFSET(Node_List!$B$2,MATCH(Pipeline!A122,Node_List!$A$2:$A$999,0)-1,0)</f>
        <v>64</v>
      </c>
      <c r="E122" s="10">
        <f ca="1">OFFSET(Node_List!$B$2,MATCH(Pipeline!B122,Node_List!$A$2:$A$999,0)-1,0)</f>
        <v>245</v>
      </c>
      <c r="F122" s="265">
        <v>0</v>
      </c>
      <c r="G122" s="26">
        <v>2.2000000000000002</v>
      </c>
      <c r="H122" s="11">
        <v>1400</v>
      </c>
      <c r="I122" s="80">
        <f>PI()*(H122/10^3/2)^2*Dashboard!$B$58*3600*24</f>
        <v>266004.93316475488</v>
      </c>
      <c r="J122" s="71">
        <f>Dashboard!$B$57*(G122*10^3)/(H122/10^3)*Dashboard!$B$58^2/2</f>
        <v>31.428571428571431</v>
      </c>
      <c r="K122" s="81">
        <f>Dashboard!$B$59*G122</f>
        <v>1.1000000000000001E-3</v>
      </c>
      <c r="L122" s="82">
        <f>Dashboard!$B$60*G122</f>
        <v>6.6000000000000005E-5</v>
      </c>
      <c r="M122" s="72">
        <f>Dashboard!$B$75*G122</f>
        <v>80300</v>
      </c>
      <c r="N122" s="78">
        <f>Dashboard!$B$76*G122</f>
        <v>80300</v>
      </c>
    </row>
    <row r="123" spans="1:15" s="10" customFormat="1" x14ac:dyDescent="0.3">
      <c r="A123" s="26" t="s">
        <v>256</v>
      </c>
      <c r="B123" s="10" t="s">
        <v>257</v>
      </c>
      <c r="C123" s="26">
        <v>1121</v>
      </c>
      <c r="D123" s="26">
        <f ca="1">OFFSET(Node_List!$B$2,MATCH(Pipeline!A123,Node_List!$A$2:$A$999,0)-1,0)</f>
        <v>245</v>
      </c>
      <c r="E123" s="10">
        <f ca="1">OFFSET(Node_List!$B$2,MATCH(Pipeline!B123,Node_List!$A$2:$A$999,0)-1,0)</f>
        <v>246</v>
      </c>
      <c r="F123" s="265">
        <v>0</v>
      </c>
      <c r="G123" s="70">
        <v>0</v>
      </c>
      <c r="H123" s="11">
        <v>1400</v>
      </c>
      <c r="I123" s="80">
        <f>PI()*(H123/10^3/2)^2*Dashboard!$B$58*3600*24</f>
        <v>266004.93316475488</v>
      </c>
      <c r="J123" s="71">
        <f>Dashboard!$B$57*(G123*10^3)/(H123/10^3)*Dashboard!$B$58^2/2</f>
        <v>0</v>
      </c>
      <c r="K123" s="81">
        <f>Dashboard!$B$59*G123</f>
        <v>0</v>
      </c>
      <c r="L123" s="82">
        <f>Dashboard!$B$60*G123</f>
        <v>0</v>
      </c>
      <c r="M123" s="72">
        <f>Dashboard!$B$75*G123</f>
        <v>0</v>
      </c>
      <c r="N123" s="78">
        <f>Dashboard!$B$76*G123</f>
        <v>0</v>
      </c>
      <c r="O123" s="26"/>
    </row>
    <row r="124" spans="1:15" s="10" customFormat="1" x14ac:dyDescent="0.3">
      <c r="A124" s="26" t="s">
        <v>8</v>
      </c>
      <c r="B124" s="10" t="s">
        <v>258</v>
      </c>
      <c r="C124" s="26">
        <v>1122</v>
      </c>
      <c r="D124" s="26">
        <f ca="1">OFFSET(Node_List!$B$2,MATCH(Pipeline!A124,Node_List!$A$2:$A$999,0)-1,0)</f>
        <v>63</v>
      </c>
      <c r="E124" s="10">
        <f ca="1">OFFSET(Node_List!$B$2,MATCH(Pipeline!B124,Node_List!$A$2:$A$999,0)-1,0)</f>
        <v>247</v>
      </c>
      <c r="F124" s="265">
        <v>0</v>
      </c>
      <c r="G124" s="71">
        <v>32.299999999999997</v>
      </c>
      <c r="H124" s="11">
        <v>1400</v>
      </c>
      <c r="I124" s="80">
        <f>PI()*(H124/10^3/2)^2*Dashboard!$B$58*3600*24</f>
        <v>266004.93316475488</v>
      </c>
      <c r="J124" s="71">
        <f>Dashboard!$B$57*(G124*10^3)/(H124/10^3)*Dashboard!$B$58^2/2</f>
        <v>461.42857142857139</v>
      </c>
      <c r="K124" s="81">
        <f>Dashboard!$B$59*G124</f>
        <v>1.6149999999999998E-2</v>
      </c>
      <c r="L124" s="82">
        <f>Dashboard!$B$60*G124</f>
        <v>9.6899999999999992E-4</v>
      </c>
      <c r="M124" s="72">
        <f>Dashboard!$B$75*G124</f>
        <v>1178950</v>
      </c>
      <c r="N124" s="78">
        <f>Dashboard!$B$76*G124</f>
        <v>1178950</v>
      </c>
      <c r="O124" s="26"/>
    </row>
    <row r="125" spans="1:15" s="10" customFormat="1" x14ac:dyDescent="0.3">
      <c r="A125" s="26" t="s">
        <v>258</v>
      </c>
      <c r="B125" s="10" t="s">
        <v>259</v>
      </c>
      <c r="C125" s="26">
        <v>1123</v>
      </c>
      <c r="D125" s="26">
        <f ca="1">OFFSET(Node_List!$B$2,MATCH(Pipeline!A125,Node_List!$A$2:$A$999,0)-1,0)</f>
        <v>247</v>
      </c>
      <c r="E125" s="10">
        <f ca="1">OFFSET(Node_List!$B$2,MATCH(Pipeline!B125,Node_List!$A$2:$A$999,0)-1,0)</f>
        <v>248</v>
      </c>
      <c r="F125" s="265">
        <v>0</v>
      </c>
      <c r="G125" s="70">
        <v>0</v>
      </c>
      <c r="H125" s="11">
        <v>1400</v>
      </c>
      <c r="I125" s="80">
        <f>PI()*(H125/10^3/2)^2*Dashboard!$B$58*3600*24</f>
        <v>266004.93316475488</v>
      </c>
      <c r="J125" s="71">
        <f>Dashboard!$B$57*(G125*10^3)/(H125/10^3)*Dashboard!$B$58^2/2</f>
        <v>0</v>
      </c>
      <c r="K125" s="81">
        <f>Dashboard!$B$59*G125</f>
        <v>0</v>
      </c>
      <c r="L125" s="82">
        <f>Dashboard!$B$60*G125</f>
        <v>0</v>
      </c>
      <c r="M125" s="72">
        <f>Dashboard!$B$75*G125</f>
        <v>0</v>
      </c>
      <c r="N125" s="78">
        <f>Dashboard!$B$76*G125</f>
        <v>0</v>
      </c>
      <c r="O125" s="26"/>
    </row>
    <row r="126" spans="1:15" s="10" customFormat="1" x14ac:dyDescent="0.3">
      <c r="A126" s="26" t="s">
        <v>258</v>
      </c>
      <c r="B126" s="10" t="s">
        <v>260</v>
      </c>
      <c r="C126" s="26">
        <v>1124</v>
      </c>
      <c r="D126" s="26">
        <f ca="1">OFFSET(Node_List!$B$2,MATCH(Pipeline!A126,Node_List!$A$2:$A$999,0)-1,0)</f>
        <v>247</v>
      </c>
      <c r="E126" s="10">
        <f ca="1">OFFSET(Node_List!$B$2,MATCH(Pipeline!B126,Node_List!$A$2:$A$999,0)-1,0)</f>
        <v>249</v>
      </c>
      <c r="F126" s="265">
        <v>0</v>
      </c>
      <c r="G126" s="71">
        <v>16</v>
      </c>
      <c r="H126" s="11">
        <v>1400</v>
      </c>
      <c r="I126" s="80">
        <f>PI()*(H126/10^3/2)^2*Dashboard!$B$58*3600*24</f>
        <v>266004.93316475488</v>
      </c>
      <c r="J126" s="71">
        <f>Dashboard!$B$57*(G126*10^3)/(H126/10^3)*Dashboard!$B$58^2/2</f>
        <v>228.57142857142858</v>
      </c>
      <c r="K126" s="81">
        <f>Dashboard!$B$59*G126</f>
        <v>8.0000000000000002E-3</v>
      </c>
      <c r="L126" s="82">
        <f>Dashboard!$B$60*G126</f>
        <v>4.8000000000000001E-4</v>
      </c>
      <c r="M126" s="72">
        <f>Dashboard!$B$75*G126</f>
        <v>584000</v>
      </c>
      <c r="N126" s="78">
        <f>Dashboard!$B$76*G126</f>
        <v>584000</v>
      </c>
      <c r="O126" s="26"/>
    </row>
    <row r="127" spans="1:15" s="10" customFormat="1" x14ac:dyDescent="0.3">
      <c r="A127" s="26" t="s">
        <v>309</v>
      </c>
      <c r="B127" s="10" t="s">
        <v>18</v>
      </c>
      <c r="C127" s="26">
        <v>1125</v>
      </c>
      <c r="D127" s="26">
        <f ca="1">OFFSET(Node_List!$B$2,MATCH(Pipeline!A127,Node_List!$A$2:$A$999,0)-1,0)</f>
        <v>129</v>
      </c>
      <c r="E127" s="10">
        <f ca="1">OFFSET(Node_List!$B$2,MATCH(Pipeline!B127,Node_List!$A$2:$A$999,0)-1,0)</f>
        <v>72</v>
      </c>
      <c r="F127" s="265">
        <v>0</v>
      </c>
      <c r="G127" s="71">
        <v>455</v>
      </c>
      <c r="H127" s="11">
        <v>1500</v>
      </c>
      <c r="I127" s="80">
        <f>PI()*(H127/10^3/2)^2*Dashboard!$B$58*3600*24</f>
        <v>305362.80592892785</v>
      </c>
      <c r="J127" s="71">
        <f>Dashboard!$B$57*(G127*10^3)/(H127/10^3)*Dashboard!$B$58^2/2</f>
        <v>6066.666666666667</v>
      </c>
      <c r="K127" s="81">
        <f>Dashboard!$B$59*G127</f>
        <v>0.22750000000000001</v>
      </c>
      <c r="L127" s="82">
        <f>Dashboard!$B$60*G127</f>
        <v>1.3650000000000001E-2</v>
      </c>
      <c r="M127" s="72">
        <f>Dashboard!$B$75*G127</f>
        <v>16607500</v>
      </c>
      <c r="N127" s="78">
        <f>Dashboard!$B$76*G127</f>
        <v>16607500</v>
      </c>
      <c r="O127" s="26"/>
    </row>
    <row r="128" spans="1:15" s="10" customFormat="1" x14ac:dyDescent="0.3">
      <c r="A128" s="26" t="s">
        <v>309</v>
      </c>
      <c r="B128" s="10" t="s">
        <v>18</v>
      </c>
      <c r="C128" s="26">
        <v>1126</v>
      </c>
      <c r="D128" s="26">
        <f ca="1">OFFSET(Node_List!$B$2,MATCH(Pipeline!A128,Node_List!$A$2:$A$999,0)-1,0)</f>
        <v>129</v>
      </c>
      <c r="E128" s="10">
        <f ca="1">OFFSET(Node_List!$B$2,MATCH(Pipeline!B128,Node_List!$A$2:$A$999,0)-1,0)</f>
        <v>72</v>
      </c>
      <c r="F128" s="265">
        <v>0</v>
      </c>
      <c r="G128" s="71">
        <v>455</v>
      </c>
      <c r="H128" s="11">
        <v>1500</v>
      </c>
      <c r="I128" s="80">
        <f>PI()*(H128/10^3/2)^2*Dashboard!$B$58*3600*24</f>
        <v>305362.80592892785</v>
      </c>
      <c r="J128" s="71">
        <f>Dashboard!$B$57*(G128*10^3)/(H128/10^3)*Dashboard!$B$58^2/2</f>
        <v>6066.666666666667</v>
      </c>
      <c r="K128" s="81">
        <f>Dashboard!$B$59*G128</f>
        <v>0.22750000000000001</v>
      </c>
      <c r="L128" s="82">
        <f>Dashboard!$B$60*G128</f>
        <v>1.3650000000000001E-2</v>
      </c>
      <c r="M128" s="72">
        <f>Dashboard!$B$75*G128</f>
        <v>16607500</v>
      </c>
      <c r="N128" s="78">
        <f>Dashboard!$B$76*G128</f>
        <v>16607500</v>
      </c>
      <c r="O128" s="26"/>
    </row>
    <row r="129" spans="1:15" s="10" customFormat="1" x14ac:dyDescent="0.3">
      <c r="A129" s="26" t="s">
        <v>309</v>
      </c>
      <c r="B129" s="10" t="s">
        <v>18</v>
      </c>
      <c r="C129" s="26">
        <v>1127</v>
      </c>
      <c r="D129" s="26">
        <f ca="1">OFFSET(Node_List!$B$2,MATCH(Pipeline!A129,Node_List!$A$2:$A$999,0)-1,0)</f>
        <v>129</v>
      </c>
      <c r="E129" s="10">
        <f ca="1">OFFSET(Node_List!$B$2,MATCH(Pipeline!B129,Node_List!$A$2:$A$999,0)-1,0)</f>
        <v>72</v>
      </c>
      <c r="F129" s="265">
        <v>0</v>
      </c>
      <c r="G129" s="71">
        <v>455</v>
      </c>
      <c r="H129" s="11">
        <v>1500</v>
      </c>
      <c r="I129" s="80">
        <f>PI()*(H129/10^3/2)^2*Dashboard!$B$58*3600*24</f>
        <v>305362.80592892785</v>
      </c>
      <c r="J129" s="71">
        <f>Dashboard!$B$57*(G129*10^3)/(H129/10^3)*Dashboard!$B$58^2/2</f>
        <v>6066.666666666667</v>
      </c>
      <c r="K129" s="81">
        <f>Dashboard!$B$59*G129</f>
        <v>0.22750000000000001</v>
      </c>
      <c r="L129" s="82">
        <f>Dashboard!$B$60*G129</f>
        <v>1.3650000000000001E-2</v>
      </c>
      <c r="M129" s="72">
        <f>Dashboard!$B$75*G129</f>
        <v>16607500</v>
      </c>
      <c r="N129" s="78">
        <f>Dashboard!$B$76*G129</f>
        <v>16607500</v>
      </c>
      <c r="O129" s="26"/>
    </row>
    <row r="130" spans="1:15" s="10" customFormat="1" x14ac:dyDescent="0.3">
      <c r="A130" s="26" t="s">
        <v>282</v>
      </c>
      <c r="B130" s="10" t="s">
        <v>210</v>
      </c>
      <c r="C130" s="26">
        <v>1128</v>
      </c>
      <c r="D130" s="26">
        <f ca="1">OFFSET(Node_List!$B$2,MATCH(Pipeline!A130,Node_List!$A$2:$A$999,0)-1,0)</f>
        <v>250</v>
      </c>
      <c r="E130" s="10">
        <f ca="1">OFFSET(Node_List!$B$2,MATCH(Pipeline!B130,Node_List!$A$2:$A$999,0)-1,0)</f>
        <v>69</v>
      </c>
      <c r="F130" s="265">
        <v>0</v>
      </c>
      <c r="G130" s="71">
        <v>81.099999999999994</v>
      </c>
      <c r="H130" s="20">
        <v>2000</v>
      </c>
      <c r="I130" s="80">
        <f>PI()*(H130/10^3/2)^2*Dashboard!$B$58*3600*24</f>
        <v>542867.2105403163</v>
      </c>
      <c r="J130" s="71">
        <f>Dashboard!$B$57*(G130*10^3)/(H130/10^3)*Dashboard!$B$58^2/2</f>
        <v>811</v>
      </c>
      <c r="K130" s="81">
        <f>Dashboard!$B$59*G130</f>
        <v>4.0549999999999996E-2</v>
      </c>
      <c r="L130" s="82">
        <f>Dashboard!$B$60*G130</f>
        <v>2.4329999999999998E-3</v>
      </c>
      <c r="M130" s="72">
        <f>Dashboard!$B$75*G130</f>
        <v>2960150</v>
      </c>
      <c r="N130" s="78">
        <f>Dashboard!$B$76*G130</f>
        <v>2960150</v>
      </c>
      <c r="O130" s="26"/>
    </row>
    <row r="131" spans="1:15" s="10" customFormat="1" x14ac:dyDescent="0.3">
      <c r="A131" s="26" t="s">
        <v>18</v>
      </c>
      <c r="B131" s="10" t="s">
        <v>282</v>
      </c>
      <c r="C131" s="26">
        <v>1129</v>
      </c>
      <c r="D131" s="26">
        <f ca="1">OFFSET(Node_List!$B$2,MATCH(Pipeline!A131,Node_List!$A$2:$A$999,0)-1,0)</f>
        <v>72</v>
      </c>
      <c r="E131" s="10">
        <f ca="1">OFFSET(Node_List!$B$2,MATCH(Pipeline!B131,Node_List!$A$2:$A$999,0)-1,0)</f>
        <v>250</v>
      </c>
      <c r="F131" s="265">
        <v>0</v>
      </c>
      <c r="G131" s="71">
        <v>46.7</v>
      </c>
      <c r="H131" s="11">
        <v>2000</v>
      </c>
      <c r="I131" s="80">
        <f>PI()*(H131/10^3/2)^2*Dashboard!$B$58*3600*24</f>
        <v>542867.2105403163</v>
      </c>
      <c r="J131" s="71">
        <f>Dashboard!$B$57*(G131*10^3)/(H131/10^3)*Dashboard!$B$58^2/2</f>
        <v>467</v>
      </c>
      <c r="K131" s="81">
        <f>Dashboard!$B$59*G131</f>
        <v>2.3350000000000003E-2</v>
      </c>
      <c r="L131" s="82">
        <f>Dashboard!$B$60*G131</f>
        <v>1.4010000000000001E-3</v>
      </c>
      <c r="M131" s="72">
        <f>Dashboard!$B$75*G131</f>
        <v>1704550</v>
      </c>
      <c r="N131" s="78">
        <f>Dashboard!$B$76*G131</f>
        <v>1704550</v>
      </c>
      <c r="O131" s="26"/>
    </row>
    <row r="132" spans="1:15" x14ac:dyDescent="0.3">
      <c r="A132" s="26" t="s">
        <v>18</v>
      </c>
      <c r="B132" s="10" t="s">
        <v>279</v>
      </c>
      <c r="C132" s="26">
        <v>1130</v>
      </c>
      <c r="D132" s="26">
        <f ca="1">OFFSET(Node_List!$B$2,MATCH(Pipeline!A132,Node_List!$A$2:$A$999,0)-1,0)</f>
        <v>72</v>
      </c>
      <c r="E132" s="10">
        <f ca="1">OFFSET(Node_List!$B$2,MATCH(Pipeline!B132,Node_List!$A$2:$A$999,0)-1,0)</f>
        <v>251</v>
      </c>
      <c r="F132" s="265">
        <v>0</v>
      </c>
      <c r="G132" s="71">
        <v>17.3</v>
      </c>
      <c r="H132" s="11">
        <v>2000</v>
      </c>
      <c r="I132" s="80">
        <f>PI()*(H132/10^3/2)^2*Dashboard!$B$58*3600*24</f>
        <v>542867.2105403163</v>
      </c>
      <c r="J132" s="71">
        <f>Dashboard!$B$57*(G132*10^3)/(H132/10^3)*Dashboard!$B$58^2/2</f>
        <v>173</v>
      </c>
      <c r="K132" s="81">
        <f>Dashboard!$B$59*G132</f>
        <v>8.6499999999999997E-3</v>
      </c>
      <c r="L132" s="82">
        <f>Dashboard!$B$60*G132</f>
        <v>5.1900000000000004E-4</v>
      </c>
      <c r="M132" s="72">
        <f>Dashboard!$B$75*G132</f>
        <v>631450</v>
      </c>
      <c r="N132" s="78">
        <f>Dashboard!$B$76*G132</f>
        <v>631450</v>
      </c>
    </row>
    <row r="133" spans="1:15" s="10" customFormat="1" x14ac:dyDescent="0.3">
      <c r="A133" s="26" t="s">
        <v>18</v>
      </c>
      <c r="B133" s="10" t="s">
        <v>280</v>
      </c>
      <c r="C133" s="26">
        <v>1131</v>
      </c>
      <c r="D133" s="26">
        <f ca="1">OFFSET(Node_List!$B$2,MATCH(Pipeline!A133,Node_List!$A$2:$A$999,0)-1,0)</f>
        <v>72</v>
      </c>
      <c r="E133" s="10">
        <f ca="1">OFFSET(Node_List!$B$2,MATCH(Pipeline!B133,Node_List!$A$2:$A$999,0)-1,0)</f>
        <v>252</v>
      </c>
      <c r="F133" s="265">
        <v>0</v>
      </c>
      <c r="G133" s="71">
        <v>6.9</v>
      </c>
      <c r="H133" s="11">
        <v>2000</v>
      </c>
      <c r="I133" s="80">
        <f>PI()*(H133/10^3/2)^2*Dashboard!$B$58*3600*24</f>
        <v>542867.2105403163</v>
      </c>
      <c r="J133" s="71">
        <f>Dashboard!$B$57*(G133*10^3)/(H133/10^3)*Dashboard!$B$58^2/2</f>
        <v>69</v>
      </c>
      <c r="K133" s="81">
        <f>Dashboard!$B$59*G133</f>
        <v>3.4500000000000004E-3</v>
      </c>
      <c r="L133" s="82">
        <f>Dashboard!$B$60*G133</f>
        <v>2.0700000000000002E-4</v>
      </c>
      <c r="M133" s="72">
        <f>Dashboard!$B$75*G133</f>
        <v>251850</v>
      </c>
      <c r="N133" s="78">
        <f>Dashboard!$B$76*G133</f>
        <v>251850</v>
      </c>
      <c r="O133" s="26"/>
    </row>
    <row r="134" spans="1:15" s="10" customFormat="1" x14ac:dyDescent="0.3">
      <c r="A134" s="26" t="s">
        <v>18</v>
      </c>
      <c r="B134" s="10" t="s">
        <v>281</v>
      </c>
      <c r="C134" s="26">
        <v>1132</v>
      </c>
      <c r="D134" s="26">
        <f ca="1">OFFSET(Node_List!$B$2,MATCH(Pipeline!A134,Node_List!$A$2:$A$999,0)-1,0)</f>
        <v>72</v>
      </c>
      <c r="E134" s="10">
        <f ca="1">OFFSET(Node_List!$B$2,MATCH(Pipeline!B134,Node_List!$A$2:$A$999,0)-1,0)</f>
        <v>253</v>
      </c>
      <c r="F134" s="265">
        <v>0</v>
      </c>
      <c r="G134" s="71">
        <v>8.6</v>
      </c>
      <c r="H134" s="11">
        <v>2000</v>
      </c>
      <c r="I134" s="80">
        <f>PI()*(H134/10^3/2)^2*Dashboard!$B$58*3600*24</f>
        <v>542867.2105403163</v>
      </c>
      <c r="J134" s="71">
        <f>Dashboard!$B$57*(G134*10^3)/(H134/10^3)*Dashboard!$B$58^2/2</f>
        <v>86</v>
      </c>
      <c r="K134" s="81">
        <f>Dashboard!$B$59*G134</f>
        <v>4.3E-3</v>
      </c>
      <c r="L134" s="82">
        <f>Dashboard!$B$60*G134</f>
        <v>2.5799999999999998E-4</v>
      </c>
      <c r="M134" s="72">
        <f>Dashboard!$B$75*G134</f>
        <v>313900</v>
      </c>
      <c r="N134" s="78">
        <f>Dashboard!$B$76*G134</f>
        <v>313900</v>
      </c>
      <c r="O134" s="26"/>
    </row>
    <row r="135" spans="1:15" s="10" customFormat="1" x14ac:dyDescent="0.3">
      <c r="A135" s="26" t="s">
        <v>18</v>
      </c>
      <c r="B135" s="10" t="s">
        <v>277</v>
      </c>
      <c r="C135" s="26">
        <v>1133</v>
      </c>
      <c r="D135" s="26">
        <f ca="1">OFFSET(Node_List!$B$2,MATCH(Pipeline!A135,Node_List!$A$2:$A$999,0)-1,0)</f>
        <v>72</v>
      </c>
      <c r="E135" s="10">
        <f ca="1">OFFSET(Node_List!$B$2,MATCH(Pipeline!B135,Node_List!$A$2:$A$999,0)-1,0)</f>
        <v>254</v>
      </c>
      <c r="F135" s="265">
        <v>0</v>
      </c>
      <c r="G135" s="71">
        <v>24.9</v>
      </c>
      <c r="H135" s="11">
        <v>2000</v>
      </c>
      <c r="I135" s="80">
        <f>PI()*(H135/10^3/2)^2*Dashboard!$B$58*3600*24</f>
        <v>542867.2105403163</v>
      </c>
      <c r="J135" s="71">
        <f>Dashboard!$B$57*(G135*10^3)/(H135/10^3)*Dashboard!$B$58^2/2</f>
        <v>249</v>
      </c>
      <c r="K135" s="81">
        <f>Dashboard!$B$59*G135</f>
        <v>1.2449999999999999E-2</v>
      </c>
      <c r="L135" s="82">
        <f>Dashboard!$B$60*G135</f>
        <v>7.4699999999999994E-4</v>
      </c>
      <c r="M135" s="72">
        <f>Dashboard!$B$75*G135</f>
        <v>908850</v>
      </c>
      <c r="N135" s="78">
        <f>Dashboard!$B$76*G135</f>
        <v>908850</v>
      </c>
      <c r="O135" s="26"/>
    </row>
    <row r="136" spans="1:15" s="10" customFormat="1" x14ac:dyDescent="0.3">
      <c r="A136" s="26" t="s">
        <v>18</v>
      </c>
      <c r="B136" s="10" t="s">
        <v>278</v>
      </c>
      <c r="C136" s="26">
        <v>1134</v>
      </c>
      <c r="D136" s="26">
        <f ca="1">OFFSET(Node_List!$B$2,MATCH(Pipeline!A136,Node_List!$A$2:$A$999,0)-1,0)</f>
        <v>72</v>
      </c>
      <c r="E136" s="10">
        <f ca="1">OFFSET(Node_List!$B$2,MATCH(Pipeline!B136,Node_List!$A$2:$A$999,0)-1,0)</f>
        <v>255</v>
      </c>
      <c r="F136" s="265">
        <v>0</v>
      </c>
      <c r="G136" s="71">
        <v>26</v>
      </c>
      <c r="H136" s="11">
        <v>2000</v>
      </c>
      <c r="I136" s="80">
        <f>PI()*(H136/10^3/2)^2*Dashboard!$B$58*3600*24</f>
        <v>542867.2105403163</v>
      </c>
      <c r="J136" s="71">
        <f>Dashboard!$B$57*(G136*10^3)/(H136/10^3)*Dashboard!$B$58^2/2</f>
        <v>260</v>
      </c>
      <c r="K136" s="81">
        <f>Dashboard!$B$59*G136</f>
        <v>1.3000000000000001E-2</v>
      </c>
      <c r="L136" s="82">
        <f>Dashboard!$B$60*G136</f>
        <v>7.7999999999999999E-4</v>
      </c>
      <c r="M136" s="72">
        <f>Dashboard!$B$75*G136</f>
        <v>949000</v>
      </c>
      <c r="N136" s="78">
        <f>Dashboard!$B$76*G136</f>
        <v>949000</v>
      </c>
      <c r="O136" s="26"/>
    </row>
    <row r="137" spans="1:15" s="10" customFormat="1" x14ac:dyDescent="0.3">
      <c r="A137" s="26" t="s">
        <v>18</v>
      </c>
      <c r="B137" s="10" t="s">
        <v>276</v>
      </c>
      <c r="C137" s="26">
        <v>1135</v>
      </c>
      <c r="D137" s="26">
        <f ca="1">OFFSET(Node_List!$B$2,MATCH(Pipeline!A137,Node_List!$A$2:$A$999,0)-1,0)</f>
        <v>72</v>
      </c>
      <c r="E137" s="10">
        <f ca="1">OFFSET(Node_List!$B$2,MATCH(Pipeline!B137,Node_List!$A$2:$A$999,0)-1,0)</f>
        <v>256</v>
      </c>
      <c r="F137" s="265">
        <v>0</v>
      </c>
      <c r="G137" s="71">
        <v>28.2</v>
      </c>
      <c r="H137" s="11">
        <v>2000</v>
      </c>
      <c r="I137" s="80">
        <f>PI()*(H137/10^3/2)^2*Dashboard!$B$58*3600*24</f>
        <v>542867.2105403163</v>
      </c>
      <c r="J137" s="71">
        <f>Dashboard!$B$57*(G137*10^3)/(H137/10^3)*Dashboard!$B$58^2/2</f>
        <v>282</v>
      </c>
      <c r="K137" s="81">
        <f>Dashboard!$B$59*G137</f>
        <v>1.41E-2</v>
      </c>
      <c r="L137" s="82">
        <f>Dashboard!$B$60*G137</f>
        <v>8.4599999999999996E-4</v>
      </c>
      <c r="M137" s="72">
        <f>Dashboard!$B$75*G137</f>
        <v>1029300</v>
      </c>
      <c r="N137" s="78">
        <f>Dashboard!$B$76*G137</f>
        <v>1029300</v>
      </c>
      <c r="O137" s="26"/>
    </row>
    <row r="138" spans="1:15" s="10" customFormat="1" x14ac:dyDescent="0.3">
      <c r="A138" s="26" t="s">
        <v>276</v>
      </c>
      <c r="B138" s="10" t="s">
        <v>275</v>
      </c>
      <c r="C138" s="26">
        <v>1136</v>
      </c>
      <c r="D138" s="26">
        <f ca="1">OFFSET(Node_List!$B$2,MATCH(Pipeline!A138,Node_List!$A$2:$A$999,0)-1,0)</f>
        <v>256</v>
      </c>
      <c r="E138" s="10">
        <f ca="1">OFFSET(Node_List!$B$2,MATCH(Pipeline!B138,Node_List!$A$2:$A$999,0)-1,0)</f>
        <v>257</v>
      </c>
      <c r="F138" s="265">
        <v>0</v>
      </c>
      <c r="G138" s="71">
        <v>21.8</v>
      </c>
      <c r="H138" s="11">
        <v>2000</v>
      </c>
      <c r="I138" s="80">
        <f>PI()*(H138/10^3/2)^2*Dashboard!$B$58*3600*24</f>
        <v>542867.2105403163</v>
      </c>
      <c r="J138" s="71">
        <f>Dashboard!$B$57*(G138*10^3)/(H138/10^3)*Dashboard!$B$58^2/2</f>
        <v>218</v>
      </c>
      <c r="K138" s="81">
        <f>Dashboard!$B$59*G138</f>
        <v>1.09E-2</v>
      </c>
      <c r="L138" s="82">
        <f>Dashboard!$B$60*G138</f>
        <v>6.5400000000000007E-4</v>
      </c>
      <c r="M138" s="72">
        <f>Dashboard!$B$75*G138</f>
        <v>795700</v>
      </c>
      <c r="N138" s="78">
        <f>Dashboard!$B$76*G138</f>
        <v>795700</v>
      </c>
      <c r="O138" s="26"/>
    </row>
    <row r="139" spans="1:15" s="10" customFormat="1" x14ac:dyDescent="0.3">
      <c r="A139" s="26" t="s">
        <v>18</v>
      </c>
      <c r="B139" s="10" t="s">
        <v>206</v>
      </c>
      <c r="C139" s="26">
        <v>1137</v>
      </c>
      <c r="D139" s="26">
        <f ca="1">OFFSET(Node_List!$B$2,MATCH(Pipeline!A139,Node_List!$A$2:$A$999,0)-1,0)</f>
        <v>72</v>
      </c>
      <c r="E139" s="10">
        <f ca="1">OFFSET(Node_List!$B$2,MATCH(Pipeline!B139,Node_List!$A$2:$A$999,0)-1,0)</f>
        <v>71</v>
      </c>
      <c r="F139" s="265">
        <v>0</v>
      </c>
      <c r="G139" s="71">
        <v>19.8</v>
      </c>
      <c r="H139" s="11">
        <v>2000</v>
      </c>
      <c r="I139" s="80">
        <f>PI()*(H139/10^3/2)^2*Dashboard!$B$58*3600*24</f>
        <v>542867.2105403163</v>
      </c>
      <c r="J139" s="71">
        <f>Dashboard!$B$57*(G139*10^3)/(H139/10^3)*Dashboard!$B$58^2/2</f>
        <v>198</v>
      </c>
      <c r="K139" s="81">
        <f>Dashboard!$B$59*G139</f>
        <v>9.9000000000000008E-3</v>
      </c>
      <c r="L139" s="82">
        <f>Dashboard!$B$60*G139</f>
        <v>5.9400000000000002E-4</v>
      </c>
      <c r="M139" s="72">
        <f>Dashboard!$B$75*G139</f>
        <v>722700</v>
      </c>
      <c r="N139" s="78">
        <f>Dashboard!$B$76*G139</f>
        <v>722700</v>
      </c>
      <c r="O139" s="26"/>
    </row>
    <row r="140" spans="1:15" s="10" customFormat="1" x14ac:dyDescent="0.3">
      <c r="A140" s="26" t="s">
        <v>18</v>
      </c>
      <c r="B140" s="10" t="s">
        <v>65</v>
      </c>
      <c r="C140" s="26">
        <v>1138</v>
      </c>
      <c r="D140" s="26">
        <f ca="1">OFFSET(Node_List!$B$2,MATCH(Pipeline!A140,Node_List!$A$2:$A$999,0)-1,0)</f>
        <v>72</v>
      </c>
      <c r="E140" s="10">
        <f ca="1">OFFSET(Node_List!$B$2,MATCH(Pipeline!B140,Node_List!$A$2:$A$999,0)-1,0)</f>
        <v>68</v>
      </c>
      <c r="F140" s="265">
        <v>0</v>
      </c>
      <c r="G140" s="71">
        <v>167</v>
      </c>
      <c r="H140" s="11">
        <v>2000</v>
      </c>
      <c r="I140" s="80">
        <f>PI()*(H140/10^3/2)^2*Dashboard!$B$58*3600*24</f>
        <v>542867.2105403163</v>
      </c>
      <c r="J140" s="71">
        <f>Dashboard!$B$57*(G140*10^3)/(H140/10^3)*Dashboard!$B$58^2/2</f>
        <v>1670</v>
      </c>
      <c r="K140" s="81">
        <f>Dashboard!$B$59*G140</f>
        <v>8.3500000000000005E-2</v>
      </c>
      <c r="L140" s="82">
        <f>Dashboard!$B$60*G140</f>
        <v>5.0099999999999997E-3</v>
      </c>
      <c r="M140" s="72">
        <f>Dashboard!$B$75*G140</f>
        <v>6095500</v>
      </c>
      <c r="N140" s="78">
        <f>Dashboard!$B$76*G140</f>
        <v>6095500</v>
      </c>
      <c r="O140" s="26"/>
    </row>
    <row r="141" spans="1:15" s="10" customFormat="1" x14ac:dyDescent="0.3">
      <c r="A141" s="26" t="s">
        <v>65</v>
      </c>
      <c r="B141" s="10" t="s">
        <v>56</v>
      </c>
      <c r="C141" s="26">
        <v>1139</v>
      </c>
      <c r="D141" s="26">
        <f ca="1">OFFSET(Node_List!$B$2,MATCH(Pipeline!A141,Node_List!$A$2:$A$999,0)-1,0)</f>
        <v>68</v>
      </c>
      <c r="E141" s="10">
        <f ca="1">OFFSET(Node_List!$B$2,MATCH(Pipeline!B141,Node_List!$A$2:$A$999,0)-1,0)</f>
        <v>70</v>
      </c>
      <c r="F141" s="265">
        <v>0</v>
      </c>
      <c r="G141" s="71">
        <v>80.5</v>
      </c>
      <c r="H141" s="11">
        <v>2000</v>
      </c>
      <c r="I141" s="80">
        <f>PI()*(H141/10^3/2)^2*Dashboard!$B$58*3600*24</f>
        <v>542867.2105403163</v>
      </c>
      <c r="J141" s="71">
        <f>Dashboard!$B$57*(G141*10^3)/(H141/10^3)*Dashboard!$B$58^2/2</f>
        <v>805</v>
      </c>
      <c r="K141" s="81">
        <f>Dashboard!$B$59*G141</f>
        <v>4.0250000000000001E-2</v>
      </c>
      <c r="L141" s="82">
        <f>Dashboard!$B$60*G141</f>
        <v>2.415E-3</v>
      </c>
      <c r="M141" s="72">
        <f>Dashboard!$B$75*G141</f>
        <v>2938250</v>
      </c>
      <c r="N141" s="78">
        <f>Dashboard!$B$76*G141</f>
        <v>2938250</v>
      </c>
      <c r="O141" s="26"/>
    </row>
    <row r="142" spans="1:15" s="10" customFormat="1" x14ac:dyDescent="0.3">
      <c r="A142" s="26" t="s">
        <v>65</v>
      </c>
      <c r="B142" s="10" t="s">
        <v>116</v>
      </c>
      <c r="C142" s="26">
        <v>1140</v>
      </c>
      <c r="D142" s="26">
        <f ca="1">OFFSET(Node_List!$B$2,MATCH(Pipeline!A142,Node_List!$A$2:$A$999,0)-1,0)</f>
        <v>68</v>
      </c>
      <c r="E142" s="10">
        <f ca="1">OFFSET(Node_List!$B$2,MATCH(Pipeline!B142,Node_List!$A$2:$A$999,0)-1,0)</f>
        <v>67</v>
      </c>
      <c r="F142" s="265">
        <v>0</v>
      </c>
      <c r="G142" s="71">
        <v>51.3</v>
      </c>
      <c r="H142" s="11">
        <v>2000</v>
      </c>
      <c r="I142" s="80">
        <f>PI()*(H142/10^3/2)^2*Dashboard!$B$58*3600*24</f>
        <v>542867.2105403163</v>
      </c>
      <c r="J142" s="71">
        <f>Dashboard!$B$57*(G142*10^3)/(H142/10^3)*Dashboard!$B$58^2/2</f>
        <v>513</v>
      </c>
      <c r="K142" s="81">
        <f>Dashboard!$B$59*G142</f>
        <v>2.5649999999999999E-2</v>
      </c>
      <c r="L142" s="82">
        <f>Dashboard!$B$60*G142</f>
        <v>1.539E-3</v>
      </c>
      <c r="M142" s="72">
        <f>Dashboard!$B$75*G142</f>
        <v>1872450</v>
      </c>
      <c r="N142" s="78">
        <f>Dashboard!$B$76*G142</f>
        <v>1872450</v>
      </c>
      <c r="O142" s="26"/>
    </row>
    <row r="143" spans="1:15" s="10" customFormat="1" x14ac:dyDescent="0.3">
      <c r="A143" s="26" t="s">
        <v>116</v>
      </c>
      <c r="B143" s="10" t="s">
        <v>123</v>
      </c>
      <c r="C143" s="26">
        <v>1141</v>
      </c>
      <c r="D143" s="26">
        <f ca="1">OFFSET(Node_List!$B$2,MATCH(Pipeline!A143,Node_List!$A$2:$A$999,0)-1,0)</f>
        <v>67</v>
      </c>
      <c r="E143" s="10">
        <f ca="1">OFFSET(Node_List!$B$2,MATCH(Pipeline!B143,Node_List!$A$2:$A$999,0)-1,0)</f>
        <v>66</v>
      </c>
      <c r="F143" s="265">
        <v>0</v>
      </c>
      <c r="G143" s="71">
        <v>47.7</v>
      </c>
      <c r="H143" s="11">
        <v>2000</v>
      </c>
      <c r="I143" s="80">
        <f>PI()*(H143/10^3/2)^2*Dashboard!$B$58*3600*24</f>
        <v>542867.2105403163</v>
      </c>
      <c r="J143" s="71">
        <f>Dashboard!$B$57*(G143*10^3)/(H143/10^3)*Dashboard!$B$58^2/2</f>
        <v>477</v>
      </c>
      <c r="K143" s="81">
        <f>Dashboard!$B$59*G143</f>
        <v>2.3850000000000003E-2</v>
      </c>
      <c r="L143" s="82">
        <f>Dashboard!$B$60*G143</f>
        <v>1.4310000000000002E-3</v>
      </c>
      <c r="M143" s="72">
        <f>Dashboard!$B$75*G143</f>
        <v>1741050</v>
      </c>
      <c r="N143" s="78">
        <f>Dashboard!$B$76*G143</f>
        <v>1741050</v>
      </c>
      <c r="O143" s="26"/>
    </row>
    <row r="144" spans="1:15" s="10" customFormat="1" x14ac:dyDescent="0.3">
      <c r="A144" s="26" t="s">
        <v>123</v>
      </c>
      <c r="B144" s="10" t="s">
        <v>117</v>
      </c>
      <c r="C144" s="26">
        <v>1142</v>
      </c>
      <c r="D144" s="26">
        <f ca="1">OFFSET(Node_List!$B$2,MATCH(Pipeline!A144,Node_List!$A$2:$A$999,0)-1,0)</f>
        <v>66</v>
      </c>
      <c r="E144" s="10">
        <f ca="1">OFFSET(Node_List!$B$2,MATCH(Pipeline!B144,Node_List!$A$2:$A$999,0)-1,0)</f>
        <v>65</v>
      </c>
      <c r="F144" s="265">
        <v>0</v>
      </c>
      <c r="G144" s="71">
        <v>34.700000000000003</v>
      </c>
      <c r="H144" s="11">
        <v>2000</v>
      </c>
      <c r="I144" s="80">
        <f>PI()*(H144/10^3/2)^2*Dashboard!$B$58*3600*24</f>
        <v>542867.2105403163</v>
      </c>
      <c r="J144" s="71">
        <f>Dashboard!$B$57*(G144*10^3)/(H144/10^3)*Dashboard!$B$58^2/2</f>
        <v>347</v>
      </c>
      <c r="K144" s="81">
        <f>Dashboard!$B$59*G144</f>
        <v>1.7350000000000001E-2</v>
      </c>
      <c r="L144" s="82">
        <f>Dashboard!$B$60*G144</f>
        <v>1.041E-3</v>
      </c>
      <c r="M144" s="72">
        <f>Dashboard!$B$75*G144</f>
        <v>1266550</v>
      </c>
      <c r="N144" s="78">
        <f>Dashboard!$B$76*G144</f>
        <v>1266550</v>
      </c>
      <c r="O144" s="26"/>
    </row>
    <row r="145" spans="1:15" s="10" customFormat="1" x14ac:dyDescent="0.3">
      <c r="A145" s="26" t="s">
        <v>102</v>
      </c>
      <c r="B145" s="10" t="s">
        <v>263</v>
      </c>
      <c r="C145" s="26">
        <v>1143</v>
      </c>
      <c r="D145" s="26">
        <f ca="1">OFFSET(Node_List!$B$2,MATCH(Pipeline!A145,Node_List!$A$2:$A$999,0)-1,0)</f>
        <v>80</v>
      </c>
      <c r="E145" s="10">
        <f ca="1">OFFSET(Node_List!$B$2,MATCH(Pipeline!B145,Node_List!$A$2:$A$999,0)-1,0)</f>
        <v>258</v>
      </c>
      <c r="F145" s="265">
        <v>0</v>
      </c>
      <c r="G145" s="71">
        <v>10.7</v>
      </c>
      <c r="H145" s="20">
        <v>1500</v>
      </c>
      <c r="I145" s="80">
        <f>PI()*(H145/10^3/2)^2*Dashboard!$B$58*3600*24</f>
        <v>305362.80592892785</v>
      </c>
      <c r="J145" s="71">
        <f>Dashboard!$B$57*(G145*10^3)/(H145/10^3)*Dashboard!$B$58^2/2</f>
        <v>142.66666666666666</v>
      </c>
      <c r="K145" s="81">
        <f>Dashboard!$B$59*G145</f>
        <v>5.3499999999999997E-3</v>
      </c>
      <c r="L145" s="82">
        <f>Dashboard!$B$60*G145</f>
        <v>3.21E-4</v>
      </c>
      <c r="M145" s="72">
        <f>Dashboard!$B$75*G145</f>
        <v>390550</v>
      </c>
      <c r="N145" s="78">
        <f>Dashboard!$B$76*G145</f>
        <v>390550</v>
      </c>
      <c r="O145" s="26"/>
    </row>
    <row r="146" spans="1:15" s="10" customFormat="1" x14ac:dyDescent="0.3">
      <c r="A146" s="26" t="s">
        <v>124</v>
      </c>
      <c r="B146" s="10" t="s">
        <v>265</v>
      </c>
      <c r="C146" s="26">
        <v>1144</v>
      </c>
      <c r="D146" s="26">
        <f ca="1">OFFSET(Node_List!$B$2,MATCH(Pipeline!A146,Node_List!$A$2:$A$999,0)-1,0)</f>
        <v>81</v>
      </c>
      <c r="E146" s="10">
        <f ca="1">OFFSET(Node_List!$B$2,MATCH(Pipeline!B146,Node_List!$A$2:$A$999,0)-1,0)</f>
        <v>259</v>
      </c>
      <c r="F146" s="265">
        <v>0</v>
      </c>
      <c r="G146" s="71">
        <v>45.5</v>
      </c>
      <c r="H146" s="20">
        <v>1500</v>
      </c>
      <c r="I146" s="80">
        <f>PI()*(H146/10^3/2)^2*Dashboard!$B$58*3600*24</f>
        <v>305362.80592892785</v>
      </c>
      <c r="J146" s="71">
        <f>Dashboard!$B$57*(G146*10^3)/(H146/10^3)*Dashboard!$B$58^2/2</f>
        <v>606.66666666666663</v>
      </c>
      <c r="K146" s="81">
        <f>Dashboard!$B$59*G146</f>
        <v>2.2749999999999999E-2</v>
      </c>
      <c r="L146" s="82">
        <f>Dashboard!$B$60*G146</f>
        <v>1.3650000000000001E-3</v>
      </c>
      <c r="M146" s="72">
        <f>Dashboard!$B$75*G146</f>
        <v>1660750</v>
      </c>
      <c r="N146" s="78">
        <f>Dashboard!$B$76*G146</f>
        <v>1660750</v>
      </c>
      <c r="O146" s="26"/>
    </row>
    <row r="147" spans="1:15" s="10" customFormat="1" x14ac:dyDescent="0.3">
      <c r="A147" s="26" t="s">
        <v>209</v>
      </c>
      <c r="B147" s="10" t="s">
        <v>265</v>
      </c>
      <c r="C147" s="26">
        <v>1145</v>
      </c>
      <c r="D147" s="26">
        <f ca="1">OFFSET(Node_List!$B$2,MATCH(Pipeline!A147,Node_List!$A$2:$A$999,0)-1,0)</f>
        <v>82</v>
      </c>
      <c r="E147" s="10">
        <f ca="1">OFFSET(Node_List!$B$2,MATCH(Pipeline!B147,Node_List!$A$2:$A$999,0)-1,0)</f>
        <v>259</v>
      </c>
      <c r="F147" s="265">
        <v>0</v>
      </c>
      <c r="G147" s="71">
        <v>41.6</v>
      </c>
      <c r="H147" s="20">
        <v>1500</v>
      </c>
      <c r="I147" s="80">
        <f>PI()*(H147/10^3/2)^2*Dashboard!$B$58*3600*24</f>
        <v>305362.80592892785</v>
      </c>
      <c r="J147" s="71">
        <f>Dashboard!$B$57*(G147*10^3)/(H147/10^3)*Dashboard!$B$58^2/2</f>
        <v>554.66666666666663</v>
      </c>
      <c r="K147" s="81">
        <f>Dashboard!$B$59*G147</f>
        <v>2.0800000000000003E-2</v>
      </c>
      <c r="L147" s="82">
        <f>Dashboard!$B$60*G147</f>
        <v>1.248E-3</v>
      </c>
      <c r="M147" s="72">
        <f>Dashboard!$B$75*G147</f>
        <v>1518400</v>
      </c>
      <c r="N147" s="78">
        <f>Dashboard!$B$76*G147</f>
        <v>1518400</v>
      </c>
      <c r="O147" s="26"/>
    </row>
    <row r="148" spans="1:15" s="10" customFormat="1" x14ac:dyDescent="0.3">
      <c r="A148" s="26" t="s">
        <v>264</v>
      </c>
      <c r="B148" s="10" t="s">
        <v>265</v>
      </c>
      <c r="C148" s="26">
        <v>1146</v>
      </c>
      <c r="D148" s="26">
        <f ca="1">OFFSET(Node_List!$B$2,MATCH(Pipeline!A148,Node_List!$A$2:$A$999,0)-1,0)</f>
        <v>260</v>
      </c>
      <c r="E148" s="10">
        <f ca="1">OFFSET(Node_List!$B$2,MATCH(Pipeline!B148,Node_List!$A$2:$A$999,0)-1,0)</f>
        <v>259</v>
      </c>
      <c r="F148" s="265">
        <v>0</v>
      </c>
      <c r="G148" s="70">
        <v>0</v>
      </c>
      <c r="H148" s="20">
        <v>1500</v>
      </c>
      <c r="I148" s="80">
        <f>PI()*(H148/10^3/2)^2*Dashboard!$B$58*3600*24</f>
        <v>305362.80592892785</v>
      </c>
      <c r="J148" s="71">
        <f>Dashboard!$B$57*(G148*10^3)/(H148/10^3)*Dashboard!$B$58^2/2</f>
        <v>0</v>
      </c>
      <c r="K148" s="81">
        <f>Dashboard!$B$59*G148</f>
        <v>0</v>
      </c>
      <c r="L148" s="82">
        <f>Dashboard!$B$60*G148</f>
        <v>0</v>
      </c>
      <c r="M148" s="72">
        <f>Dashboard!$B$75*G148</f>
        <v>0</v>
      </c>
      <c r="N148" s="78">
        <f>Dashboard!$B$76*G148</f>
        <v>0</v>
      </c>
      <c r="O148" s="26"/>
    </row>
    <row r="149" spans="1:15" s="10" customFormat="1" x14ac:dyDescent="0.3">
      <c r="A149" s="26" t="s">
        <v>123</v>
      </c>
      <c r="B149" s="10" t="s">
        <v>6</v>
      </c>
      <c r="C149" s="26">
        <v>1147</v>
      </c>
      <c r="D149" s="26">
        <f ca="1">OFFSET(Node_List!$B$2,MATCH(Pipeline!A149,Node_List!$A$2:$A$999,0)-1,0)</f>
        <v>66</v>
      </c>
      <c r="E149" s="10">
        <f ca="1">OFFSET(Node_List!$B$2,MATCH(Pipeline!B149,Node_List!$A$2:$A$999,0)-1,0)</f>
        <v>84</v>
      </c>
      <c r="F149" s="265">
        <v>0</v>
      </c>
      <c r="G149" s="71">
        <v>113</v>
      </c>
      <c r="H149" s="11">
        <v>2000</v>
      </c>
      <c r="I149" s="80">
        <f>PI()*(H149/10^3/2)^2*Dashboard!$B$58*3600*24</f>
        <v>542867.2105403163</v>
      </c>
      <c r="J149" s="71">
        <f>Dashboard!$B$57*(G149*10^3)/(H149/10^3)*Dashboard!$B$58^2/2</f>
        <v>1130</v>
      </c>
      <c r="K149" s="81">
        <f>Dashboard!$B$59*G149</f>
        <v>5.6500000000000002E-2</v>
      </c>
      <c r="L149" s="82">
        <f>Dashboard!$B$60*G149</f>
        <v>3.3900000000000002E-3</v>
      </c>
      <c r="M149" s="72">
        <f>Dashboard!$B$75*G149</f>
        <v>4124500</v>
      </c>
      <c r="N149" s="78">
        <f>Dashboard!$B$76*G149</f>
        <v>4124500</v>
      </c>
      <c r="O149" s="26"/>
    </row>
    <row r="150" spans="1:15" s="10" customFormat="1" x14ac:dyDescent="0.3">
      <c r="A150" s="26" t="s">
        <v>6</v>
      </c>
      <c r="B150" s="10" t="s">
        <v>21</v>
      </c>
      <c r="C150" s="26">
        <v>1148</v>
      </c>
      <c r="D150" s="26">
        <f ca="1">OFFSET(Node_List!$B$2,MATCH(Pipeline!A150,Node_List!$A$2:$A$999,0)-1,0)</f>
        <v>84</v>
      </c>
      <c r="E150" s="10">
        <f ca="1">OFFSET(Node_List!$B$2,MATCH(Pipeline!B150,Node_List!$A$2:$A$999,0)-1,0)</f>
        <v>86</v>
      </c>
      <c r="F150" s="265">
        <v>0</v>
      </c>
      <c r="G150" s="71">
        <v>32.700000000000003</v>
      </c>
      <c r="H150" s="11">
        <v>2000</v>
      </c>
      <c r="I150" s="80">
        <f>PI()*(H150/10^3/2)^2*Dashboard!$B$58*3600*24</f>
        <v>542867.2105403163</v>
      </c>
      <c r="J150" s="71">
        <f>Dashboard!$B$57*(G150*10^3)/(H150/10^3)*Dashboard!$B$58^2/2</f>
        <v>327.00000000000006</v>
      </c>
      <c r="K150" s="81">
        <f>Dashboard!$B$59*G150</f>
        <v>1.6350000000000003E-2</v>
      </c>
      <c r="L150" s="82">
        <f>Dashboard!$B$60*G150</f>
        <v>9.810000000000001E-4</v>
      </c>
      <c r="M150" s="72">
        <f>Dashboard!$B$75*G150</f>
        <v>1193550</v>
      </c>
      <c r="N150" s="78">
        <f>Dashboard!$B$76*G150</f>
        <v>1193550</v>
      </c>
      <c r="O150" s="26"/>
    </row>
    <row r="151" spans="1:15" s="10" customFormat="1" x14ac:dyDescent="0.3">
      <c r="A151" s="26" t="s">
        <v>21</v>
      </c>
      <c r="B151" s="10" t="s">
        <v>326</v>
      </c>
      <c r="C151" s="26">
        <v>1149</v>
      </c>
      <c r="D151" s="26">
        <f ca="1">OFFSET(Node_List!$B$2,MATCH(Pipeline!A151,Node_List!$A$2:$A$999,0)-1,0)</f>
        <v>86</v>
      </c>
      <c r="E151" s="10">
        <f ca="1">OFFSET(Node_List!$B$2,MATCH(Pipeline!B151,Node_List!$A$2:$A$999,0)-1,0)</f>
        <v>88</v>
      </c>
      <c r="F151" s="265">
        <v>0</v>
      </c>
      <c r="G151" s="71">
        <v>58.5</v>
      </c>
      <c r="H151" s="11">
        <v>2000</v>
      </c>
      <c r="I151" s="80">
        <f>PI()*(H151/10^3/2)^2*Dashboard!$B$58*3600*24</f>
        <v>542867.2105403163</v>
      </c>
      <c r="J151" s="71">
        <f>Dashboard!$B$57*(G151*10^3)/(H151/10^3)*Dashboard!$B$58^2/2</f>
        <v>585</v>
      </c>
      <c r="K151" s="81">
        <f>Dashboard!$B$59*G151</f>
        <v>2.9250000000000002E-2</v>
      </c>
      <c r="L151" s="82">
        <f>Dashboard!$B$60*G151</f>
        <v>1.755E-3</v>
      </c>
      <c r="M151" s="72">
        <f>Dashboard!$B$75*G151</f>
        <v>2135250</v>
      </c>
      <c r="N151" s="78">
        <f>Dashboard!$B$76*G151</f>
        <v>2135250</v>
      </c>
      <c r="O151" s="26"/>
    </row>
    <row r="152" spans="1:15" s="10" customFormat="1" x14ac:dyDescent="0.3">
      <c r="A152" s="26" t="s">
        <v>6</v>
      </c>
      <c r="B152" s="10" t="s">
        <v>122</v>
      </c>
      <c r="C152" s="26">
        <v>1150</v>
      </c>
      <c r="D152" s="26">
        <f ca="1">OFFSET(Node_List!$B$2,MATCH(Pipeline!A152,Node_List!$A$2:$A$999,0)-1,0)</f>
        <v>84</v>
      </c>
      <c r="E152" s="10">
        <f ca="1">OFFSET(Node_List!$B$2,MATCH(Pipeline!B152,Node_List!$A$2:$A$999,0)-1,0)</f>
        <v>83</v>
      </c>
      <c r="F152" s="265">
        <v>0</v>
      </c>
      <c r="G152" s="71">
        <v>38</v>
      </c>
      <c r="H152" s="11">
        <v>2000</v>
      </c>
      <c r="I152" s="80">
        <f>PI()*(H152/10^3/2)^2*Dashboard!$B$58*3600*24</f>
        <v>542867.2105403163</v>
      </c>
      <c r="J152" s="71">
        <f>Dashboard!$B$57*(G152*10^3)/(H152/10^3)*Dashboard!$B$58^2/2</f>
        <v>380</v>
      </c>
      <c r="K152" s="81">
        <f>Dashboard!$B$59*G152</f>
        <v>1.9E-2</v>
      </c>
      <c r="L152" s="82">
        <f>Dashboard!$B$60*G152</f>
        <v>1.14E-3</v>
      </c>
      <c r="M152" s="72">
        <f>Dashboard!$B$75*G152</f>
        <v>1387000</v>
      </c>
      <c r="N152" s="78">
        <f>Dashboard!$B$76*G152</f>
        <v>1387000</v>
      </c>
      <c r="O152" s="26"/>
    </row>
    <row r="153" spans="1:15" s="10" customFormat="1" x14ac:dyDescent="0.3">
      <c r="A153" s="26" t="s">
        <v>6</v>
      </c>
      <c r="B153" s="10" t="s">
        <v>266</v>
      </c>
      <c r="C153" s="26">
        <v>1151</v>
      </c>
      <c r="D153" s="26">
        <f ca="1">OFFSET(Node_List!$B$2,MATCH(Pipeline!A153,Node_List!$A$2:$A$999,0)-1,0)</f>
        <v>84</v>
      </c>
      <c r="E153" s="10">
        <f ca="1">OFFSET(Node_List!$B$2,MATCH(Pipeline!B153,Node_List!$A$2:$A$999,0)-1,0)</f>
        <v>261</v>
      </c>
      <c r="F153" s="265">
        <v>0</v>
      </c>
      <c r="G153" s="71">
        <v>9.1</v>
      </c>
      <c r="H153" s="11">
        <v>2000</v>
      </c>
      <c r="I153" s="80">
        <f>PI()*(H153/10^3/2)^2*Dashboard!$B$58*3600*24</f>
        <v>542867.2105403163</v>
      </c>
      <c r="J153" s="71">
        <f>Dashboard!$B$57*(G153*10^3)/(H153/10^3)*Dashboard!$B$58^2/2</f>
        <v>91</v>
      </c>
      <c r="K153" s="81">
        <f>Dashboard!$B$59*G153</f>
        <v>4.5500000000000002E-3</v>
      </c>
      <c r="L153" s="82">
        <f>Dashboard!$B$60*G153</f>
        <v>2.7300000000000002E-4</v>
      </c>
      <c r="M153" s="72">
        <f>Dashboard!$B$75*G153</f>
        <v>332150</v>
      </c>
      <c r="N153" s="78">
        <f>Dashboard!$B$76*G153</f>
        <v>332150</v>
      </c>
      <c r="O153" s="26"/>
    </row>
    <row r="154" spans="1:15" x14ac:dyDescent="0.3">
      <c r="A154" s="26" t="s">
        <v>6</v>
      </c>
      <c r="B154" s="10" t="s">
        <v>267</v>
      </c>
      <c r="C154" s="26">
        <v>1152</v>
      </c>
      <c r="D154" s="26">
        <f ca="1">OFFSET(Node_List!$B$2,MATCH(Pipeline!A154,Node_List!$A$2:$A$999,0)-1,0)</f>
        <v>84</v>
      </c>
      <c r="E154" s="10">
        <f ca="1">OFFSET(Node_List!$B$2,MATCH(Pipeline!B154,Node_List!$A$2:$A$999,0)-1,0)</f>
        <v>262</v>
      </c>
      <c r="F154" s="265">
        <v>0</v>
      </c>
      <c r="G154" s="71">
        <v>18</v>
      </c>
      <c r="H154" s="11">
        <v>2000</v>
      </c>
      <c r="I154" s="80">
        <f>PI()*(H154/10^3/2)^2*Dashboard!$B$58*3600*24</f>
        <v>542867.2105403163</v>
      </c>
      <c r="J154" s="71">
        <f>Dashboard!$B$57*(G154*10^3)/(H154/10^3)*Dashboard!$B$58^2/2</f>
        <v>180</v>
      </c>
      <c r="K154" s="81">
        <f>Dashboard!$B$59*G154</f>
        <v>9.0000000000000011E-3</v>
      </c>
      <c r="L154" s="82">
        <f>Dashboard!$B$60*G154</f>
        <v>5.4000000000000001E-4</v>
      </c>
      <c r="M154" s="72">
        <f>Dashboard!$B$75*G154</f>
        <v>657000</v>
      </c>
      <c r="N154" s="78">
        <f>Dashboard!$B$76*G154</f>
        <v>657000</v>
      </c>
    </row>
    <row r="155" spans="1:15" s="10" customFormat="1" x14ac:dyDescent="0.3">
      <c r="A155" s="26" t="s">
        <v>21</v>
      </c>
      <c r="B155" s="10" t="s">
        <v>267</v>
      </c>
      <c r="C155" s="26">
        <v>1153</v>
      </c>
      <c r="D155" s="26">
        <f ca="1">OFFSET(Node_List!$B$2,MATCH(Pipeline!A155,Node_List!$A$2:$A$999,0)-1,0)</f>
        <v>86</v>
      </c>
      <c r="E155" s="10">
        <f ca="1">OFFSET(Node_List!$B$2,MATCH(Pipeline!B155,Node_List!$A$2:$A$999,0)-1,0)</f>
        <v>262</v>
      </c>
      <c r="F155" s="265">
        <v>0</v>
      </c>
      <c r="G155" s="71">
        <v>16.600000000000001</v>
      </c>
      <c r="H155" s="11">
        <v>2000</v>
      </c>
      <c r="I155" s="80">
        <f>PI()*(H155/10^3/2)^2*Dashboard!$B$58*3600*24</f>
        <v>542867.2105403163</v>
      </c>
      <c r="J155" s="71">
        <f>Dashboard!$B$57*(G155*10^3)/(H155/10^3)*Dashboard!$B$58^2/2</f>
        <v>166</v>
      </c>
      <c r="K155" s="81">
        <f>Dashboard!$B$59*G155</f>
        <v>8.3000000000000001E-3</v>
      </c>
      <c r="L155" s="82">
        <f>Dashboard!$B$60*G155</f>
        <v>4.9800000000000007E-4</v>
      </c>
      <c r="M155" s="72">
        <f>Dashboard!$B$75*G155</f>
        <v>605900</v>
      </c>
      <c r="N155" s="78">
        <f>Dashboard!$B$76*G155</f>
        <v>605900</v>
      </c>
      <c r="O155" s="26"/>
    </row>
    <row r="156" spans="1:15" s="10" customFormat="1" x14ac:dyDescent="0.3">
      <c r="A156" s="26" t="s">
        <v>267</v>
      </c>
      <c r="B156" s="10" t="s">
        <v>212</v>
      </c>
      <c r="C156" s="26">
        <v>1154</v>
      </c>
      <c r="D156" s="26">
        <f ca="1">OFFSET(Node_List!$B$2,MATCH(Pipeline!A156,Node_List!$A$2:$A$999,0)-1,0)</f>
        <v>262</v>
      </c>
      <c r="E156" s="10">
        <f ca="1">OFFSET(Node_List!$B$2,MATCH(Pipeline!B156,Node_List!$A$2:$A$999,0)-1,0)</f>
        <v>85</v>
      </c>
      <c r="F156" s="265">
        <v>0</v>
      </c>
      <c r="G156" s="71">
        <v>34.6</v>
      </c>
      <c r="H156" s="11">
        <v>2000</v>
      </c>
      <c r="I156" s="80">
        <f>PI()*(H156/10^3/2)^2*Dashboard!$B$58*3600*24</f>
        <v>542867.2105403163</v>
      </c>
      <c r="J156" s="71">
        <f>Dashboard!$B$57*(G156*10^3)/(H156/10^3)*Dashboard!$B$58^2/2</f>
        <v>346</v>
      </c>
      <c r="K156" s="81">
        <f>Dashboard!$B$59*G156</f>
        <v>1.7299999999999999E-2</v>
      </c>
      <c r="L156" s="82">
        <f>Dashboard!$B$60*G156</f>
        <v>1.0380000000000001E-3</v>
      </c>
      <c r="M156" s="72">
        <f>Dashboard!$B$75*G156</f>
        <v>1262900</v>
      </c>
      <c r="N156" s="78">
        <f>Dashboard!$B$76*G156</f>
        <v>1262900</v>
      </c>
      <c r="O156" s="26"/>
    </row>
    <row r="157" spans="1:15" s="10" customFormat="1" x14ac:dyDescent="0.3">
      <c r="A157" s="26" t="s">
        <v>21</v>
      </c>
      <c r="B157" s="10" t="s">
        <v>211</v>
      </c>
      <c r="C157" s="26">
        <v>1155</v>
      </c>
      <c r="D157" s="26">
        <f ca="1">OFFSET(Node_List!$B$2,MATCH(Pipeline!A157,Node_List!$A$2:$A$999,0)-1,0)</f>
        <v>86</v>
      </c>
      <c r="E157" s="10">
        <f ca="1">OFFSET(Node_List!$B$2,MATCH(Pipeline!B157,Node_List!$A$2:$A$999,0)-1,0)</f>
        <v>87</v>
      </c>
      <c r="F157" s="265">
        <v>0</v>
      </c>
      <c r="G157" s="71">
        <v>33.200000000000003</v>
      </c>
      <c r="H157" s="11">
        <v>2000</v>
      </c>
      <c r="I157" s="80">
        <f>PI()*(H157/10^3/2)^2*Dashboard!$B$58*3600*24</f>
        <v>542867.2105403163</v>
      </c>
      <c r="J157" s="71">
        <f>Dashboard!$B$57*(G157*10^3)/(H157/10^3)*Dashboard!$B$58^2/2</f>
        <v>332</v>
      </c>
      <c r="K157" s="81">
        <f>Dashboard!$B$59*G157</f>
        <v>1.66E-2</v>
      </c>
      <c r="L157" s="82">
        <f>Dashboard!$B$60*G157</f>
        <v>9.9600000000000014E-4</v>
      </c>
      <c r="M157" s="72">
        <f>Dashboard!$B$75*G157</f>
        <v>1211800</v>
      </c>
      <c r="N157" s="78">
        <f>Dashboard!$B$76*G157</f>
        <v>1211800</v>
      </c>
      <c r="O157" s="26"/>
    </row>
    <row r="158" spans="1:15" s="10" customFormat="1" x14ac:dyDescent="0.3">
      <c r="A158" s="26" t="s">
        <v>211</v>
      </c>
      <c r="B158" s="10" t="s">
        <v>326</v>
      </c>
      <c r="C158" s="26">
        <v>1156</v>
      </c>
      <c r="D158" s="26">
        <f ca="1">OFFSET(Node_List!$B$2,MATCH(Pipeline!A158,Node_List!$A$2:$A$999,0)-1,0)</f>
        <v>87</v>
      </c>
      <c r="E158" s="10">
        <f ca="1">OFFSET(Node_List!$B$2,MATCH(Pipeline!B158,Node_List!$A$2:$A$999,0)-1,0)</f>
        <v>88</v>
      </c>
      <c r="F158" s="265">
        <v>0</v>
      </c>
      <c r="G158" s="71">
        <v>27</v>
      </c>
      <c r="H158" s="11">
        <v>2000</v>
      </c>
      <c r="I158" s="80">
        <f>PI()*(H158/10^3/2)^2*Dashboard!$B$58*3600*24</f>
        <v>542867.2105403163</v>
      </c>
      <c r="J158" s="71">
        <f>Dashboard!$B$57*(G158*10^3)/(H158/10^3)*Dashboard!$B$58^2/2</f>
        <v>270</v>
      </c>
      <c r="K158" s="81">
        <f>Dashboard!$B$59*G158</f>
        <v>1.35E-2</v>
      </c>
      <c r="L158" s="82">
        <f>Dashboard!$B$60*G158</f>
        <v>8.1000000000000006E-4</v>
      </c>
      <c r="M158" s="72">
        <f>Dashboard!$B$75*G158</f>
        <v>985500</v>
      </c>
      <c r="N158" s="78">
        <f>Dashboard!$B$76*G158</f>
        <v>985500</v>
      </c>
      <c r="O158" s="26"/>
    </row>
    <row r="159" spans="1:15" s="10" customFormat="1" x14ac:dyDescent="0.3">
      <c r="A159" s="26" t="s">
        <v>21</v>
      </c>
      <c r="B159" s="10" t="s">
        <v>213</v>
      </c>
      <c r="C159" s="26">
        <v>1157</v>
      </c>
      <c r="D159" s="26">
        <f ca="1">OFFSET(Node_List!$B$2,MATCH(Pipeline!A159,Node_List!$A$2:$A$999,0)-1,0)</f>
        <v>86</v>
      </c>
      <c r="E159" s="10">
        <f ca="1">OFFSET(Node_List!$B$2,MATCH(Pipeline!B159,Node_List!$A$2:$A$999,0)-1,0)</f>
        <v>89</v>
      </c>
      <c r="F159" s="265">
        <v>0</v>
      </c>
      <c r="G159" s="71">
        <v>37.1</v>
      </c>
      <c r="H159" s="11">
        <v>2000</v>
      </c>
      <c r="I159" s="80">
        <f>PI()*(H159/10^3/2)^2*Dashboard!$B$58*3600*24</f>
        <v>542867.2105403163</v>
      </c>
      <c r="J159" s="71">
        <f>Dashboard!$B$57*(G159*10^3)/(H159/10^3)*Dashboard!$B$58^2/2</f>
        <v>371</v>
      </c>
      <c r="K159" s="81">
        <f>Dashboard!$B$59*G159</f>
        <v>1.8550000000000001E-2</v>
      </c>
      <c r="L159" s="82">
        <f>Dashboard!$B$60*G159</f>
        <v>1.1130000000000001E-3</v>
      </c>
      <c r="M159" s="72">
        <f>Dashboard!$B$75*G159</f>
        <v>1354150</v>
      </c>
      <c r="N159" s="78">
        <f>Dashboard!$B$76*G159</f>
        <v>1354150</v>
      </c>
      <c r="O159" s="26"/>
    </row>
    <row r="160" spans="1:15" s="10" customFormat="1" x14ac:dyDescent="0.3">
      <c r="A160" s="26" t="s">
        <v>79</v>
      </c>
      <c r="B160" s="10" t="s">
        <v>268</v>
      </c>
      <c r="C160" s="26">
        <v>1158</v>
      </c>
      <c r="D160" s="26">
        <f ca="1">OFFSET(Node_List!$B$2,MATCH(Pipeline!A160,Node_List!$A$2:$A$999,0)-1,0)</f>
        <v>90</v>
      </c>
      <c r="E160" s="10">
        <f ca="1">OFFSET(Node_List!$B$2,MATCH(Pipeline!B160,Node_List!$A$2:$A$999,0)-1,0)</f>
        <v>263</v>
      </c>
      <c r="F160" s="265">
        <v>0</v>
      </c>
      <c r="G160" s="71">
        <v>3.6</v>
      </c>
      <c r="H160" s="20">
        <v>1500</v>
      </c>
      <c r="I160" s="80">
        <f>PI()*(H160/10^3/2)^2*Dashboard!$B$58*3600*24</f>
        <v>305362.80592892785</v>
      </c>
      <c r="J160" s="71">
        <f>Dashboard!$B$57*(G160*10^3)/(H160/10^3)*Dashboard!$B$58^2/2</f>
        <v>48</v>
      </c>
      <c r="K160" s="81">
        <f>Dashboard!$B$59*G160</f>
        <v>1.8000000000000002E-3</v>
      </c>
      <c r="L160" s="82">
        <f>Dashboard!$B$60*G160</f>
        <v>1.0800000000000001E-4</v>
      </c>
      <c r="M160" s="72">
        <f>Dashboard!$B$75*G160</f>
        <v>131400</v>
      </c>
      <c r="N160" s="78">
        <f>Dashboard!$B$76*G160</f>
        <v>131400</v>
      </c>
      <c r="O160" s="26"/>
    </row>
    <row r="161" spans="1:15" s="10" customFormat="1" x14ac:dyDescent="0.3">
      <c r="A161" s="26" t="s">
        <v>79</v>
      </c>
      <c r="B161" s="10" t="s">
        <v>269</v>
      </c>
      <c r="C161" s="26">
        <v>1159</v>
      </c>
      <c r="D161" s="26">
        <f ca="1">OFFSET(Node_List!$B$2,MATCH(Pipeline!A161,Node_List!$A$2:$A$999,0)-1,0)</f>
        <v>90</v>
      </c>
      <c r="E161" s="10">
        <f ca="1">OFFSET(Node_List!$B$2,MATCH(Pipeline!B161,Node_List!$A$2:$A$999,0)-1,0)</f>
        <v>264</v>
      </c>
      <c r="F161" s="265">
        <v>0</v>
      </c>
      <c r="G161" s="71">
        <v>11</v>
      </c>
      <c r="H161" s="20">
        <v>1500</v>
      </c>
      <c r="I161" s="80">
        <f>PI()*(H161/10^3/2)^2*Dashboard!$B$58*3600*24</f>
        <v>305362.80592892785</v>
      </c>
      <c r="J161" s="71">
        <f>Dashboard!$B$57*(G161*10^3)/(H161/10^3)*Dashboard!$B$58^2/2</f>
        <v>146.66666666666666</v>
      </c>
      <c r="K161" s="81">
        <f>Dashboard!$B$59*G161</f>
        <v>5.4999999999999997E-3</v>
      </c>
      <c r="L161" s="82">
        <f>Dashboard!$B$60*G161</f>
        <v>3.3E-4</v>
      </c>
      <c r="M161" s="72">
        <f>Dashboard!$B$75*G161</f>
        <v>401500</v>
      </c>
      <c r="N161" s="78">
        <f>Dashboard!$B$76*G161</f>
        <v>401500</v>
      </c>
      <c r="O161" s="26"/>
    </row>
    <row r="162" spans="1:15" s="10" customFormat="1" x14ac:dyDescent="0.3">
      <c r="A162" s="26" t="s">
        <v>103</v>
      </c>
      <c r="B162" s="10" t="s">
        <v>270</v>
      </c>
      <c r="C162" s="26">
        <v>1160</v>
      </c>
      <c r="D162" s="26">
        <f ca="1">OFFSET(Node_List!$B$2,MATCH(Pipeline!A162,Node_List!$A$2:$A$999,0)-1,0)</f>
        <v>92</v>
      </c>
      <c r="E162" s="10">
        <f ca="1">OFFSET(Node_List!$B$2,MATCH(Pipeline!B162,Node_List!$A$2:$A$999,0)-1,0)</f>
        <v>265</v>
      </c>
      <c r="F162" s="265">
        <v>0</v>
      </c>
      <c r="G162" s="71">
        <v>7.4</v>
      </c>
      <c r="H162" s="20">
        <v>1500</v>
      </c>
      <c r="I162" s="80">
        <f>PI()*(H162/10^3/2)^2*Dashboard!$B$58*3600*24</f>
        <v>305362.80592892785</v>
      </c>
      <c r="J162" s="71">
        <f>Dashboard!$B$57*(G162*10^3)/(H162/10^3)*Dashboard!$B$58^2/2</f>
        <v>98.666666666666671</v>
      </c>
      <c r="K162" s="81">
        <f>Dashboard!$B$59*G162</f>
        <v>3.7000000000000002E-3</v>
      </c>
      <c r="L162" s="82">
        <f>Dashboard!$B$60*G162</f>
        <v>2.2200000000000003E-4</v>
      </c>
      <c r="M162" s="72">
        <f>Dashboard!$B$75*G162</f>
        <v>270100</v>
      </c>
      <c r="N162" s="78">
        <f>Dashboard!$B$76*G162</f>
        <v>270100</v>
      </c>
      <c r="O162" s="26"/>
    </row>
    <row r="163" spans="1:15" s="10" customFormat="1" x14ac:dyDescent="0.3">
      <c r="A163" s="26" t="s">
        <v>101</v>
      </c>
      <c r="B163" s="10" t="s">
        <v>271</v>
      </c>
      <c r="C163" s="26">
        <v>1161</v>
      </c>
      <c r="D163" s="26">
        <f ca="1">OFFSET(Node_List!$B$2,MATCH(Pipeline!A163,Node_List!$A$2:$A$999,0)-1,0)</f>
        <v>93</v>
      </c>
      <c r="E163" s="10">
        <f ca="1">OFFSET(Node_List!$B$2,MATCH(Pipeline!B163,Node_List!$A$2:$A$999,0)-1,0)</f>
        <v>266</v>
      </c>
      <c r="F163" s="265">
        <v>0</v>
      </c>
      <c r="G163" s="71">
        <v>3.5</v>
      </c>
      <c r="H163" s="20">
        <v>1500</v>
      </c>
      <c r="I163" s="80">
        <f>PI()*(H163/10^3/2)^2*Dashboard!$B$58*3600*24</f>
        <v>305362.80592892785</v>
      </c>
      <c r="J163" s="71">
        <f>Dashboard!$B$57*(G163*10^3)/(H163/10^3)*Dashboard!$B$58^2/2</f>
        <v>46.666666666666664</v>
      </c>
      <c r="K163" s="81">
        <f>Dashboard!$B$59*G163</f>
        <v>1.75E-3</v>
      </c>
      <c r="L163" s="82">
        <f>Dashboard!$B$60*G163</f>
        <v>1.05E-4</v>
      </c>
      <c r="M163" s="72">
        <f>Dashboard!$B$75*G163</f>
        <v>127750</v>
      </c>
      <c r="N163" s="78">
        <f>Dashboard!$B$76*G163</f>
        <v>127750</v>
      </c>
      <c r="O163" s="26"/>
    </row>
    <row r="164" spans="1:15" s="10" customFormat="1" x14ac:dyDescent="0.3">
      <c r="A164" s="26" t="s">
        <v>112</v>
      </c>
      <c r="B164" s="10" t="s">
        <v>272</v>
      </c>
      <c r="C164" s="26">
        <v>1162</v>
      </c>
      <c r="D164" s="26">
        <f ca="1">OFFSET(Node_List!$B$2,MATCH(Pipeline!A164,Node_List!$A$2:$A$999,0)-1,0)</f>
        <v>94</v>
      </c>
      <c r="E164" s="10">
        <f ca="1">OFFSET(Node_List!$B$2,MATCH(Pipeline!B164,Node_List!$A$2:$A$999,0)-1,0)</f>
        <v>267</v>
      </c>
      <c r="F164" s="265">
        <v>0</v>
      </c>
      <c r="G164" s="71">
        <v>10.9</v>
      </c>
      <c r="H164" s="20">
        <v>1500</v>
      </c>
      <c r="I164" s="80">
        <f>PI()*(H164/10^3/2)^2*Dashboard!$B$58*3600*24</f>
        <v>305362.80592892785</v>
      </c>
      <c r="J164" s="71">
        <f>Dashboard!$B$57*(G164*10^3)/(H164/10^3)*Dashboard!$B$58^2/2</f>
        <v>145.33333333333334</v>
      </c>
      <c r="K164" s="81">
        <f>Dashboard!$B$59*G164</f>
        <v>5.45E-3</v>
      </c>
      <c r="L164" s="82">
        <f>Dashboard!$B$60*G164</f>
        <v>3.2700000000000003E-4</v>
      </c>
      <c r="M164" s="72">
        <f>Dashboard!$B$75*G164</f>
        <v>397850</v>
      </c>
      <c r="N164" s="78">
        <f>Dashboard!$B$76*G164</f>
        <v>397850</v>
      </c>
      <c r="O164" s="26"/>
    </row>
    <row r="165" spans="1:15" s="10" customFormat="1" x14ac:dyDescent="0.3">
      <c r="A165" s="26" t="s">
        <v>100</v>
      </c>
      <c r="B165" s="10" t="s">
        <v>273</v>
      </c>
      <c r="C165" s="26">
        <v>1163</v>
      </c>
      <c r="D165" s="26">
        <f ca="1">OFFSET(Node_List!$B$2,MATCH(Pipeline!A165,Node_List!$A$2:$A$999,0)-1,0)</f>
        <v>95</v>
      </c>
      <c r="E165" s="10">
        <f ca="1">OFFSET(Node_List!$B$2,MATCH(Pipeline!B165,Node_List!$A$2:$A$999,0)-1,0)</f>
        <v>268</v>
      </c>
      <c r="F165" s="265">
        <v>0</v>
      </c>
      <c r="G165" s="71">
        <v>5.5</v>
      </c>
      <c r="H165" s="20">
        <v>1500</v>
      </c>
      <c r="I165" s="80">
        <f>PI()*(H165/10^3/2)^2*Dashboard!$B$58*3600*24</f>
        <v>305362.80592892785</v>
      </c>
      <c r="J165" s="71">
        <f>Dashboard!$B$57*(G165*10^3)/(H165/10^3)*Dashboard!$B$58^2/2</f>
        <v>73.333333333333329</v>
      </c>
      <c r="K165" s="81">
        <f>Dashboard!$B$59*G165</f>
        <v>2.7499999999999998E-3</v>
      </c>
      <c r="L165" s="82">
        <f>Dashboard!$B$60*G165</f>
        <v>1.65E-4</v>
      </c>
      <c r="M165" s="72">
        <f>Dashboard!$B$75*G165</f>
        <v>200750</v>
      </c>
      <c r="N165" s="78">
        <f>Dashboard!$B$76*G165</f>
        <v>200750</v>
      </c>
      <c r="O165" s="26"/>
    </row>
    <row r="166" spans="1:15" s="10" customFormat="1" x14ac:dyDescent="0.3">
      <c r="A166" s="26" t="s">
        <v>127</v>
      </c>
      <c r="B166" s="10" t="s">
        <v>274</v>
      </c>
      <c r="C166" s="26">
        <v>1164</v>
      </c>
      <c r="D166" s="26">
        <f ca="1">OFFSET(Node_List!$B$2,MATCH(Pipeline!A166,Node_List!$A$2:$A$999,0)-1,0)</f>
        <v>96</v>
      </c>
      <c r="E166" s="10">
        <f ca="1">OFFSET(Node_List!$B$2,MATCH(Pipeline!B166,Node_List!$A$2:$A$999,0)-1,0)</f>
        <v>269</v>
      </c>
      <c r="F166" s="265">
        <v>0</v>
      </c>
      <c r="G166" s="71">
        <v>33.700000000000003</v>
      </c>
      <c r="H166" s="20">
        <v>1500</v>
      </c>
      <c r="I166" s="80">
        <f>PI()*(H166/10^3/2)^2*Dashboard!$B$58*3600*24</f>
        <v>305362.80592892785</v>
      </c>
      <c r="J166" s="71">
        <f>Dashboard!$B$57*(G166*10^3)/(H166/10^3)*Dashboard!$B$58^2/2</f>
        <v>449.33333333333331</v>
      </c>
      <c r="K166" s="81">
        <f>Dashboard!$B$59*G166</f>
        <v>1.685E-2</v>
      </c>
      <c r="L166" s="82">
        <f>Dashboard!$B$60*G166</f>
        <v>1.0110000000000002E-3</v>
      </c>
      <c r="M166" s="72">
        <f>Dashboard!$B$75*G166</f>
        <v>1230050</v>
      </c>
      <c r="N166" s="78">
        <f>Dashboard!$B$76*G166</f>
        <v>1230050</v>
      </c>
      <c r="O166" s="26"/>
    </row>
    <row r="167" spans="1:15" s="10" customFormat="1" x14ac:dyDescent="0.3">
      <c r="A167" s="26" t="s">
        <v>126</v>
      </c>
      <c r="B167" s="10" t="s">
        <v>274</v>
      </c>
      <c r="C167" s="26">
        <v>1165</v>
      </c>
      <c r="D167" s="26">
        <f ca="1">OFFSET(Node_List!$B$2,MATCH(Pipeline!A167,Node_List!$A$2:$A$999,0)-1,0)</f>
        <v>97</v>
      </c>
      <c r="E167" s="10">
        <f ca="1">OFFSET(Node_List!$B$2,MATCH(Pipeline!B167,Node_List!$A$2:$A$999,0)-1,0)</f>
        <v>269</v>
      </c>
      <c r="F167" s="265">
        <v>0</v>
      </c>
      <c r="G167" s="71">
        <v>20.399999999999999</v>
      </c>
      <c r="H167" s="20">
        <v>1500</v>
      </c>
      <c r="I167" s="80">
        <f>PI()*(H167/10^3/2)^2*Dashboard!$B$58*3600*24</f>
        <v>305362.80592892785</v>
      </c>
      <c r="J167" s="71">
        <f>Dashboard!$B$57*(G167*10^3)/(H167/10^3)*Dashboard!$B$58^2/2</f>
        <v>272</v>
      </c>
      <c r="K167" s="81">
        <f>Dashboard!$B$59*G167</f>
        <v>1.0199999999999999E-2</v>
      </c>
      <c r="L167" s="82">
        <f>Dashboard!$B$60*G167</f>
        <v>6.1200000000000002E-4</v>
      </c>
      <c r="M167" s="72">
        <f>Dashboard!$B$75*G167</f>
        <v>744600</v>
      </c>
      <c r="N167" s="78">
        <f>Dashboard!$B$76*G167</f>
        <v>744600</v>
      </c>
      <c r="O167" s="26"/>
    </row>
    <row r="172" spans="1:15" s="10" customFormat="1" x14ac:dyDescent="0.3">
      <c r="A172" s="26"/>
      <c r="C172" s="26"/>
      <c r="D172" s="26"/>
      <c r="F172" s="265"/>
      <c r="G172" s="26"/>
      <c r="I172" s="80"/>
      <c r="J172" s="71"/>
      <c r="K172" s="81"/>
      <c r="L172" s="82"/>
      <c r="M172" s="72"/>
      <c r="N172" s="78"/>
      <c r="O172" s="26"/>
    </row>
    <row r="173" spans="1:15" x14ac:dyDescent="0.3">
      <c r="E173" s="10"/>
      <c r="M173" s="72"/>
      <c r="N173" s="78"/>
    </row>
    <row r="174" spans="1:15" x14ac:dyDescent="0.3">
      <c r="E174" s="10"/>
      <c r="M174" s="72"/>
      <c r="N174" s="78"/>
    </row>
    <row r="175" spans="1:15" x14ac:dyDescent="0.3">
      <c r="E175" s="10"/>
      <c r="M175" s="72"/>
      <c r="N175" s="78"/>
    </row>
    <row r="176" spans="1:15" x14ac:dyDescent="0.3">
      <c r="E176" s="10"/>
      <c r="M176" s="72"/>
      <c r="N176" s="78"/>
    </row>
    <row r="177" spans="5:14" x14ac:dyDescent="0.3">
      <c r="E177" s="10"/>
      <c r="M177" s="72"/>
      <c r="N177" s="78"/>
    </row>
    <row r="178" spans="5:14" x14ac:dyDescent="0.3">
      <c r="E178" s="10"/>
      <c r="M178" s="72"/>
      <c r="N178" s="78"/>
    </row>
  </sheetData>
  <mergeCells count="13">
    <mergeCell ref="A1:B1"/>
    <mergeCell ref="N1:N2"/>
    <mergeCell ref="M1:M2"/>
    <mergeCell ref="H1:H2"/>
    <mergeCell ref="C1:C2"/>
    <mergeCell ref="D1:D2"/>
    <mergeCell ref="E1:E2"/>
    <mergeCell ref="G1:G2"/>
    <mergeCell ref="I1:I2"/>
    <mergeCell ref="J1:J2"/>
    <mergeCell ref="K1:K2"/>
    <mergeCell ref="L1:L2"/>
    <mergeCell ref="F1:F2"/>
  </mergeCells>
  <pageMargins left="0.7" right="0.7" top="0.75" bottom="0.75" header="0.3" footer="0.3"/>
  <pageSetup paperSize="12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120"/>
  <sheetViews>
    <sheetView zoomScale="80" zoomScaleNormal="80" workbookViewId="0">
      <pane ySplit="2" topLeftCell="A3" activePane="bottomLeft" state="frozen"/>
      <selection pane="bottomLeft" sqref="A1:B1"/>
    </sheetView>
  </sheetViews>
  <sheetFormatPr defaultRowHeight="14.4" x14ac:dyDescent="0.3"/>
  <cols>
    <col min="1" max="1" width="21.77734375" style="26" customWidth="1"/>
    <col min="2" max="2" width="21.77734375" style="10" customWidth="1"/>
    <col min="3" max="3" width="6.77734375" style="26" customWidth="1"/>
    <col min="4" max="4" width="16.77734375" style="26" customWidth="1"/>
    <col min="5" max="5" width="16.77734375" style="7" customWidth="1"/>
    <col min="6" max="6" width="16.77734375" style="265" customWidth="1"/>
    <col min="7" max="7" width="16.77734375" style="26" customWidth="1"/>
    <col min="8" max="8" width="16.77734375" style="11" customWidth="1"/>
    <col min="9" max="9" width="16.77734375" style="72" customWidth="1"/>
    <col min="10" max="10" width="18.77734375" style="72" customWidth="1"/>
    <col min="11" max="12" width="16.77734375" style="86" customWidth="1"/>
    <col min="13" max="13" width="20.77734375" style="71" customWidth="1"/>
    <col min="14" max="14" width="20.77734375" style="79" customWidth="1"/>
    <col min="15" max="15" width="20.77734375" style="90" customWidth="1"/>
    <col min="16" max="16" width="20.77734375" style="79" customWidth="1"/>
    <col min="17" max="17" width="8.88671875" style="26"/>
    <col min="18" max="16384" width="8.88671875" style="7"/>
  </cols>
  <sheetData>
    <row r="1" spans="1:17" s="8" customFormat="1" ht="14.4" customHeight="1" x14ac:dyDescent="0.3">
      <c r="A1" s="319" t="s">
        <v>336</v>
      </c>
      <c r="B1" s="322"/>
      <c r="C1" s="319" t="s">
        <v>58</v>
      </c>
      <c r="D1" s="319" t="s">
        <v>60</v>
      </c>
      <c r="E1" s="314" t="s">
        <v>61</v>
      </c>
      <c r="F1" s="330" t="s">
        <v>349</v>
      </c>
      <c r="G1" s="315" t="s">
        <v>62</v>
      </c>
      <c r="H1" s="331" t="s">
        <v>63</v>
      </c>
      <c r="I1" s="334" t="s">
        <v>163</v>
      </c>
      <c r="J1" s="336" t="s">
        <v>158</v>
      </c>
      <c r="K1" s="328" t="s">
        <v>161</v>
      </c>
      <c r="L1" s="328" t="s">
        <v>162</v>
      </c>
      <c r="M1" s="324" t="s">
        <v>166</v>
      </c>
      <c r="N1" s="323" t="s">
        <v>164</v>
      </c>
      <c r="O1" s="302" t="s">
        <v>167</v>
      </c>
      <c r="P1" s="323" t="s">
        <v>165</v>
      </c>
      <c r="Q1" s="76"/>
    </row>
    <row r="2" spans="1:17" s="8" customFormat="1" x14ac:dyDescent="0.3">
      <c r="A2" s="225" t="s">
        <v>105</v>
      </c>
      <c r="B2" s="227" t="s">
        <v>106</v>
      </c>
      <c r="C2" s="319"/>
      <c r="D2" s="319"/>
      <c r="E2" s="314"/>
      <c r="F2" s="318"/>
      <c r="G2" s="319"/>
      <c r="H2" s="332"/>
      <c r="I2" s="335"/>
      <c r="J2" s="336"/>
      <c r="K2" s="328"/>
      <c r="L2" s="328"/>
      <c r="M2" s="324"/>
      <c r="N2" s="323"/>
      <c r="O2" s="333"/>
      <c r="P2" s="323"/>
      <c r="Q2" s="76"/>
    </row>
    <row r="3" spans="1:17" x14ac:dyDescent="0.3">
      <c r="A3" s="26" t="s">
        <v>181</v>
      </c>
      <c r="B3" s="10" t="s">
        <v>78</v>
      </c>
      <c r="C3" s="26">
        <v>1501</v>
      </c>
      <c r="D3" s="26">
        <f ca="1">OFFSET(Node_List!$B$2,MATCH(Pipeline_Candid!A3,Node_List!$A$2:$A$999,0)-1,0)</f>
        <v>1</v>
      </c>
      <c r="E3" s="10">
        <f ca="1">OFFSET(Node_List!$B$2,MATCH(Pipeline_Candid!B3,Node_List!$A$2:$A$999,0)-1,0)</f>
        <v>2</v>
      </c>
      <c r="F3" s="265">
        <v>0</v>
      </c>
      <c r="G3" s="26">
        <v>226</v>
      </c>
      <c r="H3" s="11">
        <v>2000</v>
      </c>
      <c r="I3" s="87">
        <f>PI()*(H3/10^3/2)^2*Dashboard!$B$58*3600*24</f>
        <v>542867.2105403163</v>
      </c>
      <c r="J3" s="87">
        <f>Dashboard!$B$57*(G3*10^3)/(H3/10^3)*Dashboard!$B$58^2/2</f>
        <v>2260</v>
      </c>
      <c r="K3" s="85">
        <f>Dashboard!$B$59*G3</f>
        <v>0.113</v>
      </c>
      <c r="L3" s="85">
        <f>Dashboard!$B$60*G3</f>
        <v>6.7800000000000004E-3</v>
      </c>
      <c r="M3" s="87">
        <f>Dashboard!$C$68*G3</f>
        <v>9040000</v>
      </c>
      <c r="N3" s="88">
        <f>Dashboard!$B$75*G3</f>
        <v>8249000</v>
      </c>
      <c r="O3" s="90">
        <f>Dashboard!$C$69*G3</f>
        <v>18080000</v>
      </c>
      <c r="P3" s="88">
        <f>Dashboard!$B$76*G3</f>
        <v>8249000</v>
      </c>
    </row>
    <row r="4" spans="1:17" s="226" customFormat="1" x14ac:dyDescent="0.3">
      <c r="A4" s="26" t="s">
        <v>181</v>
      </c>
      <c r="B4" s="10" t="s">
        <v>98</v>
      </c>
      <c r="C4" s="26">
        <v>1502</v>
      </c>
      <c r="D4" s="26">
        <f ca="1">OFFSET(Node_List!$B$2,MATCH(Pipeline_Candid!A4,Node_List!$A$2:$A$999,0)-1,0)</f>
        <v>1</v>
      </c>
      <c r="E4" s="10">
        <f ca="1">OFFSET(Node_List!$B$2,MATCH(Pipeline_Candid!B4,Node_List!$A$2:$A$999,0)-1,0)</f>
        <v>4</v>
      </c>
      <c r="F4" s="265">
        <v>0</v>
      </c>
      <c r="G4" s="26">
        <v>272</v>
      </c>
      <c r="H4" s="11">
        <v>2000</v>
      </c>
      <c r="I4" s="87">
        <f>PI()*(H4/10^3/2)^2*Dashboard!$B$58*3600*24</f>
        <v>542867.2105403163</v>
      </c>
      <c r="J4" s="87">
        <f>Dashboard!$B$57*(G4*10^3)/(H4/10^3)*Dashboard!$B$58^2/2</f>
        <v>2720</v>
      </c>
      <c r="K4" s="85">
        <f>Dashboard!$B$59*G4</f>
        <v>0.13600000000000001</v>
      </c>
      <c r="L4" s="85">
        <f>Dashboard!$B$60*G4</f>
        <v>8.1600000000000006E-3</v>
      </c>
      <c r="M4" s="87">
        <f>Dashboard!$C$68*G4</f>
        <v>10880000</v>
      </c>
      <c r="N4" s="88">
        <f>Dashboard!$B$75*G4</f>
        <v>9928000</v>
      </c>
      <c r="O4" s="90">
        <f>Dashboard!$C$69*G4</f>
        <v>21760000</v>
      </c>
      <c r="P4" s="88">
        <f>Dashboard!$B$76*G4</f>
        <v>9928000</v>
      </c>
      <c r="Q4" s="225"/>
    </row>
    <row r="5" spans="1:17" s="226" customFormat="1" x14ac:dyDescent="0.3">
      <c r="A5" s="26" t="s">
        <v>78</v>
      </c>
      <c r="B5" s="10" t="s">
        <v>182</v>
      </c>
      <c r="C5" s="26">
        <v>1503</v>
      </c>
      <c r="D5" s="26">
        <f ca="1">OFFSET(Node_List!$B$2,MATCH(Pipeline_Candid!A5,Node_List!$A$2:$A$999,0)-1,0)</f>
        <v>2</v>
      </c>
      <c r="E5" s="10">
        <f ca="1">OFFSET(Node_List!$B$2,MATCH(Pipeline_Candid!B5,Node_List!$A$2:$A$999,0)-1,0)</f>
        <v>3</v>
      </c>
      <c r="F5" s="265">
        <v>0</v>
      </c>
      <c r="G5" s="26">
        <v>262</v>
      </c>
      <c r="H5" s="11">
        <v>2000</v>
      </c>
      <c r="I5" s="87">
        <f>PI()*(H5/10^3/2)^2*Dashboard!$B$58*3600*24</f>
        <v>542867.2105403163</v>
      </c>
      <c r="J5" s="87">
        <f>Dashboard!$B$57*(G5*10^3)/(H5/10^3)*Dashboard!$B$58^2/2</f>
        <v>2620</v>
      </c>
      <c r="K5" s="85">
        <f>Dashboard!$B$59*G5</f>
        <v>0.13100000000000001</v>
      </c>
      <c r="L5" s="85">
        <f>Dashboard!$B$60*G5</f>
        <v>7.8600000000000007E-3</v>
      </c>
      <c r="M5" s="87">
        <f>Dashboard!$C$68*G5</f>
        <v>10480000</v>
      </c>
      <c r="N5" s="88">
        <f>Dashboard!$B$75*G5</f>
        <v>9563000</v>
      </c>
      <c r="O5" s="90">
        <f>Dashboard!$C$69*G5</f>
        <v>20960000</v>
      </c>
      <c r="P5" s="88">
        <f>Dashboard!$B$76*G5</f>
        <v>9563000</v>
      </c>
      <c r="Q5" s="225"/>
    </row>
    <row r="6" spans="1:17" s="226" customFormat="1" x14ac:dyDescent="0.3">
      <c r="A6" s="26" t="s">
        <v>78</v>
      </c>
      <c r="B6" s="10" t="s">
        <v>98</v>
      </c>
      <c r="C6" s="26">
        <v>1504</v>
      </c>
      <c r="D6" s="26">
        <f ca="1">OFFSET(Node_List!$B$2,MATCH(Pipeline_Candid!A6,Node_List!$A$2:$A$999,0)-1,0)</f>
        <v>2</v>
      </c>
      <c r="E6" s="10">
        <f ca="1">OFFSET(Node_List!$B$2,MATCH(Pipeline_Candid!B6,Node_List!$A$2:$A$999,0)-1,0)</f>
        <v>4</v>
      </c>
      <c r="F6" s="265">
        <v>0</v>
      </c>
      <c r="G6" s="26">
        <v>194</v>
      </c>
      <c r="H6" s="11">
        <v>2000</v>
      </c>
      <c r="I6" s="87">
        <f>PI()*(H6/10^3/2)^2*Dashboard!$B$58*3600*24</f>
        <v>542867.2105403163</v>
      </c>
      <c r="J6" s="87">
        <f>Dashboard!$B$57*(G6*10^3)/(H6/10^3)*Dashboard!$B$58^2/2</f>
        <v>1940</v>
      </c>
      <c r="K6" s="85">
        <f>Dashboard!$B$59*G6</f>
        <v>9.7000000000000003E-2</v>
      </c>
      <c r="L6" s="85">
        <f>Dashboard!$B$60*G6</f>
        <v>5.8200000000000005E-3</v>
      </c>
      <c r="M6" s="87">
        <f>Dashboard!$C$68*G6</f>
        <v>7760000</v>
      </c>
      <c r="N6" s="88">
        <f>Dashboard!$B$75*G6</f>
        <v>7081000</v>
      </c>
      <c r="O6" s="90">
        <f>Dashboard!$C$69*G6</f>
        <v>15520000</v>
      </c>
      <c r="P6" s="88">
        <f>Dashboard!$B$76*G6</f>
        <v>7081000</v>
      </c>
      <c r="Q6" s="225"/>
    </row>
    <row r="7" spans="1:17" s="226" customFormat="1" x14ac:dyDescent="0.3">
      <c r="A7" s="26" t="s">
        <v>98</v>
      </c>
      <c r="B7" s="10" t="s">
        <v>99</v>
      </c>
      <c r="C7" s="26">
        <v>1505</v>
      </c>
      <c r="D7" s="26">
        <f ca="1">OFFSET(Node_List!$B$2,MATCH(Pipeline_Candid!A7,Node_List!$A$2:$A$999,0)-1,0)</f>
        <v>4</v>
      </c>
      <c r="E7" s="10">
        <f ca="1">OFFSET(Node_List!$B$2,MATCH(Pipeline_Candid!B7,Node_List!$A$2:$A$999,0)-1,0)</f>
        <v>5</v>
      </c>
      <c r="F7" s="265">
        <v>0</v>
      </c>
      <c r="G7" s="26">
        <v>153</v>
      </c>
      <c r="H7" s="11">
        <v>2000</v>
      </c>
      <c r="I7" s="87">
        <f>PI()*(H7/10^3/2)^2*Dashboard!$B$58*3600*24</f>
        <v>542867.2105403163</v>
      </c>
      <c r="J7" s="87">
        <f>Dashboard!$B$57*(G7*10^3)/(H7/10^3)*Dashboard!$B$58^2/2</f>
        <v>1530</v>
      </c>
      <c r="K7" s="85">
        <f>Dashboard!$B$59*G7</f>
        <v>7.6499999999999999E-2</v>
      </c>
      <c r="L7" s="85">
        <f>Dashboard!$B$60*G7</f>
        <v>4.5900000000000003E-3</v>
      </c>
      <c r="M7" s="87">
        <f>Dashboard!$C$68*G7</f>
        <v>6120000</v>
      </c>
      <c r="N7" s="88">
        <f>Dashboard!$B$75*G7</f>
        <v>5584500</v>
      </c>
      <c r="O7" s="90">
        <f>Dashboard!$C$69*G7</f>
        <v>12240000</v>
      </c>
      <c r="P7" s="88">
        <f>Dashboard!$B$76*G7</f>
        <v>5584500</v>
      </c>
      <c r="Q7" s="225"/>
    </row>
    <row r="8" spans="1:17" s="226" customFormat="1" x14ac:dyDescent="0.3">
      <c r="A8" s="26" t="s">
        <v>182</v>
      </c>
      <c r="B8" s="10" t="s">
        <v>184</v>
      </c>
      <c r="C8" s="26">
        <v>1506</v>
      </c>
      <c r="D8" s="26">
        <f ca="1">OFFSET(Node_List!$B$2,MATCH(Pipeline_Candid!A8,Node_List!$A$2:$A$999,0)-1,0)</f>
        <v>3</v>
      </c>
      <c r="E8" s="10">
        <f ca="1">OFFSET(Node_List!$B$2,MATCH(Pipeline_Candid!B8,Node_List!$A$2:$A$999,0)-1,0)</f>
        <v>7</v>
      </c>
      <c r="F8" s="265">
        <v>0</v>
      </c>
      <c r="G8" s="26">
        <v>236</v>
      </c>
      <c r="H8" s="11">
        <v>2000</v>
      </c>
      <c r="I8" s="87">
        <f>PI()*(H8/10^3/2)^2*Dashboard!$B$58*3600*24</f>
        <v>542867.2105403163</v>
      </c>
      <c r="J8" s="87">
        <f>Dashboard!$B$57*(G8*10^3)/(H8/10^3)*Dashboard!$B$58^2/2</f>
        <v>2360</v>
      </c>
      <c r="K8" s="85">
        <f>Dashboard!$B$59*G8</f>
        <v>0.11800000000000001</v>
      </c>
      <c r="L8" s="85">
        <f>Dashboard!$B$60*G8</f>
        <v>7.0800000000000004E-3</v>
      </c>
      <c r="M8" s="87">
        <f>Dashboard!$C$68*G8</f>
        <v>9440000</v>
      </c>
      <c r="N8" s="88">
        <f>Dashboard!$B$75*G8</f>
        <v>8614000</v>
      </c>
      <c r="O8" s="90">
        <f>Dashboard!$C$69*G8</f>
        <v>18880000</v>
      </c>
      <c r="P8" s="88">
        <f>Dashboard!$B$76*G8</f>
        <v>8614000</v>
      </c>
      <c r="Q8" s="225"/>
    </row>
    <row r="9" spans="1:17" s="226" customFormat="1" x14ac:dyDescent="0.3">
      <c r="A9" s="26" t="s">
        <v>98</v>
      </c>
      <c r="B9" s="10" t="s">
        <v>184</v>
      </c>
      <c r="C9" s="26">
        <v>1507</v>
      </c>
      <c r="D9" s="26">
        <f ca="1">OFFSET(Node_List!$B$2,MATCH(Pipeline_Candid!A9,Node_List!$A$2:$A$999,0)-1,0)</f>
        <v>4</v>
      </c>
      <c r="E9" s="10">
        <f ca="1">OFFSET(Node_List!$B$2,MATCH(Pipeline_Candid!B9,Node_List!$A$2:$A$999,0)-1,0)</f>
        <v>7</v>
      </c>
      <c r="F9" s="265">
        <v>0</v>
      </c>
      <c r="G9" s="26">
        <v>353</v>
      </c>
      <c r="H9" s="11">
        <v>2000</v>
      </c>
      <c r="I9" s="87">
        <f>PI()*(H9/10^3/2)^2*Dashboard!$B$58*3600*24</f>
        <v>542867.2105403163</v>
      </c>
      <c r="J9" s="87">
        <f>Dashboard!$B$57*(G9*10^3)/(H9/10^3)*Dashboard!$B$58^2/2</f>
        <v>3530</v>
      </c>
      <c r="K9" s="85">
        <f>Dashboard!$B$59*G9</f>
        <v>0.17649999999999999</v>
      </c>
      <c r="L9" s="85">
        <f>Dashboard!$B$60*G9</f>
        <v>1.059E-2</v>
      </c>
      <c r="M9" s="87">
        <f>Dashboard!$C$68*G9</f>
        <v>14120000</v>
      </c>
      <c r="N9" s="88">
        <f>Dashboard!$B$75*G9</f>
        <v>12884500</v>
      </c>
      <c r="O9" s="90">
        <f>Dashboard!$C$69*G9</f>
        <v>28240000</v>
      </c>
      <c r="P9" s="88">
        <f>Dashboard!$B$76*G9</f>
        <v>12884500</v>
      </c>
      <c r="Q9" s="225"/>
    </row>
    <row r="10" spans="1:17" s="226" customFormat="1" x14ac:dyDescent="0.3">
      <c r="A10" s="26" t="s">
        <v>99</v>
      </c>
      <c r="B10" s="10" t="s">
        <v>184</v>
      </c>
      <c r="C10" s="26">
        <v>1508</v>
      </c>
      <c r="D10" s="26">
        <f ca="1">OFFSET(Node_List!$B$2,MATCH(Pipeline_Candid!A10,Node_List!$A$2:$A$999,0)-1,0)</f>
        <v>5</v>
      </c>
      <c r="E10" s="10">
        <f ca="1">OFFSET(Node_List!$B$2,MATCH(Pipeline_Candid!B10,Node_List!$A$2:$A$999,0)-1,0)</f>
        <v>7</v>
      </c>
      <c r="F10" s="265">
        <v>0</v>
      </c>
      <c r="G10" s="26">
        <v>252</v>
      </c>
      <c r="H10" s="11">
        <v>2000</v>
      </c>
      <c r="I10" s="87">
        <f>PI()*(H10/10^3/2)^2*Dashboard!$B$58*3600*24</f>
        <v>542867.2105403163</v>
      </c>
      <c r="J10" s="87">
        <f>Dashboard!$B$57*(G10*10^3)/(H10/10^3)*Dashboard!$B$58^2/2</f>
        <v>2520</v>
      </c>
      <c r="K10" s="85">
        <f>Dashboard!$B$59*G10</f>
        <v>0.126</v>
      </c>
      <c r="L10" s="85">
        <f>Dashboard!$B$60*G10</f>
        <v>7.5599999999999999E-3</v>
      </c>
      <c r="M10" s="87">
        <f>Dashboard!$C$68*G10</f>
        <v>10080000</v>
      </c>
      <c r="N10" s="88">
        <f>Dashboard!$B$75*G10</f>
        <v>9198000</v>
      </c>
      <c r="O10" s="90">
        <f>Dashboard!$C$69*G10</f>
        <v>20160000</v>
      </c>
      <c r="P10" s="88">
        <f>Dashboard!$B$76*G10</f>
        <v>9198000</v>
      </c>
      <c r="Q10" s="225"/>
    </row>
    <row r="11" spans="1:17" s="226" customFormat="1" x14ac:dyDescent="0.3">
      <c r="A11" s="26" t="s">
        <v>78</v>
      </c>
      <c r="B11" s="10" t="s">
        <v>100</v>
      </c>
      <c r="C11" s="26">
        <v>1509</v>
      </c>
      <c r="D11" s="26">
        <f ca="1">OFFSET(Node_List!$B$2,MATCH(Pipeline_Candid!A11,Node_List!$A$2:$A$999,0)-1,0)</f>
        <v>2</v>
      </c>
      <c r="E11" s="10">
        <f ca="1">OFFSET(Node_List!$B$2,MATCH(Pipeline_Candid!B11,Node_List!$A$2:$A$999,0)-1,0)</f>
        <v>95</v>
      </c>
      <c r="F11" s="265">
        <v>0</v>
      </c>
      <c r="G11" s="26">
        <v>432</v>
      </c>
      <c r="H11" s="11">
        <v>2000</v>
      </c>
      <c r="I11" s="87">
        <f>PI()*(H11/10^3/2)^2*Dashboard!$B$58*3600*24</f>
        <v>542867.2105403163</v>
      </c>
      <c r="J11" s="87">
        <f>Dashboard!$B$57*(G11*10^3)/(H11/10^3)*Dashboard!$B$58^2/2</f>
        <v>4320</v>
      </c>
      <c r="K11" s="85">
        <f>Dashboard!$B$59*G11</f>
        <v>0.216</v>
      </c>
      <c r="L11" s="85">
        <f>Dashboard!$B$60*G11</f>
        <v>1.2960000000000001E-2</v>
      </c>
      <c r="M11" s="87">
        <f>Dashboard!$C$68*G11</f>
        <v>17280000</v>
      </c>
      <c r="N11" s="88">
        <f>Dashboard!$B$75*G11</f>
        <v>15768000</v>
      </c>
      <c r="O11" s="90">
        <f>Dashboard!$C$69*G11</f>
        <v>34560000</v>
      </c>
      <c r="P11" s="88">
        <f>Dashboard!$B$76*G11</f>
        <v>15768000</v>
      </c>
      <c r="Q11" s="225"/>
    </row>
    <row r="12" spans="1:17" s="226" customFormat="1" x14ac:dyDescent="0.3">
      <c r="A12" s="26" t="s">
        <v>182</v>
      </c>
      <c r="B12" s="10" t="s">
        <v>100</v>
      </c>
      <c r="C12" s="26">
        <v>1510</v>
      </c>
      <c r="D12" s="26">
        <f ca="1">OFFSET(Node_List!$B$2,MATCH(Pipeline_Candid!A12,Node_List!$A$2:$A$999,0)-1,0)</f>
        <v>3</v>
      </c>
      <c r="E12" s="10">
        <f ca="1">OFFSET(Node_List!$B$2,MATCH(Pipeline_Candid!B12,Node_List!$A$2:$A$999,0)-1,0)</f>
        <v>95</v>
      </c>
      <c r="F12" s="265">
        <v>0</v>
      </c>
      <c r="G12" s="26">
        <v>463</v>
      </c>
      <c r="H12" s="11">
        <v>2000</v>
      </c>
      <c r="I12" s="87">
        <f>PI()*(H12/10^3/2)^2*Dashboard!$B$58*3600*24</f>
        <v>542867.2105403163</v>
      </c>
      <c r="J12" s="87">
        <f>Dashboard!$B$57*(G12*10^3)/(H12/10^3)*Dashboard!$B$58^2/2</f>
        <v>4630</v>
      </c>
      <c r="K12" s="85">
        <f>Dashboard!$B$59*G12</f>
        <v>0.23150000000000001</v>
      </c>
      <c r="L12" s="85">
        <f>Dashboard!$B$60*G12</f>
        <v>1.389E-2</v>
      </c>
      <c r="M12" s="87">
        <f>Dashboard!$C$68*G12</f>
        <v>18520000</v>
      </c>
      <c r="N12" s="88">
        <f>Dashboard!$B$75*G12</f>
        <v>16899500</v>
      </c>
      <c r="O12" s="90">
        <f>Dashboard!$C$69*G12</f>
        <v>37040000</v>
      </c>
      <c r="P12" s="88">
        <f>Dashboard!$B$76*G12</f>
        <v>16899500</v>
      </c>
      <c r="Q12" s="225"/>
    </row>
    <row r="13" spans="1:17" s="226" customFormat="1" x14ac:dyDescent="0.3">
      <c r="A13" s="26" t="s">
        <v>99</v>
      </c>
      <c r="B13" s="10" t="s">
        <v>183</v>
      </c>
      <c r="C13" s="26">
        <v>1511</v>
      </c>
      <c r="D13" s="26">
        <f ca="1">OFFSET(Node_List!$B$2,MATCH(Pipeline_Candid!A13,Node_List!$A$2:$A$999,0)-1,0)</f>
        <v>5</v>
      </c>
      <c r="E13" s="10">
        <f ca="1">OFFSET(Node_List!$B$2,MATCH(Pipeline_Candid!B13,Node_List!$A$2:$A$999,0)-1,0)</f>
        <v>6</v>
      </c>
      <c r="F13" s="265">
        <v>0</v>
      </c>
      <c r="G13" s="26">
        <v>166</v>
      </c>
      <c r="H13" s="11">
        <v>2000</v>
      </c>
      <c r="I13" s="87">
        <f>PI()*(H13/10^3/2)^2*Dashboard!$B$58*3600*24</f>
        <v>542867.2105403163</v>
      </c>
      <c r="J13" s="87">
        <f>Dashboard!$B$57*(G13*10^3)/(H13/10^3)*Dashboard!$B$58^2/2</f>
        <v>1660</v>
      </c>
      <c r="K13" s="85">
        <f>Dashboard!$B$59*G13</f>
        <v>8.3000000000000004E-2</v>
      </c>
      <c r="L13" s="85">
        <f>Dashboard!$B$60*G13</f>
        <v>4.9800000000000001E-3</v>
      </c>
      <c r="M13" s="87">
        <f>Dashboard!$C$68*G13</f>
        <v>6640000</v>
      </c>
      <c r="N13" s="88">
        <f>Dashboard!$B$75*G13</f>
        <v>6059000</v>
      </c>
      <c r="O13" s="90">
        <f>Dashboard!$C$69*G13</f>
        <v>13280000</v>
      </c>
      <c r="P13" s="88">
        <f>Dashboard!$B$76*G13</f>
        <v>6059000</v>
      </c>
      <c r="Q13" s="225"/>
    </row>
    <row r="14" spans="1:17" s="226" customFormat="1" x14ac:dyDescent="0.3">
      <c r="A14" s="26" t="s">
        <v>183</v>
      </c>
      <c r="B14" s="10" t="s">
        <v>53</v>
      </c>
      <c r="C14" s="26">
        <v>1512</v>
      </c>
      <c r="D14" s="26">
        <f ca="1">OFFSET(Node_List!$B$2,MATCH(Pipeline_Candid!A14,Node_List!$A$2:$A$999,0)-1,0)</f>
        <v>6</v>
      </c>
      <c r="E14" s="10">
        <f ca="1">OFFSET(Node_List!$B$2,MATCH(Pipeline_Candid!B14,Node_List!$A$2:$A$999,0)-1,0)</f>
        <v>8</v>
      </c>
      <c r="F14" s="265">
        <v>0</v>
      </c>
      <c r="G14" s="26">
        <v>371</v>
      </c>
      <c r="H14" s="11">
        <v>2000</v>
      </c>
      <c r="I14" s="87">
        <f>PI()*(H14/10^3/2)^2*Dashboard!$B$58*3600*24</f>
        <v>542867.2105403163</v>
      </c>
      <c r="J14" s="87">
        <f>Dashboard!$B$57*(G14*10^3)/(H14/10^3)*Dashboard!$B$58^2/2</f>
        <v>3710</v>
      </c>
      <c r="K14" s="85">
        <f>Dashboard!$B$59*G14</f>
        <v>0.1855</v>
      </c>
      <c r="L14" s="85">
        <f>Dashboard!$B$60*G14</f>
        <v>1.1130000000000001E-2</v>
      </c>
      <c r="M14" s="87">
        <f>Dashboard!$C$68*G14</f>
        <v>14840000</v>
      </c>
      <c r="N14" s="88">
        <f>Dashboard!$B$75*G14</f>
        <v>13541500</v>
      </c>
      <c r="O14" s="90">
        <f>Dashboard!$C$69*G14</f>
        <v>29680000</v>
      </c>
      <c r="P14" s="88">
        <f>Dashboard!$B$76*G14</f>
        <v>13541500</v>
      </c>
      <c r="Q14" s="225"/>
    </row>
    <row r="15" spans="1:17" s="226" customFormat="1" x14ac:dyDescent="0.3">
      <c r="A15" s="26" t="s">
        <v>183</v>
      </c>
      <c r="B15" s="10" t="s">
        <v>22</v>
      </c>
      <c r="C15" s="26">
        <v>1513</v>
      </c>
      <c r="D15" s="26">
        <f ca="1">OFFSET(Node_List!$B$2,MATCH(Pipeline_Candid!A15,Node_List!$A$2:$A$999,0)-1,0)</f>
        <v>6</v>
      </c>
      <c r="E15" s="10">
        <f ca="1">OFFSET(Node_List!$B$2,MATCH(Pipeline_Candid!B15,Node_List!$A$2:$A$999,0)-1,0)</f>
        <v>10</v>
      </c>
      <c r="F15" s="265">
        <v>0</v>
      </c>
      <c r="G15" s="26">
        <v>149</v>
      </c>
      <c r="H15" s="11">
        <v>2000</v>
      </c>
      <c r="I15" s="87">
        <f>PI()*(H15/10^3/2)^2*Dashboard!$B$58*3600*24</f>
        <v>542867.2105403163</v>
      </c>
      <c r="J15" s="87">
        <f>Dashboard!$B$57*(G15*10^3)/(H15/10^3)*Dashboard!$B$58^2/2</f>
        <v>1490</v>
      </c>
      <c r="K15" s="85">
        <f>Dashboard!$B$59*G15</f>
        <v>7.4499999999999997E-2</v>
      </c>
      <c r="L15" s="85">
        <f>Dashboard!$B$60*G15</f>
        <v>4.47E-3</v>
      </c>
      <c r="M15" s="87">
        <f>Dashboard!$C$68*G15</f>
        <v>5960000</v>
      </c>
      <c r="N15" s="88">
        <f>Dashboard!$B$75*G15</f>
        <v>5438500</v>
      </c>
      <c r="O15" s="90">
        <f>Dashboard!$C$69*G15</f>
        <v>11920000</v>
      </c>
      <c r="P15" s="88">
        <f>Dashboard!$B$76*G15</f>
        <v>5438500</v>
      </c>
      <c r="Q15" s="225"/>
    </row>
    <row r="16" spans="1:17" s="226" customFormat="1" x14ac:dyDescent="0.3">
      <c r="A16" s="228" t="s">
        <v>302</v>
      </c>
      <c r="B16" s="28" t="s">
        <v>51</v>
      </c>
      <c r="C16" s="26">
        <v>1514</v>
      </c>
      <c r="D16" s="26">
        <f ca="1">OFFSET(Node_List!$B$2,MATCH(Pipeline_Candid!A16,Node_List!$A$2:$A$999,0)-1,0)</f>
        <v>106</v>
      </c>
      <c r="E16" s="10">
        <f ca="1">OFFSET(Node_List!$B$2,MATCH(Pipeline_Candid!B16,Node_List!$A$2:$A$999,0)-1,0)</f>
        <v>12</v>
      </c>
      <c r="F16" s="265">
        <v>0</v>
      </c>
      <c r="G16" s="26">
        <v>126</v>
      </c>
      <c r="H16" s="11">
        <v>2000</v>
      </c>
      <c r="I16" s="87">
        <f>PI()*(H16/10^3/2)^2*Dashboard!$B$58*3600*24</f>
        <v>542867.2105403163</v>
      </c>
      <c r="J16" s="87">
        <f>Dashboard!$B$57*(G16*10^3)/(H16/10^3)*Dashboard!$B$58^2/2</f>
        <v>1260</v>
      </c>
      <c r="K16" s="85">
        <f>Dashboard!$B$59*G16</f>
        <v>6.3E-2</v>
      </c>
      <c r="L16" s="85">
        <f>Dashboard!$B$60*G16</f>
        <v>3.7799999999999999E-3</v>
      </c>
      <c r="M16" s="87">
        <f>Dashboard!$C$68*G16</f>
        <v>5040000</v>
      </c>
      <c r="N16" s="88">
        <f>Dashboard!$B$75*G16</f>
        <v>4599000</v>
      </c>
      <c r="O16" s="90">
        <f>Dashboard!$C$69*G16</f>
        <v>10080000</v>
      </c>
      <c r="P16" s="88">
        <f>Dashboard!$B$76*G16</f>
        <v>4599000</v>
      </c>
      <c r="Q16" s="225"/>
    </row>
    <row r="17" spans="1:17" s="226" customFormat="1" x14ac:dyDescent="0.3">
      <c r="A17" s="26" t="s">
        <v>182</v>
      </c>
      <c r="B17" s="10" t="s">
        <v>79</v>
      </c>
      <c r="C17" s="26">
        <v>1515</v>
      </c>
      <c r="D17" s="26">
        <f ca="1">OFFSET(Node_List!$B$2,MATCH(Pipeline_Candid!A17,Node_List!$A$2:$A$999,0)-1,0)</f>
        <v>3</v>
      </c>
      <c r="E17" s="10">
        <f ca="1">OFFSET(Node_List!$B$2,MATCH(Pipeline_Candid!B17,Node_List!$A$2:$A$999,0)-1,0)</f>
        <v>90</v>
      </c>
      <c r="F17" s="265">
        <v>0</v>
      </c>
      <c r="G17" s="26">
        <v>410</v>
      </c>
      <c r="H17" s="11">
        <v>2000</v>
      </c>
      <c r="I17" s="87">
        <f>PI()*(H17/10^3/2)^2*Dashboard!$B$58*3600*24</f>
        <v>542867.2105403163</v>
      </c>
      <c r="J17" s="87">
        <f>Dashboard!$B$57*(G17*10^3)/(H17/10^3)*Dashboard!$B$58^2/2</f>
        <v>4100</v>
      </c>
      <c r="K17" s="85">
        <f>Dashboard!$B$59*G17</f>
        <v>0.20500000000000002</v>
      </c>
      <c r="L17" s="85">
        <f>Dashboard!$B$60*G17</f>
        <v>1.23E-2</v>
      </c>
      <c r="M17" s="87">
        <f>Dashboard!$C$68*G17</f>
        <v>16400000</v>
      </c>
      <c r="N17" s="88">
        <f>Dashboard!$B$75*G17</f>
        <v>14965000</v>
      </c>
      <c r="O17" s="90">
        <f>Dashboard!$C$69*G17</f>
        <v>32800000</v>
      </c>
      <c r="P17" s="88">
        <f>Dashboard!$B$76*G17</f>
        <v>14965000</v>
      </c>
      <c r="Q17" s="225"/>
    </row>
    <row r="18" spans="1:17" s="226" customFormat="1" x14ac:dyDescent="0.3">
      <c r="A18" s="26" t="s">
        <v>182</v>
      </c>
      <c r="B18" s="10" t="s">
        <v>53</v>
      </c>
      <c r="C18" s="26">
        <v>1516</v>
      </c>
      <c r="D18" s="26">
        <f ca="1">OFFSET(Node_List!$B$2,MATCH(Pipeline_Candid!A18,Node_List!$A$2:$A$999,0)-1,0)</f>
        <v>3</v>
      </c>
      <c r="E18" s="10">
        <f ca="1">OFFSET(Node_List!$B$2,MATCH(Pipeline_Candid!B18,Node_List!$A$2:$A$999,0)-1,0)</f>
        <v>8</v>
      </c>
      <c r="F18" s="265">
        <v>0</v>
      </c>
      <c r="G18" s="26">
        <v>254</v>
      </c>
      <c r="H18" s="11">
        <v>2000</v>
      </c>
      <c r="I18" s="87">
        <f>PI()*(H18/10^3/2)^2*Dashboard!$B$58*3600*24</f>
        <v>542867.2105403163</v>
      </c>
      <c r="J18" s="87">
        <f>Dashboard!$B$57*(G18*10^3)/(H18/10^3)*Dashboard!$B$58^2/2</f>
        <v>2540</v>
      </c>
      <c r="K18" s="85">
        <f>Dashboard!$B$59*G18</f>
        <v>0.127</v>
      </c>
      <c r="L18" s="85">
        <f>Dashboard!$B$60*G18</f>
        <v>7.62E-3</v>
      </c>
      <c r="M18" s="87">
        <f>Dashboard!$C$68*G18</f>
        <v>10160000</v>
      </c>
      <c r="N18" s="88">
        <f>Dashboard!$B$75*G18</f>
        <v>9271000</v>
      </c>
      <c r="O18" s="90">
        <f>Dashboard!$C$69*G18</f>
        <v>20320000</v>
      </c>
      <c r="P18" s="88">
        <f>Dashboard!$B$76*G18</f>
        <v>9271000</v>
      </c>
      <c r="Q18" s="225"/>
    </row>
    <row r="19" spans="1:17" s="226" customFormat="1" x14ac:dyDescent="0.3">
      <c r="A19" s="26" t="s">
        <v>184</v>
      </c>
      <c r="B19" s="10" t="s">
        <v>53</v>
      </c>
      <c r="C19" s="26">
        <v>1517</v>
      </c>
      <c r="D19" s="26">
        <f ca="1">OFFSET(Node_List!$B$2,MATCH(Pipeline_Candid!A19,Node_List!$A$2:$A$999,0)-1,0)</f>
        <v>7</v>
      </c>
      <c r="E19" s="10">
        <f ca="1">OFFSET(Node_List!$B$2,MATCH(Pipeline_Candid!B19,Node_List!$A$2:$A$999,0)-1,0)</f>
        <v>8</v>
      </c>
      <c r="F19" s="265">
        <v>0</v>
      </c>
      <c r="G19" s="26">
        <v>213</v>
      </c>
      <c r="H19" s="11">
        <v>2000</v>
      </c>
      <c r="I19" s="87">
        <f>PI()*(H19/10^3/2)^2*Dashboard!$B$58*3600*24</f>
        <v>542867.2105403163</v>
      </c>
      <c r="J19" s="87">
        <f>Dashboard!$B$57*(G19*10^3)/(H19/10^3)*Dashboard!$B$58^2/2</f>
        <v>2130</v>
      </c>
      <c r="K19" s="85">
        <f>Dashboard!$B$59*G19</f>
        <v>0.1065</v>
      </c>
      <c r="L19" s="85">
        <f>Dashboard!$B$60*G19</f>
        <v>6.3899999999999998E-3</v>
      </c>
      <c r="M19" s="87">
        <f>Dashboard!$C$68*G19</f>
        <v>8520000</v>
      </c>
      <c r="N19" s="88">
        <f>Dashboard!$B$75*G19</f>
        <v>7774500</v>
      </c>
      <c r="O19" s="90">
        <f>Dashboard!$C$69*G19</f>
        <v>17040000</v>
      </c>
      <c r="P19" s="88">
        <f>Dashboard!$B$76*G19</f>
        <v>7774500</v>
      </c>
      <c r="Q19" s="225"/>
    </row>
    <row r="20" spans="1:17" s="252" customFormat="1" x14ac:dyDescent="0.3">
      <c r="A20" s="26" t="s">
        <v>15</v>
      </c>
      <c r="B20" s="10" t="s">
        <v>79</v>
      </c>
      <c r="C20" s="26">
        <v>1518</v>
      </c>
      <c r="D20" s="26">
        <f ca="1">OFFSET(Node_List!$B$2,MATCH(Pipeline_Candid!A20,Node_List!$A$2:$A$999,0)-1,0)</f>
        <v>9</v>
      </c>
      <c r="E20" s="10">
        <f ca="1">OFFSET(Node_List!$B$2,MATCH(Pipeline_Candid!B20,Node_List!$A$2:$A$999,0)-1,0)</f>
        <v>90</v>
      </c>
      <c r="F20" s="265">
        <v>0</v>
      </c>
      <c r="G20" s="26">
        <v>460</v>
      </c>
      <c r="H20" s="11">
        <v>2000</v>
      </c>
      <c r="I20" s="87">
        <f>PI()*(H20/10^3/2)^2*Dashboard!$B$58*3600*24</f>
        <v>542867.2105403163</v>
      </c>
      <c r="J20" s="87">
        <f>Dashboard!$B$57*(G20*10^3)/(H20/10^3)*Dashboard!$B$58^2/2</f>
        <v>4600</v>
      </c>
      <c r="K20" s="85">
        <f>Dashboard!$B$59*G20</f>
        <v>0.23</v>
      </c>
      <c r="L20" s="85">
        <f>Dashboard!$B$60*G20</f>
        <v>1.38E-2</v>
      </c>
      <c r="M20" s="87">
        <f>Dashboard!$C$68*G20</f>
        <v>18400000</v>
      </c>
      <c r="N20" s="88">
        <f>Dashboard!$B$75*G20</f>
        <v>16790000</v>
      </c>
      <c r="O20" s="90">
        <f>Dashboard!$C$69*G20</f>
        <v>36800000</v>
      </c>
      <c r="P20" s="88">
        <f>Dashboard!$B$76*G20</f>
        <v>16790000</v>
      </c>
      <c r="Q20" s="253"/>
    </row>
    <row r="21" spans="1:17" s="252" customFormat="1" x14ac:dyDescent="0.3">
      <c r="A21" s="26" t="s">
        <v>15</v>
      </c>
      <c r="B21" s="10" t="s">
        <v>128</v>
      </c>
      <c r="C21" s="26">
        <v>1519</v>
      </c>
      <c r="D21" s="26">
        <f ca="1">OFFSET(Node_List!$B$2,MATCH(Pipeline_Candid!A21,Node_List!$A$2:$A$999,0)-1,0)</f>
        <v>9</v>
      </c>
      <c r="E21" s="10">
        <f ca="1">OFFSET(Node_List!$B$2,MATCH(Pipeline_Candid!B21,Node_List!$A$2:$A$999,0)-1,0)</f>
        <v>17</v>
      </c>
      <c r="F21" s="265">
        <v>0</v>
      </c>
      <c r="G21" s="26">
        <v>478</v>
      </c>
      <c r="H21" s="11">
        <v>2000</v>
      </c>
      <c r="I21" s="87">
        <f>PI()*(H21/10^3/2)^2*Dashboard!$B$58*3600*24</f>
        <v>542867.2105403163</v>
      </c>
      <c r="J21" s="87">
        <f>Dashboard!$B$57*(G21*10^3)/(H21/10^3)*Dashboard!$B$58^2/2</f>
        <v>4780</v>
      </c>
      <c r="K21" s="85">
        <f>Dashboard!$B$59*G21</f>
        <v>0.23900000000000002</v>
      </c>
      <c r="L21" s="85">
        <f>Dashboard!$B$60*G21</f>
        <v>1.434E-2</v>
      </c>
      <c r="M21" s="87">
        <f>Dashboard!$C$68*G21</f>
        <v>19120000</v>
      </c>
      <c r="N21" s="88">
        <f>Dashboard!$B$75*G21</f>
        <v>17447000</v>
      </c>
      <c r="O21" s="90">
        <f>Dashboard!$C$69*G21</f>
        <v>38240000</v>
      </c>
      <c r="P21" s="88">
        <f>Dashboard!$B$76*G21</f>
        <v>17447000</v>
      </c>
      <c r="Q21" s="253"/>
    </row>
    <row r="22" spans="1:17" s="226" customFormat="1" x14ac:dyDescent="0.3">
      <c r="A22" s="26" t="s">
        <v>15</v>
      </c>
      <c r="B22" s="10" t="s">
        <v>326</v>
      </c>
      <c r="C22" s="26">
        <v>1520</v>
      </c>
      <c r="D22" s="26">
        <f ca="1">OFFSET(Node_List!$B$2,MATCH(Pipeline_Candid!A22,Node_List!$A$2:$A$999,0)-1,0)</f>
        <v>9</v>
      </c>
      <c r="E22" s="10">
        <f ca="1">OFFSET(Node_List!$B$2,MATCH(Pipeline_Candid!B22,Node_List!$A$2:$A$999,0)-1,0)</f>
        <v>88</v>
      </c>
      <c r="F22" s="266">
        <v>0</v>
      </c>
      <c r="G22" s="26">
        <v>446</v>
      </c>
      <c r="H22" s="11">
        <v>2000</v>
      </c>
      <c r="I22" s="87">
        <f>PI()*(H22/10^3/2)^2*Dashboard!$B$58*3600*24</f>
        <v>542867.2105403163</v>
      </c>
      <c r="J22" s="87">
        <f>Dashboard!$B$57*(G22*10^3)/(H22/10^3)*Dashboard!$B$58^2/2</f>
        <v>4460</v>
      </c>
      <c r="K22" s="85">
        <f>Dashboard!$B$59*G22</f>
        <v>0.223</v>
      </c>
      <c r="L22" s="85">
        <f>Dashboard!$B$60*G22</f>
        <v>1.338E-2</v>
      </c>
      <c r="M22" s="87">
        <f>Dashboard!$C$68*G22</f>
        <v>17840000</v>
      </c>
      <c r="N22" s="88">
        <f>Dashboard!$B$75*G22</f>
        <v>16279000</v>
      </c>
      <c r="O22" s="90">
        <f>Dashboard!$C$69*G22</f>
        <v>35680000</v>
      </c>
      <c r="P22" s="88">
        <f>Dashboard!$B$76*G22</f>
        <v>16279000</v>
      </c>
      <c r="Q22" s="225"/>
    </row>
    <row r="23" spans="1:17" s="226" customFormat="1" x14ac:dyDescent="0.3">
      <c r="A23" s="26" t="s">
        <v>15</v>
      </c>
      <c r="B23" s="10" t="s">
        <v>207</v>
      </c>
      <c r="C23" s="26">
        <v>1521</v>
      </c>
      <c r="D23" s="26">
        <f ca="1">OFFSET(Node_List!$B$2,MATCH(Pipeline_Candid!A23,Node_List!$A$2:$A$999,0)-1,0)</f>
        <v>9</v>
      </c>
      <c r="E23" s="10">
        <f ca="1">OFFSET(Node_List!$B$2,MATCH(Pipeline_Candid!B23,Node_List!$A$2:$A$999,0)-1,0)</f>
        <v>78</v>
      </c>
      <c r="F23" s="265">
        <v>0</v>
      </c>
      <c r="G23" s="26">
        <v>374</v>
      </c>
      <c r="H23" s="11">
        <v>2000</v>
      </c>
      <c r="I23" s="87">
        <f>PI()*(H23/10^3/2)^2*Dashboard!$B$58*3600*24</f>
        <v>542867.2105403163</v>
      </c>
      <c r="J23" s="87">
        <f>Dashboard!$B$57*(G23*10^3)/(H23/10^3)*Dashboard!$B$58^2/2</f>
        <v>3740</v>
      </c>
      <c r="K23" s="85">
        <f>Dashboard!$B$59*G23</f>
        <v>0.187</v>
      </c>
      <c r="L23" s="85">
        <f>Dashboard!$B$60*G23</f>
        <v>1.1220000000000001E-2</v>
      </c>
      <c r="M23" s="87">
        <f>Dashboard!$C$68*G23</f>
        <v>14960000</v>
      </c>
      <c r="N23" s="88">
        <f>Dashboard!$B$75*G23</f>
        <v>13651000</v>
      </c>
      <c r="O23" s="90">
        <f>Dashboard!$C$69*G23</f>
        <v>29920000</v>
      </c>
      <c r="P23" s="88">
        <f>Dashboard!$B$76*G23</f>
        <v>13651000</v>
      </c>
      <c r="Q23" s="225"/>
    </row>
    <row r="24" spans="1:17" s="252" customFormat="1" x14ac:dyDescent="0.3">
      <c r="A24" s="26" t="s">
        <v>50</v>
      </c>
      <c r="B24" s="10" t="s">
        <v>207</v>
      </c>
      <c r="C24" s="26">
        <v>1522</v>
      </c>
      <c r="D24" s="26">
        <f ca="1">OFFSET(Node_List!$B$2,MATCH(Pipeline_Candid!A24,Node_List!$A$2:$A$999,0)-1,0)</f>
        <v>13</v>
      </c>
      <c r="E24" s="10">
        <f ca="1">OFFSET(Node_List!$B$2,MATCH(Pipeline_Candid!B24,Node_List!$A$2:$A$999,0)-1,0)</f>
        <v>78</v>
      </c>
      <c r="F24" s="265">
        <v>0</v>
      </c>
      <c r="G24" s="26">
        <v>560</v>
      </c>
      <c r="H24" s="11">
        <v>2000</v>
      </c>
      <c r="I24" s="87">
        <f>PI()*(H24/10^3/2)^2*Dashboard!$B$58*3600*24</f>
        <v>542867.2105403163</v>
      </c>
      <c r="J24" s="87">
        <f>Dashboard!$B$57*(G24*10^3)/(H24/10^3)*Dashboard!$B$58^2/2</f>
        <v>5600</v>
      </c>
      <c r="K24" s="85">
        <f>Dashboard!$B$59*G24</f>
        <v>0.28000000000000003</v>
      </c>
      <c r="L24" s="85">
        <f>Dashboard!$B$60*G24</f>
        <v>1.6799999999999999E-2</v>
      </c>
      <c r="M24" s="87">
        <f>Dashboard!$C$68*G24</f>
        <v>22400000</v>
      </c>
      <c r="N24" s="88">
        <f>Dashboard!$B$75*G24</f>
        <v>20440000</v>
      </c>
      <c r="O24" s="90">
        <f>Dashboard!$C$69*G24</f>
        <v>44800000</v>
      </c>
      <c r="P24" s="88">
        <f>Dashboard!$B$76*G24</f>
        <v>20440000</v>
      </c>
      <c r="Q24" s="254"/>
    </row>
    <row r="25" spans="1:17" s="10" customFormat="1" x14ac:dyDescent="0.3">
      <c r="A25" s="26" t="s">
        <v>311</v>
      </c>
      <c r="B25" s="28" t="s">
        <v>52</v>
      </c>
      <c r="C25" s="26">
        <v>1523</v>
      </c>
      <c r="D25" s="26">
        <f ca="1">OFFSET(Node_List!$B$2,MATCH(Pipeline_Candid!A25,Node_List!$A$2:$A$999,0)-1,0)</f>
        <v>111</v>
      </c>
      <c r="E25" s="10">
        <f ca="1">OFFSET(Node_List!$B$2,MATCH(Pipeline_Candid!B25,Node_List!$A$2:$A$999,0)-1,0)</f>
        <v>14</v>
      </c>
      <c r="F25" s="265">
        <v>0</v>
      </c>
      <c r="G25" s="71">
        <v>35</v>
      </c>
      <c r="H25" s="11">
        <v>2000</v>
      </c>
      <c r="I25" s="80">
        <f>PI()*(H25/10^3/2)^2*Dashboard!$B$58*3600*24</f>
        <v>542867.2105403163</v>
      </c>
      <c r="J25" s="72">
        <f>Dashboard!$B$57*(G25*10^3)/(H25/10^3)*Dashboard!$B$58^2/2</f>
        <v>350</v>
      </c>
      <c r="K25" s="81">
        <f>Dashboard!$B$59*G25</f>
        <v>1.7500000000000002E-2</v>
      </c>
      <c r="L25" s="82">
        <f>Dashboard!$B$60*G25</f>
        <v>1.0499999999999999E-3</v>
      </c>
      <c r="M25" s="87">
        <f>Dashboard!$C$68*G25</f>
        <v>1400000</v>
      </c>
      <c r="N25" s="88">
        <f>Dashboard!$B$75*G25</f>
        <v>1277500</v>
      </c>
      <c r="O25" s="90">
        <f>Dashboard!$C$69*G25</f>
        <v>2800000</v>
      </c>
      <c r="P25" s="255">
        <f>Dashboard!$B$76*G25</f>
        <v>1277500</v>
      </c>
    </row>
    <row r="26" spans="1:17" s="10" customFormat="1" x14ac:dyDescent="0.3">
      <c r="A26" s="26" t="s">
        <v>311</v>
      </c>
      <c r="B26" s="28" t="s">
        <v>10</v>
      </c>
      <c r="C26" s="26">
        <v>1524</v>
      </c>
      <c r="D26" s="26">
        <f ca="1">OFFSET(Node_List!$B$2,MATCH(Pipeline_Candid!A26,Node_List!$A$2:$A$999,0)-1,0)</f>
        <v>111</v>
      </c>
      <c r="E26" s="10">
        <f ca="1">OFFSET(Node_List!$B$2,MATCH(Pipeline_Candid!B26,Node_List!$A$2:$A$999,0)-1,0)</f>
        <v>16</v>
      </c>
      <c r="F26" s="265">
        <v>0</v>
      </c>
      <c r="G26" s="71">
        <v>96.7</v>
      </c>
      <c r="H26" s="11">
        <v>2000</v>
      </c>
      <c r="I26" s="80">
        <f>PI()*(H26/10^3/2)^2*Dashboard!$B$58*3600*24</f>
        <v>542867.2105403163</v>
      </c>
      <c r="J26" s="72">
        <f>Dashboard!$B$57*(G26*10^3)/(H26/10^3)*Dashboard!$B$58^2/2</f>
        <v>967</v>
      </c>
      <c r="K26" s="81">
        <f>Dashboard!$B$59*G26</f>
        <v>4.8350000000000004E-2</v>
      </c>
      <c r="L26" s="82">
        <f>Dashboard!$B$60*G26</f>
        <v>2.9010000000000004E-3</v>
      </c>
      <c r="M26" s="87">
        <f>Dashboard!$C$68*G26</f>
        <v>3868000</v>
      </c>
      <c r="N26" s="88">
        <f>Dashboard!$B$75*G26</f>
        <v>3529550</v>
      </c>
      <c r="O26" s="90">
        <f>Dashboard!$C$69*G26</f>
        <v>7736000</v>
      </c>
      <c r="P26" s="255">
        <f>Dashboard!$B$76*G26</f>
        <v>3529550</v>
      </c>
    </row>
    <row r="27" spans="1:17" s="226" customFormat="1" x14ac:dyDescent="0.3">
      <c r="A27" s="26" t="s">
        <v>185</v>
      </c>
      <c r="B27" s="10" t="s">
        <v>51</v>
      </c>
      <c r="C27" s="26">
        <v>1525</v>
      </c>
      <c r="D27" s="26">
        <f ca="1">OFFSET(Node_List!$B$2,MATCH(Pipeline_Candid!A27,Node_List!$A$2:$A$999,0)-1,0)</f>
        <v>11</v>
      </c>
      <c r="E27" s="10">
        <f ca="1">OFFSET(Node_List!$B$2,MATCH(Pipeline_Candid!B27,Node_List!$A$2:$A$999,0)-1,0)</f>
        <v>12</v>
      </c>
      <c r="F27" s="265">
        <v>0</v>
      </c>
      <c r="G27" s="26">
        <v>81.099999999999994</v>
      </c>
      <c r="H27" s="11">
        <v>2000</v>
      </c>
      <c r="I27" s="87">
        <f>PI()*(H27/10^3/2)^2*Dashboard!$B$58*3600*24</f>
        <v>542867.2105403163</v>
      </c>
      <c r="J27" s="87">
        <f>Dashboard!$B$57*(G27*10^3)/(H27/10^3)*Dashboard!$B$58^2/2</f>
        <v>811</v>
      </c>
      <c r="K27" s="85">
        <f>Dashboard!$B$59*G27</f>
        <v>4.0549999999999996E-2</v>
      </c>
      <c r="L27" s="85">
        <f>Dashboard!$B$60*G27</f>
        <v>2.4329999999999998E-3</v>
      </c>
      <c r="M27" s="87">
        <f>Dashboard!$C$68*G27</f>
        <v>3244000</v>
      </c>
      <c r="N27" s="88">
        <f>Dashboard!$B$75*G27</f>
        <v>2960150</v>
      </c>
      <c r="O27" s="90">
        <f>Dashboard!$C$69*G27</f>
        <v>6488000</v>
      </c>
      <c r="P27" s="255">
        <f>Dashboard!$B$76*G27</f>
        <v>2960150</v>
      </c>
      <c r="Q27" s="254"/>
    </row>
    <row r="28" spans="1:17" s="226" customFormat="1" x14ac:dyDescent="0.3">
      <c r="A28" s="26" t="s">
        <v>10</v>
      </c>
      <c r="B28" s="10" t="s">
        <v>186</v>
      </c>
      <c r="C28" s="26">
        <v>1526</v>
      </c>
      <c r="D28" s="26">
        <f ca="1">OFFSET(Node_List!$B$2,MATCH(Pipeline_Candid!A28,Node_List!$A$2:$A$999,0)-1,0)</f>
        <v>16</v>
      </c>
      <c r="E28" s="10">
        <f ca="1">OFFSET(Node_List!$B$2,MATCH(Pipeline_Candid!B28,Node_List!$A$2:$A$999,0)-1,0)</f>
        <v>15</v>
      </c>
      <c r="F28" s="265">
        <v>0</v>
      </c>
      <c r="G28" s="26">
        <v>65.7</v>
      </c>
      <c r="H28" s="11">
        <v>2000</v>
      </c>
      <c r="I28" s="87">
        <f>PI()*(H28/10^3/2)^2*Dashboard!$B$58*3600*24</f>
        <v>542867.2105403163</v>
      </c>
      <c r="J28" s="87">
        <f>Dashboard!$B$57*(G28*10^3)/(H28/10^3)*Dashboard!$B$58^2/2</f>
        <v>657</v>
      </c>
      <c r="K28" s="85">
        <f>Dashboard!$B$59*G28</f>
        <v>3.2850000000000004E-2</v>
      </c>
      <c r="L28" s="85">
        <f>Dashboard!$B$60*G28</f>
        <v>1.9710000000000001E-3</v>
      </c>
      <c r="M28" s="87">
        <f>Dashboard!$C$68*G28</f>
        <v>2628000</v>
      </c>
      <c r="N28" s="88">
        <f>Dashboard!$B$75*G28</f>
        <v>2398050</v>
      </c>
      <c r="O28" s="90">
        <f>Dashboard!$C$69*G28</f>
        <v>5256000</v>
      </c>
      <c r="P28" s="88">
        <f>Dashboard!$B$76*G28</f>
        <v>2398050</v>
      </c>
      <c r="Q28" s="225"/>
    </row>
    <row r="29" spans="1:17" s="226" customFormat="1" x14ac:dyDescent="0.3">
      <c r="A29" s="26" t="s">
        <v>20</v>
      </c>
      <c r="B29" s="10" t="s">
        <v>190</v>
      </c>
      <c r="C29" s="26">
        <v>1527</v>
      </c>
      <c r="D29" s="26">
        <f ca="1">OFFSET(Node_List!$B$2,MATCH(Pipeline_Candid!A29,Node_List!$A$2:$A$999,0)-1,0)</f>
        <v>21</v>
      </c>
      <c r="E29" s="10">
        <f ca="1">OFFSET(Node_List!$B$2,MATCH(Pipeline_Candid!B29,Node_List!$A$2:$A$999,0)-1,0)</f>
        <v>23</v>
      </c>
      <c r="F29" s="265">
        <v>0</v>
      </c>
      <c r="G29" s="26">
        <v>162</v>
      </c>
      <c r="H29" s="11">
        <v>2000</v>
      </c>
      <c r="I29" s="87">
        <f>PI()*(H29/10^3/2)^2*Dashboard!$B$58*3600*24</f>
        <v>542867.2105403163</v>
      </c>
      <c r="J29" s="87">
        <f>Dashboard!$B$57*(G29*10^3)/(H29/10^3)*Dashboard!$B$58^2/2</f>
        <v>1620</v>
      </c>
      <c r="K29" s="85">
        <f>Dashboard!$B$59*G29</f>
        <v>8.1000000000000003E-2</v>
      </c>
      <c r="L29" s="85">
        <f>Dashboard!$B$60*G29</f>
        <v>4.8599999999999997E-3</v>
      </c>
      <c r="M29" s="87">
        <f>Dashboard!$C$68*G29</f>
        <v>6480000</v>
      </c>
      <c r="N29" s="88">
        <f>Dashboard!$B$75*G29</f>
        <v>5913000</v>
      </c>
      <c r="O29" s="90">
        <f>Dashboard!$C$69*G29</f>
        <v>12960000</v>
      </c>
      <c r="P29" s="88">
        <f>Dashboard!$B$76*G29</f>
        <v>5913000</v>
      </c>
      <c r="Q29" s="225"/>
    </row>
    <row r="30" spans="1:17" s="226" customFormat="1" x14ac:dyDescent="0.3">
      <c r="A30" s="26" t="s">
        <v>190</v>
      </c>
      <c r="B30" s="10" t="s">
        <v>189</v>
      </c>
      <c r="C30" s="26">
        <v>1528</v>
      </c>
      <c r="D30" s="26">
        <f ca="1">OFFSET(Node_List!$B$2,MATCH(Pipeline_Candid!A30,Node_List!$A$2:$A$999,0)-1,0)</f>
        <v>23</v>
      </c>
      <c r="E30" s="10">
        <f ca="1">OFFSET(Node_List!$B$2,MATCH(Pipeline_Candid!B30,Node_List!$A$2:$A$999,0)-1,0)</f>
        <v>22</v>
      </c>
      <c r="F30" s="265">
        <v>0</v>
      </c>
      <c r="G30" s="26">
        <v>238</v>
      </c>
      <c r="H30" s="11">
        <v>2000</v>
      </c>
      <c r="I30" s="87">
        <f>PI()*(H30/10^3/2)^2*Dashboard!$B$58*3600*24</f>
        <v>542867.2105403163</v>
      </c>
      <c r="J30" s="87">
        <f>Dashboard!$B$57*(G30*10^3)/(H30/10^3)*Dashboard!$B$58^2/2</f>
        <v>2380</v>
      </c>
      <c r="K30" s="85">
        <f>Dashboard!$B$59*G30</f>
        <v>0.11900000000000001</v>
      </c>
      <c r="L30" s="85">
        <f>Dashboard!$B$60*G30</f>
        <v>7.1400000000000005E-3</v>
      </c>
      <c r="M30" s="87">
        <f>Dashboard!$C$68*G30</f>
        <v>9520000</v>
      </c>
      <c r="N30" s="88">
        <f>Dashboard!$B$75*G30</f>
        <v>8687000</v>
      </c>
      <c r="O30" s="90">
        <f>Dashboard!$C$69*G30</f>
        <v>19040000</v>
      </c>
      <c r="P30" s="88">
        <f>Dashboard!$B$76*G30</f>
        <v>8687000</v>
      </c>
      <c r="Q30" s="225"/>
    </row>
    <row r="31" spans="1:17" s="226" customFormat="1" x14ac:dyDescent="0.3">
      <c r="A31" s="26" t="s">
        <v>128</v>
      </c>
      <c r="B31" s="10" t="s">
        <v>207</v>
      </c>
      <c r="C31" s="26">
        <v>1529</v>
      </c>
      <c r="D31" s="26">
        <f ca="1">OFFSET(Node_List!$B$2,MATCH(Pipeline_Candid!A31,Node_List!$A$2:$A$999,0)-1,0)</f>
        <v>17</v>
      </c>
      <c r="E31" s="10">
        <f ca="1">OFFSET(Node_List!$B$2,MATCH(Pipeline_Candid!B31,Node_List!$A$2:$A$999,0)-1,0)</f>
        <v>78</v>
      </c>
      <c r="F31" s="265">
        <v>0</v>
      </c>
      <c r="G31" s="26">
        <v>381</v>
      </c>
      <c r="H31" s="11">
        <v>2000</v>
      </c>
      <c r="I31" s="87">
        <f>PI()*(H31/10^3/2)^2*Dashboard!$B$58*3600*24</f>
        <v>542867.2105403163</v>
      </c>
      <c r="J31" s="87">
        <f>Dashboard!$B$57*(G31*10^3)/(H31/10^3)*Dashboard!$B$58^2/2</f>
        <v>3810</v>
      </c>
      <c r="K31" s="85">
        <f>Dashboard!$B$59*G31</f>
        <v>0.1905</v>
      </c>
      <c r="L31" s="85">
        <f>Dashboard!$B$60*G31</f>
        <v>1.1430000000000001E-2</v>
      </c>
      <c r="M31" s="87">
        <f>Dashboard!$C$68*G31</f>
        <v>15240000</v>
      </c>
      <c r="N31" s="88">
        <f>Dashboard!$B$75*G31</f>
        <v>13906500</v>
      </c>
      <c r="O31" s="90">
        <f>Dashboard!$C$69*G31</f>
        <v>30480000</v>
      </c>
      <c r="P31" s="88">
        <f>Dashboard!$B$76*G31</f>
        <v>13906500</v>
      </c>
      <c r="Q31" s="225"/>
    </row>
    <row r="32" spans="1:17" s="226" customFormat="1" x14ac:dyDescent="0.3">
      <c r="A32" s="26" t="s">
        <v>53</v>
      </c>
      <c r="B32" s="10" t="s">
        <v>79</v>
      </c>
      <c r="C32" s="26">
        <v>1530</v>
      </c>
      <c r="D32" s="26">
        <f ca="1">OFFSET(Node_List!$B$2,MATCH(Pipeline_Candid!A32,Node_List!$A$2:$A$999,0)-1,0)</f>
        <v>8</v>
      </c>
      <c r="E32" s="10">
        <f ca="1">OFFSET(Node_List!$B$2,MATCH(Pipeline_Candid!B32,Node_List!$A$2:$A$999,0)-1,0)</f>
        <v>90</v>
      </c>
      <c r="F32" s="265">
        <v>0</v>
      </c>
      <c r="G32" s="26">
        <v>453</v>
      </c>
      <c r="H32" s="11">
        <v>2000</v>
      </c>
      <c r="I32" s="87">
        <f>PI()*(H32/10^3/2)^2*Dashboard!$B$58*3600*24</f>
        <v>542867.2105403163</v>
      </c>
      <c r="J32" s="87">
        <f>Dashboard!$B$57*(G32*10^3)/(H32/10^3)*Dashboard!$B$58^2/2</f>
        <v>4530</v>
      </c>
      <c r="K32" s="85">
        <f>Dashboard!$B$59*G32</f>
        <v>0.22650000000000001</v>
      </c>
      <c r="L32" s="85">
        <f>Dashboard!$B$60*G32</f>
        <v>1.359E-2</v>
      </c>
      <c r="M32" s="87">
        <f>Dashboard!$C$68*G32</f>
        <v>18120000</v>
      </c>
      <c r="N32" s="88">
        <f>Dashboard!$B$75*G32</f>
        <v>16534500</v>
      </c>
      <c r="O32" s="90">
        <f>Dashboard!$C$69*G32</f>
        <v>36240000</v>
      </c>
      <c r="P32" s="88">
        <f>Dashboard!$B$76*G32</f>
        <v>16534500</v>
      </c>
      <c r="Q32" s="225"/>
    </row>
    <row r="33" spans="1:17" s="226" customFormat="1" x14ac:dyDescent="0.3">
      <c r="A33" s="26" t="s">
        <v>184</v>
      </c>
      <c r="B33" s="10" t="s">
        <v>79</v>
      </c>
      <c r="C33" s="26">
        <v>1531</v>
      </c>
      <c r="D33" s="26">
        <f ca="1">OFFSET(Node_List!$B$2,MATCH(Pipeline_Candid!A33,Node_List!$A$2:$A$999,0)-1,0)</f>
        <v>7</v>
      </c>
      <c r="E33" s="10">
        <f ca="1">OFFSET(Node_List!$B$2,MATCH(Pipeline_Candid!B33,Node_List!$A$2:$A$999,0)-1,0)</f>
        <v>90</v>
      </c>
      <c r="F33" s="265">
        <v>0</v>
      </c>
      <c r="G33" s="26">
        <v>435</v>
      </c>
      <c r="H33" s="11">
        <v>2000</v>
      </c>
      <c r="I33" s="87">
        <f>PI()*(H33/10^3/2)^2*Dashboard!$B$58*3600*24</f>
        <v>542867.2105403163</v>
      </c>
      <c r="J33" s="87">
        <f>Dashboard!$B$57*(G33*10^3)/(H33/10^3)*Dashboard!$B$58^2/2</f>
        <v>4350</v>
      </c>
      <c r="K33" s="85">
        <f>Dashboard!$B$59*G33</f>
        <v>0.2175</v>
      </c>
      <c r="L33" s="85">
        <f>Dashboard!$B$60*G33</f>
        <v>1.3050000000000001E-2</v>
      </c>
      <c r="M33" s="87">
        <f>Dashboard!$C$68*G33</f>
        <v>17400000</v>
      </c>
      <c r="N33" s="88">
        <f>Dashboard!$B$75*G33</f>
        <v>15877500</v>
      </c>
      <c r="O33" s="90">
        <f>Dashboard!$C$69*G33</f>
        <v>34800000</v>
      </c>
      <c r="P33" s="88">
        <f>Dashboard!$B$76*G33</f>
        <v>15877500</v>
      </c>
      <c r="Q33" s="225"/>
    </row>
    <row r="34" spans="1:17" s="226" customFormat="1" x14ac:dyDescent="0.3">
      <c r="A34" s="26" t="s">
        <v>182</v>
      </c>
      <c r="B34" s="10" t="s">
        <v>79</v>
      </c>
      <c r="C34" s="26">
        <v>1532</v>
      </c>
      <c r="D34" s="26">
        <f ca="1">OFFSET(Node_List!$B$2,MATCH(Pipeline_Candid!A34,Node_List!$A$2:$A$999,0)-1,0)</f>
        <v>3</v>
      </c>
      <c r="E34" s="10">
        <f ca="1">OFFSET(Node_List!$B$2,MATCH(Pipeline_Candid!B34,Node_List!$A$2:$A$999,0)-1,0)</f>
        <v>90</v>
      </c>
      <c r="F34" s="265">
        <v>0</v>
      </c>
      <c r="G34" s="26">
        <v>410</v>
      </c>
      <c r="H34" s="11">
        <v>2000</v>
      </c>
      <c r="I34" s="87">
        <f>PI()*(H34/10^3/2)^2*Dashboard!$B$58*3600*24</f>
        <v>542867.2105403163</v>
      </c>
      <c r="J34" s="87">
        <f>Dashboard!$B$57*(G34*10^3)/(H34/10^3)*Dashboard!$B$58^2/2</f>
        <v>4100</v>
      </c>
      <c r="K34" s="85">
        <f>Dashboard!$B$59*G34</f>
        <v>0.20500000000000002</v>
      </c>
      <c r="L34" s="85">
        <f>Dashboard!$B$60*G34</f>
        <v>1.23E-2</v>
      </c>
      <c r="M34" s="87">
        <f>Dashboard!$C$68*G34</f>
        <v>16400000</v>
      </c>
      <c r="N34" s="88">
        <f>Dashboard!$B$75*G34</f>
        <v>14965000</v>
      </c>
      <c r="O34" s="90">
        <f>Dashboard!$C$69*G34</f>
        <v>32800000</v>
      </c>
      <c r="P34" s="88">
        <f>Dashboard!$B$76*G34</f>
        <v>14965000</v>
      </c>
      <c r="Q34" s="225"/>
    </row>
    <row r="35" spans="1:17" s="226" customFormat="1" x14ac:dyDescent="0.3">
      <c r="A35" s="26" t="s">
        <v>182</v>
      </c>
      <c r="B35" s="10" t="s">
        <v>126</v>
      </c>
      <c r="C35" s="26">
        <v>1533</v>
      </c>
      <c r="D35" s="26">
        <f ca="1">OFFSET(Node_List!$B$2,MATCH(Pipeline_Candid!A35,Node_List!$A$2:$A$999,0)-1,0)</f>
        <v>3</v>
      </c>
      <c r="E35" s="10">
        <f ca="1">OFFSET(Node_List!$B$2,MATCH(Pipeline_Candid!B35,Node_List!$A$2:$A$999,0)-1,0)</f>
        <v>97</v>
      </c>
      <c r="F35" s="265">
        <v>0</v>
      </c>
      <c r="G35" s="26">
        <v>452</v>
      </c>
      <c r="H35" s="11">
        <v>2000</v>
      </c>
      <c r="I35" s="87">
        <f>PI()*(H35/10^3/2)^2*Dashboard!$B$58*3600*24</f>
        <v>542867.2105403163</v>
      </c>
      <c r="J35" s="87">
        <f>Dashboard!$B$57*(G35*10^3)/(H35/10^3)*Dashboard!$B$58^2/2</f>
        <v>4520</v>
      </c>
      <c r="K35" s="85">
        <f>Dashboard!$B$59*G35</f>
        <v>0.22600000000000001</v>
      </c>
      <c r="L35" s="85">
        <f>Dashboard!$B$60*G35</f>
        <v>1.3560000000000001E-2</v>
      </c>
      <c r="M35" s="87">
        <f>Dashboard!$C$68*G35</f>
        <v>18080000</v>
      </c>
      <c r="N35" s="88">
        <f>Dashboard!$B$75*G35</f>
        <v>16498000</v>
      </c>
      <c r="O35" s="90">
        <f>Dashboard!$C$69*G35</f>
        <v>36160000</v>
      </c>
      <c r="P35" s="88">
        <f>Dashboard!$B$76*G35</f>
        <v>16498000</v>
      </c>
      <c r="Q35" s="225"/>
    </row>
    <row r="36" spans="1:17" s="226" customFormat="1" x14ac:dyDescent="0.3">
      <c r="A36" s="26" t="s">
        <v>78</v>
      </c>
      <c r="B36" s="10" t="s">
        <v>126</v>
      </c>
      <c r="C36" s="26">
        <v>1534</v>
      </c>
      <c r="D36" s="26">
        <f ca="1">OFFSET(Node_List!$B$2,MATCH(Pipeline_Candid!A36,Node_List!$A$2:$A$999,0)-1,0)</f>
        <v>2</v>
      </c>
      <c r="E36" s="10">
        <f ca="1">OFFSET(Node_List!$B$2,MATCH(Pipeline_Candid!B36,Node_List!$A$2:$A$999,0)-1,0)</f>
        <v>97</v>
      </c>
      <c r="F36" s="265">
        <v>0</v>
      </c>
      <c r="G36" s="26">
        <v>421</v>
      </c>
      <c r="H36" s="11">
        <v>2000</v>
      </c>
      <c r="I36" s="87">
        <f>PI()*(H36/10^3/2)^2*Dashboard!$B$58*3600*24</f>
        <v>542867.2105403163</v>
      </c>
      <c r="J36" s="87">
        <f>Dashboard!$B$57*(G36*10^3)/(H36/10^3)*Dashboard!$B$58^2/2</f>
        <v>4210</v>
      </c>
      <c r="K36" s="85">
        <f>Dashboard!$B$59*G36</f>
        <v>0.21049999999999999</v>
      </c>
      <c r="L36" s="85">
        <f>Dashboard!$B$60*G36</f>
        <v>1.2630000000000001E-2</v>
      </c>
      <c r="M36" s="87">
        <f>Dashboard!$C$68*G36</f>
        <v>16840000</v>
      </c>
      <c r="N36" s="88">
        <f>Dashboard!$B$75*G36</f>
        <v>15366500</v>
      </c>
      <c r="O36" s="90">
        <f>Dashboard!$C$69*G36</f>
        <v>33680000</v>
      </c>
      <c r="P36" s="88">
        <f>Dashboard!$B$76*G36</f>
        <v>15366500</v>
      </c>
      <c r="Q36" s="225"/>
    </row>
    <row r="37" spans="1:17" s="226" customFormat="1" x14ac:dyDescent="0.3">
      <c r="A37" s="26" t="s">
        <v>190</v>
      </c>
      <c r="B37" s="10" t="s">
        <v>207</v>
      </c>
      <c r="C37" s="26">
        <v>1535</v>
      </c>
      <c r="D37" s="26">
        <f ca="1">OFFSET(Node_List!$B$2,MATCH(Pipeline_Candid!A37,Node_List!$A$2:$A$999,0)-1,0)</f>
        <v>23</v>
      </c>
      <c r="E37" s="10">
        <f ca="1">OFFSET(Node_List!$B$2,MATCH(Pipeline_Candid!B37,Node_List!$A$2:$A$999,0)-1,0)</f>
        <v>78</v>
      </c>
      <c r="F37" s="265">
        <v>0</v>
      </c>
      <c r="G37" s="26">
        <v>413</v>
      </c>
      <c r="H37" s="11">
        <v>2000</v>
      </c>
      <c r="I37" s="87">
        <f>PI()*(H37/10^3/2)^2*Dashboard!$B$58*3600*24</f>
        <v>542867.2105403163</v>
      </c>
      <c r="J37" s="87">
        <f>Dashboard!$B$57*(G37*10^3)/(H37/10^3)*Dashboard!$B$58^2/2</f>
        <v>4130</v>
      </c>
      <c r="K37" s="85">
        <f>Dashboard!$B$59*G37</f>
        <v>0.20650000000000002</v>
      </c>
      <c r="L37" s="85">
        <f>Dashboard!$B$60*G37</f>
        <v>1.239E-2</v>
      </c>
      <c r="M37" s="87">
        <f>Dashboard!$C$68*G37</f>
        <v>16520000</v>
      </c>
      <c r="N37" s="88">
        <f>Dashboard!$B$75*G37</f>
        <v>15074500</v>
      </c>
      <c r="O37" s="90">
        <f>Dashboard!$C$69*G37</f>
        <v>33040000</v>
      </c>
      <c r="P37" s="88">
        <f>Dashboard!$B$76*G37</f>
        <v>15074500</v>
      </c>
      <c r="Q37" s="225"/>
    </row>
    <row r="38" spans="1:17" s="226" customFormat="1" x14ac:dyDescent="0.3">
      <c r="A38" s="26" t="s">
        <v>189</v>
      </c>
      <c r="B38" s="10" t="s">
        <v>207</v>
      </c>
      <c r="C38" s="26">
        <v>1536</v>
      </c>
      <c r="D38" s="26">
        <f ca="1">OFFSET(Node_List!$B$2,MATCH(Pipeline_Candid!A38,Node_List!$A$2:$A$999,0)-1,0)</f>
        <v>22</v>
      </c>
      <c r="E38" s="10">
        <f ca="1">OFFSET(Node_List!$B$2,MATCH(Pipeline_Candid!B38,Node_List!$A$2:$A$999,0)-1,0)</f>
        <v>78</v>
      </c>
      <c r="F38" s="265">
        <v>0</v>
      </c>
      <c r="G38" s="26">
        <v>454</v>
      </c>
      <c r="H38" s="11">
        <v>2000</v>
      </c>
      <c r="I38" s="87">
        <f>PI()*(H38/10^3/2)^2*Dashboard!$B$58*3600*24</f>
        <v>542867.2105403163</v>
      </c>
      <c r="J38" s="87">
        <f>Dashboard!$B$57*(G38*10^3)/(H38/10^3)*Dashboard!$B$58^2/2</f>
        <v>4540</v>
      </c>
      <c r="K38" s="85">
        <f>Dashboard!$B$59*G38</f>
        <v>0.22700000000000001</v>
      </c>
      <c r="L38" s="85">
        <f>Dashboard!$B$60*G38</f>
        <v>1.362E-2</v>
      </c>
      <c r="M38" s="87">
        <f>Dashboard!$C$68*G38</f>
        <v>18160000</v>
      </c>
      <c r="N38" s="88">
        <f>Dashboard!$B$75*G38</f>
        <v>16571000</v>
      </c>
      <c r="O38" s="90">
        <f>Dashboard!$C$69*G38</f>
        <v>36320000</v>
      </c>
      <c r="P38" s="88">
        <f>Dashboard!$B$76*G38</f>
        <v>16571000</v>
      </c>
      <c r="Q38" s="225"/>
    </row>
    <row r="39" spans="1:17" s="252" customFormat="1" x14ac:dyDescent="0.3">
      <c r="A39" s="26" t="s">
        <v>207</v>
      </c>
      <c r="B39" s="10" t="s">
        <v>79</v>
      </c>
      <c r="C39" s="26">
        <v>1537</v>
      </c>
      <c r="D39" s="26">
        <f ca="1">OFFSET(Node_List!$B$2,MATCH(Pipeline_Candid!A39,Node_List!$A$2:$A$999,0)-1,0)</f>
        <v>78</v>
      </c>
      <c r="E39" s="10">
        <f ca="1">OFFSET(Node_List!$B$2,MATCH(Pipeline_Candid!B39,Node_List!$A$2:$A$999,0)-1,0)</f>
        <v>90</v>
      </c>
      <c r="F39" s="265">
        <v>0</v>
      </c>
      <c r="G39" s="26">
        <v>527</v>
      </c>
      <c r="H39" s="11">
        <v>2000</v>
      </c>
      <c r="I39" s="87">
        <f>PI()*(H39/10^3/2)^2*Dashboard!$B$58*3600*24</f>
        <v>542867.2105403163</v>
      </c>
      <c r="J39" s="87">
        <f>Dashboard!$B$57*(G39*10^3)/(H39/10^3)*Dashboard!$B$58^2/2</f>
        <v>5270</v>
      </c>
      <c r="K39" s="85">
        <f>Dashboard!$B$59*G39</f>
        <v>0.26350000000000001</v>
      </c>
      <c r="L39" s="85">
        <f>Dashboard!$B$60*G39</f>
        <v>1.5810000000000001E-2</v>
      </c>
      <c r="M39" s="87">
        <f>Dashboard!$C$68*G39</f>
        <v>21080000</v>
      </c>
      <c r="N39" s="88">
        <f>Dashboard!$B$75*G39</f>
        <v>19235500</v>
      </c>
      <c r="O39" s="90">
        <f>Dashboard!$C$69*G39</f>
        <v>42160000</v>
      </c>
      <c r="P39" s="88">
        <f>Dashboard!$B$76*G39</f>
        <v>19235500</v>
      </c>
      <c r="Q39" s="253"/>
    </row>
    <row r="40" spans="1:17" s="226" customFormat="1" x14ac:dyDescent="0.3">
      <c r="A40" s="26" t="s">
        <v>128</v>
      </c>
      <c r="B40" s="10" t="s">
        <v>208</v>
      </c>
      <c r="C40" s="26">
        <v>1538</v>
      </c>
      <c r="D40" s="26">
        <f ca="1">OFFSET(Node_List!$B$2,MATCH(Pipeline_Candid!A40,Node_List!$A$2:$A$999,0)-1,0)</f>
        <v>17</v>
      </c>
      <c r="E40" s="10">
        <f ca="1">OFFSET(Node_List!$B$2,MATCH(Pipeline_Candid!B40,Node_List!$A$2:$A$999,0)-1,0)</f>
        <v>76</v>
      </c>
      <c r="F40" s="265">
        <v>0</v>
      </c>
      <c r="G40" s="26">
        <v>594</v>
      </c>
      <c r="H40" s="11">
        <v>2000</v>
      </c>
      <c r="I40" s="87">
        <f>PI()*(H40/10^3/2)^2*Dashboard!$B$58*3600*24</f>
        <v>542867.2105403163</v>
      </c>
      <c r="J40" s="87">
        <f>Dashboard!$B$57*(G40*10^3)/(H40/10^3)*Dashboard!$B$58^2/2</f>
        <v>5940</v>
      </c>
      <c r="K40" s="85">
        <f>Dashboard!$B$59*G40</f>
        <v>0.29699999999999999</v>
      </c>
      <c r="L40" s="85">
        <f>Dashboard!$B$60*G40</f>
        <v>1.7819999999999999E-2</v>
      </c>
      <c r="M40" s="87">
        <f>Dashboard!$C$68*G40</f>
        <v>23760000</v>
      </c>
      <c r="N40" s="88">
        <f>Dashboard!$B$75*G40</f>
        <v>21681000</v>
      </c>
      <c r="O40" s="90">
        <f>Dashboard!$C$69*G40</f>
        <v>47520000</v>
      </c>
      <c r="P40" s="88">
        <f>Dashboard!$B$76*G40</f>
        <v>21681000</v>
      </c>
      <c r="Q40" s="225"/>
    </row>
    <row r="41" spans="1:17" s="226" customFormat="1" x14ac:dyDescent="0.3">
      <c r="A41" s="26" t="s">
        <v>190</v>
      </c>
      <c r="B41" s="10" t="s">
        <v>208</v>
      </c>
      <c r="C41" s="26">
        <v>1539</v>
      </c>
      <c r="D41" s="26">
        <f ca="1">OFFSET(Node_List!$B$2,MATCH(Pipeline_Candid!A41,Node_List!$A$2:$A$999,0)-1,0)</f>
        <v>23</v>
      </c>
      <c r="E41" s="10">
        <f ca="1">OFFSET(Node_List!$B$2,MATCH(Pipeline_Candid!B41,Node_List!$A$2:$A$999,0)-1,0)</f>
        <v>76</v>
      </c>
      <c r="F41" s="265">
        <v>0</v>
      </c>
      <c r="G41" s="26">
        <v>626</v>
      </c>
      <c r="H41" s="11">
        <v>2000</v>
      </c>
      <c r="I41" s="87">
        <f>PI()*(H41/10^3/2)^2*Dashboard!$B$58*3600*24</f>
        <v>542867.2105403163</v>
      </c>
      <c r="J41" s="87">
        <f>Dashboard!$B$57*(G41*10^3)/(H41/10^3)*Dashboard!$B$58^2/2</f>
        <v>6260</v>
      </c>
      <c r="K41" s="85">
        <f>Dashboard!$B$59*G41</f>
        <v>0.313</v>
      </c>
      <c r="L41" s="85">
        <f>Dashboard!$B$60*G41</f>
        <v>1.8780000000000002E-2</v>
      </c>
      <c r="M41" s="87">
        <f>Dashboard!$C$68*G41</f>
        <v>25040000</v>
      </c>
      <c r="N41" s="88">
        <f>Dashboard!$B$75*G41</f>
        <v>22849000</v>
      </c>
      <c r="O41" s="90">
        <f>Dashboard!$C$69*G41</f>
        <v>50080000</v>
      </c>
      <c r="P41" s="88">
        <f>Dashboard!$B$76*G41</f>
        <v>22849000</v>
      </c>
      <c r="Q41" s="225"/>
    </row>
    <row r="42" spans="1:17" s="226" customFormat="1" x14ac:dyDescent="0.3">
      <c r="A42" s="26" t="s">
        <v>189</v>
      </c>
      <c r="B42" s="10" t="s">
        <v>208</v>
      </c>
      <c r="C42" s="26">
        <v>1540</v>
      </c>
      <c r="D42" s="26">
        <f ca="1">OFFSET(Node_List!$B$2,MATCH(Pipeline_Candid!A42,Node_List!$A$2:$A$999,0)-1,0)</f>
        <v>22</v>
      </c>
      <c r="E42" s="10">
        <f ca="1">OFFSET(Node_List!$B$2,MATCH(Pipeline_Candid!B42,Node_List!$A$2:$A$999,0)-1,0)</f>
        <v>76</v>
      </c>
      <c r="F42" s="265">
        <v>0</v>
      </c>
      <c r="G42" s="26">
        <v>667</v>
      </c>
      <c r="H42" s="11">
        <v>2000</v>
      </c>
      <c r="I42" s="87">
        <f>PI()*(H42/10^3/2)^2*Dashboard!$B$58*3600*24</f>
        <v>542867.2105403163</v>
      </c>
      <c r="J42" s="87">
        <f>Dashboard!$B$57*(G42*10^3)/(H42/10^3)*Dashboard!$B$58^2/2</f>
        <v>6670</v>
      </c>
      <c r="K42" s="85">
        <f>Dashboard!$B$59*G42</f>
        <v>0.33350000000000002</v>
      </c>
      <c r="L42" s="85">
        <f>Dashboard!$B$60*G42</f>
        <v>2.001E-2</v>
      </c>
      <c r="M42" s="87">
        <f>Dashboard!$C$68*G42</f>
        <v>26680000</v>
      </c>
      <c r="N42" s="88">
        <f>Dashboard!$B$75*G42</f>
        <v>24345500</v>
      </c>
      <c r="O42" s="90">
        <f>Dashboard!$C$69*G42</f>
        <v>53360000</v>
      </c>
      <c r="P42" s="88">
        <f>Dashboard!$B$76*G42</f>
        <v>24345500</v>
      </c>
      <c r="Q42" s="225"/>
    </row>
    <row r="43" spans="1:17" s="250" customFormat="1" x14ac:dyDescent="0.3">
      <c r="A43" s="26" t="s">
        <v>189</v>
      </c>
      <c r="B43" s="10" t="s">
        <v>97</v>
      </c>
      <c r="C43" s="26">
        <v>1541</v>
      </c>
      <c r="D43" s="26">
        <f ca="1">OFFSET(Node_List!$B$2,MATCH(Pipeline_Candid!A43,Node_List!$A$2:$A$999,0)-1,0)</f>
        <v>22</v>
      </c>
      <c r="E43" s="10">
        <f ca="1">OFFSET(Node_List!$B$2,MATCH(Pipeline_Candid!B43,Node_List!$A$2:$A$999,0)-1,0)</f>
        <v>30</v>
      </c>
      <c r="F43" s="265">
        <v>0</v>
      </c>
      <c r="G43" s="26">
        <v>162</v>
      </c>
      <c r="H43" s="11">
        <v>2000</v>
      </c>
      <c r="I43" s="87">
        <f>PI()*(H43/10^3/2)^2*Dashboard!$B$58*3600*24</f>
        <v>542867.2105403163</v>
      </c>
      <c r="J43" s="87">
        <f>Dashboard!$B$57*(G43*10^3)/(H43/10^3)*Dashboard!$B$58^2/2</f>
        <v>1620</v>
      </c>
      <c r="K43" s="85">
        <f>Dashboard!$B$59*G43</f>
        <v>8.1000000000000003E-2</v>
      </c>
      <c r="L43" s="85">
        <f>Dashboard!$B$60*G43</f>
        <v>4.8599999999999997E-3</v>
      </c>
      <c r="M43" s="87">
        <f>Dashboard!$C$68*G43</f>
        <v>6480000</v>
      </c>
      <c r="N43" s="88">
        <f>Dashboard!$B$75*G43</f>
        <v>5913000</v>
      </c>
      <c r="O43" s="90">
        <f>Dashboard!$C$69*G43</f>
        <v>12960000</v>
      </c>
      <c r="P43" s="88">
        <f>Dashboard!$B$76*G43</f>
        <v>5913000</v>
      </c>
      <c r="Q43" s="251"/>
    </row>
    <row r="44" spans="1:17" s="226" customFormat="1" x14ac:dyDescent="0.3">
      <c r="A44" s="26" t="s">
        <v>192</v>
      </c>
      <c r="B44" s="10" t="s">
        <v>194</v>
      </c>
      <c r="C44" s="26">
        <v>1542</v>
      </c>
      <c r="D44" s="26">
        <f ca="1">OFFSET(Node_List!$B$2,MATCH(Pipeline_Candid!A44,Node_List!$A$2:$A$999,0)-1,0)</f>
        <v>28</v>
      </c>
      <c r="E44" s="10">
        <f ca="1">OFFSET(Node_List!$B$2,MATCH(Pipeline_Candid!B44,Node_List!$A$2:$A$999,0)-1,0)</f>
        <v>31</v>
      </c>
      <c r="F44" s="265">
        <v>0</v>
      </c>
      <c r="G44" s="26">
        <v>84.8</v>
      </c>
      <c r="H44" s="11">
        <v>2000</v>
      </c>
      <c r="I44" s="87">
        <f>PI()*(H44/10^3/2)^2*Dashboard!$B$58*3600*24</f>
        <v>542867.2105403163</v>
      </c>
      <c r="J44" s="87">
        <f>Dashboard!$B$57*(G44*10^3)/(H44/10^3)*Dashboard!$B$58^2/2</f>
        <v>848</v>
      </c>
      <c r="K44" s="85">
        <f>Dashboard!$B$59*G44</f>
        <v>4.24E-2</v>
      </c>
      <c r="L44" s="85">
        <f>Dashboard!$B$60*G44</f>
        <v>2.5439999999999998E-3</v>
      </c>
      <c r="M44" s="87">
        <f>Dashboard!$C$68*G44</f>
        <v>3392000</v>
      </c>
      <c r="N44" s="88">
        <f>Dashboard!$B$75*G44</f>
        <v>3095200</v>
      </c>
      <c r="O44" s="90">
        <f>Dashboard!$C$69*G44</f>
        <v>6784000</v>
      </c>
      <c r="P44" s="88">
        <f>Dashboard!$B$76*G44</f>
        <v>3095200</v>
      </c>
      <c r="Q44" s="225"/>
    </row>
    <row r="45" spans="1:17" s="226" customFormat="1" x14ac:dyDescent="0.3">
      <c r="A45" s="26" t="s">
        <v>194</v>
      </c>
      <c r="B45" s="10" t="s">
        <v>233</v>
      </c>
      <c r="C45" s="26">
        <v>1543</v>
      </c>
      <c r="D45" s="26">
        <f ca="1">OFFSET(Node_List!$B$2,MATCH(Pipeline_Candid!A45,Node_List!$A$2:$A$999,0)-1,0)</f>
        <v>31</v>
      </c>
      <c r="E45" s="10">
        <f ca="1">OFFSET(Node_List!$B$2,MATCH(Pipeline_Candid!B45,Node_List!$A$2:$A$999,0)-1,0)</f>
        <v>219</v>
      </c>
      <c r="F45" s="265">
        <v>0</v>
      </c>
      <c r="G45" s="26">
        <v>75.900000000000006</v>
      </c>
      <c r="H45" s="11">
        <v>2000</v>
      </c>
      <c r="I45" s="87">
        <f>PI()*(H45/10^3/2)^2*Dashboard!$B$58*3600*24</f>
        <v>542867.2105403163</v>
      </c>
      <c r="J45" s="87">
        <f>Dashboard!$B$57*(G45*10^3)/(H45/10^3)*Dashboard!$B$58^2/2</f>
        <v>759</v>
      </c>
      <c r="K45" s="85">
        <f>Dashboard!$B$59*G45</f>
        <v>3.7950000000000005E-2</v>
      </c>
      <c r="L45" s="85">
        <f>Dashboard!$B$60*G45</f>
        <v>2.2770000000000004E-3</v>
      </c>
      <c r="M45" s="87">
        <f>Dashboard!$C$68*G45</f>
        <v>3036000</v>
      </c>
      <c r="N45" s="88">
        <f>Dashboard!$B$75*G45</f>
        <v>2770350</v>
      </c>
      <c r="O45" s="90">
        <f>Dashboard!$C$69*G45</f>
        <v>6072000</v>
      </c>
      <c r="P45" s="88">
        <f>Dashboard!$B$76*G45</f>
        <v>2770350</v>
      </c>
      <c r="Q45" s="225"/>
    </row>
    <row r="46" spans="1:17" s="226" customFormat="1" x14ac:dyDescent="0.3">
      <c r="A46" s="26" t="s">
        <v>194</v>
      </c>
      <c r="B46" s="10" t="s">
        <v>193</v>
      </c>
      <c r="C46" s="26">
        <v>1544</v>
      </c>
      <c r="D46" s="26">
        <f ca="1">OFFSET(Node_List!$B$2,MATCH(Pipeline_Candid!A46,Node_List!$A$2:$A$999,0)-1,0)</f>
        <v>31</v>
      </c>
      <c r="E46" s="10">
        <f ca="1">OFFSET(Node_List!$B$2,MATCH(Pipeline_Candid!B46,Node_List!$A$2:$A$999,0)-1,0)</f>
        <v>32</v>
      </c>
      <c r="F46" s="265">
        <v>0</v>
      </c>
      <c r="G46" s="26">
        <v>73</v>
      </c>
      <c r="H46" s="11">
        <v>2000</v>
      </c>
      <c r="I46" s="87">
        <f>PI()*(H46/10^3/2)^2*Dashboard!$B$58*3600*24</f>
        <v>542867.2105403163</v>
      </c>
      <c r="J46" s="87">
        <f>Dashboard!$B$57*(G46*10^3)/(H46/10^3)*Dashboard!$B$58^2/2</f>
        <v>730</v>
      </c>
      <c r="K46" s="85">
        <f>Dashboard!$B$59*G46</f>
        <v>3.6499999999999998E-2</v>
      </c>
      <c r="L46" s="85">
        <f>Dashboard!$B$60*G46</f>
        <v>2.1900000000000001E-3</v>
      </c>
      <c r="M46" s="87">
        <f>Dashboard!$C$68*G46</f>
        <v>2920000</v>
      </c>
      <c r="N46" s="88">
        <f>Dashboard!$B$75*G46</f>
        <v>2664500</v>
      </c>
      <c r="O46" s="90">
        <f>Dashboard!$C$69*G46</f>
        <v>5840000</v>
      </c>
      <c r="P46" s="88">
        <f>Dashboard!$B$76*G46</f>
        <v>2664500</v>
      </c>
      <c r="Q46" s="225"/>
    </row>
    <row r="47" spans="1:17" s="226" customFormat="1" x14ac:dyDescent="0.3">
      <c r="A47" s="26" t="s">
        <v>193</v>
      </c>
      <c r="B47" s="10" t="s">
        <v>195</v>
      </c>
      <c r="C47" s="26">
        <v>1545</v>
      </c>
      <c r="D47" s="26">
        <f ca="1">OFFSET(Node_List!$B$2,MATCH(Pipeline_Candid!A47,Node_List!$A$2:$A$999,0)-1,0)</f>
        <v>32</v>
      </c>
      <c r="E47" s="10">
        <f ca="1">OFFSET(Node_List!$B$2,MATCH(Pipeline_Candid!B47,Node_List!$A$2:$A$999,0)-1,0)</f>
        <v>33</v>
      </c>
      <c r="F47" s="265">
        <v>0</v>
      </c>
      <c r="G47" s="26">
        <v>92.2</v>
      </c>
      <c r="H47" s="11">
        <v>2000</v>
      </c>
      <c r="I47" s="87">
        <f>PI()*(H47/10^3/2)^2*Dashboard!$B$58*3600*24</f>
        <v>542867.2105403163</v>
      </c>
      <c r="J47" s="87">
        <f>Dashboard!$B$57*(G47*10^3)/(H47/10^3)*Dashboard!$B$58^2/2</f>
        <v>922</v>
      </c>
      <c r="K47" s="85">
        <f>Dashboard!$B$59*G47</f>
        <v>4.6100000000000002E-2</v>
      </c>
      <c r="L47" s="85">
        <f>Dashboard!$B$60*G47</f>
        <v>2.7660000000000002E-3</v>
      </c>
      <c r="M47" s="87">
        <f>Dashboard!$C$68*G47</f>
        <v>3688000</v>
      </c>
      <c r="N47" s="88">
        <f>Dashboard!$B$75*G47</f>
        <v>3365300</v>
      </c>
      <c r="O47" s="90">
        <f>Dashboard!$C$69*G47</f>
        <v>7376000</v>
      </c>
      <c r="P47" s="88">
        <f>Dashboard!$B$76*G47</f>
        <v>3365300</v>
      </c>
      <c r="Q47" s="225"/>
    </row>
    <row r="48" spans="1:17" s="226" customFormat="1" x14ac:dyDescent="0.3">
      <c r="A48" s="27" t="s">
        <v>195</v>
      </c>
      <c r="B48" s="10" t="s">
        <v>4</v>
      </c>
      <c r="C48" s="26">
        <v>1546</v>
      </c>
      <c r="D48" s="26">
        <f ca="1">OFFSET(Node_List!$B$2,MATCH(Pipeline_Candid!A48,Node_List!$A$2:$A$999,0)-1,0)</f>
        <v>33</v>
      </c>
      <c r="E48" s="10">
        <f ca="1">OFFSET(Node_List!$B$2,MATCH(Pipeline_Candid!B48,Node_List!$A$2:$A$999,0)-1,0)</f>
        <v>35</v>
      </c>
      <c r="F48" s="265">
        <v>0</v>
      </c>
      <c r="G48" s="26">
        <v>82.3</v>
      </c>
      <c r="H48" s="11">
        <v>2000</v>
      </c>
      <c r="I48" s="87">
        <f>PI()*(H48/10^3/2)^2*Dashboard!$B$58*3600*24</f>
        <v>542867.2105403163</v>
      </c>
      <c r="J48" s="87">
        <f>Dashboard!$B$57*(G48*10^3)/(H48/10^3)*Dashboard!$B$58^2/2</f>
        <v>823</v>
      </c>
      <c r="K48" s="85">
        <f>Dashboard!$B$59*G48</f>
        <v>4.1149999999999999E-2</v>
      </c>
      <c r="L48" s="85">
        <f>Dashboard!$B$60*G48</f>
        <v>2.4689999999999998E-3</v>
      </c>
      <c r="M48" s="87">
        <f>Dashboard!$C$68*G48</f>
        <v>3292000</v>
      </c>
      <c r="N48" s="88">
        <f>Dashboard!$B$75*G48</f>
        <v>3003950</v>
      </c>
      <c r="O48" s="90">
        <f>Dashboard!$C$69*G48</f>
        <v>6584000</v>
      </c>
      <c r="P48" s="88">
        <f>Dashboard!$B$76*G48</f>
        <v>3003950</v>
      </c>
      <c r="Q48" s="225"/>
    </row>
    <row r="49" spans="1:17" s="226" customFormat="1" x14ac:dyDescent="0.3">
      <c r="A49" s="228" t="s">
        <v>323</v>
      </c>
      <c r="B49" s="228" t="s">
        <v>284</v>
      </c>
      <c r="C49" s="26">
        <v>1547</v>
      </c>
      <c r="D49" s="26">
        <f ca="1">OFFSET(Node_List!$B$2,MATCH(Pipeline_Candid!A49,Node_List!$A$2:$A$999,0)-1,0)</f>
        <v>123</v>
      </c>
      <c r="E49" s="10">
        <f ca="1">OFFSET(Node_List!$B$2,MATCH(Pipeline_Candid!B49,Node_List!$A$2:$A$999,0)-1,0)</f>
        <v>118</v>
      </c>
      <c r="F49" s="265">
        <v>0</v>
      </c>
      <c r="G49" s="26">
        <v>112</v>
      </c>
      <c r="H49" s="11">
        <v>2000</v>
      </c>
      <c r="I49" s="87">
        <f>PI()*(H49/10^3/2)^2*Dashboard!$B$58*3600*24</f>
        <v>542867.2105403163</v>
      </c>
      <c r="J49" s="87">
        <f>Dashboard!$B$57*(G49*10^3)/(H49/10^3)*Dashboard!$B$58^2/2</f>
        <v>1120</v>
      </c>
      <c r="K49" s="85">
        <f>Dashboard!$B$59*G49</f>
        <v>5.6000000000000001E-2</v>
      </c>
      <c r="L49" s="85">
        <f>Dashboard!$B$60*G49</f>
        <v>3.3600000000000001E-3</v>
      </c>
      <c r="M49" s="87">
        <f>Dashboard!$C$68*G49</f>
        <v>4480000</v>
      </c>
      <c r="N49" s="88">
        <f>Dashboard!$B$75*G49</f>
        <v>4088000</v>
      </c>
      <c r="O49" s="90">
        <f>Dashboard!$C$69*G49</f>
        <v>8960000</v>
      </c>
      <c r="P49" s="88">
        <f>Dashboard!$B$76*G49</f>
        <v>4088000</v>
      </c>
      <c r="Q49" s="225"/>
    </row>
    <row r="50" spans="1:17" s="226" customFormat="1" x14ac:dyDescent="0.3">
      <c r="A50" s="26" t="s">
        <v>323</v>
      </c>
      <c r="B50" s="28" t="s">
        <v>119</v>
      </c>
      <c r="C50" s="26">
        <v>1548</v>
      </c>
      <c r="D50" s="26">
        <f ca="1">OFFSET(Node_List!$B$2,MATCH(Pipeline_Candid!A50,Node_List!$A$2:$A$999,0)-1,0)</f>
        <v>123</v>
      </c>
      <c r="E50" s="10">
        <f ca="1">OFFSET(Node_List!$B$2,MATCH(Pipeline_Candid!B50,Node_List!$A$2:$A$999,0)-1,0)</f>
        <v>24</v>
      </c>
      <c r="F50" s="265">
        <v>0</v>
      </c>
      <c r="G50" s="26">
        <v>160</v>
      </c>
      <c r="H50" s="11">
        <v>2000</v>
      </c>
      <c r="I50" s="87">
        <f>PI()*(H50/10^3/2)^2*Dashboard!$B$58*3600*24</f>
        <v>542867.2105403163</v>
      </c>
      <c r="J50" s="87">
        <f>Dashboard!$B$57*(G50*10^3)/(H50/10^3)*Dashboard!$B$58^2/2</f>
        <v>1600</v>
      </c>
      <c r="K50" s="85">
        <f>Dashboard!$B$59*G50</f>
        <v>0.08</v>
      </c>
      <c r="L50" s="85">
        <f>Dashboard!$B$60*G50</f>
        <v>4.8000000000000004E-3</v>
      </c>
      <c r="M50" s="87">
        <f>Dashboard!$C$68*G50</f>
        <v>6400000</v>
      </c>
      <c r="N50" s="88">
        <f>Dashboard!$B$75*G50</f>
        <v>5840000</v>
      </c>
      <c r="O50" s="90">
        <f>Dashboard!$C$69*G50</f>
        <v>12800000</v>
      </c>
      <c r="P50" s="88">
        <f>Dashboard!$B$76*G50</f>
        <v>5840000</v>
      </c>
      <c r="Q50" s="225"/>
    </row>
    <row r="51" spans="1:17" s="226" customFormat="1" x14ac:dyDescent="0.3">
      <c r="A51" s="26" t="s">
        <v>323</v>
      </c>
      <c r="B51" s="28" t="s">
        <v>191</v>
      </c>
      <c r="C51" s="26">
        <v>1549</v>
      </c>
      <c r="D51" s="26">
        <f ca="1">OFFSET(Node_List!$B$2,MATCH(Pipeline_Candid!A51,Node_List!$A$2:$A$999,0)-1,0)</f>
        <v>123</v>
      </c>
      <c r="E51" s="10">
        <f ca="1">OFFSET(Node_List!$B$2,MATCH(Pipeline_Candid!B51,Node_List!$A$2:$A$999,0)-1,0)</f>
        <v>29</v>
      </c>
      <c r="F51" s="265">
        <v>0</v>
      </c>
      <c r="G51" s="26">
        <v>169</v>
      </c>
      <c r="H51" s="11">
        <v>2000</v>
      </c>
      <c r="I51" s="87">
        <f>PI()*(H51/10^3/2)^2*Dashboard!$B$58*3600*24</f>
        <v>542867.2105403163</v>
      </c>
      <c r="J51" s="87">
        <f>Dashboard!$B$57*(G51*10^3)/(H51/10^3)*Dashboard!$B$58^2/2</f>
        <v>1690</v>
      </c>
      <c r="K51" s="85">
        <f>Dashboard!$B$59*G51</f>
        <v>8.4500000000000006E-2</v>
      </c>
      <c r="L51" s="85">
        <f>Dashboard!$B$60*G51</f>
        <v>5.0699999999999999E-3</v>
      </c>
      <c r="M51" s="87">
        <f>Dashboard!$C$68*G51</f>
        <v>6760000</v>
      </c>
      <c r="N51" s="88">
        <f>Dashboard!$B$75*G51</f>
        <v>6168500</v>
      </c>
      <c r="O51" s="90">
        <f>Dashboard!$C$69*G51</f>
        <v>13520000</v>
      </c>
      <c r="P51" s="88">
        <f>Dashboard!$B$76*G51</f>
        <v>6168500</v>
      </c>
      <c r="Q51" s="225"/>
    </row>
    <row r="52" spans="1:17" s="226" customFormat="1" x14ac:dyDescent="0.3">
      <c r="A52" s="26" t="s">
        <v>119</v>
      </c>
      <c r="B52" s="28" t="s">
        <v>191</v>
      </c>
      <c r="C52" s="26">
        <v>1550</v>
      </c>
      <c r="D52" s="26">
        <f ca="1">OFFSET(Node_List!$B$2,MATCH(Pipeline_Candid!A52,Node_List!$A$2:$A$999,0)-1,0)</f>
        <v>24</v>
      </c>
      <c r="E52" s="10">
        <f ca="1">OFFSET(Node_List!$B$2,MATCH(Pipeline_Candid!B52,Node_List!$A$2:$A$999,0)-1,0)</f>
        <v>29</v>
      </c>
      <c r="F52" s="265">
        <v>0</v>
      </c>
      <c r="G52" s="26">
        <v>103</v>
      </c>
      <c r="H52" s="11">
        <v>2000</v>
      </c>
      <c r="I52" s="87">
        <f>PI()*(H52/10^3/2)^2*Dashboard!$B$58*3600*24</f>
        <v>542867.2105403163</v>
      </c>
      <c r="J52" s="87">
        <f>Dashboard!$B$57*(G52*10^3)/(H52/10^3)*Dashboard!$B$58^2/2</f>
        <v>1030</v>
      </c>
      <c r="K52" s="85">
        <f>Dashboard!$B$59*G52</f>
        <v>5.1500000000000004E-2</v>
      </c>
      <c r="L52" s="85">
        <f>Dashboard!$B$60*G52</f>
        <v>3.0899999999999999E-3</v>
      </c>
      <c r="M52" s="87">
        <f>Dashboard!$C$68*G52</f>
        <v>4120000</v>
      </c>
      <c r="N52" s="88">
        <f>Dashboard!$B$75*G52</f>
        <v>3759500</v>
      </c>
      <c r="O52" s="90">
        <f>Dashboard!$C$69*G52</f>
        <v>8240000</v>
      </c>
      <c r="P52" s="88">
        <f>Dashboard!$B$76*G52</f>
        <v>3759500</v>
      </c>
      <c r="Q52" s="225"/>
    </row>
    <row r="53" spans="1:17" s="226" customFormat="1" x14ac:dyDescent="0.3">
      <c r="A53" s="26" t="s">
        <v>191</v>
      </c>
      <c r="B53" s="28" t="s">
        <v>195</v>
      </c>
      <c r="C53" s="26">
        <v>1551</v>
      </c>
      <c r="D53" s="26">
        <f ca="1">OFFSET(Node_List!$B$2,MATCH(Pipeline_Candid!A53,Node_List!$A$2:$A$999,0)-1,0)</f>
        <v>29</v>
      </c>
      <c r="E53" s="10">
        <f ca="1">OFFSET(Node_List!$B$2,MATCH(Pipeline_Candid!B53,Node_List!$A$2:$A$999,0)-1,0)</f>
        <v>33</v>
      </c>
      <c r="F53" s="265">
        <v>0</v>
      </c>
      <c r="G53" s="26">
        <v>187</v>
      </c>
      <c r="H53" s="11">
        <v>2000</v>
      </c>
      <c r="I53" s="87">
        <f>PI()*(H53/10^3/2)^2*Dashboard!$B$58*3600*24</f>
        <v>542867.2105403163</v>
      </c>
      <c r="J53" s="87">
        <f>Dashboard!$B$57*(G53*10^3)/(H53/10^3)*Dashboard!$B$58^2/2</f>
        <v>1870</v>
      </c>
      <c r="K53" s="85">
        <f>Dashboard!$B$59*G53</f>
        <v>9.35E-2</v>
      </c>
      <c r="L53" s="85">
        <f>Dashboard!$B$60*G53</f>
        <v>5.6100000000000004E-3</v>
      </c>
      <c r="M53" s="87">
        <f>Dashboard!$C$68*G53</f>
        <v>7480000</v>
      </c>
      <c r="N53" s="88">
        <f>Dashboard!$B$75*G53</f>
        <v>6825500</v>
      </c>
      <c r="O53" s="90">
        <f>Dashboard!$C$69*G53</f>
        <v>14960000</v>
      </c>
      <c r="P53" s="88">
        <f>Dashboard!$B$76*G53</f>
        <v>6825500</v>
      </c>
      <c r="Q53" s="225"/>
    </row>
    <row r="54" spans="1:17" s="226" customFormat="1" x14ac:dyDescent="0.3">
      <c r="A54" s="26" t="s">
        <v>310</v>
      </c>
      <c r="B54" s="28" t="s">
        <v>71</v>
      </c>
      <c r="C54" s="26">
        <v>1552</v>
      </c>
      <c r="D54" s="26">
        <f ca="1">OFFSET(Node_List!$B$2,MATCH(Pipeline_Candid!A54,Node_List!$A$2:$A$999,0)-1,0)</f>
        <v>125</v>
      </c>
      <c r="E54" s="10">
        <f ca="1">OFFSET(Node_List!$B$2,MATCH(Pipeline_Candid!B54,Node_List!$A$2:$A$999,0)-1,0)</f>
        <v>26</v>
      </c>
      <c r="F54" s="265">
        <v>0</v>
      </c>
      <c r="G54" s="26">
        <v>66.5</v>
      </c>
      <c r="H54" s="11">
        <v>2000</v>
      </c>
      <c r="I54" s="87">
        <f>PI()*(H54/10^3/2)^2*Dashboard!$B$58*3600*24</f>
        <v>542867.2105403163</v>
      </c>
      <c r="J54" s="87">
        <f>Dashboard!$B$57*(G54*10^3)/(H54/10^3)*Dashboard!$B$58^2/2</f>
        <v>665</v>
      </c>
      <c r="K54" s="85">
        <f>Dashboard!$B$59*G54</f>
        <v>3.3250000000000002E-2</v>
      </c>
      <c r="L54" s="85">
        <f>Dashboard!$B$60*G54</f>
        <v>1.9950000000000002E-3</v>
      </c>
      <c r="M54" s="87">
        <f>Dashboard!$C$68*G54</f>
        <v>2660000</v>
      </c>
      <c r="N54" s="88">
        <f>Dashboard!$B$75*G54</f>
        <v>2427250</v>
      </c>
      <c r="O54" s="90">
        <f>Dashboard!$C$69*G54</f>
        <v>5320000</v>
      </c>
      <c r="P54" s="88">
        <f>Dashboard!$B$76*G54</f>
        <v>2427250</v>
      </c>
      <c r="Q54" s="225"/>
    </row>
    <row r="55" spans="1:17" s="226" customFormat="1" x14ac:dyDescent="0.3">
      <c r="A55" s="26" t="s">
        <v>310</v>
      </c>
      <c r="B55" s="28" t="s">
        <v>299</v>
      </c>
      <c r="C55" s="26">
        <v>1553</v>
      </c>
      <c r="D55" s="26">
        <f ca="1">OFFSET(Node_List!$B$2,MATCH(Pipeline_Candid!A55,Node_List!$A$2:$A$999,0)-1,0)</f>
        <v>125</v>
      </c>
      <c r="E55" s="10">
        <f ca="1">OFFSET(Node_List!$B$2,MATCH(Pipeline_Candid!B55,Node_List!$A$2:$A$999,0)-1,0)</f>
        <v>126</v>
      </c>
      <c r="F55" s="265">
        <v>0</v>
      </c>
      <c r="G55" s="26">
        <v>94.4</v>
      </c>
      <c r="H55" s="11">
        <v>2000</v>
      </c>
      <c r="I55" s="87">
        <f>PI()*(H55/10^3/2)^2*Dashboard!$B$58*3600*24</f>
        <v>542867.2105403163</v>
      </c>
      <c r="J55" s="87">
        <f>Dashboard!$B$57*(G55*10^3)/(H55/10^3)*Dashboard!$B$58^2/2</f>
        <v>944</v>
      </c>
      <c r="K55" s="85">
        <f>Dashboard!$B$59*G55</f>
        <v>4.7200000000000006E-2</v>
      </c>
      <c r="L55" s="85">
        <f>Dashboard!$B$60*G55</f>
        <v>2.8320000000000003E-3</v>
      </c>
      <c r="M55" s="87">
        <f>Dashboard!$C$68*G55</f>
        <v>3776000</v>
      </c>
      <c r="N55" s="88">
        <f>Dashboard!$B$75*G55</f>
        <v>3445600</v>
      </c>
      <c r="O55" s="90">
        <f>Dashboard!$C$69*G55</f>
        <v>7552000</v>
      </c>
      <c r="P55" s="88">
        <f>Dashboard!$B$76*G55</f>
        <v>3445600</v>
      </c>
      <c r="Q55" s="225"/>
    </row>
    <row r="56" spans="1:17" s="226" customFormat="1" x14ac:dyDescent="0.3">
      <c r="A56" s="26" t="s">
        <v>299</v>
      </c>
      <c r="B56" s="28" t="s">
        <v>195</v>
      </c>
      <c r="C56" s="26">
        <v>1554</v>
      </c>
      <c r="D56" s="26">
        <f ca="1">OFFSET(Node_List!$B$2,MATCH(Pipeline_Candid!A56,Node_List!$A$2:$A$999,0)-1,0)</f>
        <v>126</v>
      </c>
      <c r="E56" s="10">
        <f ca="1">OFFSET(Node_List!$B$2,MATCH(Pipeline_Candid!B56,Node_List!$A$2:$A$999,0)-1,0)</f>
        <v>33</v>
      </c>
      <c r="F56" s="265">
        <v>0</v>
      </c>
      <c r="G56" s="26">
        <v>131</v>
      </c>
      <c r="H56" s="11">
        <v>2000</v>
      </c>
      <c r="I56" s="87">
        <f>PI()*(H56/10^3/2)^2*Dashboard!$B$58*3600*24</f>
        <v>542867.2105403163</v>
      </c>
      <c r="J56" s="87">
        <f>Dashboard!$B$57*(G56*10^3)/(H56/10^3)*Dashboard!$B$58^2/2</f>
        <v>1310</v>
      </c>
      <c r="K56" s="85">
        <f>Dashboard!$B$59*G56</f>
        <v>6.5500000000000003E-2</v>
      </c>
      <c r="L56" s="85">
        <f>Dashboard!$B$60*G56</f>
        <v>3.9300000000000003E-3</v>
      </c>
      <c r="M56" s="87">
        <f>Dashboard!$C$68*G56</f>
        <v>5240000</v>
      </c>
      <c r="N56" s="88">
        <f>Dashboard!$B$75*G56</f>
        <v>4781500</v>
      </c>
      <c r="O56" s="90">
        <f>Dashboard!$C$69*G56</f>
        <v>10480000</v>
      </c>
      <c r="P56" s="88">
        <f>Dashboard!$B$76*G56</f>
        <v>4781500</v>
      </c>
      <c r="Q56" s="225"/>
    </row>
    <row r="57" spans="1:17" s="250" customFormat="1" x14ac:dyDescent="0.3">
      <c r="A57" s="26" t="s">
        <v>198</v>
      </c>
      <c r="B57" s="28" t="s">
        <v>121</v>
      </c>
      <c r="C57" s="26">
        <v>1555</v>
      </c>
      <c r="D57" s="26">
        <f ca="1">OFFSET(Node_List!$B$2,MATCH(Pipeline_Candid!A57,Node_List!$A$2:$A$999,0)-1,0)</f>
        <v>38</v>
      </c>
      <c r="E57" s="10">
        <f ca="1">OFFSET(Node_List!$B$2,MATCH(Pipeline_Candid!B57,Node_List!$A$2:$A$999,0)-1,0)</f>
        <v>37</v>
      </c>
      <c r="F57" s="265">
        <v>0</v>
      </c>
      <c r="G57" s="26">
        <v>230</v>
      </c>
      <c r="H57" s="11">
        <v>2000</v>
      </c>
      <c r="I57" s="87">
        <f>PI()*(H57/10^3/2)^2*Dashboard!$B$58*3600*24</f>
        <v>542867.2105403163</v>
      </c>
      <c r="J57" s="87">
        <f>Dashboard!$B$57*(G57*10^3)/(H57/10^3)*Dashboard!$B$58^2/2</f>
        <v>2300</v>
      </c>
      <c r="K57" s="85">
        <f>Dashboard!$B$59*G57</f>
        <v>0.115</v>
      </c>
      <c r="L57" s="85">
        <f>Dashboard!$B$60*G57</f>
        <v>6.8999999999999999E-3</v>
      </c>
      <c r="M57" s="87">
        <f>Dashboard!$C$68*G57</f>
        <v>9200000</v>
      </c>
      <c r="N57" s="88">
        <f>Dashboard!$B$75*G57</f>
        <v>8395000</v>
      </c>
      <c r="O57" s="90">
        <f>Dashboard!$C$69*G57</f>
        <v>18400000</v>
      </c>
      <c r="P57" s="88">
        <f>Dashboard!$B$76*G57</f>
        <v>8395000</v>
      </c>
      <c r="Q57" s="251"/>
    </row>
    <row r="58" spans="1:17" s="226" customFormat="1" x14ac:dyDescent="0.3">
      <c r="A58" s="26" t="s">
        <v>121</v>
      </c>
      <c r="B58" s="28" t="s">
        <v>81</v>
      </c>
      <c r="C58" s="26">
        <v>1556</v>
      </c>
      <c r="D58" s="26">
        <f ca="1">OFFSET(Node_List!$B$2,MATCH(Pipeline_Candid!A58,Node_List!$A$2:$A$999,0)-1,0)</f>
        <v>37</v>
      </c>
      <c r="E58" s="10">
        <f ca="1">OFFSET(Node_List!$B$2,MATCH(Pipeline_Candid!B58,Node_List!$A$2:$A$999,0)-1,0)</f>
        <v>45</v>
      </c>
      <c r="F58" s="265">
        <v>0</v>
      </c>
      <c r="G58" s="26">
        <v>96.5</v>
      </c>
      <c r="H58" s="11">
        <v>2000</v>
      </c>
      <c r="I58" s="87">
        <f>PI()*(H58/10^3/2)^2*Dashboard!$B$58*3600*24</f>
        <v>542867.2105403163</v>
      </c>
      <c r="J58" s="87">
        <f>Dashboard!$B$57*(G58*10^3)/(H58/10^3)*Dashboard!$B$58^2/2</f>
        <v>965</v>
      </c>
      <c r="K58" s="85">
        <f>Dashboard!$B$59*G58</f>
        <v>4.8250000000000001E-2</v>
      </c>
      <c r="L58" s="85">
        <f>Dashboard!$B$60*G58</f>
        <v>2.895E-3</v>
      </c>
      <c r="M58" s="87">
        <f>Dashboard!$C$68*G58</f>
        <v>3860000</v>
      </c>
      <c r="N58" s="88">
        <f>Dashboard!$B$75*G58</f>
        <v>3522250</v>
      </c>
      <c r="O58" s="90">
        <f>Dashboard!$C$69*G58</f>
        <v>7720000</v>
      </c>
      <c r="P58" s="88">
        <f>Dashboard!$B$76*G58</f>
        <v>3522250</v>
      </c>
      <c r="Q58" s="225"/>
    </row>
    <row r="59" spans="1:17" s="226" customFormat="1" x14ac:dyDescent="0.3">
      <c r="A59" s="26" t="s">
        <v>81</v>
      </c>
      <c r="B59" s="28" t="s">
        <v>108</v>
      </c>
      <c r="C59" s="26">
        <v>1557</v>
      </c>
      <c r="D59" s="26">
        <f ca="1">OFFSET(Node_List!$B$2,MATCH(Pipeline_Candid!A59,Node_List!$A$2:$A$999,0)-1,0)</f>
        <v>45</v>
      </c>
      <c r="E59" s="10">
        <f ca="1">OFFSET(Node_List!$B$2,MATCH(Pipeline_Candid!B59,Node_List!$A$2:$A$999,0)-1,0)</f>
        <v>46</v>
      </c>
      <c r="F59" s="265">
        <v>0</v>
      </c>
      <c r="G59" s="26">
        <v>347</v>
      </c>
      <c r="H59" s="11">
        <v>2000</v>
      </c>
      <c r="I59" s="87">
        <f>PI()*(H59/10^3/2)^2*Dashboard!$B$58*3600*24</f>
        <v>542867.2105403163</v>
      </c>
      <c r="J59" s="87">
        <f>Dashboard!$B$57*(G59*10^3)/(H59/10^3)*Dashboard!$B$58^2/2</f>
        <v>3470</v>
      </c>
      <c r="K59" s="85">
        <f>Dashboard!$B$59*G59</f>
        <v>0.17350000000000002</v>
      </c>
      <c r="L59" s="85">
        <f>Dashboard!$B$60*G59</f>
        <v>1.0410000000000001E-2</v>
      </c>
      <c r="M59" s="87">
        <f>Dashboard!$C$68*G59</f>
        <v>13880000</v>
      </c>
      <c r="N59" s="88">
        <f>Dashboard!$B$75*G59</f>
        <v>12665500</v>
      </c>
      <c r="O59" s="90">
        <f>Dashboard!$C$69*G59</f>
        <v>27760000</v>
      </c>
      <c r="P59" s="88">
        <f>Dashboard!$B$76*G59</f>
        <v>12665500</v>
      </c>
      <c r="Q59" s="225"/>
    </row>
    <row r="60" spans="1:17" s="250" customFormat="1" x14ac:dyDescent="0.3">
      <c r="A60" s="26" t="s">
        <v>97</v>
      </c>
      <c r="B60" s="28" t="s">
        <v>13</v>
      </c>
      <c r="C60" s="26">
        <v>1558</v>
      </c>
      <c r="D60" s="26">
        <f ca="1">OFFSET(Node_List!$B$2,MATCH(Pipeline_Candid!A60,Node_List!$A$2:$A$999,0)-1,0)</f>
        <v>30</v>
      </c>
      <c r="E60" s="10">
        <f ca="1">OFFSET(Node_List!$B$2,MATCH(Pipeline_Candid!B60,Node_List!$A$2:$A$999,0)-1,0)</f>
        <v>34</v>
      </c>
      <c r="F60" s="265">
        <v>0</v>
      </c>
      <c r="G60" s="26">
        <v>229</v>
      </c>
      <c r="H60" s="11">
        <v>2000</v>
      </c>
      <c r="I60" s="87">
        <f>PI()*(H60/10^3/2)^2*Dashboard!$B$58*3600*24</f>
        <v>542867.2105403163</v>
      </c>
      <c r="J60" s="87">
        <f>Dashboard!$B$57*(G60*10^3)/(H60/10^3)*Dashboard!$B$58^2/2</f>
        <v>2290</v>
      </c>
      <c r="K60" s="85">
        <f>Dashboard!$B$59*G60</f>
        <v>0.1145</v>
      </c>
      <c r="L60" s="85">
        <f>Dashboard!$B$60*G60</f>
        <v>6.8700000000000002E-3</v>
      </c>
      <c r="M60" s="87">
        <f>Dashboard!$C$68*G60</f>
        <v>9160000</v>
      </c>
      <c r="N60" s="88">
        <f>Dashboard!$B$75*G60</f>
        <v>8358500</v>
      </c>
      <c r="O60" s="90">
        <f>Dashboard!$C$69*G60</f>
        <v>18320000</v>
      </c>
      <c r="P60" s="88">
        <f>Dashboard!$B$76*G60</f>
        <v>8358500</v>
      </c>
      <c r="Q60" s="251"/>
    </row>
    <row r="61" spans="1:17" s="226" customFormat="1" x14ac:dyDescent="0.3">
      <c r="A61" s="26" t="s">
        <v>97</v>
      </c>
      <c r="B61" s="28" t="s">
        <v>124</v>
      </c>
      <c r="C61" s="26">
        <v>1559</v>
      </c>
      <c r="D61" s="26">
        <f ca="1">OFFSET(Node_List!$B$2,MATCH(Pipeline_Candid!A61,Node_List!$A$2:$A$999,0)-1,0)</f>
        <v>30</v>
      </c>
      <c r="E61" s="10">
        <f ca="1">OFFSET(Node_List!$B$2,MATCH(Pipeline_Candid!B61,Node_List!$A$2:$A$999,0)-1,0)</f>
        <v>81</v>
      </c>
      <c r="F61" s="265">
        <v>0</v>
      </c>
      <c r="G61" s="26">
        <v>321</v>
      </c>
      <c r="H61" s="11">
        <v>2000</v>
      </c>
      <c r="I61" s="87">
        <f>PI()*(H61/10^3/2)^2*Dashboard!$B$58*3600*24</f>
        <v>542867.2105403163</v>
      </c>
      <c r="J61" s="87">
        <f>Dashboard!$B$57*(G61*10^3)/(H61/10^3)*Dashboard!$B$58^2/2</f>
        <v>3210</v>
      </c>
      <c r="K61" s="85">
        <f>Dashboard!$B$59*G61</f>
        <v>0.1605</v>
      </c>
      <c r="L61" s="85">
        <f>Dashboard!$B$60*G61</f>
        <v>9.6299999999999997E-3</v>
      </c>
      <c r="M61" s="87">
        <f>Dashboard!$C$68*G61</f>
        <v>12840000</v>
      </c>
      <c r="N61" s="88">
        <f>Dashboard!$B$75*G61</f>
        <v>11716500</v>
      </c>
      <c r="O61" s="90">
        <f>Dashboard!$C$69*G61</f>
        <v>25680000</v>
      </c>
      <c r="P61" s="88">
        <f>Dashboard!$B$76*G61</f>
        <v>11716500</v>
      </c>
      <c r="Q61" s="225"/>
    </row>
    <row r="62" spans="1:17" s="250" customFormat="1" x14ac:dyDescent="0.3">
      <c r="A62" s="26" t="s">
        <v>196</v>
      </c>
      <c r="B62" s="28" t="s">
        <v>121</v>
      </c>
      <c r="C62" s="26">
        <v>1560</v>
      </c>
      <c r="D62" s="26">
        <f ca="1">OFFSET(Node_List!$B$2,MATCH(Pipeline_Candid!A62,Node_List!$A$2:$A$999,0)-1,0)</f>
        <v>41</v>
      </c>
      <c r="E62" s="10">
        <f ca="1">OFFSET(Node_List!$B$2,MATCH(Pipeline_Candid!B62,Node_List!$A$2:$A$999,0)-1,0)</f>
        <v>37</v>
      </c>
      <c r="F62" s="265">
        <v>0</v>
      </c>
      <c r="G62" s="26">
        <v>250</v>
      </c>
      <c r="H62" s="11">
        <v>2000</v>
      </c>
      <c r="I62" s="87">
        <f>PI()*(H62/10^3/2)^2*Dashboard!$B$58*3600*24</f>
        <v>542867.2105403163</v>
      </c>
      <c r="J62" s="87">
        <f>Dashboard!$B$57*(G62*10^3)/(H62/10^3)*Dashboard!$B$58^2/2</f>
        <v>2500</v>
      </c>
      <c r="K62" s="85">
        <f>Dashboard!$B$59*G62</f>
        <v>0.125</v>
      </c>
      <c r="L62" s="85">
        <f>Dashboard!$B$60*G62</f>
        <v>7.5000000000000006E-3</v>
      </c>
      <c r="M62" s="87">
        <f>Dashboard!$C$68*G62</f>
        <v>10000000</v>
      </c>
      <c r="N62" s="88">
        <f>Dashboard!$B$75*G62</f>
        <v>9125000</v>
      </c>
      <c r="O62" s="90">
        <f>Dashboard!$C$69*G62</f>
        <v>20000000</v>
      </c>
      <c r="P62" s="88">
        <f>Dashboard!$B$76*G62</f>
        <v>9125000</v>
      </c>
      <c r="Q62" s="251"/>
    </row>
    <row r="63" spans="1:17" s="226" customFormat="1" x14ac:dyDescent="0.3">
      <c r="A63" s="26" t="s">
        <v>238</v>
      </c>
      <c r="B63" s="28" t="s">
        <v>265</v>
      </c>
      <c r="C63" s="26">
        <v>1561</v>
      </c>
      <c r="D63" s="26">
        <f ca="1">OFFSET(Node_List!$B$2,MATCH(Pipeline_Candid!A63,Node_List!$A$2:$A$999,0)-1,0)</f>
        <v>224</v>
      </c>
      <c r="E63" s="10">
        <f ca="1">OFFSET(Node_List!$B$2,MATCH(Pipeline_Candid!B63,Node_List!$A$2:$A$999,0)-1,0)</f>
        <v>259</v>
      </c>
      <c r="F63" s="265">
        <v>0</v>
      </c>
      <c r="G63" s="26">
        <v>359</v>
      </c>
      <c r="H63" s="11">
        <v>2000</v>
      </c>
      <c r="I63" s="87">
        <f>PI()*(H63/10^3/2)^2*Dashboard!$B$58*3600*24</f>
        <v>542867.2105403163</v>
      </c>
      <c r="J63" s="87">
        <f>Dashboard!$B$57*(G63*10^3)/(H63/10^3)*Dashboard!$B$58^2/2</f>
        <v>3590</v>
      </c>
      <c r="K63" s="85">
        <f>Dashboard!$B$59*G63</f>
        <v>0.17949999999999999</v>
      </c>
      <c r="L63" s="85">
        <f>Dashboard!$B$60*G63</f>
        <v>1.077E-2</v>
      </c>
      <c r="M63" s="87">
        <f>Dashboard!$C$68*G63</f>
        <v>14360000</v>
      </c>
      <c r="N63" s="88">
        <f>Dashboard!$B$75*G63</f>
        <v>13103500</v>
      </c>
      <c r="O63" s="90">
        <f>Dashboard!$C$69*G63</f>
        <v>28720000</v>
      </c>
      <c r="P63" s="88">
        <f>Dashboard!$B$76*G63</f>
        <v>13103500</v>
      </c>
      <c r="Q63" s="225"/>
    </row>
    <row r="64" spans="1:17" s="226" customFormat="1" x14ac:dyDescent="0.3">
      <c r="A64" s="26" t="s">
        <v>13</v>
      </c>
      <c r="B64" s="28" t="s">
        <v>124</v>
      </c>
      <c r="C64" s="26">
        <v>1562</v>
      </c>
      <c r="D64" s="26">
        <f ca="1">OFFSET(Node_List!$B$2,MATCH(Pipeline_Candid!A64,Node_List!$A$2:$A$999,0)-1,0)</f>
        <v>34</v>
      </c>
      <c r="E64" s="10">
        <f ca="1">OFFSET(Node_List!$B$2,MATCH(Pipeline_Candid!B64,Node_List!$A$2:$A$999,0)-1,0)</f>
        <v>81</v>
      </c>
      <c r="F64" s="265">
        <v>0</v>
      </c>
      <c r="G64" s="26">
        <v>375</v>
      </c>
      <c r="H64" s="11">
        <v>2000</v>
      </c>
      <c r="I64" s="87">
        <f>PI()*(H64/10^3/2)^2*Dashboard!$B$58*3600*24</f>
        <v>542867.2105403163</v>
      </c>
      <c r="J64" s="87">
        <f>Dashboard!$B$57*(G64*10^3)/(H64/10^3)*Dashboard!$B$58^2/2</f>
        <v>3750</v>
      </c>
      <c r="K64" s="85">
        <f>Dashboard!$B$59*G64</f>
        <v>0.1875</v>
      </c>
      <c r="L64" s="85">
        <f>Dashboard!$B$60*G64</f>
        <v>1.125E-2</v>
      </c>
      <c r="M64" s="87">
        <f>Dashboard!$C$68*G64</f>
        <v>15000000</v>
      </c>
      <c r="N64" s="88">
        <f>Dashboard!$B$75*G64</f>
        <v>13687500</v>
      </c>
      <c r="O64" s="90">
        <f>Dashboard!$C$69*G64</f>
        <v>30000000</v>
      </c>
      <c r="P64" s="88">
        <f>Dashboard!$B$76*G64</f>
        <v>13687500</v>
      </c>
      <c r="Q64" s="225"/>
    </row>
    <row r="65" spans="1:17" s="226" customFormat="1" x14ac:dyDescent="0.3">
      <c r="A65" s="26" t="s">
        <v>108</v>
      </c>
      <c r="B65" s="28" t="s">
        <v>265</v>
      </c>
      <c r="C65" s="26">
        <v>1563</v>
      </c>
      <c r="D65" s="26">
        <f ca="1">OFFSET(Node_List!$B$2,MATCH(Pipeline_Candid!A65,Node_List!$A$2:$A$999,0)-1,0)</f>
        <v>46</v>
      </c>
      <c r="E65" s="10">
        <f ca="1">OFFSET(Node_List!$B$2,MATCH(Pipeline_Candid!B65,Node_List!$A$2:$A$999,0)-1,0)</f>
        <v>259</v>
      </c>
      <c r="F65" s="265">
        <v>0</v>
      </c>
      <c r="G65" s="26">
        <v>488</v>
      </c>
      <c r="H65" s="11">
        <v>2000</v>
      </c>
      <c r="I65" s="87">
        <f>PI()*(H65/10^3/2)^2*Dashboard!$B$58*3600*24</f>
        <v>542867.2105403163</v>
      </c>
      <c r="J65" s="87">
        <f>Dashboard!$B$57*(G65*10^3)/(H65/10^3)*Dashboard!$B$58^2/2</f>
        <v>4880</v>
      </c>
      <c r="K65" s="85">
        <f>Dashboard!$B$59*G65</f>
        <v>0.24399999999999999</v>
      </c>
      <c r="L65" s="85">
        <f>Dashboard!$B$60*G65</f>
        <v>1.464E-2</v>
      </c>
      <c r="M65" s="87">
        <f>Dashboard!$C$68*G65</f>
        <v>19520000</v>
      </c>
      <c r="N65" s="88">
        <f>Dashboard!$B$75*G65</f>
        <v>17812000</v>
      </c>
      <c r="O65" s="90">
        <f>Dashboard!$C$69*G65</f>
        <v>39040000</v>
      </c>
      <c r="P65" s="88">
        <f>Dashboard!$B$76*G65</f>
        <v>17812000</v>
      </c>
      <c r="Q65" s="225"/>
    </row>
    <row r="66" spans="1:17" s="226" customFormat="1" x14ac:dyDescent="0.3">
      <c r="A66" s="26" t="s">
        <v>240</v>
      </c>
      <c r="B66" s="28" t="s">
        <v>57</v>
      </c>
      <c r="C66" s="26">
        <v>1564</v>
      </c>
      <c r="D66" s="26">
        <f ca="1">OFFSET(Node_List!$B$2,MATCH(Pipeline_Candid!A66,Node_List!$A$2:$A$999,0)-1,0)</f>
        <v>227</v>
      </c>
      <c r="E66" s="10">
        <f ca="1">OFFSET(Node_List!$B$2,MATCH(Pipeline_Candid!B66,Node_List!$A$2:$A$999,0)-1,0)</f>
        <v>50</v>
      </c>
      <c r="F66" s="265">
        <v>0</v>
      </c>
      <c r="G66" s="26">
        <v>72.099999999999994</v>
      </c>
      <c r="H66" s="11">
        <v>2000</v>
      </c>
      <c r="I66" s="87">
        <f>PI()*(H66/10^3/2)^2*Dashboard!$B$58*3600*24</f>
        <v>542867.2105403163</v>
      </c>
      <c r="J66" s="87">
        <f>Dashboard!$B$57*(G66*10^3)/(H66/10^3)*Dashboard!$B$58^2/2</f>
        <v>721</v>
      </c>
      <c r="K66" s="85">
        <f>Dashboard!$B$59*G66</f>
        <v>3.6049999999999999E-2</v>
      </c>
      <c r="L66" s="85">
        <f>Dashboard!$B$60*G66</f>
        <v>2.163E-3</v>
      </c>
      <c r="M66" s="87">
        <f>Dashboard!$C$68*G66</f>
        <v>2884000</v>
      </c>
      <c r="N66" s="88">
        <f>Dashboard!$B$75*G66</f>
        <v>2631650</v>
      </c>
      <c r="O66" s="90">
        <f>Dashboard!$C$69*G66</f>
        <v>5768000</v>
      </c>
      <c r="P66" s="88">
        <f>Dashboard!$B$76*G66</f>
        <v>2631650</v>
      </c>
      <c r="Q66" s="225"/>
    </row>
    <row r="67" spans="1:17" s="226" customFormat="1" x14ac:dyDescent="0.3">
      <c r="A67" s="26" t="s">
        <v>57</v>
      </c>
      <c r="B67" s="28" t="s">
        <v>110</v>
      </c>
      <c r="C67" s="26">
        <v>1565</v>
      </c>
      <c r="D67" s="26">
        <f ca="1">OFFSET(Node_List!$B$2,MATCH(Pipeline_Candid!A67,Node_List!$A$2:$A$999,0)-1,0)</f>
        <v>50</v>
      </c>
      <c r="E67" s="10">
        <f ca="1">OFFSET(Node_List!$B$2,MATCH(Pipeline_Candid!B67,Node_List!$A$2:$A$999,0)-1,0)</f>
        <v>49</v>
      </c>
      <c r="F67" s="265">
        <v>0</v>
      </c>
      <c r="G67" s="26">
        <v>252</v>
      </c>
      <c r="H67" s="11">
        <v>2000</v>
      </c>
      <c r="I67" s="87">
        <f>PI()*(H67/10^3/2)^2*Dashboard!$B$58*3600*24</f>
        <v>542867.2105403163</v>
      </c>
      <c r="J67" s="87">
        <f>Dashboard!$B$57*(G67*10^3)/(H67/10^3)*Dashboard!$B$58^2/2</f>
        <v>2520</v>
      </c>
      <c r="K67" s="85">
        <f>Dashboard!$B$59*G67</f>
        <v>0.126</v>
      </c>
      <c r="L67" s="85">
        <f>Dashboard!$B$60*G67</f>
        <v>7.5599999999999999E-3</v>
      </c>
      <c r="M67" s="87">
        <f>Dashboard!$C$68*G67</f>
        <v>10080000</v>
      </c>
      <c r="N67" s="88">
        <f>Dashboard!$B$75*G67</f>
        <v>9198000</v>
      </c>
      <c r="O67" s="90">
        <f>Dashboard!$C$69*G67</f>
        <v>20160000</v>
      </c>
      <c r="P67" s="88">
        <f>Dashboard!$B$76*G67</f>
        <v>9198000</v>
      </c>
      <c r="Q67" s="225"/>
    </row>
    <row r="68" spans="1:17" s="252" customFormat="1" x14ac:dyDescent="0.3">
      <c r="A68" s="26" t="s">
        <v>57</v>
      </c>
      <c r="B68" s="28" t="s">
        <v>210</v>
      </c>
      <c r="C68" s="26">
        <v>1566</v>
      </c>
      <c r="D68" s="26">
        <f ca="1">OFFSET(Node_List!$B$2,MATCH(Pipeline_Candid!A68,Node_List!$A$2:$A$999,0)-1,0)</f>
        <v>50</v>
      </c>
      <c r="E68" s="10">
        <f ca="1">OFFSET(Node_List!$B$2,MATCH(Pipeline_Candid!B68,Node_List!$A$2:$A$999,0)-1,0)</f>
        <v>69</v>
      </c>
      <c r="F68" s="265">
        <v>0</v>
      </c>
      <c r="G68" s="26">
        <v>353</v>
      </c>
      <c r="H68" s="11">
        <v>2000</v>
      </c>
      <c r="I68" s="87">
        <f>PI()*(H68/10^3/2)^2*Dashboard!$B$58*3600*24</f>
        <v>542867.2105403163</v>
      </c>
      <c r="J68" s="87">
        <f>Dashboard!$B$57*(G68*10^3)/(H68/10^3)*Dashboard!$B$58^2/2</f>
        <v>3530</v>
      </c>
      <c r="K68" s="85">
        <f>Dashboard!$B$59*G68</f>
        <v>0.17649999999999999</v>
      </c>
      <c r="L68" s="85">
        <f>Dashboard!$B$60*G68</f>
        <v>1.059E-2</v>
      </c>
      <c r="M68" s="87">
        <f>Dashboard!$C$68*G68</f>
        <v>14120000</v>
      </c>
      <c r="N68" s="88">
        <f>Dashboard!$B$75*G68</f>
        <v>12884500</v>
      </c>
      <c r="O68" s="90">
        <f>Dashboard!$C$69*G68</f>
        <v>28240000</v>
      </c>
      <c r="P68" s="88">
        <f>Dashboard!$B$76*G68</f>
        <v>12884500</v>
      </c>
      <c r="Q68" s="253"/>
    </row>
    <row r="69" spans="1:17" s="252" customFormat="1" x14ac:dyDescent="0.3">
      <c r="A69" s="26" t="s">
        <v>57</v>
      </c>
      <c r="B69" s="28" t="s">
        <v>65</v>
      </c>
      <c r="C69" s="26">
        <v>1567</v>
      </c>
      <c r="D69" s="26">
        <f ca="1">OFFSET(Node_List!$B$2,MATCH(Pipeline_Candid!A69,Node_List!$A$2:$A$999,0)-1,0)</f>
        <v>50</v>
      </c>
      <c r="E69" s="10">
        <f ca="1">OFFSET(Node_List!$B$2,MATCH(Pipeline_Candid!B69,Node_List!$A$2:$A$999,0)-1,0)</f>
        <v>68</v>
      </c>
      <c r="F69" s="265">
        <v>0</v>
      </c>
      <c r="G69" s="26">
        <v>484</v>
      </c>
      <c r="H69" s="11">
        <v>2000</v>
      </c>
      <c r="I69" s="87">
        <f>PI()*(H69/10^3/2)^2*Dashboard!$B$58*3600*24</f>
        <v>542867.2105403163</v>
      </c>
      <c r="J69" s="87">
        <f>Dashboard!$B$57*(G69*10^3)/(H69/10^3)*Dashboard!$B$58^2/2</f>
        <v>4840</v>
      </c>
      <c r="K69" s="85">
        <f>Dashboard!$B$59*G69</f>
        <v>0.24199999999999999</v>
      </c>
      <c r="L69" s="85">
        <f>Dashboard!$B$60*G69</f>
        <v>1.452E-2</v>
      </c>
      <c r="M69" s="87">
        <f>Dashboard!$C$68*G69</f>
        <v>19360000</v>
      </c>
      <c r="N69" s="88">
        <f>Dashboard!$B$75*G69</f>
        <v>17666000</v>
      </c>
      <c r="O69" s="90">
        <f>Dashboard!$C$69*G69</f>
        <v>38720000</v>
      </c>
      <c r="P69" s="88">
        <f>Dashboard!$B$76*G69</f>
        <v>17666000</v>
      </c>
      <c r="Q69" s="253"/>
    </row>
    <row r="70" spans="1:17" s="252" customFormat="1" x14ac:dyDescent="0.3">
      <c r="A70" s="26" t="s">
        <v>210</v>
      </c>
      <c r="B70" s="28" t="s">
        <v>65</v>
      </c>
      <c r="C70" s="26">
        <v>1568</v>
      </c>
      <c r="D70" s="26">
        <f ca="1">OFFSET(Node_List!$B$2,MATCH(Pipeline_Candid!A70,Node_List!$A$2:$A$999,0)-1,0)</f>
        <v>69</v>
      </c>
      <c r="E70" s="10">
        <f ca="1">OFFSET(Node_List!$B$2,MATCH(Pipeline_Candid!B70,Node_List!$A$2:$A$999,0)-1,0)</f>
        <v>68</v>
      </c>
      <c r="F70" s="265">
        <v>0</v>
      </c>
      <c r="G70" s="26">
        <v>185</v>
      </c>
      <c r="H70" s="11">
        <v>2000</v>
      </c>
      <c r="I70" s="87">
        <f>PI()*(H70/10^3/2)^2*Dashboard!$B$58*3600*24</f>
        <v>542867.2105403163</v>
      </c>
      <c r="J70" s="87">
        <f>Dashboard!$B$57*(G70*10^3)/(H70/10^3)*Dashboard!$B$58^2/2</f>
        <v>1850</v>
      </c>
      <c r="K70" s="85">
        <f>Dashboard!$B$59*G70</f>
        <v>9.2499999999999999E-2</v>
      </c>
      <c r="L70" s="85">
        <f>Dashboard!$B$60*G70</f>
        <v>5.5500000000000002E-3</v>
      </c>
      <c r="M70" s="87">
        <f>Dashboard!$C$68*G70</f>
        <v>7400000</v>
      </c>
      <c r="N70" s="88">
        <f>Dashboard!$B$75*G70</f>
        <v>6752500</v>
      </c>
      <c r="O70" s="90">
        <f>Dashboard!$C$69*G70</f>
        <v>14800000</v>
      </c>
      <c r="P70" s="88">
        <f>Dashboard!$B$76*G70</f>
        <v>6752500</v>
      </c>
      <c r="Q70" s="253"/>
    </row>
    <row r="71" spans="1:17" s="252" customFormat="1" x14ac:dyDescent="0.3">
      <c r="A71" s="26" t="s">
        <v>12</v>
      </c>
      <c r="B71" s="28" t="s">
        <v>57</v>
      </c>
      <c r="C71" s="26">
        <v>1569</v>
      </c>
      <c r="D71" s="26">
        <f ca="1">OFFSET(Node_List!$B$2,MATCH(Pipeline_Candid!A71,Node_List!$A$2:$A$999,0)-1,0)</f>
        <v>48</v>
      </c>
      <c r="E71" s="10">
        <f ca="1">OFFSET(Node_List!$B$2,MATCH(Pipeline_Candid!B71,Node_List!$A$2:$A$999,0)-1,0)</f>
        <v>50</v>
      </c>
      <c r="F71" s="265">
        <v>0</v>
      </c>
      <c r="G71" s="26">
        <v>122</v>
      </c>
      <c r="H71" s="11">
        <v>2000</v>
      </c>
      <c r="I71" s="87">
        <f>PI()*(H71/10^3/2)^2*Dashboard!$B$58*3600*24</f>
        <v>542867.2105403163</v>
      </c>
      <c r="J71" s="87">
        <f>Dashboard!$B$57*(G71*10^3)/(H71/10^3)*Dashboard!$B$58^2/2</f>
        <v>1220</v>
      </c>
      <c r="K71" s="85">
        <f>Dashboard!$B$59*G71</f>
        <v>6.0999999999999999E-2</v>
      </c>
      <c r="L71" s="85">
        <f>Dashboard!$B$60*G71</f>
        <v>3.6600000000000001E-3</v>
      </c>
      <c r="M71" s="87">
        <f>Dashboard!$C$68*G71</f>
        <v>4880000</v>
      </c>
      <c r="N71" s="88">
        <f>Dashboard!$B$75*G71</f>
        <v>4453000</v>
      </c>
      <c r="O71" s="90">
        <f>Dashboard!$C$69*G71</f>
        <v>9760000</v>
      </c>
      <c r="P71" s="88">
        <f>Dashboard!$B$76*G71</f>
        <v>4453000</v>
      </c>
      <c r="Q71" s="253"/>
    </row>
    <row r="72" spans="1:17" s="226" customFormat="1" x14ac:dyDescent="0.3">
      <c r="A72" s="26" t="s">
        <v>12</v>
      </c>
      <c r="B72" s="28" t="s">
        <v>110</v>
      </c>
      <c r="C72" s="26">
        <v>1570</v>
      </c>
      <c r="D72" s="26">
        <f ca="1">OFFSET(Node_List!$B$2,MATCH(Pipeline_Candid!A72,Node_List!$A$2:$A$999,0)-1,0)</f>
        <v>48</v>
      </c>
      <c r="E72" s="10">
        <f ca="1">OFFSET(Node_List!$B$2,MATCH(Pipeline_Candid!B72,Node_List!$A$2:$A$999,0)-1,0)</f>
        <v>49</v>
      </c>
      <c r="F72" s="265">
        <v>0</v>
      </c>
      <c r="G72" s="26">
        <v>302</v>
      </c>
      <c r="H72" s="11">
        <v>2000</v>
      </c>
      <c r="I72" s="87">
        <f>PI()*(H72/10^3/2)^2*Dashboard!$B$58*3600*24</f>
        <v>542867.2105403163</v>
      </c>
      <c r="J72" s="87">
        <f>Dashboard!$B$57*(G72*10^3)/(H72/10^3)*Dashboard!$B$58^2/2</f>
        <v>3020</v>
      </c>
      <c r="K72" s="85">
        <f>Dashboard!$B$59*G72</f>
        <v>0.151</v>
      </c>
      <c r="L72" s="85">
        <f>Dashboard!$B$60*G72</f>
        <v>9.0600000000000003E-3</v>
      </c>
      <c r="M72" s="87">
        <f>Dashboard!$C$68*G72</f>
        <v>12080000</v>
      </c>
      <c r="N72" s="88">
        <f>Dashboard!$B$75*G72</f>
        <v>11023000</v>
      </c>
      <c r="O72" s="90">
        <f>Dashboard!$C$69*G72</f>
        <v>24160000</v>
      </c>
      <c r="P72" s="88">
        <f>Dashboard!$B$76*G72</f>
        <v>11023000</v>
      </c>
      <c r="Q72" s="225"/>
    </row>
    <row r="73" spans="1:17" s="226" customFormat="1" x14ac:dyDescent="0.3">
      <c r="A73" s="26" t="s">
        <v>314</v>
      </c>
      <c r="B73" s="28" t="s">
        <v>240</v>
      </c>
      <c r="C73" s="26">
        <v>1571</v>
      </c>
      <c r="D73" s="26">
        <f ca="1">OFFSET(Node_List!$B$2,MATCH(Pipeline_Candid!A73,Node_List!$A$2:$A$999,0)-1,0)</f>
        <v>508</v>
      </c>
      <c r="E73" s="10">
        <f ca="1">OFFSET(Node_List!$B$2,MATCH(Pipeline_Candid!B73,Node_List!$A$2:$A$999,0)-1,0)</f>
        <v>227</v>
      </c>
      <c r="F73" s="265">
        <v>0</v>
      </c>
      <c r="G73" s="26">
        <v>115</v>
      </c>
      <c r="H73" s="11">
        <v>2000</v>
      </c>
      <c r="I73" s="87">
        <f>PI()*(H73/10^3/2)^2*Dashboard!$B$58*3600*24</f>
        <v>542867.2105403163</v>
      </c>
      <c r="J73" s="87">
        <f>Dashboard!$B$57*(G73*10^3)/(H73/10^3)*Dashboard!$B$58^2/2</f>
        <v>1150</v>
      </c>
      <c r="K73" s="85">
        <f>Dashboard!$B$59*G73</f>
        <v>5.7500000000000002E-2</v>
      </c>
      <c r="L73" s="85">
        <f>Dashboard!$B$60*G73</f>
        <v>3.4499999999999999E-3</v>
      </c>
      <c r="M73" s="87">
        <f>Dashboard!$C$68*G73</f>
        <v>4600000</v>
      </c>
      <c r="N73" s="88">
        <f>Dashboard!$B$75*G73</f>
        <v>4197500</v>
      </c>
      <c r="O73" s="90">
        <f>Dashboard!$C$69*G73</f>
        <v>9200000</v>
      </c>
      <c r="P73" s="88">
        <f>Dashboard!$B$76*G73</f>
        <v>4197500</v>
      </c>
      <c r="Q73" s="225"/>
    </row>
    <row r="74" spans="1:17" s="226" customFormat="1" x14ac:dyDescent="0.3">
      <c r="A74" s="26" t="s">
        <v>314</v>
      </c>
      <c r="B74" s="28" t="s">
        <v>57</v>
      </c>
      <c r="C74" s="26">
        <v>1572</v>
      </c>
      <c r="D74" s="26">
        <f ca="1">OFFSET(Node_List!$B$2,MATCH(Pipeline_Candid!A74,Node_List!$A$2:$A$999,0)-1,0)</f>
        <v>508</v>
      </c>
      <c r="E74" s="10">
        <f ca="1">OFFSET(Node_List!$B$2,MATCH(Pipeline_Candid!B74,Node_List!$A$2:$A$999,0)-1,0)</f>
        <v>50</v>
      </c>
      <c r="F74" s="265">
        <v>0</v>
      </c>
      <c r="G74" s="26">
        <v>97.4</v>
      </c>
      <c r="H74" s="11">
        <v>2000</v>
      </c>
      <c r="I74" s="87">
        <f>PI()*(H74/10^3/2)^2*Dashboard!$B$58*3600*24</f>
        <v>542867.2105403163</v>
      </c>
      <c r="J74" s="87">
        <f>Dashboard!$B$57*(G74*10^3)/(H74/10^3)*Dashboard!$B$58^2/2</f>
        <v>974</v>
      </c>
      <c r="K74" s="85">
        <f>Dashboard!$B$59*G74</f>
        <v>4.8700000000000007E-2</v>
      </c>
      <c r="L74" s="85">
        <f>Dashboard!$B$60*G74</f>
        <v>2.9220000000000001E-3</v>
      </c>
      <c r="M74" s="87">
        <f>Dashboard!$C$68*G74</f>
        <v>3896000</v>
      </c>
      <c r="N74" s="88">
        <f>Dashboard!$B$75*G74</f>
        <v>3555100</v>
      </c>
      <c r="O74" s="90">
        <f>Dashboard!$C$69*G74</f>
        <v>7792000</v>
      </c>
      <c r="P74" s="88">
        <f>Dashboard!$B$76*G74</f>
        <v>3555100</v>
      </c>
      <c r="Q74" s="225"/>
    </row>
    <row r="75" spans="1:17" s="226" customFormat="1" x14ac:dyDescent="0.3">
      <c r="A75" s="26" t="s">
        <v>313</v>
      </c>
      <c r="B75" s="28" t="s">
        <v>314</v>
      </c>
      <c r="C75" s="26">
        <v>1573</v>
      </c>
      <c r="D75" s="26">
        <f ca="1">OFFSET(Node_List!$B$2,MATCH(Pipeline_Candid!A75,Node_List!$A$2:$A$999,0)-1,0)</f>
        <v>509</v>
      </c>
      <c r="E75" s="10">
        <f ca="1">OFFSET(Node_List!$B$2,MATCH(Pipeline_Candid!B75,Node_List!$A$2:$A$999,0)-1,0)</f>
        <v>508</v>
      </c>
      <c r="F75" s="265">
        <v>0</v>
      </c>
      <c r="G75" s="70">
        <v>0</v>
      </c>
      <c r="H75" s="11">
        <v>2000</v>
      </c>
      <c r="I75" s="87">
        <f>PI()*(H75/10^3/2)^2*Dashboard!$B$58*3600*24</f>
        <v>542867.2105403163</v>
      </c>
      <c r="J75" s="87">
        <f>Dashboard!$B$57*(G75*10^3)/(H75/10^3)*Dashboard!$B$58^2/2</f>
        <v>0</v>
      </c>
      <c r="K75" s="85">
        <f>Dashboard!$B$59*G75</f>
        <v>0</v>
      </c>
      <c r="L75" s="85">
        <f>Dashboard!$B$60*G75</f>
        <v>0</v>
      </c>
      <c r="M75" s="87">
        <f>Dashboard!$C$68*G75</f>
        <v>0</v>
      </c>
      <c r="N75" s="88">
        <f>Dashboard!$B$75*G75</f>
        <v>0</v>
      </c>
      <c r="O75" s="90">
        <f>Dashboard!$C$69*G75</f>
        <v>0</v>
      </c>
      <c r="P75" s="88">
        <f>Dashboard!$B$76*G75</f>
        <v>0</v>
      </c>
      <c r="Q75" s="225"/>
    </row>
    <row r="76" spans="1:17" s="226" customFormat="1" x14ac:dyDescent="0.3">
      <c r="A76" s="26" t="s">
        <v>314</v>
      </c>
      <c r="B76" s="28" t="s">
        <v>262</v>
      </c>
      <c r="C76" s="26">
        <v>1574</v>
      </c>
      <c r="D76" s="26">
        <f ca="1">OFFSET(Node_List!$B$2,MATCH(Pipeline_Candid!A76,Node_List!$A$2:$A$999,0)-1,0)</f>
        <v>508</v>
      </c>
      <c r="E76" s="10">
        <f ca="1">OFFSET(Node_List!$B$2,MATCH(Pipeline_Candid!B76,Node_List!$A$2:$A$999,0)-1,0)</f>
        <v>228</v>
      </c>
      <c r="F76" s="265">
        <v>0</v>
      </c>
      <c r="G76" s="26">
        <v>81.2</v>
      </c>
      <c r="H76" s="11">
        <v>2000</v>
      </c>
      <c r="I76" s="87">
        <f>PI()*(H76/10^3/2)^2*Dashboard!$B$58*3600*24</f>
        <v>542867.2105403163</v>
      </c>
      <c r="J76" s="87">
        <f>Dashboard!$B$57*(G76*10^3)/(H76/10^3)*Dashboard!$B$58^2/2</f>
        <v>812</v>
      </c>
      <c r="K76" s="85">
        <f>Dashboard!$B$59*G76</f>
        <v>4.0600000000000004E-2</v>
      </c>
      <c r="L76" s="85">
        <f>Dashboard!$B$60*G76</f>
        <v>2.4360000000000002E-3</v>
      </c>
      <c r="M76" s="87">
        <f>Dashboard!$C$68*G76</f>
        <v>3248000</v>
      </c>
      <c r="N76" s="88">
        <f>Dashboard!$B$75*G76</f>
        <v>2963800</v>
      </c>
      <c r="O76" s="90">
        <f>Dashboard!$C$69*G76</f>
        <v>6496000</v>
      </c>
      <c r="P76" s="88">
        <f>Dashboard!$B$76*G76</f>
        <v>2963800</v>
      </c>
      <c r="Q76" s="225"/>
    </row>
    <row r="77" spans="1:17" s="226" customFormat="1" x14ac:dyDescent="0.3">
      <c r="A77" s="26" t="s">
        <v>314</v>
      </c>
      <c r="B77" s="28" t="s">
        <v>18</v>
      </c>
      <c r="C77" s="26">
        <v>1575</v>
      </c>
      <c r="D77" s="26">
        <f ca="1">OFFSET(Node_List!$B$2,MATCH(Pipeline_Candid!A77,Node_List!$A$2:$A$999,0)-1,0)</f>
        <v>508</v>
      </c>
      <c r="E77" s="10">
        <f ca="1">OFFSET(Node_List!$B$2,MATCH(Pipeline_Candid!B77,Node_List!$A$2:$A$999,0)-1,0)</f>
        <v>72</v>
      </c>
      <c r="F77" s="265">
        <v>0</v>
      </c>
      <c r="G77" s="26">
        <v>479</v>
      </c>
      <c r="H77" s="11">
        <v>2000</v>
      </c>
      <c r="I77" s="87">
        <f>PI()*(H77/10^3/2)^2*Dashboard!$B$58*3600*24</f>
        <v>542867.2105403163</v>
      </c>
      <c r="J77" s="87">
        <f>Dashboard!$B$57*(G77*10^3)/(H77/10^3)*Dashboard!$B$58^2/2</f>
        <v>4790</v>
      </c>
      <c r="K77" s="85">
        <f>Dashboard!$B$59*G77</f>
        <v>0.23950000000000002</v>
      </c>
      <c r="L77" s="85">
        <f>Dashboard!$B$60*G77</f>
        <v>1.4370000000000001E-2</v>
      </c>
      <c r="M77" s="87">
        <f>Dashboard!$C$68*G77</f>
        <v>19160000</v>
      </c>
      <c r="N77" s="88">
        <f>Dashboard!$B$75*G77</f>
        <v>17483500</v>
      </c>
      <c r="O77" s="90">
        <f>Dashboard!$C$69*G77</f>
        <v>38320000</v>
      </c>
      <c r="P77" s="88">
        <f>Dashboard!$B$76*G77</f>
        <v>17483500</v>
      </c>
      <c r="Q77" s="225"/>
    </row>
    <row r="78" spans="1:17" s="226" customFormat="1" x14ac:dyDescent="0.3">
      <c r="A78" s="26" t="s">
        <v>9</v>
      </c>
      <c r="B78" s="28" t="s">
        <v>116</v>
      </c>
      <c r="C78" s="26">
        <v>1576</v>
      </c>
      <c r="D78" s="26">
        <f ca="1">OFFSET(Node_List!$B$2,MATCH(Pipeline_Candid!A78,Node_List!$A$2:$A$999,0)-1,0)</f>
        <v>47</v>
      </c>
      <c r="E78" s="10">
        <f ca="1">OFFSET(Node_List!$B$2,MATCH(Pipeline_Candid!B78,Node_List!$A$2:$A$999,0)-1,0)</f>
        <v>67</v>
      </c>
      <c r="F78" s="265">
        <v>0</v>
      </c>
      <c r="G78" s="26">
        <v>304</v>
      </c>
      <c r="H78" s="11">
        <v>2000</v>
      </c>
      <c r="I78" s="87">
        <f>PI()*(H78/10^3/2)^2*Dashboard!$B$58*3600*24</f>
        <v>542867.2105403163</v>
      </c>
      <c r="J78" s="87">
        <f>Dashboard!$B$57*(G78*10^3)/(H78/10^3)*Dashboard!$B$58^2/2</f>
        <v>3040</v>
      </c>
      <c r="K78" s="85">
        <f>Dashboard!$B$59*G78</f>
        <v>0.152</v>
      </c>
      <c r="L78" s="85">
        <f>Dashboard!$B$60*G78</f>
        <v>9.1199999999999996E-3</v>
      </c>
      <c r="M78" s="87">
        <f>Dashboard!$C$68*G78</f>
        <v>12160000</v>
      </c>
      <c r="N78" s="88">
        <f>Dashboard!$B$75*G78</f>
        <v>11096000</v>
      </c>
      <c r="O78" s="90">
        <f>Dashboard!$C$69*G78</f>
        <v>24320000</v>
      </c>
      <c r="P78" s="88">
        <f>Dashboard!$B$76*G78</f>
        <v>11096000</v>
      </c>
      <c r="Q78" s="225"/>
    </row>
    <row r="79" spans="1:17" s="226" customFormat="1" x14ac:dyDescent="0.3">
      <c r="A79" s="26" t="s">
        <v>9</v>
      </c>
      <c r="B79" s="28" t="s">
        <v>117</v>
      </c>
      <c r="C79" s="26">
        <v>1577</v>
      </c>
      <c r="D79" s="26">
        <f ca="1">OFFSET(Node_List!$B$2,MATCH(Pipeline_Candid!A79,Node_List!$A$2:$A$999,0)-1,0)</f>
        <v>47</v>
      </c>
      <c r="E79" s="10">
        <f ca="1">OFFSET(Node_List!$B$2,MATCH(Pipeline_Candid!B79,Node_List!$A$2:$A$999,0)-1,0)</f>
        <v>65</v>
      </c>
      <c r="F79" s="265">
        <v>0</v>
      </c>
      <c r="G79" s="26">
        <v>296</v>
      </c>
      <c r="H79" s="11">
        <v>2000</v>
      </c>
      <c r="I79" s="87">
        <f>PI()*(H79/10^3/2)^2*Dashboard!$B$58*3600*24</f>
        <v>542867.2105403163</v>
      </c>
      <c r="J79" s="87">
        <f>Dashboard!$B$57*(G79*10^3)/(H79/10^3)*Dashboard!$B$58^2/2</f>
        <v>2960</v>
      </c>
      <c r="K79" s="85">
        <f>Dashboard!$B$59*G79</f>
        <v>0.14799999999999999</v>
      </c>
      <c r="L79" s="85">
        <f>Dashboard!$B$60*G79</f>
        <v>8.8800000000000007E-3</v>
      </c>
      <c r="M79" s="87">
        <f>Dashboard!$C$68*G79</f>
        <v>11840000</v>
      </c>
      <c r="N79" s="88">
        <f>Dashboard!$B$75*G79</f>
        <v>10804000</v>
      </c>
      <c r="O79" s="90">
        <f>Dashboard!$C$69*G79</f>
        <v>23680000</v>
      </c>
      <c r="P79" s="88">
        <f>Dashboard!$B$76*G79</f>
        <v>10804000</v>
      </c>
      <c r="Q79" s="225"/>
    </row>
    <row r="80" spans="1:17" s="252" customFormat="1" x14ac:dyDescent="0.3">
      <c r="A80" s="26" t="s">
        <v>9</v>
      </c>
      <c r="B80" s="28" t="s">
        <v>79</v>
      </c>
      <c r="C80" s="26">
        <v>1578</v>
      </c>
      <c r="D80" s="26">
        <f ca="1">OFFSET(Node_List!$B$2,MATCH(Pipeline_Candid!A80,Node_List!$A$2:$A$999,0)-1,0)</f>
        <v>47</v>
      </c>
      <c r="E80" s="10">
        <f ca="1">OFFSET(Node_List!$B$2,MATCH(Pipeline_Candid!B80,Node_List!$A$2:$A$999,0)-1,0)</f>
        <v>90</v>
      </c>
      <c r="F80" s="265">
        <v>0</v>
      </c>
      <c r="G80" s="26">
        <v>648</v>
      </c>
      <c r="H80" s="11">
        <v>2000</v>
      </c>
      <c r="I80" s="87">
        <f>PI()*(H80/10^3/2)^2*Dashboard!$B$58*3600*24</f>
        <v>542867.2105403163</v>
      </c>
      <c r="J80" s="87">
        <f>Dashboard!$B$57*(G80*10^3)/(H80/10^3)*Dashboard!$B$58^2/2</f>
        <v>6480</v>
      </c>
      <c r="K80" s="85">
        <f>Dashboard!$B$59*G80</f>
        <v>0.32400000000000001</v>
      </c>
      <c r="L80" s="85">
        <f>Dashboard!$B$60*G80</f>
        <v>1.9439999999999999E-2</v>
      </c>
      <c r="M80" s="87">
        <f>Dashboard!$C$68*G80</f>
        <v>25920000</v>
      </c>
      <c r="N80" s="88">
        <f>Dashboard!$B$75*G80</f>
        <v>23652000</v>
      </c>
      <c r="O80" s="90">
        <f>Dashboard!$C$69*G80</f>
        <v>51840000</v>
      </c>
      <c r="P80" s="88">
        <f>Dashboard!$B$76*G80</f>
        <v>23652000</v>
      </c>
      <c r="Q80" s="253"/>
    </row>
    <row r="81" spans="1:17" s="226" customFormat="1" x14ac:dyDescent="0.3">
      <c r="A81" s="26" t="s">
        <v>9</v>
      </c>
      <c r="B81" s="28" t="s">
        <v>101</v>
      </c>
      <c r="C81" s="26">
        <v>1579</v>
      </c>
      <c r="D81" s="26">
        <f ca="1">OFFSET(Node_List!$B$2,MATCH(Pipeline_Candid!A81,Node_List!$A$2:$A$999,0)-1,0)</f>
        <v>47</v>
      </c>
      <c r="E81" s="10">
        <f ca="1">OFFSET(Node_List!$B$2,MATCH(Pipeline_Candid!B81,Node_List!$A$2:$A$999,0)-1,0)</f>
        <v>93</v>
      </c>
      <c r="F81" s="265">
        <v>0</v>
      </c>
      <c r="G81" s="26">
        <v>282</v>
      </c>
      <c r="H81" s="11">
        <v>2000</v>
      </c>
      <c r="I81" s="87">
        <f>PI()*(H81/10^3/2)^2*Dashboard!$B$58*3600*24</f>
        <v>542867.2105403163</v>
      </c>
      <c r="J81" s="87">
        <f>Dashboard!$B$57*(G81*10^3)/(H81/10^3)*Dashboard!$B$58^2/2</f>
        <v>2820</v>
      </c>
      <c r="K81" s="85">
        <f>Dashboard!$B$59*G81</f>
        <v>0.14100000000000001</v>
      </c>
      <c r="L81" s="85">
        <f>Dashboard!$B$60*G81</f>
        <v>8.4600000000000005E-3</v>
      </c>
      <c r="M81" s="87">
        <f>Dashboard!$C$68*G81</f>
        <v>11280000</v>
      </c>
      <c r="N81" s="88">
        <f>Dashboard!$B$75*G81</f>
        <v>10293000</v>
      </c>
      <c r="O81" s="90">
        <f>Dashboard!$C$69*G81</f>
        <v>22560000</v>
      </c>
      <c r="P81" s="88">
        <f>Dashboard!$B$76*G81</f>
        <v>10293000</v>
      </c>
      <c r="Q81" s="225"/>
    </row>
    <row r="82" spans="1:17" s="226" customFormat="1" x14ac:dyDescent="0.3">
      <c r="A82" s="26" t="s">
        <v>101</v>
      </c>
      <c r="B82" s="28" t="s">
        <v>103</v>
      </c>
      <c r="C82" s="26">
        <v>1580</v>
      </c>
      <c r="D82" s="26">
        <f ca="1">OFFSET(Node_List!$B$2,MATCH(Pipeline_Candid!A82,Node_List!$A$2:$A$999,0)-1,0)</f>
        <v>93</v>
      </c>
      <c r="E82" s="10">
        <f ca="1">OFFSET(Node_List!$B$2,MATCH(Pipeline_Candid!B82,Node_List!$A$2:$A$999,0)-1,0)</f>
        <v>92</v>
      </c>
      <c r="F82" s="265">
        <v>0</v>
      </c>
      <c r="G82" s="26">
        <v>285</v>
      </c>
      <c r="H82" s="11">
        <v>2000</v>
      </c>
      <c r="I82" s="87">
        <f>PI()*(H82/10^3/2)^2*Dashboard!$B$58*3600*24</f>
        <v>542867.2105403163</v>
      </c>
      <c r="J82" s="87">
        <f>Dashboard!$B$57*(G82*10^3)/(H82/10^3)*Dashboard!$B$58^2/2</f>
        <v>2850</v>
      </c>
      <c r="K82" s="85">
        <f>Dashboard!$B$59*G82</f>
        <v>0.14250000000000002</v>
      </c>
      <c r="L82" s="85">
        <f>Dashboard!$B$60*G82</f>
        <v>8.5500000000000003E-3</v>
      </c>
      <c r="M82" s="87">
        <f>Dashboard!$C$68*G82</f>
        <v>11400000</v>
      </c>
      <c r="N82" s="88">
        <f>Dashboard!$B$75*G82</f>
        <v>10402500</v>
      </c>
      <c r="O82" s="90">
        <f>Dashboard!$C$69*G82</f>
        <v>22800000</v>
      </c>
      <c r="P82" s="88">
        <f>Dashboard!$B$76*G82</f>
        <v>10402500</v>
      </c>
      <c r="Q82" s="225"/>
    </row>
    <row r="83" spans="1:17" s="226" customFormat="1" x14ac:dyDescent="0.3">
      <c r="A83" s="26" t="s">
        <v>101</v>
      </c>
      <c r="B83" s="28" t="s">
        <v>79</v>
      </c>
      <c r="C83" s="26">
        <v>1581</v>
      </c>
      <c r="D83" s="26">
        <f ca="1">OFFSET(Node_List!$B$2,MATCH(Pipeline_Candid!A83,Node_List!$A$2:$A$999,0)-1,0)</f>
        <v>93</v>
      </c>
      <c r="E83" s="10">
        <f ca="1">OFFSET(Node_List!$B$2,MATCH(Pipeline_Candid!B83,Node_List!$A$2:$A$999,0)-1,0)</f>
        <v>90</v>
      </c>
      <c r="F83" s="265">
        <v>0</v>
      </c>
      <c r="G83" s="26">
        <v>414</v>
      </c>
      <c r="H83" s="11">
        <v>2000</v>
      </c>
      <c r="I83" s="87">
        <f>PI()*(H83/10^3/2)^2*Dashboard!$B$58*3600*24</f>
        <v>542867.2105403163</v>
      </c>
      <c r="J83" s="87">
        <f>Dashboard!$B$57*(G83*10^3)/(H83/10^3)*Dashboard!$B$58^2/2</f>
        <v>4140</v>
      </c>
      <c r="K83" s="85">
        <f>Dashboard!$B$59*G83</f>
        <v>0.20700000000000002</v>
      </c>
      <c r="L83" s="85">
        <f>Dashboard!$B$60*G83</f>
        <v>1.242E-2</v>
      </c>
      <c r="M83" s="87">
        <f>Dashboard!$C$68*G83</f>
        <v>16560000</v>
      </c>
      <c r="N83" s="88">
        <f>Dashboard!$B$75*G83</f>
        <v>15111000</v>
      </c>
      <c r="O83" s="90">
        <f>Dashboard!$C$69*G83</f>
        <v>33120000</v>
      </c>
      <c r="P83" s="88">
        <f>Dashboard!$B$76*G83</f>
        <v>15111000</v>
      </c>
      <c r="Q83" s="225"/>
    </row>
    <row r="84" spans="1:17" s="226" customFormat="1" x14ac:dyDescent="0.3">
      <c r="A84" s="26" t="s">
        <v>103</v>
      </c>
      <c r="B84" s="28" t="s">
        <v>127</v>
      </c>
      <c r="C84" s="26">
        <v>1582</v>
      </c>
      <c r="D84" s="26">
        <f ca="1">OFFSET(Node_List!$B$2,MATCH(Pipeline_Candid!A84,Node_List!$A$2:$A$999,0)-1,0)</f>
        <v>92</v>
      </c>
      <c r="E84" s="10">
        <f ca="1">OFFSET(Node_List!$B$2,MATCH(Pipeline_Candid!B84,Node_List!$A$2:$A$999,0)-1,0)</f>
        <v>96</v>
      </c>
      <c r="F84" s="265">
        <v>0</v>
      </c>
      <c r="G84" s="26">
        <v>243</v>
      </c>
      <c r="H84" s="11">
        <v>2000</v>
      </c>
      <c r="I84" s="87">
        <f>PI()*(H84/10^3/2)^2*Dashboard!$B$58*3600*24</f>
        <v>542867.2105403163</v>
      </c>
      <c r="J84" s="87">
        <f>Dashboard!$B$57*(G84*10^3)/(H84/10^3)*Dashboard!$B$58^2/2</f>
        <v>2430</v>
      </c>
      <c r="K84" s="85">
        <f>Dashboard!$B$59*G84</f>
        <v>0.1215</v>
      </c>
      <c r="L84" s="85">
        <f>Dashboard!$B$60*G84</f>
        <v>7.2900000000000005E-3</v>
      </c>
      <c r="M84" s="87">
        <f>Dashboard!$C$68*G84</f>
        <v>9720000</v>
      </c>
      <c r="N84" s="88">
        <f>Dashboard!$B$75*G84</f>
        <v>8869500</v>
      </c>
      <c r="O84" s="90">
        <f>Dashboard!$C$69*G84</f>
        <v>19440000</v>
      </c>
      <c r="P84" s="88">
        <f>Dashboard!$B$76*G84</f>
        <v>8869500</v>
      </c>
      <c r="Q84" s="225"/>
    </row>
    <row r="85" spans="1:17" s="226" customFormat="1" x14ac:dyDescent="0.3">
      <c r="A85" s="26" t="s">
        <v>103</v>
      </c>
      <c r="B85" s="28" t="s">
        <v>214</v>
      </c>
      <c r="C85" s="26">
        <v>1583</v>
      </c>
      <c r="D85" s="26">
        <f ca="1">OFFSET(Node_List!$B$2,MATCH(Pipeline_Candid!A85,Node_List!$A$2:$A$999,0)-1,0)</f>
        <v>92</v>
      </c>
      <c r="E85" s="10">
        <f ca="1">OFFSET(Node_List!$B$2,MATCH(Pipeline_Candid!B85,Node_List!$A$2:$A$999,0)-1,0)</f>
        <v>91</v>
      </c>
      <c r="F85" s="265">
        <v>0</v>
      </c>
      <c r="G85" s="26">
        <v>162</v>
      </c>
      <c r="H85" s="11">
        <v>2000</v>
      </c>
      <c r="I85" s="87">
        <f>PI()*(H85/10^3/2)^2*Dashboard!$B$58*3600*24</f>
        <v>542867.2105403163</v>
      </c>
      <c r="J85" s="87">
        <f>Dashboard!$B$57*(G85*10^3)/(H85/10^3)*Dashboard!$B$58^2/2</f>
        <v>1620</v>
      </c>
      <c r="K85" s="85">
        <f>Dashboard!$B$59*G85</f>
        <v>8.1000000000000003E-2</v>
      </c>
      <c r="L85" s="85">
        <f>Dashboard!$B$60*G85</f>
        <v>4.8599999999999997E-3</v>
      </c>
      <c r="M85" s="87">
        <f>Dashboard!$C$68*G85</f>
        <v>6480000</v>
      </c>
      <c r="N85" s="88">
        <f>Dashboard!$B$75*G85</f>
        <v>5913000</v>
      </c>
      <c r="O85" s="90">
        <f>Dashboard!$C$69*G85</f>
        <v>12960000</v>
      </c>
      <c r="P85" s="88">
        <f>Dashboard!$B$76*G85</f>
        <v>5913000</v>
      </c>
      <c r="Q85" s="225"/>
    </row>
    <row r="86" spans="1:17" s="226" customFormat="1" x14ac:dyDescent="0.3">
      <c r="A86" s="26" t="s">
        <v>214</v>
      </c>
      <c r="B86" s="28" t="s">
        <v>112</v>
      </c>
      <c r="C86" s="26">
        <v>1584</v>
      </c>
      <c r="D86" s="26">
        <f ca="1">OFFSET(Node_List!$B$2,MATCH(Pipeline_Candid!A86,Node_List!$A$2:$A$999,0)-1,0)</f>
        <v>91</v>
      </c>
      <c r="E86" s="10">
        <f ca="1">OFFSET(Node_List!$B$2,MATCH(Pipeline_Candid!B86,Node_List!$A$2:$A$999,0)-1,0)</f>
        <v>94</v>
      </c>
      <c r="F86" s="265">
        <v>0</v>
      </c>
      <c r="G86" s="26">
        <v>157</v>
      </c>
      <c r="H86" s="11">
        <v>2000</v>
      </c>
      <c r="I86" s="87">
        <f>PI()*(H86/10^3/2)^2*Dashboard!$B$58*3600*24</f>
        <v>542867.2105403163</v>
      </c>
      <c r="J86" s="87">
        <f>Dashboard!$B$57*(G86*10^3)/(H86/10^3)*Dashboard!$B$58^2/2</f>
        <v>1570</v>
      </c>
      <c r="K86" s="85">
        <f>Dashboard!$B$59*G86</f>
        <v>7.85E-2</v>
      </c>
      <c r="L86" s="85">
        <f>Dashboard!$B$60*G86</f>
        <v>4.7099999999999998E-3</v>
      </c>
      <c r="M86" s="87">
        <f>Dashboard!$C$68*G86</f>
        <v>6280000</v>
      </c>
      <c r="N86" s="88">
        <f>Dashboard!$B$75*G86</f>
        <v>5730500</v>
      </c>
      <c r="O86" s="90">
        <f>Dashboard!$C$69*G86</f>
        <v>12560000</v>
      </c>
      <c r="P86" s="88">
        <f>Dashboard!$B$76*G86</f>
        <v>5730500</v>
      </c>
      <c r="Q86" s="225"/>
    </row>
    <row r="87" spans="1:17" s="226" customFormat="1" x14ac:dyDescent="0.3">
      <c r="A87" s="26" t="s">
        <v>112</v>
      </c>
      <c r="B87" s="28" t="s">
        <v>100</v>
      </c>
      <c r="C87" s="26">
        <v>1585</v>
      </c>
      <c r="D87" s="26">
        <f ca="1">OFFSET(Node_List!$B$2,MATCH(Pipeline_Candid!A87,Node_List!$A$2:$A$999,0)-1,0)</f>
        <v>94</v>
      </c>
      <c r="E87" s="10">
        <f ca="1">OFFSET(Node_List!$B$2,MATCH(Pipeline_Candid!B87,Node_List!$A$2:$A$999,0)-1,0)</f>
        <v>95</v>
      </c>
      <c r="F87" s="265">
        <v>0</v>
      </c>
      <c r="G87" s="26">
        <v>130</v>
      </c>
      <c r="H87" s="11">
        <v>2000</v>
      </c>
      <c r="I87" s="87">
        <f>PI()*(H87/10^3/2)^2*Dashboard!$B$58*3600*24</f>
        <v>542867.2105403163</v>
      </c>
      <c r="J87" s="87">
        <f>Dashboard!$B$57*(G87*10^3)/(H87/10^3)*Dashboard!$B$58^2/2</f>
        <v>1300</v>
      </c>
      <c r="K87" s="85">
        <f>Dashboard!$B$59*G87</f>
        <v>6.5000000000000002E-2</v>
      </c>
      <c r="L87" s="85">
        <f>Dashboard!$B$60*G87</f>
        <v>3.9000000000000003E-3</v>
      </c>
      <c r="M87" s="87">
        <f>Dashboard!$C$68*G87</f>
        <v>5200000</v>
      </c>
      <c r="N87" s="88">
        <f>Dashboard!$B$75*G87</f>
        <v>4745000</v>
      </c>
      <c r="O87" s="90">
        <f>Dashboard!$C$69*G87</f>
        <v>10400000</v>
      </c>
      <c r="P87" s="88">
        <f>Dashboard!$B$76*G87</f>
        <v>4745000</v>
      </c>
      <c r="Q87" s="225"/>
    </row>
    <row r="88" spans="1:17" s="226" customFormat="1" x14ac:dyDescent="0.3">
      <c r="A88" s="26" t="s">
        <v>100</v>
      </c>
      <c r="B88" s="28" t="s">
        <v>126</v>
      </c>
      <c r="C88" s="26">
        <v>1586</v>
      </c>
      <c r="D88" s="26">
        <f ca="1">OFFSET(Node_List!$B$2,MATCH(Pipeline_Candid!A88,Node_List!$A$2:$A$999,0)-1,0)</f>
        <v>95</v>
      </c>
      <c r="E88" s="10">
        <f ca="1">OFFSET(Node_List!$B$2,MATCH(Pipeline_Candid!B88,Node_List!$A$2:$A$999,0)-1,0)</f>
        <v>97</v>
      </c>
      <c r="F88" s="265">
        <v>0</v>
      </c>
      <c r="G88" s="26">
        <v>192</v>
      </c>
      <c r="H88" s="11">
        <v>2000</v>
      </c>
      <c r="I88" s="87">
        <f>PI()*(H88/10^3/2)^2*Dashboard!$B$58*3600*24</f>
        <v>542867.2105403163</v>
      </c>
      <c r="J88" s="87">
        <f>Dashboard!$B$57*(G88*10^3)/(H88/10^3)*Dashboard!$B$58^2/2</f>
        <v>1920</v>
      </c>
      <c r="K88" s="85">
        <f>Dashboard!$B$59*G88</f>
        <v>9.6000000000000002E-2</v>
      </c>
      <c r="L88" s="85">
        <f>Dashboard!$B$60*G88</f>
        <v>5.7600000000000004E-3</v>
      </c>
      <c r="M88" s="87">
        <f>Dashboard!$C$68*G88</f>
        <v>7680000</v>
      </c>
      <c r="N88" s="88">
        <f>Dashboard!$B$75*G88</f>
        <v>7008000</v>
      </c>
      <c r="O88" s="90">
        <f>Dashboard!$C$69*G88</f>
        <v>15360000</v>
      </c>
      <c r="P88" s="88">
        <f>Dashboard!$B$76*G88</f>
        <v>7008000</v>
      </c>
      <c r="Q88" s="225"/>
    </row>
    <row r="89" spans="1:17" s="226" customFormat="1" x14ac:dyDescent="0.3">
      <c r="A89" s="26" t="s">
        <v>126</v>
      </c>
      <c r="B89" s="28" t="s">
        <v>79</v>
      </c>
      <c r="C89" s="26">
        <v>1587</v>
      </c>
      <c r="D89" s="26">
        <f ca="1">OFFSET(Node_List!$B$2,MATCH(Pipeline_Candid!A89,Node_List!$A$2:$A$999,0)-1,0)</f>
        <v>97</v>
      </c>
      <c r="E89" s="10">
        <f ca="1">OFFSET(Node_List!$B$2,MATCH(Pipeline_Candid!B89,Node_List!$A$2:$A$999,0)-1,0)</f>
        <v>90</v>
      </c>
      <c r="F89" s="265">
        <v>0</v>
      </c>
      <c r="G89" s="26">
        <v>371</v>
      </c>
      <c r="H89" s="11">
        <v>2000</v>
      </c>
      <c r="I89" s="87">
        <f>PI()*(H89/10^3/2)^2*Dashboard!$B$58*3600*24</f>
        <v>542867.2105403163</v>
      </c>
      <c r="J89" s="87">
        <f>Dashboard!$B$57*(G89*10^3)/(H89/10^3)*Dashboard!$B$58^2/2</f>
        <v>3710</v>
      </c>
      <c r="K89" s="85">
        <f>Dashboard!$B$59*G89</f>
        <v>0.1855</v>
      </c>
      <c r="L89" s="85">
        <f>Dashboard!$B$60*G89</f>
        <v>1.1130000000000001E-2</v>
      </c>
      <c r="M89" s="87">
        <f>Dashboard!$C$68*G89</f>
        <v>14840000</v>
      </c>
      <c r="N89" s="88">
        <f>Dashboard!$B$75*G89</f>
        <v>13541500</v>
      </c>
      <c r="O89" s="90">
        <f>Dashboard!$C$69*G89</f>
        <v>29680000</v>
      </c>
      <c r="P89" s="88">
        <f>Dashboard!$B$76*G89</f>
        <v>13541500</v>
      </c>
      <c r="Q89" s="225"/>
    </row>
    <row r="90" spans="1:17" s="9" customFormat="1" x14ac:dyDescent="0.3">
      <c r="A90" s="26" t="s">
        <v>18</v>
      </c>
      <c r="B90" s="28" t="s">
        <v>72</v>
      </c>
      <c r="C90" s="26">
        <v>1588</v>
      </c>
      <c r="D90" s="26">
        <f ca="1">OFFSET(Node_List!$B$2,MATCH(Pipeline_Candid!A90,Node_List!$A$2:$A$999,0)-1,0)</f>
        <v>72</v>
      </c>
      <c r="E90" s="10">
        <f ca="1">OFFSET(Node_List!$B$2,MATCH(Pipeline_Candid!B90,Node_List!$A$2:$A$999,0)-1,0)</f>
        <v>74</v>
      </c>
      <c r="F90" s="265">
        <v>0</v>
      </c>
      <c r="G90" s="26">
        <v>59.2</v>
      </c>
      <c r="H90" s="11">
        <v>2000</v>
      </c>
      <c r="I90" s="87">
        <f>PI()*(H90/10^3/2)^2*Dashboard!$B$58*3600*24</f>
        <v>542867.2105403163</v>
      </c>
      <c r="J90" s="87">
        <f>Dashboard!$B$57*(G90*10^3)/(H90/10^3)*Dashboard!$B$58^2/2</f>
        <v>592</v>
      </c>
      <c r="K90" s="85">
        <f>Dashboard!$B$59*G90</f>
        <v>2.9600000000000001E-2</v>
      </c>
      <c r="L90" s="85">
        <f>Dashboard!$B$60*G90</f>
        <v>1.7760000000000002E-3</v>
      </c>
      <c r="M90" s="87">
        <f>Dashboard!$C$68*G90</f>
        <v>2368000</v>
      </c>
      <c r="N90" s="88">
        <f>Dashboard!$B$75*G90</f>
        <v>2160800</v>
      </c>
      <c r="O90" s="90">
        <f>Dashboard!$C$69*G90</f>
        <v>4736000</v>
      </c>
      <c r="P90" s="88">
        <f>Dashboard!$B$76*G90</f>
        <v>2160800</v>
      </c>
      <c r="Q90" s="76"/>
    </row>
    <row r="91" spans="1:17" s="23" customFormat="1" x14ac:dyDescent="0.3">
      <c r="A91" s="26" t="s">
        <v>277</v>
      </c>
      <c r="B91" s="28" t="s">
        <v>72</v>
      </c>
      <c r="C91" s="26">
        <v>1589</v>
      </c>
      <c r="D91" s="26">
        <f ca="1">OFFSET(Node_List!$B$2,MATCH(Pipeline_Candid!A91,Node_List!$A$2:$A$999,0)-1,0)</f>
        <v>254</v>
      </c>
      <c r="E91" s="10">
        <f ca="1">OFFSET(Node_List!$B$2,MATCH(Pipeline_Candid!B91,Node_List!$A$2:$A$999,0)-1,0)</f>
        <v>74</v>
      </c>
      <c r="F91" s="265">
        <v>0</v>
      </c>
      <c r="G91" s="26">
        <v>38.200000000000003</v>
      </c>
      <c r="H91" s="11">
        <v>2000</v>
      </c>
      <c r="I91" s="87">
        <f>PI()*(H91/10^3/2)^2*Dashboard!$B$58*3600*24</f>
        <v>542867.2105403163</v>
      </c>
      <c r="J91" s="87">
        <f>Dashboard!$B$57*(G91*10^3)/(H91/10^3)*Dashboard!$B$58^2/2</f>
        <v>382</v>
      </c>
      <c r="K91" s="85">
        <f>Dashboard!$B$59*G91</f>
        <v>1.9100000000000002E-2</v>
      </c>
      <c r="L91" s="85">
        <f>Dashboard!$B$60*G91</f>
        <v>1.1460000000000001E-3</v>
      </c>
      <c r="M91" s="87">
        <f>Dashboard!$C$68*G91</f>
        <v>1528000</v>
      </c>
      <c r="N91" s="88">
        <f>Dashboard!$B$75*G91</f>
        <v>1394300</v>
      </c>
      <c r="O91" s="90">
        <f>Dashboard!$C$69*G91</f>
        <v>3056000</v>
      </c>
      <c r="P91" s="88">
        <f>Dashboard!$B$76*G91</f>
        <v>1394300</v>
      </c>
      <c r="Q91" s="76"/>
    </row>
    <row r="92" spans="1:17" s="10" customFormat="1" x14ac:dyDescent="0.3">
      <c r="A92" s="26" t="s">
        <v>72</v>
      </c>
      <c r="B92" s="28" t="s">
        <v>208</v>
      </c>
      <c r="C92" s="26">
        <v>1590</v>
      </c>
      <c r="D92" s="26">
        <f ca="1">OFFSET(Node_List!$B$2,MATCH(Pipeline_Candid!A92,Node_List!$A$2:$A$999,0)-1,0)</f>
        <v>74</v>
      </c>
      <c r="E92" s="10">
        <f ca="1">OFFSET(Node_List!$B$2,MATCH(Pipeline_Candid!B92,Node_List!$A$2:$A$999,0)-1,0)</f>
        <v>76</v>
      </c>
      <c r="F92" s="265">
        <v>0</v>
      </c>
      <c r="G92" s="26">
        <v>117</v>
      </c>
      <c r="H92" s="11">
        <v>2000</v>
      </c>
      <c r="I92" s="87">
        <f>PI()*(H92/10^3/2)^2*Dashboard!$B$58*3600*24</f>
        <v>542867.2105403163</v>
      </c>
      <c r="J92" s="87">
        <f>Dashboard!$B$57*(G92*10^3)/(H92/10^3)*Dashboard!$B$58^2/2</f>
        <v>1170</v>
      </c>
      <c r="K92" s="85">
        <f>Dashboard!$B$59*G92</f>
        <v>5.8500000000000003E-2</v>
      </c>
      <c r="L92" s="85">
        <f>Dashboard!$B$60*G92</f>
        <v>3.5100000000000001E-3</v>
      </c>
      <c r="M92" s="87">
        <f>Dashboard!$C$68*G92</f>
        <v>4680000</v>
      </c>
      <c r="N92" s="88">
        <f>Dashboard!$B$75*G92</f>
        <v>4270500</v>
      </c>
      <c r="O92" s="90">
        <f>Dashboard!$C$69*G92</f>
        <v>9360000</v>
      </c>
      <c r="P92" s="88">
        <f>Dashboard!$B$76*G92</f>
        <v>4270500</v>
      </c>
      <c r="Q92" s="26"/>
    </row>
    <row r="93" spans="1:17" s="10" customFormat="1" x14ac:dyDescent="0.3">
      <c r="A93" s="26" t="s">
        <v>18</v>
      </c>
      <c r="B93" s="28" t="s">
        <v>73</v>
      </c>
      <c r="C93" s="26">
        <v>1591</v>
      </c>
      <c r="D93" s="26">
        <f ca="1">OFFSET(Node_List!$B$2,MATCH(Pipeline_Candid!A93,Node_List!$A$2:$A$999,0)-1,0)</f>
        <v>72</v>
      </c>
      <c r="E93" s="10">
        <f ca="1">OFFSET(Node_List!$B$2,MATCH(Pipeline_Candid!B93,Node_List!$A$2:$A$999,0)-1,0)</f>
        <v>75</v>
      </c>
      <c r="F93" s="265">
        <v>0</v>
      </c>
      <c r="G93" s="26">
        <v>88.7</v>
      </c>
      <c r="H93" s="11">
        <v>2000</v>
      </c>
      <c r="I93" s="87">
        <f>PI()*(H93/10^3/2)^2*Dashboard!$B$58*3600*24</f>
        <v>542867.2105403163</v>
      </c>
      <c r="J93" s="87">
        <f>Dashboard!$B$57*(G93*10^3)/(H93/10^3)*Dashboard!$B$58^2/2</f>
        <v>887</v>
      </c>
      <c r="K93" s="85">
        <f>Dashboard!$B$59*G93</f>
        <v>4.4350000000000001E-2</v>
      </c>
      <c r="L93" s="85">
        <f>Dashboard!$B$60*G93</f>
        <v>2.6610000000000002E-3</v>
      </c>
      <c r="M93" s="87">
        <f>Dashboard!$C$68*G93</f>
        <v>3548000</v>
      </c>
      <c r="N93" s="88">
        <f>Dashboard!$B$75*G93</f>
        <v>3237550</v>
      </c>
      <c r="O93" s="90">
        <f>Dashboard!$C$69*G93</f>
        <v>7096000</v>
      </c>
      <c r="P93" s="88">
        <f>Dashboard!$B$76*G93</f>
        <v>3237550</v>
      </c>
      <c r="Q93" s="26"/>
    </row>
    <row r="94" spans="1:17" s="10" customFormat="1" x14ac:dyDescent="0.3">
      <c r="A94" s="26" t="s">
        <v>275</v>
      </c>
      <c r="B94" s="28" t="s">
        <v>73</v>
      </c>
      <c r="C94" s="26">
        <v>1592</v>
      </c>
      <c r="D94" s="26">
        <f ca="1">OFFSET(Node_List!$B$2,MATCH(Pipeline_Candid!A94,Node_List!$A$2:$A$999,0)-1,0)</f>
        <v>257</v>
      </c>
      <c r="E94" s="10">
        <f ca="1">OFFSET(Node_List!$B$2,MATCH(Pipeline_Candid!B94,Node_List!$A$2:$A$999,0)-1,0)</f>
        <v>75</v>
      </c>
      <c r="F94" s="265">
        <v>0</v>
      </c>
      <c r="G94" s="26">
        <v>43.5</v>
      </c>
      <c r="H94" s="11">
        <v>2000</v>
      </c>
      <c r="I94" s="87">
        <f>PI()*(H94/10^3/2)^2*Dashboard!$B$58*3600*24</f>
        <v>542867.2105403163</v>
      </c>
      <c r="J94" s="87">
        <f>Dashboard!$B$57*(G94*10^3)/(H94/10^3)*Dashboard!$B$58^2/2</f>
        <v>435</v>
      </c>
      <c r="K94" s="85">
        <f>Dashboard!$B$59*G94</f>
        <v>2.1750000000000002E-2</v>
      </c>
      <c r="L94" s="85">
        <f>Dashboard!$B$60*G94</f>
        <v>1.305E-3</v>
      </c>
      <c r="M94" s="87">
        <f>Dashboard!$C$68*G94</f>
        <v>1740000</v>
      </c>
      <c r="N94" s="88">
        <f>Dashboard!$B$75*G94</f>
        <v>1587750</v>
      </c>
      <c r="O94" s="90">
        <f>Dashboard!$C$69*G94</f>
        <v>3480000</v>
      </c>
      <c r="P94" s="88">
        <f>Dashboard!$B$76*G94</f>
        <v>1587750</v>
      </c>
      <c r="Q94" s="26"/>
    </row>
    <row r="95" spans="1:17" s="10" customFormat="1" x14ac:dyDescent="0.3">
      <c r="A95" s="26" t="s">
        <v>73</v>
      </c>
      <c r="B95" s="28" t="s">
        <v>205</v>
      </c>
      <c r="C95" s="26">
        <v>1593</v>
      </c>
      <c r="D95" s="26">
        <f ca="1">OFFSET(Node_List!$B$2,MATCH(Pipeline_Candid!A95,Node_List!$A$2:$A$999,0)-1,0)</f>
        <v>75</v>
      </c>
      <c r="E95" s="10">
        <f ca="1">OFFSET(Node_List!$B$2,MATCH(Pipeline_Candid!B95,Node_List!$A$2:$A$999,0)-1,0)</f>
        <v>77</v>
      </c>
      <c r="F95" s="265">
        <v>0</v>
      </c>
      <c r="G95" s="26">
        <v>26.7</v>
      </c>
      <c r="H95" s="11">
        <v>2000</v>
      </c>
      <c r="I95" s="87">
        <f>PI()*(H95/10^3/2)^2*Dashboard!$B$58*3600*24</f>
        <v>542867.2105403163</v>
      </c>
      <c r="J95" s="87">
        <f>Dashboard!$B$57*(G95*10^3)/(H95/10^3)*Dashboard!$B$58^2/2</f>
        <v>267</v>
      </c>
      <c r="K95" s="85">
        <f>Dashboard!$B$59*G95</f>
        <v>1.3350000000000001E-2</v>
      </c>
      <c r="L95" s="85">
        <f>Dashboard!$B$60*G95</f>
        <v>8.0099999999999995E-4</v>
      </c>
      <c r="M95" s="87">
        <f>Dashboard!$C$68*G95</f>
        <v>1068000</v>
      </c>
      <c r="N95" s="88">
        <f>Dashboard!$B$75*G95</f>
        <v>974550</v>
      </c>
      <c r="O95" s="90">
        <f>Dashboard!$C$69*G95</f>
        <v>2136000</v>
      </c>
      <c r="P95" s="88">
        <f>Dashboard!$B$76*G95</f>
        <v>974550</v>
      </c>
      <c r="Q95" s="26"/>
    </row>
    <row r="96" spans="1:17" s="10" customFormat="1" x14ac:dyDescent="0.3">
      <c r="A96" s="26" t="s">
        <v>205</v>
      </c>
      <c r="B96" s="28" t="s">
        <v>74</v>
      </c>
      <c r="C96" s="26">
        <v>1594</v>
      </c>
      <c r="D96" s="26">
        <f ca="1">OFFSET(Node_List!$B$2,MATCH(Pipeline_Candid!A96,Node_List!$A$2:$A$999,0)-1,0)</f>
        <v>77</v>
      </c>
      <c r="E96" s="10">
        <f ca="1">OFFSET(Node_List!$B$2,MATCH(Pipeline_Candid!B96,Node_List!$A$2:$A$999,0)-1,0)</f>
        <v>79</v>
      </c>
      <c r="F96" s="265">
        <v>0</v>
      </c>
      <c r="G96" s="26">
        <v>73.3</v>
      </c>
      <c r="H96" s="11">
        <v>2000</v>
      </c>
      <c r="I96" s="87">
        <f>PI()*(H96/10^3/2)^2*Dashboard!$B$58*3600*24</f>
        <v>542867.2105403163</v>
      </c>
      <c r="J96" s="87">
        <f>Dashboard!$B$57*(G96*10^3)/(H96/10^3)*Dashboard!$B$58^2/2</f>
        <v>733</v>
      </c>
      <c r="K96" s="85">
        <f>Dashboard!$B$59*G96</f>
        <v>3.6650000000000002E-2</v>
      </c>
      <c r="L96" s="85">
        <f>Dashboard!$B$60*G96</f>
        <v>2.199E-3</v>
      </c>
      <c r="M96" s="87">
        <f>Dashboard!$C$68*G96</f>
        <v>2932000</v>
      </c>
      <c r="N96" s="88">
        <f>Dashboard!$B$75*G96</f>
        <v>2675450</v>
      </c>
      <c r="O96" s="90">
        <f>Dashboard!$C$69*G96</f>
        <v>5864000</v>
      </c>
      <c r="P96" s="88">
        <f>Dashboard!$B$76*G96</f>
        <v>2675450</v>
      </c>
      <c r="Q96" s="26"/>
    </row>
    <row r="97" spans="1:17" s="10" customFormat="1" x14ac:dyDescent="0.3">
      <c r="A97" s="26" t="s">
        <v>72</v>
      </c>
      <c r="B97" s="28" t="s">
        <v>74</v>
      </c>
      <c r="C97" s="26">
        <v>1595</v>
      </c>
      <c r="D97" s="26">
        <f ca="1">OFFSET(Node_List!$B$2,MATCH(Pipeline_Candid!A97,Node_List!$A$2:$A$999,0)-1,0)</f>
        <v>74</v>
      </c>
      <c r="E97" s="10">
        <f ca="1">OFFSET(Node_List!$B$2,MATCH(Pipeline_Candid!B97,Node_List!$A$2:$A$999,0)-1,0)</f>
        <v>79</v>
      </c>
      <c r="F97" s="265">
        <v>0</v>
      </c>
      <c r="G97" s="26">
        <v>207</v>
      </c>
      <c r="H97" s="11">
        <v>2000</v>
      </c>
      <c r="I97" s="87">
        <f>PI()*(H97/10^3/2)^2*Dashboard!$B$58*3600*24</f>
        <v>542867.2105403163</v>
      </c>
      <c r="J97" s="87">
        <f>Dashboard!$B$57*(G97*10^3)/(H97/10^3)*Dashboard!$B$58^2/2</f>
        <v>2070</v>
      </c>
      <c r="K97" s="85">
        <f>Dashboard!$B$59*G97</f>
        <v>0.10350000000000001</v>
      </c>
      <c r="L97" s="85">
        <f>Dashboard!$B$60*G97</f>
        <v>6.2100000000000002E-3</v>
      </c>
      <c r="M97" s="87">
        <f>Dashboard!$C$68*G97</f>
        <v>8280000</v>
      </c>
      <c r="N97" s="88">
        <f>Dashboard!$B$75*G97</f>
        <v>7555500</v>
      </c>
      <c r="O97" s="90">
        <f>Dashboard!$C$69*G97</f>
        <v>16560000</v>
      </c>
      <c r="P97" s="88">
        <f>Dashboard!$B$76*G97</f>
        <v>7555500</v>
      </c>
      <c r="Q97" s="26"/>
    </row>
    <row r="98" spans="1:17" s="10" customFormat="1" x14ac:dyDescent="0.3">
      <c r="A98" s="26" t="s">
        <v>74</v>
      </c>
      <c r="B98" s="28" t="s">
        <v>102</v>
      </c>
      <c r="C98" s="26">
        <v>1596</v>
      </c>
      <c r="D98" s="26">
        <f ca="1">OFFSET(Node_List!$B$2,MATCH(Pipeline_Candid!A98,Node_List!$A$2:$A$999,0)-1,0)</f>
        <v>79</v>
      </c>
      <c r="E98" s="10">
        <f ca="1">OFFSET(Node_List!$B$2,MATCH(Pipeline_Candid!B98,Node_List!$A$2:$A$999,0)-1,0)</f>
        <v>80</v>
      </c>
      <c r="F98" s="265">
        <v>0</v>
      </c>
      <c r="G98" s="26">
        <v>152</v>
      </c>
      <c r="H98" s="11">
        <v>2000</v>
      </c>
      <c r="I98" s="87">
        <f>PI()*(H98/10^3/2)^2*Dashboard!$B$58*3600*24</f>
        <v>542867.2105403163</v>
      </c>
      <c r="J98" s="87">
        <f>Dashboard!$B$57*(G98*10^3)/(H98/10^3)*Dashboard!$B$58^2/2</f>
        <v>1520</v>
      </c>
      <c r="K98" s="85">
        <f>Dashboard!$B$59*G98</f>
        <v>7.5999999999999998E-2</v>
      </c>
      <c r="L98" s="85">
        <f>Dashboard!$B$60*G98</f>
        <v>4.5599999999999998E-3</v>
      </c>
      <c r="M98" s="87">
        <f>Dashboard!$C$68*G98</f>
        <v>6080000</v>
      </c>
      <c r="N98" s="88">
        <f>Dashboard!$B$75*G98</f>
        <v>5548000</v>
      </c>
      <c r="O98" s="90">
        <f>Dashboard!$C$69*G98</f>
        <v>12160000</v>
      </c>
      <c r="P98" s="88">
        <f>Dashboard!$B$76*G98</f>
        <v>5548000</v>
      </c>
      <c r="Q98" s="26"/>
    </row>
    <row r="99" spans="1:17" s="10" customFormat="1" x14ac:dyDescent="0.3">
      <c r="A99" s="26" t="s">
        <v>208</v>
      </c>
      <c r="B99" s="28" t="s">
        <v>74</v>
      </c>
      <c r="C99" s="26">
        <v>1597</v>
      </c>
      <c r="D99" s="26">
        <f ca="1">OFFSET(Node_List!$B$2,MATCH(Pipeline_Candid!A99,Node_List!$A$2:$A$999,0)-1,0)</f>
        <v>76</v>
      </c>
      <c r="E99" s="10">
        <f ca="1">OFFSET(Node_List!$B$2,MATCH(Pipeline_Candid!B99,Node_List!$A$2:$A$999,0)-1,0)</f>
        <v>79</v>
      </c>
      <c r="F99" s="265">
        <v>0</v>
      </c>
      <c r="G99" s="26">
        <v>229</v>
      </c>
      <c r="H99" s="11">
        <v>2000</v>
      </c>
      <c r="I99" s="87">
        <f>PI()*(H99/10^3/2)^2*Dashboard!$B$58*3600*24</f>
        <v>542867.2105403163</v>
      </c>
      <c r="J99" s="87">
        <f>Dashboard!$B$57*(G99*10^3)/(H99/10^3)*Dashboard!$B$58^2/2</f>
        <v>2290</v>
      </c>
      <c r="K99" s="85">
        <f>Dashboard!$B$59*G99</f>
        <v>0.1145</v>
      </c>
      <c r="L99" s="85">
        <f>Dashboard!$B$60*G99</f>
        <v>6.8700000000000002E-3</v>
      </c>
      <c r="M99" s="87">
        <f>Dashboard!$C$68*G99</f>
        <v>9160000</v>
      </c>
      <c r="N99" s="88">
        <f>Dashboard!$B$75*G99</f>
        <v>8358500</v>
      </c>
      <c r="O99" s="90">
        <f>Dashboard!$C$69*G99</f>
        <v>18320000</v>
      </c>
      <c r="P99" s="88">
        <f>Dashboard!$B$76*G99</f>
        <v>8358500</v>
      </c>
      <c r="Q99" s="26"/>
    </row>
    <row r="100" spans="1:17" s="10" customFormat="1" x14ac:dyDescent="0.3">
      <c r="A100" s="26" t="s">
        <v>102</v>
      </c>
      <c r="B100" s="28" t="s">
        <v>209</v>
      </c>
      <c r="C100" s="26">
        <v>1598</v>
      </c>
      <c r="D100" s="26">
        <f ca="1">OFFSET(Node_List!$B$2,MATCH(Pipeline_Candid!A100,Node_List!$A$2:$A$999,0)-1,0)</f>
        <v>80</v>
      </c>
      <c r="E100" s="10">
        <f ca="1">OFFSET(Node_List!$B$2,MATCH(Pipeline_Candid!B100,Node_List!$A$2:$A$999,0)-1,0)</f>
        <v>82</v>
      </c>
      <c r="F100" s="265">
        <v>0</v>
      </c>
      <c r="G100" s="26">
        <v>242</v>
      </c>
      <c r="H100" s="11">
        <v>2000</v>
      </c>
      <c r="I100" s="87">
        <f>PI()*(H100/10^3/2)^2*Dashboard!$B$58*3600*24</f>
        <v>542867.2105403163</v>
      </c>
      <c r="J100" s="87">
        <f>Dashboard!$B$57*(G100*10^3)/(H100/10^3)*Dashboard!$B$58^2/2</f>
        <v>2420</v>
      </c>
      <c r="K100" s="85">
        <f>Dashboard!$B$59*G100</f>
        <v>0.121</v>
      </c>
      <c r="L100" s="85">
        <f>Dashboard!$B$60*G100</f>
        <v>7.26E-3</v>
      </c>
      <c r="M100" s="87">
        <f>Dashboard!$C$68*G100</f>
        <v>9680000</v>
      </c>
      <c r="N100" s="88">
        <f>Dashboard!$B$75*G100</f>
        <v>8833000</v>
      </c>
      <c r="O100" s="90">
        <f>Dashboard!$C$69*G100</f>
        <v>19360000</v>
      </c>
      <c r="P100" s="88">
        <f>Dashboard!$B$76*G100</f>
        <v>8833000</v>
      </c>
      <c r="Q100" s="26"/>
    </row>
    <row r="101" spans="1:17" x14ac:dyDescent="0.3">
      <c r="A101" s="26" t="s">
        <v>204</v>
      </c>
      <c r="B101" s="28" t="s">
        <v>208</v>
      </c>
      <c r="C101" s="26">
        <v>1599</v>
      </c>
      <c r="D101" s="26">
        <f ca="1">OFFSET(Node_List!$B$2,MATCH(Pipeline_Candid!A101,Node_List!$A$2:$A$999,0)-1,0)</f>
        <v>73</v>
      </c>
      <c r="E101" s="10">
        <f ca="1">OFFSET(Node_List!$B$2,MATCH(Pipeline_Candid!B101,Node_List!$A$2:$A$999,0)-1,0)</f>
        <v>76</v>
      </c>
      <c r="F101" s="265">
        <v>0</v>
      </c>
      <c r="G101" s="26">
        <v>128</v>
      </c>
      <c r="H101" s="11">
        <v>2000</v>
      </c>
      <c r="I101" s="87">
        <f>PI()*(H101/10^3/2)^2*Dashboard!$B$58*3600*24</f>
        <v>542867.2105403163</v>
      </c>
      <c r="J101" s="87">
        <f>Dashboard!$B$57*(G101*10^3)/(H101/10^3)*Dashboard!$B$58^2/2</f>
        <v>1280</v>
      </c>
      <c r="K101" s="85">
        <f>Dashboard!$B$59*G101</f>
        <v>6.4000000000000001E-2</v>
      </c>
      <c r="L101" s="85">
        <f>Dashboard!$B$60*G101</f>
        <v>3.8400000000000001E-3</v>
      </c>
      <c r="M101" s="87">
        <f>Dashboard!$C$68*G101</f>
        <v>5120000</v>
      </c>
      <c r="N101" s="88">
        <f>Dashboard!$B$75*G101</f>
        <v>4672000</v>
      </c>
      <c r="O101" s="90">
        <f>Dashboard!$C$69*G101</f>
        <v>10240000</v>
      </c>
      <c r="P101" s="88">
        <f>Dashboard!$B$76*G101</f>
        <v>4672000</v>
      </c>
    </row>
    <row r="102" spans="1:17" x14ac:dyDescent="0.3">
      <c r="A102" s="26" t="s">
        <v>122</v>
      </c>
      <c r="B102" s="28" t="s">
        <v>79</v>
      </c>
      <c r="C102" s="26">
        <v>1600</v>
      </c>
      <c r="D102" s="26">
        <f ca="1">OFFSET(Node_List!$B$2,MATCH(Pipeline_Candid!A102,Node_List!$A$2:$A$999,0)-1,0)</f>
        <v>83</v>
      </c>
      <c r="E102" s="10">
        <f ca="1">OFFSET(Node_List!$B$2,MATCH(Pipeline_Candid!B102,Node_List!$A$2:$A$999,0)-1,0)</f>
        <v>90</v>
      </c>
      <c r="F102" s="265">
        <v>0</v>
      </c>
      <c r="G102" s="26">
        <v>233</v>
      </c>
      <c r="H102" s="11">
        <v>2000</v>
      </c>
      <c r="I102" s="87">
        <f>PI()*(H102/10^3/2)^2*Dashboard!$B$58*3600*24</f>
        <v>542867.2105403163</v>
      </c>
      <c r="J102" s="87">
        <f>Dashboard!$B$57*(G102*10^3)/(H102/10^3)*Dashboard!$B$58^2/2</f>
        <v>2330</v>
      </c>
      <c r="K102" s="85">
        <f>Dashboard!$B$59*G102</f>
        <v>0.11650000000000001</v>
      </c>
      <c r="L102" s="85">
        <f>Dashboard!$B$60*G102</f>
        <v>6.9900000000000006E-3</v>
      </c>
      <c r="M102" s="87">
        <f>Dashboard!$C$68*G102</f>
        <v>9320000</v>
      </c>
      <c r="N102" s="88">
        <f>Dashboard!$B$75*G102</f>
        <v>8504500</v>
      </c>
      <c r="O102" s="90">
        <f>Dashboard!$C$69*G102</f>
        <v>18640000</v>
      </c>
      <c r="P102" s="88">
        <f>Dashboard!$B$76*G102</f>
        <v>8504500</v>
      </c>
    </row>
    <row r="103" spans="1:17" x14ac:dyDescent="0.3">
      <c r="A103" s="26" t="s">
        <v>322</v>
      </c>
      <c r="B103" s="28" t="s">
        <v>292</v>
      </c>
      <c r="C103" s="26">
        <v>1601</v>
      </c>
      <c r="D103" s="26">
        <f ca="1">OFFSET(Node_List!$B$2,MATCH(Pipeline_Candid!A103,Node_List!$A$2:$A$999,0)-1,0)</f>
        <v>501</v>
      </c>
      <c r="E103" s="10">
        <f ca="1">OFFSET(Node_List!$B$2,MATCH(Pipeline_Candid!B103,Node_List!$A$2:$A$999,0)-1,0)</f>
        <v>103</v>
      </c>
      <c r="F103" s="265">
        <v>0</v>
      </c>
      <c r="G103" s="70">
        <v>150</v>
      </c>
      <c r="H103" s="11">
        <v>2000</v>
      </c>
      <c r="I103" s="87">
        <f>PI()*(H103/10^3/2)^2*Dashboard!$B$58*3600*24</f>
        <v>542867.2105403163</v>
      </c>
      <c r="J103" s="87">
        <f>Dashboard!$B$57*(G103*10^3)/(H103/10^3)*Dashboard!$B$58^2/2</f>
        <v>1500</v>
      </c>
      <c r="K103" s="85">
        <f>Dashboard!$B$59*G103</f>
        <v>7.4999999999999997E-2</v>
      </c>
      <c r="L103" s="85">
        <f>Dashboard!$B$60*G103</f>
        <v>4.5000000000000005E-3</v>
      </c>
      <c r="M103" s="87">
        <f>Dashboard!$C$68*G103</f>
        <v>6000000</v>
      </c>
      <c r="N103" s="88">
        <f>Dashboard!$B$75*G103</f>
        <v>5475000</v>
      </c>
      <c r="O103" s="90">
        <f>Dashboard!$C$69*G103</f>
        <v>12000000</v>
      </c>
      <c r="P103" s="88">
        <f>Dashboard!$B$76*G103</f>
        <v>5475000</v>
      </c>
    </row>
    <row r="104" spans="1:17" x14ac:dyDescent="0.3">
      <c r="A104" s="26" t="s">
        <v>315</v>
      </c>
      <c r="B104" s="28" t="s">
        <v>302</v>
      </c>
      <c r="C104" s="26">
        <v>1602</v>
      </c>
      <c r="D104" s="26">
        <f ca="1">OFFSET(Node_List!$B$2,MATCH(Pipeline_Candid!A104,Node_List!$A$2:$A$999,0)-1,0)</f>
        <v>502</v>
      </c>
      <c r="E104" s="10">
        <f ca="1">OFFSET(Node_List!$B$2,MATCH(Pipeline_Candid!B104,Node_List!$A$2:$A$999,0)-1,0)</f>
        <v>106</v>
      </c>
      <c r="F104" s="265">
        <v>0</v>
      </c>
      <c r="G104" s="70">
        <v>0</v>
      </c>
      <c r="H104" s="11">
        <v>2000</v>
      </c>
      <c r="I104" s="87">
        <f>PI()*(H104/10^3/2)^2*Dashboard!$B$58*3600*24</f>
        <v>542867.2105403163</v>
      </c>
      <c r="J104" s="87">
        <f>Dashboard!$B$57*(G104*10^3)/(H104/10^3)*Dashboard!$B$58^2/2</f>
        <v>0</v>
      </c>
      <c r="K104" s="85">
        <f>Dashboard!$B$59*G104</f>
        <v>0</v>
      </c>
      <c r="L104" s="85">
        <f>Dashboard!$B$60*G104</f>
        <v>0</v>
      </c>
      <c r="M104" s="87">
        <f>Dashboard!$C$68*G104</f>
        <v>0</v>
      </c>
      <c r="N104" s="88">
        <f>Dashboard!$B$75*G104</f>
        <v>0</v>
      </c>
      <c r="O104" s="90">
        <f>Dashboard!$C$69*G104</f>
        <v>0</v>
      </c>
      <c r="P104" s="88">
        <f>Dashboard!$B$76*G104</f>
        <v>0</v>
      </c>
    </row>
    <row r="105" spans="1:17" x14ac:dyDescent="0.3">
      <c r="A105" s="26" t="s">
        <v>319</v>
      </c>
      <c r="B105" s="28" t="s">
        <v>302</v>
      </c>
      <c r="C105" s="26">
        <v>1603</v>
      </c>
      <c r="D105" s="26">
        <f ca="1">OFFSET(Node_List!$B$2,MATCH(Pipeline_Candid!A105,Node_List!$A$2:$A$999,0)-1,0)</f>
        <v>503</v>
      </c>
      <c r="E105" s="10">
        <f ca="1">OFFSET(Node_List!$B$2,MATCH(Pipeline_Candid!B105,Node_List!$A$2:$A$999,0)-1,0)</f>
        <v>106</v>
      </c>
      <c r="F105" s="265">
        <v>0</v>
      </c>
      <c r="G105" s="70">
        <v>0</v>
      </c>
      <c r="H105" s="11">
        <v>2000</v>
      </c>
      <c r="I105" s="87">
        <f>PI()*(H105/10^3/2)^2*Dashboard!$B$58*3600*24</f>
        <v>542867.2105403163</v>
      </c>
      <c r="J105" s="87">
        <f>Dashboard!$B$57*(G105*10^3)/(H105/10^3)*Dashboard!$B$58^2/2</f>
        <v>0</v>
      </c>
      <c r="K105" s="85">
        <f>Dashboard!$B$59*G105</f>
        <v>0</v>
      </c>
      <c r="L105" s="85">
        <f>Dashboard!$B$60*G105</f>
        <v>0</v>
      </c>
      <c r="M105" s="87">
        <f>Dashboard!$C$68*G105</f>
        <v>0</v>
      </c>
      <c r="N105" s="88">
        <f>Dashboard!$B$75*G105</f>
        <v>0</v>
      </c>
      <c r="O105" s="90">
        <f>Dashboard!$C$69*G105</f>
        <v>0</v>
      </c>
      <c r="P105" s="88">
        <f>Dashboard!$B$76*G105</f>
        <v>0</v>
      </c>
    </row>
    <row r="106" spans="1:17" x14ac:dyDescent="0.3">
      <c r="A106" s="26" t="s">
        <v>318</v>
      </c>
      <c r="B106" s="28" t="s">
        <v>221</v>
      </c>
      <c r="C106" s="26">
        <v>1604</v>
      </c>
      <c r="D106" s="26">
        <f ca="1">OFFSET(Node_List!$B$2,MATCH(Pipeline_Candid!A106,Node_List!$A$2:$A$999,0)-1,0)</f>
        <v>504</v>
      </c>
      <c r="E106" s="10">
        <f ca="1">OFFSET(Node_List!$B$2,MATCH(Pipeline_Candid!B106,Node_List!$A$2:$A$999,0)-1,0)</f>
        <v>207</v>
      </c>
      <c r="F106" s="265">
        <v>0</v>
      </c>
      <c r="G106" s="71">
        <v>2.9</v>
      </c>
      <c r="H106" s="11">
        <v>2000</v>
      </c>
      <c r="I106" s="87">
        <f>PI()*(H106/10^3/2)^2*Dashboard!$B$58*3600*24</f>
        <v>542867.2105403163</v>
      </c>
      <c r="J106" s="87">
        <f>Dashboard!$B$57*(G106*10^3)/(H106/10^3)*Dashboard!$B$58^2/2</f>
        <v>29</v>
      </c>
      <c r="K106" s="85">
        <f>Dashboard!$B$59*G106</f>
        <v>1.4499999999999999E-3</v>
      </c>
      <c r="L106" s="85">
        <f>Dashboard!$B$60*G106</f>
        <v>8.7000000000000001E-5</v>
      </c>
      <c r="M106" s="87">
        <f>Dashboard!$C$68*G106</f>
        <v>116000</v>
      </c>
      <c r="N106" s="88">
        <f>Dashboard!$B$75*G106</f>
        <v>105850</v>
      </c>
      <c r="O106" s="90">
        <f>Dashboard!$C$69*G106</f>
        <v>232000</v>
      </c>
      <c r="P106" s="88">
        <f>Dashboard!$B$76*G106</f>
        <v>105850</v>
      </c>
    </row>
    <row r="107" spans="1:17" x14ac:dyDescent="0.3">
      <c r="A107" s="26" t="s">
        <v>320</v>
      </c>
      <c r="B107" s="28" t="s">
        <v>318</v>
      </c>
      <c r="C107" s="26">
        <v>1605</v>
      </c>
      <c r="D107" s="26">
        <f ca="1">OFFSET(Node_List!$B$2,MATCH(Pipeline_Candid!A107,Node_List!$A$2:$A$999,0)-1,0)</f>
        <v>505</v>
      </c>
      <c r="E107" s="10">
        <f ca="1">OFFSET(Node_List!$B$2,MATCH(Pipeline_Candid!B107,Node_List!$A$2:$A$999,0)-1,0)</f>
        <v>504</v>
      </c>
      <c r="F107" s="265">
        <v>0</v>
      </c>
      <c r="G107" s="71">
        <v>0</v>
      </c>
      <c r="H107" s="11">
        <v>2000</v>
      </c>
      <c r="I107" s="87">
        <f>PI()*(H107/10^3/2)^2*Dashboard!$B$58*3600*24</f>
        <v>542867.2105403163</v>
      </c>
      <c r="J107" s="87">
        <f>Dashboard!$B$57*(G107*10^3)/(H107/10^3)*Dashboard!$B$58^2/2</f>
        <v>0</v>
      </c>
      <c r="K107" s="85">
        <f>Dashboard!$B$59*G107</f>
        <v>0</v>
      </c>
      <c r="L107" s="85">
        <f>Dashboard!$B$60*G107</f>
        <v>0</v>
      </c>
      <c r="M107" s="87">
        <f>Dashboard!$C$68*G107</f>
        <v>0</v>
      </c>
      <c r="N107" s="88">
        <f>Dashboard!$B$75*G107</f>
        <v>0</v>
      </c>
      <c r="O107" s="90">
        <f>Dashboard!$C$69*G107</f>
        <v>0</v>
      </c>
      <c r="P107" s="88">
        <f>Dashboard!$B$76*G107</f>
        <v>0</v>
      </c>
    </row>
    <row r="108" spans="1:17" x14ac:dyDescent="0.3">
      <c r="A108" s="26" t="s">
        <v>317</v>
      </c>
      <c r="B108" s="28" t="s">
        <v>304</v>
      </c>
      <c r="C108" s="26">
        <v>1606</v>
      </c>
      <c r="D108" s="26">
        <f ca="1">OFFSET(Node_List!$B$2,MATCH(Pipeline_Candid!A108,Node_List!$A$2:$A$999,0)-1,0)</f>
        <v>506</v>
      </c>
      <c r="E108" s="10">
        <f ca="1">OFFSET(Node_List!$B$2,MATCH(Pipeline_Candid!B108,Node_List!$A$2:$A$999,0)-1,0)</f>
        <v>109</v>
      </c>
      <c r="F108" s="265">
        <v>0</v>
      </c>
      <c r="G108" s="70">
        <v>0</v>
      </c>
      <c r="H108" s="11">
        <v>2000</v>
      </c>
      <c r="I108" s="87">
        <f>PI()*(H108/10^3/2)^2*Dashboard!$B$58*3600*24</f>
        <v>542867.2105403163</v>
      </c>
      <c r="J108" s="87">
        <f>Dashboard!$B$57*(G108*10^3)/(H108/10^3)*Dashboard!$B$58^2/2</f>
        <v>0</v>
      </c>
      <c r="K108" s="85">
        <f>Dashboard!$B$59*G108</f>
        <v>0</v>
      </c>
      <c r="L108" s="85">
        <f>Dashboard!$B$60*G108</f>
        <v>0</v>
      </c>
      <c r="M108" s="87">
        <f>Dashboard!$C$68*G108</f>
        <v>0</v>
      </c>
      <c r="N108" s="88">
        <f>Dashboard!$B$75*G108</f>
        <v>0</v>
      </c>
      <c r="O108" s="90">
        <f>Dashboard!$C$69*G108</f>
        <v>0</v>
      </c>
      <c r="P108" s="88">
        <f>Dashboard!$B$76*G108</f>
        <v>0</v>
      </c>
    </row>
    <row r="109" spans="1:17" x14ac:dyDescent="0.3">
      <c r="A109" s="26" t="s">
        <v>316</v>
      </c>
      <c r="B109" s="28" t="s">
        <v>295</v>
      </c>
      <c r="C109" s="26">
        <v>1607</v>
      </c>
      <c r="D109" s="26">
        <f ca="1">OFFSET(Node_List!$B$2,MATCH(Pipeline_Candid!A109,Node_List!$A$2:$A$999,0)-1,0)</f>
        <v>507</v>
      </c>
      <c r="E109" s="10">
        <f ca="1">OFFSET(Node_List!$B$2,MATCH(Pipeline_Candid!B109,Node_List!$A$2:$A$999,0)-1,0)</f>
        <v>112</v>
      </c>
      <c r="F109" s="265">
        <v>0</v>
      </c>
      <c r="G109" s="70">
        <v>0</v>
      </c>
      <c r="H109" s="11">
        <v>2000</v>
      </c>
      <c r="I109" s="87">
        <f>PI()*(H109/10^3/2)^2*Dashboard!$B$58*3600*24</f>
        <v>542867.2105403163</v>
      </c>
      <c r="J109" s="87">
        <f>Dashboard!$B$57*(G109*10^3)/(H109/10^3)*Dashboard!$B$58^2/2</f>
        <v>0</v>
      </c>
      <c r="K109" s="85">
        <f>Dashboard!$B$59*G109</f>
        <v>0</v>
      </c>
      <c r="L109" s="85">
        <f>Dashboard!$B$60*G109</f>
        <v>0</v>
      </c>
      <c r="M109" s="87">
        <f>Dashboard!$C$68*G109</f>
        <v>0</v>
      </c>
      <c r="N109" s="88">
        <f>Dashboard!$B$75*G109</f>
        <v>0</v>
      </c>
      <c r="O109" s="90">
        <f>Dashboard!$C$69*G109</f>
        <v>0</v>
      </c>
      <c r="P109" s="88">
        <f>Dashboard!$B$76*G109</f>
        <v>0</v>
      </c>
    </row>
    <row r="110" spans="1:17" x14ac:dyDescent="0.3">
      <c r="A110" s="26" t="s">
        <v>321</v>
      </c>
      <c r="B110" s="28" t="s">
        <v>309</v>
      </c>
      <c r="C110" s="26">
        <v>1608</v>
      </c>
      <c r="D110" s="26">
        <f ca="1">OFFSET(Node_List!$B$2,MATCH(Pipeline_Candid!A110,Node_List!$A$2:$A$999,0)-1,0)</f>
        <v>510</v>
      </c>
      <c r="E110" s="10">
        <f ca="1">OFFSET(Node_List!$B$2,MATCH(Pipeline_Candid!B110,Node_List!$A$2:$A$999,0)-1,0)</f>
        <v>129</v>
      </c>
      <c r="F110" s="265">
        <v>0</v>
      </c>
      <c r="G110" s="70">
        <v>0</v>
      </c>
      <c r="H110" s="11">
        <v>2000</v>
      </c>
      <c r="I110" s="87">
        <f>PI()*(H110/10^3/2)^2*Dashboard!$B$58*3600*24</f>
        <v>542867.2105403163</v>
      </c>
      <c r="J110" s="87">
        <f>Dashboard!$B$57*(G110*10^3)/(H110/10^3)*Dashboard!$B$58^2/2</f>
        <v>0</v>
      </c>
      <c r="K110" s="85">
        <f>Dashboard!$B$59*G110</f>
        <v>0</v>
      </c>
      <c r="L110" s="85">
        <f>Dashboard!$B$60*G110</f>
        <v>0</v>
      </c>
      <c r="M110" s="87">
        <f>Dashboard!$C$68*G110</f>
        <v>0</v>
      </c>
      <c r="N110" s="88">
        <f>Dashboard!$B$75*G110</f>
        <v>0</v>
      </c>
      <c r="O110" s="90">
        <f>Dashboard!$C$69*G110</f>
        <v>0</v>
      </c>
      <c r="P110" s="88">
        <f>Dashboard!$B$76*G110</f>
        <v>0</v>
      </c>
    </row>
    <row r="111" spans="1:17" x14ac:dyDescent="0.3">
      <c r="A111" s="26" t="s">
        <v>204</v>
      </c>
      <c r="B111" s="10" t="s">
        <v>326</v>
      </c>
      <c r="C111" s="26">
        <v>1609</v>
      </c>
      <c r="D111" s="26">
        <f ca="1">OFFSET(Node_List!$B$2,MATCH(Pipeline_Candid!A111,Node_List!$A$2:$A$999,0)-1,0)</f>
        <v>73</v>
      </c>
      <c r="E111" s="10">
        <f ca="1">OFFSET(Node_List!$B$2,MATCH(Pipeline_Candid!B111,Node_List!$A$2:$A$999,0)-1,0)</f>
        <v>88</v>
      </c>
      <c r="F111" s="265">
        <v>0</v>
      </c>
      <c r="G111" s="26">
        <v>196</v>
      </c>
      <c r="H111" s="11">
        <v>2000</v>
      </c>
      <c r="I111" s="87">
        <f>PI()*(H111/10^3/2)^2*Dashboard!$B$58*3600*24</f>
        <v>542867.2105403163</v>
      </c>
      <c r="J111" s="87">
        <f>Dashboard!$B$57*(G111*10^3)/(H111/10^3)*Dashboard!$B$58^2/2</f>
        <v>1960</v>
      </c>
      <c r="K111" s="85">
        <f>Dashboard!$B$59*G111</f>
        <v>9.8000000000000004E-2</v>
      </c>
      <c r="L111" s="85">
        <f>Dashboard!$B$60*G111</f>
        <v>5.8799999999999998E-3</v>
      </c>
      <c r="M111" s="87">
        <f>Dashboard!$C$68*G111</f>
        <v>7840000</v>
      </c>
      <c r="N111" s="88">
        <f>Dashboard!$B$75*G111</f>
        <v>7154000</v>
      </c>
      <c r="O111" s="90">
        <f>Dashboard!$C$69*G111</f>
        <v>15680000</v>
      </c>
      <c r="P111" s="88">
        <f>Dashboard!$B$76*G111</f>
        <v>7154000</v>
      </c>
    </row>
    <row r="112" spans="1:17" x14ac:dyDescent="0.3">
      <c r="A112" s="26" t="s">
        <v>204</v>
      </c>
      <c r="B112" s="10" t="s">
        <v>213</v>
      </c>
      <c r="C112" s="26">
        <v>1610</v>
      </c>
      <c r="D112" s="26">
        <f ca="1">OFFSET(Node_List!$B$2,MATCH(Pipeline_Candid!A112,Node_List!$A$2:$A$999,0)-1,0)</f>
        <v>73</v>
      </c>
      <c r="E112" s="10">
        <f ca="1">OFFSET(Node_List!$B$2,MATCH(Pipeline_Candid!B112,Node_List!$A$2:$A$999,0)-1,0)</f>
        <v>89</v>
      </c>
      <c r="F112" s="265">
        <v>0</v>
      </c>
      <c r="G112" s="26">
        <v>189</v>
      </c>
      <c r="H112" s="11">
        <v>2000</v>
      </c>
      <c r="I112" s="87">
        <f>PI()*(H112/10^3/2)^2*Dashboard!$B$58*3600*24</f>
        <v>542867.2105403163</v>
      </c>
      <c r="J112" s="87">
        <f>Dashboard!$B$57*(G112*10^3)/(H112/10^3)*Dashboard!$B$58^2/2</f>
        <v>1890</v>
      </c>
      <c r="K112" s="85">
        <f>Dashboard!$B$59*G112</f>
        <v>9.4500000000000001E-2</v>
      </c>
      <c r="L112" s="85">
        <f>Dashboard!$B$60*G112</f>
        <v>5.6700000000000006E-3</v>
      </c>
      <c r="M112" s="87">
        <f>Dashboard!$C$68*G112</f>
        <v>7560000</v>
      </c>
      <c r="N112" s="88">
        <f>Dashboard!$B$75*G112</f>
        <v>6898500</v>
      </c>
      <c r="O112" s="90">
        <f>Dashboard!$C$69*G112</f>
        <v>15120000</v>
      </c>
      <c r="P112" s="88">
        <f>Dashboard!$B$76*G112</f>
        <v>6898500</v>
      </c>
    </row>
    <row r="113" spans="1:16" x14ac:dyDescent="0.3">
      <c r="A113" s="26" t="s">
        <v>56</v>
      </c>
      <c r="B113" s="10" t="s">
        <v>213</v>
      </c>
      <c r="C113" s="26">
        <v>1611</v>
      </c>
      <c r="D113" s="26">
        <f ca="1">OFFSET(Node_List!$B$2,MATCH(Pipeline_Candid!A113,Node_List!$A$2:$A$999,0)-1,0)</f>
        <v>70</v>
      </c>
      <c r="E113" s="10">
        <f ca="1">OFFSET(Node_List!$B$2,MATCH(Pipeline_Candid!B113,Node_List!$A$2:$A$999,0)-1,0)</f>
        <v>89</v>
      </c>
      <c r="F113" s="265">
        <v>0</v>
      </c>
      <c r="G113" s="26">
        <v>144</v>
      </c>
      <c r="H113" s="11">
        <v>2000</v>
      </c>
      <c r="I113" s="87">
        <f>PI()*(H113/10^3/2)^2*Dashboard!$B$58*3600*24</f>
        <v>542867.2105403163</v>
      </c>
      <c r="J113" s="87">
        <f>Dashboard!$B$57*(G113*10^3)/(H113/10^3)*Dashboard!$B$58^2/2</f>
        <v>1440</v>
      </c>
      <c r="K113" s="85">
        <f>Dashboard!$B$59*G113</f>
        <v>7.2000000000000008E-2</v>
      </c>
      <c r="L113" s="85">
        <f>Dashboard!$B$60*G113</f>
        <v>4.3200000000000001E-3</v>
      </c>
      <c r="M113" s="87">
        <f>Dashboard!$C$68*G113</f>
        <v>5760000</v>
      </c>
      <c r="N113" s="88">
        <f>Dashboard!$B$75*G113</f>
        <v>5256000</v>
      </c>
      <c r="O113" s="90">
        <f>Dashboard!$C$69*G113</f>
        <v>11520000</v>
      </c>
      <c r="P113" s="88">
        <f>Dashboard!$B$76*G113</f>
        <v>5256000</v>
      </c>
    </row>
    <row r="114" spans="1:16" x14ac:dyDescent="0.3">
      <c r="A114" s="26" t="s">
        <v>72</v>
      </c>
      <c r="B114" s="10" t="s">
        <v>56</v>
      </c>
      <c r="C114" s="26">
        <v>1612</v>
      </c>
      <c r="D114" s="26">
        <f ca="1">OFFSET(Node_List!$B$2,MATCH(Pipeline_Candid!A114,Node_List!$A$2:$A$999,0)-1,0)</f>
        <v>74</v>
      </c>
      <c r="E114" s="10">
        <f ca="1">OFFSET(Node_List!$B$2,MATCH(Pipeline_Candid!B114,Node_List!$A$2:$A$999,0)-1,0)</f>
        <v>70</v>
      </c>
      <c r="F114" s="265">
        <v>0</v>
      </c>
      <c r="G114" s="26">
        <v>149</v>
      </c>
      <c r="H114" s="11">
        <v>2000</v>
      </c>
      <c r="I114" s="87">
        <f>PI()*(H114/10^3/2)^2*Dashboard!$B$58*3600*24</f>
        <v>542867.2105403163</v>
      </c>
      <c r="J114" s="87">
        <f>Dashboard!$B$57*(G114*10^3)/(H114/10^3)*Dashboard!$B$58^2/2</f>
        <v>1490</v>
      </c>
      <c r="K114" s="85">
        <f>Dashboard!$B$59*G114</f>
        <v>7.4499999999999997E-2</v>
      </c>
      <c r="L114" s="85">
        <f>Dashboard!$B$60*G114</f>
        <v>4.47E-3</v>
      </c>
      <c r="M114" s="87">
        <f>Dashboard!$C$68*G114</f>
        <v>5960000</v>
      </c>
      <c r="N114" s="88">
        <f>Dashboard!$B$75*G114</f>
        <v>5438500</v>
      </c>
      <c r="O114" s="90">
        <f>Dashboard!$C$69*G114</f>
        <v>11920000</v>
      </c>
      <c r="P114" s="88">
        <f>Dashboard!$B$76*G114</f>
        <v>5438500</v>
      </c>
    </row>
    <row r="115" spans="1:16" x14ac:dyDescent="0.3">
      <c r="A115" s="26" t="s">
        <v>57</v>
      </c>
      <c r="B115" s="10" t="s">
        <v>117</v>
      </c>
      <c r="C115" s="26">
        <v>1613</v>
      </c>
      <c r="D115" s="26">
        <f ca="1">OFFSET(Node_List!$B$2,MATCH(Pipeline_Candid!A115,Node_List!$A$2:$A$999,0)-1,0)</f>
        <v>50</v>
      </c>
      <c r="E115" s="10">
        <f ca="1">OFFSET(Node_List!$B$2,MATCH(Pipeline_Candid!B115,Node_List!$A$2:$A$999,0)-1,0)</f>
        <v>65</v>
      </c>
      <c r="F115" s="265">
        <v>0</v>
      </c>
      <c r="G115" s="26">
        <v>534</v>
      </c>
      <c r="H115" s="11">
        <v>2000</v>
      </c>
      <c r="I115" s="87">
        <f>PI()*(H115/10^3/2)^2*Dashboard!$B$58*3600*24</f>
        <v>542867.2105403163</v>
      </c>
      <c r="J115" s="87">
        <f>Dashboard!$B$57*(G115*10^3)/(H115/10^3)*Dashboard!$B$58^2/2</f>
        <v>5340</v>
      </c>
      <c r="K115" s="85">
        <f>Dashboard!$B$59*G115</f>
        <v>0.26700000000000002</v>
      </c>
      <c r="L115" s="85">
        <f>Dashboard!$B$60*G115</f>
        <v>1.602E-2</v>
      </c>
      <c r="M115" s="87">
        <f>Dashboard!$C$68*G115</f>
        <v>21360000</v>
      </c>
      <c r="N115" s="88">
        <f>Dashboard!$B$75*G115</f>
        <v>19491000</v>
      </c>
      <c r="O115" s="90">
        <f>Dashboard!$C$69*G115</f>
        <v>42720000</v>
      </c>
      <c r="P115" s="88">
        <f>Dashboard!$B$76*G115</f>
        <v>19491000</v>
      </c>
    </row>
    <row r="116" spans="1:16" x14ac:dyDescent="0.3">
      <c r="A116" s="26" t="s">
        <v>78</v>
      </c>
      <c r="B116" s="10" t="s">
        <v>184</v>
      </c>
      <c r="C116" s="26">
        <v>1614</v>
      </c>
      <c r="D116" s="26">
        <f ca="1">OFFSET(Node_List!$B$2,MATCH(Pipeline_Candid!A116,Node_List!$A$2:$A$999,0)-1,0)</f>
        <v>2</v>
      </c>
      <c r="E116" s="10">
        <f ca="1">OFFSET(Node_List!$B$2,MATCH(Pipeline_Candid!B116,Node_List!$A$2:$A$999,0)-1,0)</f>
        <v>7</v>
      </c>
      <c r="F116" s="265">
        <v>0</v>
      </c>
      <c r="G116" s="26">
        <v>368</v>
      </c>
      <c r="H116" s="11">
        <v>2000</v>
      </c>
      <c r="I116" s="87">
        <f>PI()*(H116/10^3/2)^2*Dashboard!$B$58*3600*24</f>
        <v>542867.2105403163</v>
      </c>
      <c r="J116" s="87">
        <f>Dashboard!$B$57*(G116*10^3)/(H116/10^3)*Dashboard!$B$58^2/2</f>
        <v>3680</v>
      </c>
      <c r="K116" s="85">
        <f>Dashboard!$B$59*G116</f>
        <v>0.184</v>
      </c>
      <c r="L116" s="85">
        <f>Dashboard!$B$60*G116</f>
        <v>1.1039999999999999E-2</v>
      </c>
      <c r="M116" s="87">
        <f>Dashboard!$C$68*G116</f>
        <v>14720000</v>
      </c>
      <c r="N116" s="88">
        <f>Dashboard!$B$75*G116</f>
        <v>13432000</v>
      </c>
      <c r="O116" s="90">
        <f>Dashboard!$C$69*G116</f>
        <v>29440000</v>
      </c>
      <c r="P116" s="88">
        <f>Dashboard!$B$76*G116</f>
        <v>13432000</v>
      </c>
    </row>
    <row r="117" spans="1:16" x14ac:dyDescent="0.3">
      <c r="A117" s="26" t="s">
        <v>184</v>
      </c>
      <c r="B117" s="10" t="s">
        <v>183</v>
      </c>
      <c r="C117" s="26">
        <v>1615</v>
      </c>
      <c r="D117" s="26">
        <f ca="1">OFFSET(Node_List!$B$2,MATCH(Pipeline_Candid!A117,Node_List!$A$2:$A$999,0)-1,0)</f>
        <v>7</v>
      </c>
      <c r="E117" s="10">
        <f ca="1">OFFSET(Node_List!$B$2,MATCH(Pipeline_Candid!B117,Node_List!$A$2:$A$999,0)-1,0)</f>
        <v>6</v>
      </c>
      <c r="F117" s="265">
        <v>0</v>
      </c>
      <c r="G117" s="26">
        <v>313</v>
      </c>
      <c r="H117" s="11">
        <v>2000</v>
      </c>
      <c r="I117" s="87">
        <f>PI()*(H117/10^3/2)^2*Dashboard!$B$58*3600*24</f>
        <v>542867.2105403163</v>
      </c>
      <c r="J117" s="87">
        <f>Dashboard!$B$57*(G117*10^3)/(H117/10^3)*Dashboard!$B$58^2/2</f>
        <v>3130</v>
      </c>
      <c r="K117" s="85">
        <f>Dashboard!$B$59*G117</f>
        <v>0.1565</v>
      </c>
      <c r="L117" s="85">
        <f>Dashboard!$B$60*G117</f>
        <v>9.3900000000000008E-3</v>
      </c>
      <c r="M117" s="87">
        <f>Dashboard!$C$68*G117</f>
        <v>12520000</v>
      </c>
      <c r="N117" s="88">
        <f>Dashboard!$B$75*G117</f>
        <v>11424500</v>
      </c>
      <c r="O117" s="90">
        <f>Dashboard!$C$69*G117</f>
        <v>25040000</v>
      </c>
      <c r="P117" s="88">
        <f>Dashboard!$B$76*G117</f>
        <v>11424500</v>
      </c>
    </row>
    <row r="118" spans="1:16" x14ac:dyDescent="0.3">
      <c r="A118" s="26" t="s">
        <v>22</v>
      </c>
      <c r="B118" s="10" t="s">
        <v>15</v>
      </c>
      <c r="C118" s="26">
        <v>1616</v>
      </c>
      <c r="D118" s="26">
        <f ca="1">OFFSET(Node_List!$B$2,MATCH(Pipeline_Candid!A118,Node_List!$A$2:$A$999,0)-1,0)</f>
        <v>10</v>
      </c>
      <c r="E118" s="10">
        <f ca="1">OFFSET(Node_List!$B$2,MATCH(Pipeline_Candid!B118,Node_List!$A$2:$A$999,0)-1,0)</f>
        <v>9</v>
      </c>
      <c r="F118" s="265">
        <v>0</v>
      </c>
      <c r="G118" s="26">
        <v>205</v>
      </c>
      <c r="H118" s="11">
        <v>2000</v>
      </c>
      <c r="I118" s="87">
        <f>PI()*(H118/10^3/2)^2*Dashboard!$B$58*3600*24</f>
        <v>542867.2105403163</v>
      </c>
      <c r="J118" s="87">
        <f>Dashboard!$B$57*(G118*10^3)/(H118/10^3)*Dashboard!$B$58^2/2</f>
        <v>2050</v>
      </c>
      <c r="K118" s="85">
        <f>Dashboard!$B$59*G118</f>
        <v>0.10250000000000001</v>
      </c>
      <c r="L118" s="85">
        <f>Dashboard!$B$60*G118</f>
        <v>6.1500000000000001E-3</v>
      </c>
      <c r="M118" s="87">
        <f>Dashboard!$C$68*G118</f>
        <v>8200000</v>
      </c>
      <c r="N118" s="88">
        <f>Dashboard!$B$75*G118</f>
        <v>7482500</v>
      </c>
      <c r="O118" s="90">
        <f>Dashboard!$C$69*G118</f>
        <v>16400000</v>
      </c>
      <c r="P118" s="88">
        <f>Dashboard!$B$76*G118</f>
        <v>7482500</v>
      </c>
    </row>
    <row r="119" spans="1:16" x14ac:dyDescent="0.3">
      <c r="A119" s="26" t="s">
        <v>56</v>
      </c>
      <c r="B119" s="10" t="s">
        <v>204</v>
      </c>
      <c r="C119" s="26">
        <v>1617</v>
      </c>
      <c r="D119" s="26">
        <f ca="1">OFFSET(Node_List!$B$2,MATCH(Pipeline_Candid!A119,Node_List!$A$2:$A$999,0)-1,0)</f>
        <v>70</v>
      </c>
      <c r="E119" s="10">
        <f ca="1">OFFSET(Node_List!$B$2,MATCH(Pipeline_Candid!B119,Node_List!$A$2:$A$999,0)-1,0)</f>
        <v>73</v>
      </c>
      <c r="F119" s="265">
        <v>0</v>
      </c>
      <c r="G119" s="26">
        <v>127</v>
      </c>
      <c r="H119" s="11">
        <v>2000</v>
      </c>
      <c r="I119" s="87">
        <f>PI()*(H119/10^3/2)^2*Dashboard!$B$58*3600*24</f>
        <v>542867.2105403163</v>
      </c>
      <c r="J119" s="87">
        <f>Dashboard!$B$57*(G119*10^3)/(H119/10^3)*Dashboard!$B$58^2/2</f>
        <v>1270</v>
      </c>
      <c r="K119" s="85">
        <f>Dashboard!$B$59*G119</f>
        <v>6.3500000000000001E-2</v>
      </c>
      <c r="L119" s="85">
        <f>Dashboard!$B$60*G119</f>
        <v>3.81E-3</v>
      </c>
      <c r="M119" s="87">
        <f>Dashboard!$C$68*G119</f>
        <v>5080000</v>
      </c>
      <c r="N119" s="88">
        <f>Dashboard!$B$75*G119</f>
        <v>4635500</v>
      </c>
      <c r="O119" s="90">
        <f>Dashboard!$C$69*G119</f>
        <v>10160000</v>
      </c>
      <c r="P119" s="88">
        <f>Dashboard!$B$76*G119</f>
        <v>4635500</v>
      </c>
    </row>
    <row r="120" spans="1:16" x14ac:dyDescent="0.3">
      <c r="A120" s="26" t="s">
        <v>204</v>
      </c>
      <c r="B120" s="10" t="s">
        <v>207</v>
      </c>
      <c r="C120" s="26">
        <v>1618</v>
      </c>
      <c r="D120" s="26">
        <f ca="1">OFFSET(Node_List!$B$2,MATCH(Pipeline_Candid!A120,Node_List!$A$2:$A$999,0)-1,0)</f>
        <v>73</v>
      </c>
      <c r="E120" s="10">
        <f ca="1">OFFSET(Node_List!$B$2,MATCH(Pipeline_Candid!B120,Node_List!$A$2:$A$999,0)-1,0)</f>
        <v>78</v>
      </c>
      <c r="F120" s="265">
        <v>0</v>
      </c>
      <c r="G120" s="26">
        <v>171</v>
      </c>
      <c r="H120" s="11">
        <v>2000</v>
      </c>
      <c r="I120" s="87">
        <f>PI()*(H120/10^3/2)^2*Dashboard!$B$58*3600*24</f>
        <v>542867.2105403163</v>
      </c>
      <c r="J120" s="87">
        <f>Dashboard!$B$57*(G120*10^3)/(H120/10^3)*Dashboard!$B$58^2/2</f>
        <v>1710</v>
      </c>
      <c r="K120" s="85">
        <f>Dashboard!$B$59*G120</f>
        <v>8.5500000000000007E-2</v>
      </c>
      <c r="L120" s="85">
        <f>Dashboard!$B$60*G120</f>
        <v>5.13E-3</v>
      </c>
      <c r="M120" s="87">
        <f>Dashboard!$C$68*G120</f>
        <v>6840000</v>
      </c>
      <c r="N120" s="88">
        <f>Dashboard!$B$75*G120</f>
        <v>6241500</v>
      </c>
      <c r="O120" s="90">
        <f>Dashboard!$C$69*G120</f>
        <v>13680000</v>
      </c>
      <c r="P120" s="88">
        <f>Dashboard!$B$76*G120</f>
        <v>6241500</v>
      </c>
    </row>
  </sheetData>
  <mergeCells count="15">
    <mergeCell ref="A1:B1"/>
    <mergeCell ref="P1:P2"/>
    <mergeCell ref="M1:M2"/>
    <mergeCell ref="H1:H2"/>
    <mergeCell ref="O1:O2"/>
    <mergeCell ref="C1:C2"/>
    <mergeCell ref="D1:D2"/>
    <mergeCell ref="E1:E2"/>
    <mergeCell ref="G1:G2"/>
    <mergeCell ref="N1:N2"/>
    <mergeCell ref="I1:I2"/>
    <mergeCell ref="J1:J2"/>
    <mergeCell ref="K1:K2"/>
    <mergeCell ref="L1:L2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workbookViewId="0">
      <pane ySplit="2" topLeftCell="A3" activePane="bottomLeft" state="frozen"/>
      <selection pane="bottomLeft" sqref="A1:B1"/>
    </sheetView>
  </sheetViews>
  <sheetFormatPr defaultRowHeight="14.4" x14ac:dyDescent="0.3"/>
  <cols>
    <col min="1" max="1" width="21.77734375" style="26" customWidth="1"/>
    <col min="2" max="2" width="21.77734375" style="10" customWidth="1"/>
    <col min="3" max="3" width="6.77734375" style="26" customWidth="1"/>
    <col min="4" max="4" width="16.77734375" style="26" customWidth="1"/>
    <col min="5" max="5" width="16.77734375" style="10" customWidth="1"/>
    <col min="6" max="6" width="16.77734375" style="26" customWidth="1"/>
    <col min="7" max="7" width="16.77734375" style="84" customWidth="1"/>
    <col min="8" max="8" width="20.77734375" style="26" customWidth="1"/>
    <col min="9" max="9" width="8.88671875" style="26"/>
    <col min="10" max="16384" width="8.88671875" style="10"/>
  </cols>
  <sheetData>
    <row r="1" spans="1:9" s="21" customFormat="1" ht="14.4" customHeight="1" x14ac:dyDescent="0.3">
      <c r="A1" s="319" t="s">
        <v>107</v>
      </c>
      <c r="B1" s="322"/>
      <c r="C1" s="319" t="s">
        <v>58</v>
      </c>
      <c r="D1" s="319" t="s">
        <v>60</v>
      </c>
      <c r="E1" s="314" t="s">
        <v>61</v>
      </c>
      <c r="F1" s="315" t="s">
        <v>62</v>
      </c>
      <c r="G1" s="337" t="s">
        <v>162</v>
      </c>
      <c r="H1" s="324" t="s">
        <v>165</v>
      </c>
      <c r="I1" s="31"/>
    </row>
    <row r="2" spans="1:9" s="21" customFormat="1" x14ac:dyDescent="0.3">
      <c r="A2" s="219" t="s">
        <v>105</v>
      </c>
      <c r="B2" s="224" t="s">
        <v>106</v>
      </c>
      <c r="C2" s="319"/>
      <c r="D2" s="319"/>
      <c r="E2" s="314"/>
      <c r="F2" s="319"/>
      <c r="G2" s="337"/>
      <c r="H2" s="324"/>
      <c r="I2" s="31"/>
    </row>
    <row r="3" spans="1:9" x14ac:dyDescent="0.3">
      <c r="A3" s="26" t="s">
        <v>181</v>
      </c>
      <c r="B3" s="10" t="s">
        <v>78</v>
      </c>
      <c r="C3" s="26">
        <v>1301</v>
      </c>
      <c r="D3" s="26">
        <f ca="1">OFFSET(Node_List!$B$2,MATCH(Powerline!A3,Node_List!$A$2:$A$999,0)-1,0)</f>
        <v>1</v>
      </c>
      <c r="E3" s="10">
        <f ca="1">OFFSET(Node_List!$B$2,MATCH(Powerline!B3,Node_List!$A$2:$A$999,0)-1,0)</f>
        <v>2</v>
      </c>
      <c r="F3" s="26">
        <v>226</v>
      </c>
      <c r="G3" s="83">
        <f>Dashboard!$B$60*F3</f>
        <v>6.7800000000000004E-3</v>
      </c>
      <c r="H3" s="72">
        <f>Dashboard!$B$76*F3</f>
        <v>8249000</v>
      </c>
    </row>
    <row r="4" spans="1:9" x14ac:dyDescent="0.3">
      <c r="A4" s="26" t="s">
        <v>181</v>
      </c>
      <c r="B4" s="10" t="s">
        <v>98</v>
      </c>
      <c r="C4" s="26">
        <v>1302</v>
      </c>
      <c r="D4" s="26">
        <f ca="1">OFFSET(Node_List!$B$2,MATCH(Powerline!A4,Node_List!$A$2:$A$999,0)-1,0)</f>
        <v>1</v>
      </c>
      <c r="E4" s="10">
        <f ca="1">OFFSET(Node_List!$B$2,MATCH(Powerline!B4,Node_List!$A$2:$A$999,0)-1,0)</f>
        <v>4</v>
      </c>
      <c r="F4" s="26">
        <v>272</v>
      </c>
      <c r="G4" s="83">
        <f>Dashboard!$B$60*F4</f>
        <v>8.1600000000000006E-3</v>
      </c>
      <c r="H4" s="72">
        <f>Dashboard!$B$76*F4</f>
        <v>9928000</v>
      </c>
    </row>
    <row r="5" spans="1:9" x14ac:dyDescent="0.3">
      <c r="A5" s="26" t="s">
        <v>78</v>
      </c>
      <c r="B5" s="10" t="s">
        <v>182</v>
      </c>
      <c r="C5" s="26">
        <v>1303</v>
      </c>
      <c r="D5" s="26">
        <f ca="1">OFFSET(Node_List!$B$2,MATCH(Powerline!A5,Node_List!$A$2:$A$999,0)-1,0)</f>
        <v>2</v>
      </c>
      <c r="E5" s="10">
        <f ca="1">OFFSET(Node_List!$B$2,MATCH(Powerline!B5,Node_List!$A$2:$A$999,0)-1,0)</f>
        <v>3</v>
      </c>
      <c r="F5" s="71">
        <v>262</v>
      </c>
      <c r="G5" s="83">
        <f>Dashboard!$B$60*F5</f>
        <v>7.8600000000000007E-3</v>
      </c>
      <c r="H5" s="72">
        <f>Dashboard!$B$76*F5</f>
        <v>9563000</v>
      </c>
    </row>
    <row r="6" spans="1:9" x14ac:dyDescent="0.3">
      <c r="A6" s="26" t="s">
        <v>99</v>
      </c>
      <c r="B6" s="10" t="s">
        <v>183</v>
      </c>
      <c r="C6" s="26">
        <v>1304</v>
      </c>
      <c r="D6" s="26">
        <f ca="1">OFFSET(Node_List!$B$2,MATCH(Powerline!A6,Node_List!$A$2:$A$999,0)-1,0)</f>
        <v>5</v>
      </c>
      <c r="E6" s="10">
        <f ca="1">OFFSET(Node_List!$B$2,MATCH(Powerline!B6,Node_List!$A$2:$A$999,0)-1,0)</f>
        <v>6</v>
      </c>
      <c r="F6" s="71">
        <v>166</v>
      </c>
      <c r="G6" s="83">
        <f>Dashboard!$B$60*F6</f>
        <v>4.9800000000000001E-3</v>
      </c>
      <c r="H6" s="72">
        <f>Dashboard!$B$76*F6</f>
        <v>6059000</v>
      </c>
    </row>
    <row r="7" spans="1:9" x14ac:dyDescent="0.3">
      <c r="A7" s="26" t="s">
        <v>182</v>
      </c>
      <c r="B7" s="10" t="s">
        <v>184</v>
      </c>
      <c r="C7" s="26">
        <v>1305</v>
      </c>
      <c r="D7" s="26">
        <f ca="1">OFFSET(Node_List!$B$2,MATCH(Powerline!A7,Node_List!$A$2:$A$999,0)-1,0)</f>
        <v>3</v>
      </c>
      <c r="E7" s="10">
        <f ca="1">OFFSET(Node_List!$B$2,MATCH(Powerline!B7,Node_List!$A$2:$A$999,0)-1,0)</f>
        <v>7</v>
      </c>
      <c r="F7" s="71">
        <v>236</v>
      </c>
      <c r="G7" s="83">
        <f>Dashboard!$B$60*F7</f>
        <v>7.0800000000000004E-3</v>
      </c>
      <c r="H7" s="72">
        <f>Dashboard!$B$76*F7</f>
        <v>8614000</v>
      </c>
    </row>
    <row r="8" spans="1:9" x14ac:dyDescent="0.3">
      <c r="A8" s="26" t="s">
        <v>99</v>
      </c>
      <c r="B8" s="10" t="s">
        <v>184</v>
      </c>
      <c r="C8" s="26">
        <v>1306</v>
      </c>
      <c r="D8" s="26">
        <f ca="1">OFFSET(Node_List!$B$2,MATCH(Powerline!A8,Node_List!$A$2:$A$999,0)-1,0)</f>
        <v>5</v>
      </c>
      <c r="E8" s="10">
        <f ca="1">OFFSET(Node_List!$B$2,MATCH(Powerline!B8,Node_List!$A$2:$A$999,0)-1,0)</f>
        <v>7</v>
      </c>
      <c r="F8" s="71">
        <v>252</v>
      </c>
      <c r="G8" s="83">
        <f>Dashboard!$B$60*F8</f>
        <v>7.5599999999999999E-3</v>
      </c>
      <c r="H8" s="72">
        <f>Dashboard!$B$76*F8</f>
        <v>9198000</v>
      </c>
    </row>
    <row r="9" spans="1:9" x14ac:dyDescent="0.3">
      <c r="A9" s="26" t="s">
        <v>53</v>
      </c>
      <c r="B9" s="10" t="s">
        <v>184</v>
      </c>
      <c r="C9" s="26">
        <v>1307</v>
      </c>
      <c r="D9" s="26">
        <f ca="1">OFFSET(Node_List!$B$2,MATCH(Powerline!A9,Node_List!$A$2:$A$999,0)-1,0)</f>
        <v>8</v>
      </c>
      <c r="E9" s="10">
        <f ca="1">OFFSET(Node_List!$B$2,MATCH(Powerline!B9,Node_List!$A$2:$A$999,0)-1,0)</f>
        <v>7</v>
      </c>
      <c r="F9" s="71">
        <v>213</v>
      </c>
      <c r="G9" s="83">
        <f>Dashboard!$B$60*F9</f>
        <v>6.3899999999999998E-3</v>
      </c>
      <c r="H9" s="72">
        <f>Dashboard!$B$76*F9</f>
        <v>7774500</v>
      </c>
    </row>
    <row r="10" spans="1:9" x14ac:dyDescent="0.3">
      <c r="A10" s="26" t="s">
        <v>20</v>
      </c>
      <c r="B10" s="10" t="s">
        <v>190</v>
      </c>
      <c r="C10" s="26">
        <v>1308</v>
      </c>
      <c r="D10" s="26">
        <f ca="1">OFFSET(Node_List!$B$2,MATCH(Powerline!A10,Node_List!$A$2:$A$999,0)-1,0)</f>
        <v>21</v>
      </c>
      <c r="E10" s="10">
        <f ca="1">OFFSET(Node_List!$B$2,MATCH(Powerline!B10,Node_List!$A$2:$A$999,0)-1,0)</f>
        <v>23</v>
      </c>
      <c r="F10" s="71">
        <v>162</v>
      </c>
      <c r="G10" s="83">
        <f>Dashboard!$B$60*F10</f>
        <v>4.8599999999999997E-3</v>
      </c>
      <c r="H10" s="72">
        <f>Dashboard!$B$76*F10</f>
        <v>5913000</v>
      </c>
    </row>
    <row r="11" spans="1:9" x14ac:dyDescent="0.3">
      <c r="A11" s="26" t="s">
        <v>190</v>
      </c>
      <c r="B11" s="10" t="s">
        <v>189</v>
      </c>
      <c r="C11" s="26">
        <v>1309</v>
      </c>
      <c r="D11" s="26">
        <f ca="1">OFFSET(Node_List!$B$2,MATCH(Powerline!A11,Node_List!$A$2:$A$999,0)-1,0)</f>
        <v>23</v>
      </c>
      <c r="E11" s="10">
        <f ca="1">OFFSET(Node_List!$B$2,MATCH(Powerline!B11,Node_List!$A$2:$A$999,0)-1,0)</f>
        <v>22</v>
      </c>
      <c r="F11" s="71">
        <v>238</v>
      </c>
      <c r="G11" s="83">
        <f>Dashboard!$B$60*F11</f>
        <v>7.1400000000000005E-3</v>
      </c>
      <c r="H11" s="72">
        <f>Dashboard!$B$76*F11</f>
        <v>8687000</v>
      </c>
    </row>
    <row r="12" spans="1:9" x14ac:dyDescent="0.3">
      <c r="A12" s="26" t="s">
        <v>189</v>
      </c>
      <c r="B12" s="10" t="s">
        <v>97</v>
      </c>
      <c r="C12" s="26">
        <v>1310</v>
      </c>
      <c r="D12" s="26">
        <f ca="1">OFFSET(Node_List!$B$2,MATCH(Powerline!A12,Node_List!$A$2:$A$999,0)-1,0)</f>
        <v>22</v>
      </c>
      <c r="E12" s="10">
        <f ca="1">OFFSET(Node_List!$B$2,MATCH(Powerline!B12,Node_List!$A$2:$A$999,0)-1,0)</f>
        <v>30</v>
      </c>
      <c r="F12" s="71">
        <v>162</v>
      </c>
      <c r="G12" s="83">
        <f>Dashboard!$B$60*F12</f>
        <v>4.8599999999999997E-3</v>
      </c>
      <c r="H12" s="72">
        <f>Dashboard!$B$76*F12</f>
        <v>5913000</v>
      </c>
    </row>
    <row r="13" spans="1:9" x14ac:dyDescent="0.3">
      <c r="A13" s="26" t="s">
        <v>192</v>
      </c>
      <c r="B13" s="10" t="s">
        <v>194</v>
      </c>
      <c r="C13" s="26">
        <v>1311</v>
      </c>
      <c r="D13" s="26">
        <f ca="1">OFFSET(Node_List!$B$2,MATCH(Powerline!A13,Node_List!$A$2:$A$999,0)-1,0)</f>
        <v>28</v>
      </c>
      <c r="E13" s="10">
        <f ca="1">OFFSET(Node_List!$B$2,MATCH(Powerline!B13,Node_List!$A$2:$A$999,0)-1,0)</f>
        <v>31</v>
      </c>
      <c r="F13" s="71">
        <v>84.8</v>
      </c>
      <c r="G13" s="83">
        <f>Dashboard!$B$60*F13</f>
        <v>2.5439999999999998E-3</v>
      </c>
      <c r="H13" s="72">
        <f>Dashboard!$B$76*F13</f>
        <v>3095200</v>
      </c>
    </row>
    <row r="14" spans="1:9" x14ac:dyDescent="0.3">
      <c r="A14" s="26" t="s">
        <v>233</v>
      </c>
      <c r="B14" s="10" t="s">
        <v>194</v>
      </c>
      <c r="C14" s="26">
        <v>1312</v>
      </c>
      <c r="D14" s="26">
        <f ca="1">OFFSET(Node_List!$B$2,MATCH(Powerline!A14,Node_List!$A$2:$A$999,0)-1,0)</f>
        <v>219</v>
      </c>
      <c r="E14" s="10">
        <f ca="1">OFFSET(Node_List!$B$2,MATCH(Powerline!B14,Node_List!$A$2:$A$999,0)-1,0)</f>
        <v>31</v>
      </c>
      <c r="F14" s="71">
        <v>75.900000000000006</v>
      </c>
      <c r="G14" s="83">
        <f>Dashboard!$B$60*F14</f>
        <v>2.2770000000000004E-3</v>
      </c>
      <c r="H14" s="72">
        <f>Dashboard!$B$76*F14</f>
        <v>2770350</v>
      </c>
    </row>
    <row r="15" spans="1:9" x14ac:dyDescent="0.3">
      <c r="A15" s="26" t="s">
        <v>194</v>
      </c>
      <c r="B15" s="10" t="s">
        <v>193</v>
      </c>
      <c r="C15" s="26">
        <v>1313</v>
      </c>
      <c r="D15" s="26">
        <f ca="1">OFFSET(Node_List!$B$2,MATCH(Powerline!A15,Node_List!$A$2:$A$999,0)-1,0)</f>
        <v>31</v>
      </c>
      <c r="E15" s="10">
        <f ca="1">OFFSET(Node_List!$B$2,MATCH(Powerline!B15,Node_List!$A$2:$A$999,0)-1,0)</f>
        <v>32</v>
      </c>
      <c r="F15" s="71">
        <v>73</v>
      </c>
      <c r="G15" s="83">
        <f>Dashboard!$B$60*F15</f>
        <v>2.1900000000000001E-3</v>
      </c>
      <c r="H15" s="72">
        <f>Dashboard!$B$76*F15</f>
        <v>2664500</v>
      </c>
    </row>
    <row r="16" spans="1:9" x14ac:dyDescent="0.3">
      <c r="A16" s="26" t="s">
        <v>193</v>
      </c>
      <c r="B16" s="10" t="s">
        <v>195</v>
      </c>
      <c r="C16" s="26">
        <v>1314</v>
      </c>
      <c r="D16" s="26">
        <f ca="1">OFFSET(Node_List!$B$2,MATCH(Powerline!A16,Node_List!$A$2:$A$999,0)-1,0)</f>
        <v>32</v>
      </c>
      <c r="E16" s="10">
        <f ca="1">OFFSET(Node_List!$B$2,MATCH(Powerline!B16,Node_List!$A$2:$A$999,0)-1,0)</f>
        <v>33</v>
      </c>
      <c r="F16" s="71">
        <v>92.2</v>
      </c>
      <c r="G16" s="83">
        <f>Dashboard!$B$60*F16</f>
        <v>2.7660000000000002E-3</v>
      </c>
      <c r="H16" s="72">
        <f>Dashboard!$B$76*F16</f>
        <v>3365300</v>
      </c>
    </row>
    <row r="17" spans="1:8" x14ac:dyDescent="0.3">
      <c r="A17" s="26" t="s">
        <v>195</v>
      </c>
      <c r="B17" s="10" t="s">
        <v>4</v>
      </c>
      <c r="C17" s="26">
        <v>1315</v>
      </c>
      <c r="D17" s="26">
        <f ca="1">OFFSET(Node_List!$B$2,MATCH(Powerline!A17,Node_List!$A$2:$A$999,0)-1,0)</f>
        <v>33</v>
      </c>
      <c r="E17" s="10">
        <f ca="1">OFFSET(Node_List!$B$2,MATCH(Powerline!B17,Node_List!$A$2:$A$999,0)-1,0)</f>
        <v>35</v>
      </c>
      <c r="F17" s="71">
        <v>82.4</v>
      </c>
      <c r="G17" s="83">
        <f>Dashboard!$B$60*F17</f>
        <v>2.4720000000000002E-3</v>
      </c>
      <c r="H17" s="72">
        <f>Dashboard!$B$76*F17</f>
        <v>3007600</v>
      </c>
    </row>
    <row r="18" spans="1:8" x14ac:dyDescent="0.3">
      <c r="A18" s="26" t="s">
        <v>56</v>
      </c>
      <c r="B18" s="10" t="s">
        <v>204</v>
      </c>
      <c r="C18" s="26">
        <v>1316</v>
      </c>
      <c r="D18" s="26">
        <f ca="1">OFFSET(Node_List!$B$2,MATCH(Powerline!A18,Node_List!$A$2:$A$999,0)-1,0)</f>
        <v>70</v>
      </c>
      <c r="E18" s="10">
        <f ca="1">OFFSET(Node_List!$B$2,MATCH(Powerline!B18,Node_List!$A$2:$A$999,0)-1,0)</f>
        <v>73</v>
      </c>
      <c r="F18" s="71">
        <v>127</v>
      </c>
      <c r="G18" s="83">
        <f>Dashboard!$B$60*F18</f>
        <v>3.81E-3</v>
      </c>
      <c r="H18" s="72">
        <f>Dashboard!$B$76*F18</f>
        <v>4635500</v>
      </c>
    </row>
    <row r="19" spans="1:8" x14ac:dyDescent="0.3">
      <c r="A19" s="26" t="s">
        <v>204</v>
      </c>
      <c r="B19" s="10" t="s">
        <v>207</v>
      </c>
      <c r="C19" s="26">
        <v>1317</v>
      </c>
      <c r="D19" s="26">
        <f ca="1">OFFSET(Node_List!$B$2,MATCH(Powerline!A19,Node_List!$A$2:$A$999,0)-1,0)</f>
        <v>73</v>
      </c>
      <c r="E19" s="10">
        <f ca="1">OFFSET(Node_List!$B$2,MATCH(Powerline!B19,Node_List!$A$2:$A$999,0)-1,0)</f>
        <v>78</v>
      </c>
      <c r="F19" s="71">
        <v>171</v>
      </c>
      <c r="G19" s="83">
        <f>Dashboard!$B$60*F19</f>
        <v>5.13E-3</v>
      </c>
      <c r="H19" s="72">
        <f>Dashboard!$B$76*F19</f>
        <v>6241500</v>
      </c>
    </row>
    <row r="20" spans="1:8" x14ac:dyDescent="0.3">
      <c r="A20" s="26" t="s">
        <v>103</v>
      </c>
      <c r="B20" s="10" t="s">
        <v>214</v>
      </c>
      <c r="C20" s="26">
        <v>1318</v>
      </c>
      <c r="D20" s="26">
        <f ca="1">OFFSET(Node_List!$B$2,MATCH(Powerline!A20,Node_List!$A$2:$A$999,0)-1,0)</f>
        <v>92</v>
      </c>
      <c r="E20" s="10">
        <f ca="1">OFFSET(Node_List!$B$2,MATCH(Powerline!B20,Node_List!$A$2:$A$999,0)-1,0)</f>
        <v>91</v>
      </c>
      <c r="F20" s="71">
        <v>243</v>
      </c>
      <c r="G20" s="83">
        <f>Dashboard!$B$60*F20</f>
        <v>7.2900000000000005E-3</v>
      </c>
      <c r="H20" s="72">
        <f>Dashboard!$B$76*F20</f>
        <v>8869500</v>
      </c>
    </row>
    <row r="21" spans="1:8" x14ac:dyDescent="0.3">
      <c r="A21" s="26" t="s">
        <v>112</v>
      </c>
      <c r="B21" s="10" t="s">
        <v>214</v>
      </c>
      <c r="C21" s="26">
        <v>1319</v>
      </c>
      <c r="D21" s="26">
        <f ca="1">OFFSET(Node_List!$B$2,MATCH(Powerline!A21,Node_List!$A$2:$A$999,0)-1,0)</f>
        <v>94</v>
      </c>
      <c r="E21" s="10">
        <f ca="1">OFFSET(Node_List!$B$2,MATCH(Powerline!B21,Node_List!$A$2:$A$999,0)-1,0)</f>
        <v>91</v>
      </c>
      <c r="F21" s="71">
        <v>157</v>
      </c>
      <c r="G21" s="83">
        <f>Dashboard!$B$60*F21</f>
        <v>4.7099999999999998E-3</v>
      </c>
      <c r="H21" s="72">
        <f>Dashboard!$B$76*F21</f>
        <v>5730500</v>
      </c>
    </row>
  </sheetData>
  <mergeCells count="7">
    <mergeCell ref="A1:B1"/>
    <mergeCell ref="H1:H2"/>
    <mergeCell ref="F1:F2"/>
    <mergeCell ref="C1:C2"/>
    <mergeCell ref="D1:D2"/>
    <mergeCell ref="E1:E2"/>
    <mergeCell ref="G1:G2"/>
  </mergeCells>
  <pageMargins left="0.7" right="0.7" top="0.75" bottom="0.75" header="0.3" footer="0.3"/>
  <pageSetup paperSize="12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"/>
  <sheetViews>
    <sheetView zoomScale="80" zoomScaleNormal="80" workbookViewId="0"/>
  </sheetViews>
  <sheetFormatPr defaultRowHeight="14.4" x14ac:dyDescent="0.3"/>
  <cols>
    <col min="1" max="1" width="20.77734375" style="28" customWidth="1"/>
    <col min="2" max="16384" width="8.88671875" style="28"/>
  </cols>
  <sheetData>
    <row r="1" spans="1:2" s="218" customFormat="1" x14ac:dyDescent="0.3">
      <c r="A1" s="218" t="s">
        <v>118</v>
      </c>
      <c r="B1" s="218" t="s">
        <v>58</v>
      </c>
    </row>
    <row r="2" spans="1:2" x14ac:dyDescent="0.3">
      <c r="A2" s="89" t="s">
        <v>181</v>
      </c>
      <c r="B2" s="28">
        <v>1</v>
      </c>
    </row>
    <row r="3" spans="1:2" x14ac:dyDescent="0.3">
      <c r="A3" s="89" t="s">
        <v>78</v>
      </c>
      <c r="B3" s="28">
        <v>2</v>
      </c>
    </row>
    <row r="4" spans="1:2" x14ac:dyDescent="0.3">
      <c r="A4" s="89" t="s">
        <v>182</v>
      </c>
      <c r="B4" s="28">
        <v>3</v>
      </c>
    </row>
    <row r="5" spans="1:2" x14ac:dyDescent="0.3">
      <c r="A5" s="89" t="s">
        <v>98</v>
      </c>
      <c r="B5" s="28">
        <v>4</v>
      </c>
    </row>
    <row r="6" spans="1:2" x14ac:dyDescent="0.3">
      <c r="A6" s="89" t="s">
        <v>99</v>
      </c>
      <c r="B6" s="28">
        <v>5</v>
      </c>
    </row>
    <row r="7" spans="1:2" x14ac:dyDescent="0.3">
      <c r="A7" s="89" t="s">
        <v>183</v>
      </c>
      <c r="B7" s="28">
        <v>6</v>
      </c>
    </row>
    <row r="8" spans="1:2" x14ac:dyDescent="0.3">
      <c r="A8" s="89" t="s">
        <v>184</v>
      </c>
      <c r="B8" s="28">
        <v>7</v>
      </c>
    </row>
    <row r="9" spans="1:2" x14ac:dyDescent="0.3">
      <c r="A9" s="89" t="s">
        <v>53</v>
      </c>
      <c r="B9" s="28">
        <v>8</v>
      </c>
    </row>
    <row r="10" spans="1:2" x14ac:dyDescent="0.3">
      <c r="A10" s="89" t="s">
        <v>15</v>
      </c>
      <c r="B10" s="28">
        <v>9</v>
      </c>
    </row>
    <row r="11" spans="1:2" x14ac:dyDescent="0.3">
      <c r="A11" s="89" t="s">
        <v>22</v>
      </c>
      <c r="B11" s="28">
        <v>10</v>
      </c>
    </row>
    <row r="12" spans="1:2" x14ac:dyDescent="0.3">
      <c r="A12" s="89" t="s">
        <v>185</v>
      </c>
      <c r="B12" s="28">
        <v>11</v>
      </c>
    </row>
    <row r="13" spans="1:2" x14ac:dyDescent="0.3">
      <c r="A13" s="89" t="s">
        <v>51</v>
      </c>
      <c r="B13" s="28">
        <v>12</v>
      </c>
    </row>
    <row r="14" spans="1:2" x14ac:dyDescent="0.3">
      <c r="A14" s="89" t="s">
        <v>50</v>
      </c>
      <c r="B14" s="28">
        <v>13</v>
      </c>
    </row>
    <row r="15" spans="1:2" x14ac:dyDescent="0.3">
      <c r="A15" s="89" t="s">
        <v>52</v>
      </c>
      <c r="B15" s="28">
        <v>14</v>
      </c>
    </row>
    <row r="16" spans="1:2" x14ac:dyDescent="0.3">
      <c r="A16" s="89" t="s">
        <v>186</v>
      </c>
      <c r="B16" s="28">
        <v>15</v>
      </c>
    </row>
    <row r="17" spans="1:2" x14ac:dyDescent="0.3">
      <c r="A17" s="89" t="s">
        <v>10</v>
      </c>
      <c r="B17" s="28">
        <v>16</v>
      </c>
    </row>
    <row r="18" spans="1:2" x14ac:dyDescent="0.3">
      <c r="A18" s="89" t="s">
        <v>128</v>
      </c>
      <c r="B18" s="28">
        <v>17</v>
      </c>
    </row>
    <row r="19" spans="1:2" x14ac:dyDescent="0.3">
      <c r="A19" s="89" t="s">
        <v>14</v>
      </c>
      <c r="B19" s="28">
        <v>18</v>
      </c>
    </row>
    <row r="20" spans="1:2" x14ac:dyDescent="0.3">
      <c r="A20" s="89" t="s">
        <v>188</v>
      </c>
      <c r="B20" s="28">
        <v>19</v>
      </c>
    </row>
    <row r="21" spans="1:2" x14ac:dyDescent="0.3">
      <c r="A21" s="89" t="s">
        <v>187</v>
      </c>
      <c r="B21" s="28">
        <v>20</v>
      </c>
    </row>
    <row r="22" spans="1:2" x14ac:dyDescent="0.3">
      <c r="A22" s="89" t="s">
        <v>20</v>
      </c>
      <c r="B22" s="28">
        <v>21</v>
      </c>
    </row>
    <row r="23" spans="1:2" x14ac:dyDescent="0.3">
      <c r="A23" s="89" t="s">
        <v>189</v>
      </c>
      <c r="B23" s="28">
        <v>22</v>
      </c>
    </row>
    <row r="24" spans="1:2" x14ac:dyDescent="0.3">
      <c r="A24" s="89" t="s">
        <v>190</v>
      </c>
      <c r="B24" s="28">
        <v>23</v>
      </c>
    </row>
    <row r="25" spans="1:2" x14ac:dyDescent="0.3">
      <c r="A25" s="89" t="s">
        <v>119</v>
      </c>
      <c r="B25" s="28">
        <v>24</v>
      </c>
    </row>
    <row r="26" spans="1:2" x14ac:dyDescent="0.3">
      <c r="A26" s="89" t="s">
        <v>120</v>
      </c>
      <c r="B26" s="28">
        <v>25</v>
      </c>
    </row>
    <row r="27" spans="1:2" x14ac:dyDescent="0.3">
      <c r="A27" s="89" t="s">
        <v>71</v>
      </c>
      <c r="B27" s="28">
        <v>26</v>
      </c>
    </row>
    <row r="28" spans="1:2" x14ac:dyDescent="0.3">
      <c r="A28" s="89" t="s">
        <v>24</v>
      </c>
      <c r="B28" s="28">
        <v>27</v>
      </c>
    </row>
    <row r="29" spans="1:2" x14ac:dyDescent="0.3">
      <c r="A29" s="89" t="s">
        <v>192</v>
      </c>
      <c r="B29" s="28">
        <v>28</v>
      </c>
    </row>
    <row r="30" spans="1:2" x14ac:dyDescent="0.3">
      <c r="A30" s="89" t="s">
        <v>191</v>
      </c>
      <c r="B30" s="28">
        <v>29</v>
      </c>
    </row>
    <row r="31" spans="1:2" x14ac:dyDescent="0.3">
      <c r="A31" s="89" t="s">
        <v>97</v>
      </c>
      <c r="B31" s="28">
        <v>30</v>
      </c>
    </row>
    <row r="32" spans="1:2" x14ac:dyDescent="0.3">
      <c r="A32" s="89" t="s">
        <v>194</v>
      </c>
      <c r="B32" s="28">
        <v>31</v>
      </c>
    </row>
    <row r="33" spans="1:2" x14ac:dyDescent="0.3">
      <c r="A33" s="89" t="s">
        <v>193</v>
      </c>
      <c r="B33" s="28">
        <v>32</v>
      </c>
    </row>
    <row r="34" spans="1:2" x14ac:dyDescent="0.3">
      <c r="A34" s="89" t="s">
        <v>195</v>
      </c>
      <c r="B34" s="28">
        <v>33</v>
      </c>
    </row>
    <row r="35" spans="1:2" x14ac:dyDescent="0.3">
      <c r="A35" s="89" t="s">
        <v>13</v>
      </c>
      <c r="B35" s="28">
        <v>34</v>
      </c>
    </row>
    <row r="36" spans="1:2" x14ac:dyDescent="0.3">
      <c r="A36" s="89" t="s">
        <v>4</v>
      </c>
      <c r="B36" s="28">
        <v>35</v>
      </c>
    </row>
    <row r="37" spans="1:2" x14ac:dyDescent="0.3">
      <c r="A37" s="89" t="s">
        <v>54</v>
      </c>
      <c r="B37" s="28">
        <v>36</v>
      </c>
    </row>
    <row r="38" spans="1:2" x14ac:dyDescent="0.3">
      <c r="A38" s="89" t="s">
        <v>121</v>
      </c>
      <c r="B38" s="28">
        <v>37</v>
      </c>
    </row>
    <row r="39" spans="1:2" x14ac:dyDescent="0.3">
      <c r="A39" s="89" t="s">
        <v>198</v>
      </c>
      <c r="B39" s="28">
        <v>38</v>
      </c>
    </row>
    <row r="40" spans="1:2" x14ac:dyDescent="0.3">
      <c r="A40" s="89" t="s">
        <v>200</v>
      </c>
      <c r="B40" s="28">
        <v>39</v>
      </c>
    </row>
    <row r="41" spans="1:2" x14ac:dyDescent="0.3">
      <c r="A41" s="89" t="s">
        <v>199</v>
      </c>
      <c r="B41" s="28">
        <v>40</v>
      </c>
    </row>
    <row r="42" spans="1:2" x14ac:dyDescent="0.3">
      <c r="A42" s="89" t="s">
        <v>196</v>
      </c>
      <c r="B42" s="28">
        <v>41</v>
      </c>
    </row>
    <row r="43" spans="1:2" x14ac:dyDescent="0.3">
      <c r="A43" s="89" t="s">
        <v>39</v>
      </c>
      <c r="B43" s="28">
        <v>42</v>
      </c>
    </row>
    <row r="44" spans="1:2" x14ac:dyDescent="0.3">
      <c r="A44" s="89" t="s">
        <v>197</v>
      </c>
      <c r="B44" s="28">
        <v>43</v>
      </c>
    </row>
    <row r="45" spans="1:2" x14ac:dyDescent="0.3">
      <c r="A45" s="89" t="s">
        <v>96</v>
      </c>
      <c r="B45" s="28">
        <v>44</v>
      </c>
    </row>
    <row r="46" spans="1:2" x14ac:dyDescent="0.3">
      <c r="A46" s="89" t="s">
        <v>81</v>
      </c>
      <c r="B46" s="28">
        <v>45</v>
      </c>
    </row>
    <row r="47" spans="1:2" x14ac:dyDescent="0.3">
      <c r="A47" s="89" t="s">
        <v>108</v>
      </c>
      <c r="B47" s="28">
        <v>46</v>
      </c>
    </row>
    <row r="48" spans="1:2" x14ac:dyDescent="0.3">
      <c r="A48" s="89" t="s">
        <v>9</v>
      </c>
      <c r="B48" s="28">
        <v>47</v>
      </c>
    </row>
    <row r="49" spans="1:4" x14ac:dyDescent="0.3">
      <c r="A49" s="89" t="s">
        <v>12</v>
      </c>
      <c r="B49" s="28">
        <v>48</v>
      </c>
    </row>
    <row r="50" spans="1:4" x14ac:dyDescent="0.3">
      <c r="A50" s="89" t="s">
        <v>110</v>
      </c>
      <c r="B50" s="28">
        <v>49</v>
      </c>
    </row>
    <row r="51" spans="1:4" x14ac:dyDescent="0.3">
      <c r="A51" s="89" t="s">
        <v>57</v>
      </c>
      <c r="B51" s="28">
        <v>50</v>
      </c>
    </row>
    <row r="52" spans="1:4" x14ac:dyDescent="0.3">
      <c r="A52" s="89" t="s">
        <v>11</v>
      </c>
      <c r="B52" s="28">
        <v>51</v>
      </c>
    </row>
    <row r="53" spans="1:4" x14ac:dyDescent="0.3">
      <c r="A53" s="89" t="s">
        <v>17</v>
      </c>
      <c r="B53" s="28">
        <v>52</v>
      </c>
    </row>
    <row r="54" spans="1:4" x14ac:dyDescent="0.3">
      <c r="A54" s="89" t="s">
        <v>55</v>
      </c>
      <c r="B54" s="28">
        <v>53</v>
      </c>
    </row>
    <row r="55" spans="1:4" x14ac:dyDescent="0.3">
      <c r="A55" s="89" t="s">
        <v>203</v>
      </c>
      <c r="B55" s="28">
        <v>54</v>
      </c>
    </row>
    <row r="56" spans="1:4" x14ac:dyDescent="0.3">
      <c r="A56" s="89" t="s">
        <v>16</v>
      </c>
      <c r="B56" s="28">
        <v>55</v>
      </c>
    </row>
    <row r="57" spans="1:4" x14ac:dyDescent="0.3">
      <c r="A57" s="89" t="s">
        <v>201</v>
      </c>
      <c r="B57" s="28">
        <v>56</v>
      </c>
    </row>
    <row r="58" spans="1:4" x14ac:dyDescent="0.3">
      <c r="A58" s="89" t="s">
        <v>19</v>
      </c>
      <c r="B58" s="28">
        <v>57</v>
      </c>
    </row>
    <row r="59" spans="1:4" x14ac:dyDescent="0.3">
      <c r="A59" s="89" t="s">
        <v>7</v>
      </c>
      <c r="B59" s="28">
        <v>58</v>
      </c>
    </row>
    <row r="60" spans="1:4" x14ac:dyDescent="0.3">
      <c r="A60" s="89" t="s">
        <v>23</v>
      </c>
      <c r="B60" s="28">
        <v>59</v>
      </c>
    </row>
    <row r="61" spans="1:4" x14ac:dyDescent="0.3">
      <c r="A61" s="89" t="s">
        <v>64</v>
      </c>
      <c r="B61" s="28">
        <v>60</v>
      </c>
    </row>
    <row r="62" spans="1:4" x14ac:dyDescent="0.3">
      <c r="A62" s="89" t="s">
        <v>5</v>
      </c>
      <c r="B62" s="28">
        <v>61</v>
      </c>
    </row>
    <row r="63" spans="1:4" x14ac:dyDescent="0.3">
      <c r="A63" s="89" t="s">
        <v>115</v>
      </c>
      <c r="B63" s="28">
        <v>62</v>
      </c>
    </row>
    <row r="64" spans="1:4" x14ac:dyDescent="0.3">
      <c r="A64" s="89" t="s">
        <v>8</v>
      </c>
      <c r="B64" s="28">
        <v>63</v>
      </c>
      <c r="D64" s="89"/>
    </row>
    <row r="65" spans="1:4" x14ac:dyDescent="0.3">
      <c r="A65" s="89" t="s">
        <v>202</v>
      </c>
      <c r="B65" s="28">
        <v>64</v>
      </c>
      <c r="D65" s="89"/>
    </row>
    <row r="66" spans="1:4" x14ac:dyDescent="0.3">
      <c r="A66" s="89" t="s">
        <v>117</v>
      </c>
      <c r="B66" s="28">
        <v>65</v>
      </c>
      <c r="D66" s="89"/>
    </row>
    <row r="67" spans="1:4" x14ac:dyDescent="0.3">
      <c r="A67" s="89" t="s">
        <v>123</v>
      </c>
      <c r="B67" s="28">
        <v>66</v>
      </c>
      <c r="D67" s="89"/>
    </row>
    <row r="68" spans="1:4" x14ac:dyDescent="0.3">
      <c r="A68" s="89" t="s">
        <v>116</v>
      </c>
      <c r="B68" s="28">
        <v>67</v>
      </c>
      <c r="D68" s="89"/>
    </row>
    <row r="69" spans="1:4" x14ac:dyDescent="0.3">
      <c r="A69" s="89" t="s">
        <v>65</v>
      </c>
      <c r="B69" s="28">
        <v>68</v>
      </c>
      <c r="D69" s="89"/>
    </row>
    <row r="70" spans="1:4" x14ac:dyDescent="0.3">
      <c r="A70" s="89" t="s">
        <v>210</v>
      </c>
      <c r="B70" s="28">
        <v>69</v>
      </c>
      <c r="D70" s="89"/>
    </row>
    <row r="71" spans="1:4" x14ac:dyDescent="0.3">
      <c r="A71" s="89" t="s">
        <v>56</v>
      </c>
      <c r="B71" s="28">
        <v>70</v>
      </c>
      <c r="D71" s="89"/>
    </row>
    <row r="72" spans="1:4" x14ac:dyDescent="0.3">
      <c r="A72" s="89" t="s">
        <v>206</v>
      </c>
      <c r="B72" s="28">
        <v>71</v>
      </c>
      <c r="D72" s="89"/>
    </row>
    <row r="73" spans="1:4" x14ac:dyDescent="0.3">
      <c r="A73" s="89" t="s">
        <v>18</v>
      </c>
      <c r="B73" s="28">
        <v>72</v>
      </c>
      <c r="D73" s="89"/>
    </row>
    <row r="74" spans="1:4" x14ac:dyDescent="0.3">
      <c r="A74" s="89" t="s">
        <v>204</v>
      </c>
      <c r="B74" s="28">
        <v>73</v>
      </c>
      <c r="D74" s="89"/>
    </row>
    <row r="75" spans="1:4" x14ac:dyDescent="0.3">
      <c r="A75" s="89" t="s">
        <v>72</v>
      </c>
      <c r="B75" s="28">
        <v>74</v>
      </c>
      <c r="D75" s="89"/>
    </row>
    <row r="76" spans="1:4" x14ac:dyDescent="0.3">
      <c r="A76" s="89" t="s">
        <v>73</v>
      </c>
      <c r="B76" s="28">
        <v>75</v>
      </c>
      <c r="D76" s="89"/>
    </row>
    <row r="77" spans="1:4" x14ac:dyDescent="0.3">
      <c r="A77" s="89" t="s">
        <v>208</v>
      </c>
      <c r="B77" s="28">
        <v>76</v>
      </c>
      <c r="D77" s="89"/>
    </row>
    <row r="78" spans="1:4" x14ac:dyDescent="0.3">
      <c r="A78" s="89" t="s">
        <v>205</v>
      </c>
      <c r="B78" s="28">
        <v>77</v>
      </c>
      <c r="D78" s="89"/>
    </row>
    <row r="79" spans="1:4" x14ac:dyDescent="0.3">
      <c r="A79" s="89" t="s">
        <v>207</v>
      </c>
      <c r="B79" s="28">
        <v>78</v>
      </c>
      <c r="D79" s="89"/>
    </row>
    <row r="80" spans="1:4" x14ac:dyDescent="0.3">
      <c r="A80" s="89" t="s">
        <v>74</v>
      </c>
      <c r="B80" s="28">
        <v>79</v>
      </c>
      <c r="D80" s="89"/>
    </row>
    <row r="81" spans="1:4" x14ac:dyDescent="0.3">
      <c r="A81" s="89" t="s">
        <v>102</v>
      </c>
      <c r="B81" s="28">
        <v>80</v>
      </c>
      <c r="D81" s="89"/>
    </row>
    <row r="82" spans="1:4" x14ac:dyDescent="0.3">
      <c r="A82" s="89" t="s">
        <v>124</v>
      </c>
      <c r="B82" s="28">
        <v>81</v>
      </c>
      <c r="D82" s="89"/>
    </row>
    <row r="83" spans="1:4" x14ac:dyDescent="0.3">
      <c r="A83" s="89" t="s">
        <v>209</v>
      </c>
      <c r="B83" s="28">
        <v>82</v>
      </c>
      <c r="D83" s="89"/>
    </row>
    <row r="84" spans="1:4" x14ac:dyDescent="0.3">
      <c r="A84" s="89" t="s">
        <v>122</v>
      </c>
      <c r="B84" s="28">
        <v>83</v>
      </c>
      <c r="D84" s="89"/>
    </row>
    <row r="85" spans="1:4" x14ac:dyDescent="0.3">
      <c r="A85" s="89" t="s">
        <v>6</v>
      </c>
      <c r="B85" s="28">
        <v>84</v>
      </c>
      <c r="D85" s="89"/>
    </row>
    <row r="86" spans="1:4" x14ac:dyDescent="0.3">
      <c r="A86" s="89" t="s">
        <v>212</v>
      </c>
      <c r="B86" s="28">
        <v>85</v>
      </c>
      <c r="D86" s="89"/>
    </row>
    <row r="87" spans="1:4" x14ac:dyDescent="0.3">
      <c r="A87" s="89" t="s">
        <v>21</v>
      </c>
      <c r="B87" s="28">
        <v>86</v>
      </c>
      <c r="D87" s="89"/>
    </row>
    <row r="88" spans="1:4" x14ac:dyDescent="0.3">
      <c r="A88" s="89" t="s">
        <v>211</v>
      </c>
      <c r="B88" s="28">
        <v>87</v>
      </c>
      <c r="D88" s="89"/>
    </row>
    <row r="89" spans="1:4" x14ac:dyDescent="0.3">
      <c r="A89" s="89" t="s">
        <v>326</v>
      </c>
      <c r="B89" s="28">
        <v>88</v>
      </c>
      <c r="D89" s="89"/>
    </row>
    <row r="90" spans="1:4" x14ac:dyDescent="0.3">
      <c r="A90" s="89" t="s">
        <v>213</v>
      </c>
      <c r="B90" s="28">
        <v>89</v>
      </c>
      <c r="D90" s="89"/>
    </row>
    <row r="91" spans="1:4" x14ac:dyDescent="0.3">
      <c r="A91" s="89" t="s">
        <v>79</v>
      </c>
      <c r="B91" s="28">
        <v>90</v>
      </c>
      <c r="D91" s="89"/>
    </row>
    <row r="92" spans="1:4" x14ac:dyDescent="0.3">
      <c r="A92" s="89" t="s">
        <v>214</v>
      </c>
      <c r="B92" s="28">
        <v>91</v>
      </c>
      <c r="D92" s="89"/>
    </row>
    <row r="93" spans="1:4" x14ac:dyDescent="0.3">
      <c r="A93" s="89" t="s">
        <v>103</v>
      </c>
      <c r="B93" s="28">
        <v>92</v>
      </c>
      <c r="D93" s="89"/>
    </row>
    <row r="94" spans="1:4" x14ac:dyDescent="0.3">
      <c r="A94" s="89" t="s">
        <v>101</v>
      </c>
      <c r="B94" s="28">
        <v>93</v>
      </c>
      <c r="D94" s="89"/>
    </row>
    <row r="95" spans="1:4" x14ac:dyDescent="0.3">
      <c r="A95" s="89" t="s">
        <v>112</v>
      </c>
      <c r="B95" s="28">
        <v>94</v>
      </c>
      <c r="D95" s="89"/>
    </row>
    <row r="96" spans="1:4" x14ac:dyDescent="0.3">
      <c r="A96" s="89" t="s">
        <v>100</v>
      </c>
      <c r="B96" s="28">
        <v>95</v>
      </c>
      <c r="D96" s="89"/>
    </row>
    <row r="97" spans="1:4" x14ac:dyDescent="0.3">
      <c r="A97" s="89" t="s">
        <v>127</v>
      </c>
      <c r="B97" s="28">
        <v>96</v>
      </c>
      <c r="D97" s="89"/>
    </row>
    <row r="98" spans="1:4" s="117" customFormat="1" x14ac:dyDescent="0.3">
      <c r="A98" s="115" t="s">
        <v>126</v>
      </c>
      <c r="B98" s="117">
        <v>97</v>
      </c>
      <c r="D98" s="115"/>
    </row>
    <row r="99" spans="1:4" x14ac:dyDescent="0.3">
      <c r="A99" s="194" t="s">
        <v>331</v>
      </c>
      <c r="B99" s="28">
        <v>101</v>
      </c>
      <c r="D99" s="89"/>
    </row>
    <row r="100" spans="1:4" x14ac:dyDescent="0.3">
      <c r="A100" s="131" t="s">
        <v>291</v>
      </c>
      <c r="B100" s="28">
        <v>102</v>
      </c>
      <c r="D100" s="89"/>
    </row>
    <row r="101" spans="1:4" x14ac:dyDescent="0.3">
      <c r="A101" s="131" t="s">
        <v>292</v>
      </c>
      <c r="B101" s="28">
        <v>103</v>
      </c>
      <c r="D101" s="89"/>
    </row>
    <row r="102" spans="1:4" x14ac:dyDescent="0.3">
      <c r="A102" s="131" t="s">
        <v>333</v>
      </c>
      <c r="B102" s="28">
        <v>104</v>
      </c>
      <c r="D102" s="89"/>
    </row>
    <row r="103" spans="1:4" x14ac:dyDescent="0.3">
      <c r="A103" s="202" t="s">
        <v>334</v>
      </c>
      <c r="B103" s="28">
        <v>105</v>
      </c>
      <c r="D103" s="89"/>
    </row>
    <row r="104" spans="1:4" x14ac:dyDescent="0.3">
      <c r="A104" s="131" t="s">
        <v>302</v>
      </c>
      <c r="B104" s="28">
        <v>106</v>
      </c>
      <c r="D104" s="89"/>
    </row>
    <row r="105" spans="1:4" x14ac:dyDescent="0.3">
      <c r="A105" s="131" t="s">
        <v>303</v>
      </c>
      <c r="B105" s="28">
        <v>107</v>
      </c>
      <c r="D105" s="89"/>
    </row>
    <row r="106" spans="1:4" x14ac:dyDescent="0.3">
      <c r="A106" s="202" t="s">
        <v>301</v>
      </c>
      <c r="B106" s="28">
        <v>108</v>
      </c>
      <c r="D106" s="89"/>
    </row>
    <row r="107" spans="1:4" x14ac:dyDescent="0.3">
      <c r="A107" s="131" t="s">
        <v>304</v>
      </c>
      <c r="B107" s="28">
        <v>109</v>
      </c>
      <c r="D107" s="89"/>
    </row>
    <row r="108" spans="1:4" x14ac:dyDescent="0.3">
      <c r="A108" s="131" t="s">
        <v>305</v>
      </c>
      <c r="B108" s="28">
        <v>110</v>
      </c>
      <c r="D108" s="89"/>
    </row>
    <row r="109" spans="1:4" x14ac:dyDescent="0.3">
      <c r="A109" s="131" t="s">
        <v>311</v>
      </c>
      <c r="B109" s="28">
        <v>111</v>
      </c>
      <c r="D109" s="89"/>
    </row>
    <row r="110" spans="1:4" x14ac:dyDescent="0.3">
      <c r="A110" s="131" t="s">
        <v>295</v>
      </c>
      <c r="B110" s="28">
        <v>112</v>
      </c>
      <c r="D110" s="89"/>
    </row>
    <row r="111" spans="1:4" x14ac:dyDescent="0.3">
      <c r="A111" s="131" t="s">
        <v>296</v>
      </c>
      <c r="B111" s="28">
        <v>113</v>
      </c>
      <c r="D111" s="89"/>
    </row>
    <row r="112" spans="1:4" x14ac:dyDescent="0.3">
      <c r="A112" s="131" t="s">
        <v>293</v>
      </c>
      <c r="B112" s="28">
        <v>114</v>
      </c>
      <c r="D112" s="89"/>
    </row>
    <row r="113" spans="1:4" x14ac:dyDescent="0.3">
      <c r="A113" s="131" t="s">
        <v>294</v>
      </c>
      <c r="B113" s="28">
        <v>115</v>
      </c>
      <c r="D113" s="89"/>
    </row>
    <row r="114" spans="1:4" x14ac:dyDescent="0.3">
      <c r="A114" s="131" t="s">
        <v>330</v>
      </c>
      <c r="B114" s="28">
        <v>116</v>
      </c>
      <c r="D114" s="89"/>
    </row>
    <row r="115" spans="1:4" x14ac:dyDescent="0.3">
      <c r="A115" s="194" t="s">
        <v>327</v>
      </c>
      <c r="B115" s="28">
        <v>117</v>
      </c>
      <c r="D115" s="89"/>
    </row>
    <row r="116" spans="1:4" x14ac:dyDescent="0.3">
      <c r="A116" s="131" t="s">
        <v>284</v>
      </c>
      <c r="B116" s="28">
        <v>118</v>
      </c>
      <c r="D116" s="89"/>
    </row>
    <row r="117" spans="1:4" x14ac:dyDescent="0.3">
      <c r="A117" s="131" t="s">
        <v>287</v>
      </c>
      <c r="B117" s="28">
        <v>119</v>
      </c>
      <c r="D117" s="89"/>
    </row>
    <row r="118" spans="1:4" x14ac:dyDescent="0.3">
      <c r="A118" s="131" t="s">
        <v>286</v>
      </c>
      <c r="B118" s="28">
        <v>120</v>
      </c>
      <c r="D118" s="89"/>
    </row>
    <row r="119" spans="1:4" x14ac:dyDescent="0.3">
      <c r="A119" s="194" t="s">
        <v>285</v>
      </c>
      <c r="B119" s="28">
        <v>121</v>
      </c>
      <c r="D119" s="89"/>
    </row>
    <row r="120" spans="1:4" x14ac:dyDescent="0.3">
      <c r="A120" s="194" t="s">
        <v>329</v>
      </c>
      <c r="B120" s="28">
        <v>122</v>
      </c>
      <c r="D120" s="89"/>
    </row>
    <row r="121" spans="1:4" x14ac:dyDescent="0.3">
      <c r="A121" s="131" t="s">
        <v>323</v>
      </c>
      <c r="B121" s="28">
        <v>123</v>
      </c>
      <c r="D121" s="89"/>
    </row>
    <row r="122" spans="1:4" x14ac:dyDescent="0.3">
      <c r="A122" s="131" t="s">
        <v>325</v>
      </c>
      <c r="B122" s="28">
        <v>124</v>
      </c>
      <c r="D122" s="89"/>
    </row>
    <row r="123" spans="1:4" x14ac:dyDescent="0.3">
      <c r="A123" s="202" t="s">
        <v>310</v>
      </c>
      <c r="B123" s="28">
        <v>125</v>
      </c>
      <c r="D123" s="89"/>
    </row>
    <row r="124" spans="1:4" x14ac:dyDescent="0.3">
      <c r="A124" s="131" t="s">
        <v>299</v>
      </c>
      <c r="B124" s="28">
        <v>126</v>
      </c>
      <c r="D124" s="89"/>
    </row>
    <row r="125" spans="1:4" x14ac:dyDescent="0.3">
      <c r="A125" s="202" t="s">
        <v>300</v>
      </c>
      <c r="B125" s="28">
        <v>127</v>
      </c>
      <c r="D125" s="89"/>
    </row>
    <row r="126" spans="1:4" x14ac:dyDescent="0.3">
      <c r="A126" s="131" t="s">
        <v>307</v>
      </c>
      <c r="B126" s="28">
        <v>128</v>
      </c>
      <c r="D126" s="89"/>
    </row>
    <row r="127" spans="1:4" x14ac:dyDescent="0.3">
      <c r="A127" s="131" t="s">
        <v>309</v>
      </c>
      <c r="B127" s="28">
        <v>129</v>
      </c>
      <c r="D127" s="89"/>
    </row>
    <row r="128" spans="1:4" x14ac:dyDescent="0.3">
      <c r="A128" s="131" t="s">
        <v>308</v>
      </c>
      <c r="B128" s="28">
        <v>130</v>
      </c>
      <c r="D128" s="89"/>
    </row>
    <row r="129" spans="1:4" x14ac:dyDescent="0.3">
      <c r="A129" s="194" t="s">
        <v>297</v>
      </c>
      <c r="B129" s="28">
        <v>131</v>
      </c>
      <c r="D129" s="89"/>
    </row>
    <row r="130" spans="1:4" x14ac:dyDescent="0.3">
      <c r="A130" s="202" t="s">
        <v>298</v>
      </c>
      <c r="B130" s="28">
        <v>132</v>
      </c>
      <c r="D130" s="89"/>
    </row>
    <row r="131" spans="1:4" x14ac:dyDescent="0.3">
      <c r="A131" s="194"/>
      <c r="D131" s="89"/>
    </row>
    <row r="132" spans="1:4" x14ac:dyDescent="0.3">
      <c r="A132" s="194"/>
      <c r="D132" s="89"/>
    </row>
    <row r="133" spans="1:4" x14ac:dyDescent="0.3">
      <c r="A133" s="89"/>
      <c r="D133" s="89"/>
    </row>
    <row r="134" spans="1:4" x14ac:dyDescent="0.3">
      <c r="A134" s="194"/>
      <c r="D134" s="89"/>
    </row>
    <row r="135" spans="1:4" x14ac:dyDescent="0.3">
      <c r="A135" s="125"/>
      <c r="D135" s="89"/>
    </row>
    <row r="136" spans="1:4" x14ac:dyDescent="0.3">
      <c r="A136" s="125"/>
      <c r="D136" s="89"/>
    </row>
    <row r="137" spans="1:4" x14ac:dyDescent="0.3">
      <c r="A137" s="194"/>
      <c r="D137" s="89"/>
    </row>
    <row r="138" spans="1:4" x14ac:dyDescent="0.3">
      <c r="A138" s="194"/>
      <c r="D138" s="89"/>
    </row>
    <row r="139" spans="1:4" x14ac:dyDescent="0.3">
      <c r="A139" s="194"/>
      <c r="D139" s="89"/>
    </row>
    <row r="140" spans="1:4" x14ac:dyDescent="0.3">
      <c r="A140" s="89"/>
      <c r="D140" s="89"/>
    </row>
    <row r="141" spans="1:4" x14ac:dyDescent="0.3">
      <c r="A141" s="125"/>
      <c r="D141" s="89"/>
    </row>
    <row r="142" spans="1:4" x14ac:dyDescent="0.3">
      <c r="A142" s="194"/>
      <c r="D142" s="89"/>
    </row>
    <row r="143" spans="1:4" x14ac:dyDescent="0.3">
      <c r="A143" s="194"/>
      <c r="D143" s="89"/>
    </row>
    <row r="144" spans="1:4" x14ac:dyDescent="0.3">
      <c r="A144" s="194"/>
      <c r="D144" s="89"/>
    </row>
    <row r="145" spans="1:4" x14ac:dyDescent="0.3">
      <c r="A145" s="217"/>
      <c r="D145" s="89"/>
    </row>
    <row r="146" spans="1:4" x14ac:dyDescent="0.3">
      <c r="A146" s="125"/>
      <c r="D146" s="89"/>
    </row>
    <row r="147" spans="1:4" x14ac:dyDescent="0.3">
      <c r="A147" s="125"/>
      <c r="D147" s="89"/>
    </row>
    <row r="148" spans="1:4" x14ac:dyDescent="0.3">
      <c r="A148" s="125"/>
      <c r="D148" s="89"/>
    </row>
    <row r="149" spans="1:4" x14ac:dyDescent="0.3">
      <c r="A149" s="125"/>
      <c r="D149" s="89"/>
    </row>
    <row r="150" spans="1:4" x14ac:dyDescent="0.3">
      <c r="A150" s="125"/>
      <c r="D150" s="89"/>
    </row>
    <row r="151" spans="1:4" x14ac:dyDescent="0.3">
      <c r="A151" s="125"/>
      <c r="D151" s="89"/>
    </row>
    <row r="152" spans="1:4" s="117" customFormat="1" x14ac:dyDescent="0.3">
      <c r="A152" s="144"/>
      <c r="D152" s="115"/>
    </row>
    <row r="153" spans="1:4" x14ac:dyDescent="0.3">
      <c r="A153" s="28" t="s">
        <v>216</v>
      </c>
      <c r="B153" s="28">
        <v>201</v>
      </c>
      <c r="D153" s="89"/>
    </row>
    <row r="154" spans="1:4" x14ac:dyDescent="0.3">
      <c r="A154" s="28" t="s">
        <v>217</v>
      </c>
      <c r="B154" s="28">
        <v>202</v>
      </c>
      <c r="D154" s="89"/>
    </row>
    <row r="155" spans="1:4" x14ac:dyDescent="0.3">
      <c r="A155" s="28" t="s">
        <v>215</v>
      </c>
      <c r="B155" s="28">
        <v>203</v>
      </c>
      <c r="D155" s="89"/>
    </row>
    <row r="156" spans="1:4" x14ac:dyDescent="0.3">
      <c r="A156" s="28" t="s">
        <v>218</v>
      </c>
      <c r="B156" s="28">
        <v>204</v>
      </c>
      <c r="D156" s="89"/>
    </row>
    <row r="157" spans="1:4" x14ac:dyDescent="0.3">
      <c r="A157" s="28" t="s">
        <v>223</v>
      </c>
      <c r="B157" s="28">
        <v>205</v>
      </c>
      <c r="D157" s="89"/>
    </row>
    <row r="158" spans="1:4" x14ac:dyDescent="0.3">
      <c r="A158" s="28" t="s">
        <v>219</v>
      </c>
      <c r="B158" s="28">
        <v>206</v>
      </c>
      <c r="D158" s="89"/>
    </row>
    <row r="159" spans="1:4" x14ac:dyDescent="0.3">
      <c r="A159" s="28" t="s">
        <v>221</v>
      </c>
      <c r="B159" s="28">
        <v>207</v>
      </c>
      <c r="D159" s="89"/>
    </row>
    <row r="160" spans="1:4" x14ac:dyDescent="0.3">
      <c r="A160" s="28" t="s">
        <v>222</v>
      </c>
      <c r="B160" s="28">
        <v>208</v>
      </c>
      <c r="D160" s="89"/>
    </row>
    <row r="161" spans="1:4" x14ac:dyDescent="0.3">
      <c r="A161" s="28" t="s">
        <v>220</v>
      </c>
      <c r="B161" s="28">
        <v>209</v>
      </c>
      <c r="D161" s="89"/>
    </row>
    <row r="162" spans="1:4" x14ac:dyDescent="0.3">
      <c r="A162" s="28" t="s">
        <v>224</v>
      </c>
      <c r="B162" s="28">
        <v>210</v>
      </c>
      <c r="D162" s="89"/>
    </row>
    <row r="163" spans="1:4" x14ac:dyDescent="0.3">
      <c r="A163" s="28" t="s">
        <v>225</v>
      </c>
      <c r="B163" s="28">
        <v>211</v>
      </c>
      <c r="D163" s="89"/>
    </row>
    <row r="164" spans="1:4" x14ac:dyDescent="0.3">
      <c r="A164" s="28" t="s">
        <v>227</v>
      </c>
      <c r="B164" s="28">
        <v>212</v>
      </c>
      <c r="D164" s="89"/>
    </row>
    <row r="165" spans="1:4" x14ac:dyDescent="0.3">
      <c r="A165" s="28" t="s">
        <v>226</v>
      </c>
      <c r="B165" s="28">
        <v>213</v>
      </c>
      <c r="D165" s="89"/>
    </row>
    <row r="166" spans="1:4" x14ac:dyDescent="0.3">
      <c r="A166" s="28" t="s">
        <v>228</v>
      </c>
      <c r="B166" s="28">
        <v>214</v>
      </c>
      <c r="D166" s="89"/>
    </row>
    <row r="167" spans="1:4" x14ac:dyDescent="0.3">
      <c r="A167" s="28" t="s">
        <v>229</v>
      </c>
      <c r="B167" s="28">
        <v>215</v>
      </c>
      <c r="D167" s="89"/>
    </row>
    <row r="168" spans="1:4" x14ac:dyDescent="0.3">
      <c r="A168" s="28" t="s">
        <v>230</v>
      </c>
      <c r="B168" s="28">
        <v>216</v>
      </c>
      <c r="D168" s="89"/>
    </row>
    <row r="169" spans="1:4" x14ac:dyDescent="0.3">
      <c r="A169" s="28" t="s">
        <v>231</v>
      </c>
      <c r="B169" s="28">
        <v>217</v>
      </c>
      <c r="D169" s="89"/>
    </row>
    <row r="170" spans="1:4" x14ac:dyDescent="0.3">
      <c r="A170" s="28" t="s">
        <v>232</v>
      </c>
      <c r="B170" s="28">
        <v>218</v>
      </c>
      <c r="D170" s="89"/>
    </row>
    <row r="171" spans="1:4" x14ac:dyDescent="0.3">
      <c r="A171" s="28" t="s">
        <v>233</v>
      </c>
      <c r="B171" s="28">
        <v>219</v>
      </c>
      <c r="D171" s="89"/>
    </row>
    <row r="172" spans="1:4" x14ac:dyDescent="0.3">
      <c r="A172" s="28" t="s">
        <v>234</v>
      </c>
      <c r="B172" s="28">
        <v>220</v>
      </c>
      <c r="D172" s="89"/>
    </row>
    <row r="173" spans="1:4" x14ac:dyDescent="0.3">
      <c r="A173" s="28" t="s">
        <v>235</v>
      </c>
      <c r="B173" s="28">
        <v>221</v>
      </c>
      <c r="D173" s="89"/>
    </row>
    <row r="174" spans="1:4" x14ac:dyDescent="0.3">
      <c r="A174" s="28" t="s">
        <v>236</v>
      </c>
      <c r="B174" s="28">
        <v>222</v>
      </c>
      <c r="D174" s="89"/>
    </row>
    <row r="175" spans="1:4" x14ac:dyDescent="0.3">
      <c r="A175" s="28" t="s">
        <v>237</v>
      </c>
      <c r="B175" s="28">
        <v>223</v>
      </c>
      <c r="D175" s="89"/>
    </row>
    <row r="176" spans="1:4" x14ac:dyDescent="0.3">
      <c r="A176" s="28" t="s">
        <v>238</v>
      </c>
      <c r="B176" s="28">
        <v>224</v>
      </c>
      <c r="D176" s="89"/>
    </row>
    <row r="177" spans="1:4" x14ac:dyDescent="0.3">
      <c r="A177" s="28" t="s">
        <v>239</v>
      </c>
      <c r="B177" s="28">
        <v>225</v>
      </c>
      <c r="D177" s="89"/>
    </row>
    <row r="178" spans="1:4" x14ac:dyDescent="0.3">
      <c r="A178" s="28" t="s">
        <v>241</v>
      </c>
      <c r="B178" s="28">
        <v>226</v>
      </c>
      <c r="D178" s="89"/>
    </row>
    <row r="179" spans="1:4" x14ac:dyDescent="0.3">
      <c r="A179" s="28" t="s">
        <v>240</v>
      </c>
      <c r="B179" s="28">
        <v>227</v>
      </c>
      <c r="D179" s="89"/>
    </row>
    <row r="180" spans="1:4" x14ac:dyDescent="0.3">
      <c r="A180" s="28" t="s">
        <v>262</v>
      </c>
      <c r="B180" s="28">
        <v>228</v>
      </c>
      <c r="D180" s="89"/>
    </row>
    <row r="181" spans="1:4" x14ac:dyDescent="0.3">
      <c r="A181" s="28" t="s">
        <v>242</v>
      </c>
      <c r="B181" s="28">
        <v>229</v>
      </c>
      <c r="D181" s="89"/>
    </row>
    <row r="182" spans="1:4" x14ac:dyDescent="0.3">
      <c r="A182" s="28" t="s">
        <v>243</v>
      </c>
      <c r="B182" s="28">
        <v>230</v>
      </c>
      <c r="D182" s="89"/>
    </row>
    <row r="183" spans="1:4" x14ac:dyDescent="0.3">
      <c r="A183" s="28" t="s">
        <v>335</v>
      </c>
      <c r="B183" s="28">
        <v>231</v>
      </c>
      <c r="D183" s="89"/>
    </row>
    <row r="184" spans="1:4" x14ac:dyDescent="0.3">
      <c r="A184" s="28" t="s">
        <v>244</v>
      </c>
      <c r="B184" s="28">
        <v>232</v>
      </c>
      <c r="D184" s="89"/>
    </row>
    <row r="185" spans="1:4" x14ac:dyDescent="0.3">
      <c r="A185" s="28" t="s">
        <v>245</v>
      </c>
      <c r="B185" s="28">
        <v>233</v>
      </c>
      <c r="D185" s="89"/>
    </row>
    <row r="186" spans="1:4" x14ac:dyDescent="0.3">
      <c r="A186" s="28" t="s">
        <v>246</v>
      </c>
      <c r="B186" s="28">
        <v>234</v>
      </c>
    </row>
    <row r="187" spans="1:4" x14ac:dyDescent="0.3">
      <c r="A187" s="28" t="s">
        <v>247</v>
      </c>
      <c r="B187" s="28">
        <v>235</v>
      </c>
    </row>
    <row r="188" spans="1:4" x14ac:dyDescent="0.3">
      <c r="A188" s="28" t="s">
        <v>248</v>
      </c>
      <c r="B188" s="28">
        <v>236</v>
      </c>
    </row>
    <row r="189" spans="1:4" x14ac:dyDescent="0.3">
      <c r="A189" s="28" t="s">
        <v>249</v>
      </c>
      <c r="B189" s="28">
        <v>237</v>
      </c>
    </row>
    <row r="190" spans="1:4" x14ac:dyDescent="0.3">
      <c r="A190" s="28" t="s">
        <v>250</v>
      </c>
      <c r="B190" s="28">
        <v>238</v>
      </c>
    </row>
    <row r="191" spans="1:4" x14ac:dyDescent="0.3">
      <c r="A191" s="28" t="s">
        <v>251</v>
      </c>
      <c r="B191" s="28">
        <v>239</v>
      </c>
    </row>
    <row r="192" spans="1:4" x14ac:dyDescent="0.3">
      <c r="A192" s="28" t="s">
        <v>252</v>
      </c>
      <c r="B192" s="28">
        <v>240</v>
      </c>
    </row>
    <row r="193" spans="1:2" x14ac:dyDescent="0.3">
      <c r="A193" s="28" t="s">
        <v>253</v>
      </c>
      <c r="B193" s="28">
        <v>241</v>
      </c>
    </row>
    <row r="194" spans="1:2" x14ac:dyDescent="0.3">
      <c r="A194" s="28" t="s">
        <v>254</v>
      </c>
      <c r="B194" s="28">
        <v>242</v>
      </c>
    </row>
    <row r="195" spans="1:2" x14ac:dyDescent="0.3">
      <c r="A195" s="28" t="s">
        <v>261</v>
      </c>
      <c r="B195" s="28">
        <v>243</v>
      </c>
    </row>
    <row r="196" spans="1:2" x14ac:dyDescent="0.3">
      <c r="A196" s="28" t="s">
        <v>255</v>
      </c>
      <c r="B196" s="28">
        <v>244</v>
      </c>
    </row>
    <row r="197" spans="1:2" x14ac:dyDescent="0.3">
      <c r="A197" s="28" t="s">
        <v>256</v>
      </c>
      <c r="B197" s="28">
        <v>245</v>
      </c>
    </row>
    <row r="198" spans="1:2" x14ac:dyDescent="0.3">
      <c r="A198" s="28" t="s">
        <v>257</v>
      </c>
      <c r="B198" s="28">
        <v>246</v>
      </c>
    </row>
    <row r="199" spans="1:2" x14ac:dyDescent="0.3">
      <c r="A199" s="28" t="s">
        <v>258</v>
      </c>
      <c r="B199" s="28">
        <v>247</v>
      </c>
    </row>
    <row r="200" spans="1:2" x14ac:dyDescent="0.3">
      <c r="A200" s="28" t="s">
        <v>259</v>
      </c>
      <c r="B200" s="28">
        <v>248</v>
      </c>
    </row>
    <row r="201" spans="1:2" x14ac:dyDescent="0.3">
      <c r="A201" s="28" t="s">
        <v>260</v>
      </c>
      <c r="B201" s="28">
        <v>249</v>
      </c>
    </row>
    <row r="202" spans="1:2" x14ac:dyDescent="0.3">
      <c r="A202" s="28" t="s">
        <v>282</v>
      </c>
      <c r="B202" s="28">
        <v>250</v>
      </c>
    </row>
    <row r="203" spans="1:2" x14ac:dyDescent="0.3">
      <c r="A203" s="89" t="s">
        <v>279</v>
      </c>
      <c r="B203" s="28">
        <v>251</v>
      </c>
    </row>
    <row r="204" spans="1:2" x14ac:dyDescent="0.3">
      <c r="A204" s="89" t="s">
        <v>280</v>
      </c>
      <c r="B204" s="28">
        <v>252</v>
      </c>
    </row>
    <row r="205" spans="1:2" x14ac:dyDescent="0.3">
      <c r="A205" s="89" t="s">
        <v>281</v>
      </c>
      <c r="B205" s="28">
        <v>253</v>
      </c>
    </row>
    <row r="206" spans="1:2" x14ac:dyDescent="0.3">
      <c r="A206" s="28" t="s">
        <v>277</v>
      </c>
      <c r="B206" s="28">
        <v>254</v>
      </c>
    </row>
    <row r="207" spans="1:2" x14ac:dyDescent="0.3">
      <c r="A207" s="28" t="s">
        <v>278</v>
      </c>
      <c r="B207" s="28">
        <v>255</v>
      </c>
    </row>
    <row r="208" spans="1:2" x14ac:dyDescent="0.3">
      <c r="A208" s="28" t="s">
        <v>276</v>
      </c>
      <c r="B208" s="28">
        <v>256</v>
      </c>
    </row>
    <row r="209" spans="1:2" x14ac:dyDescent="0.3">
      <c r="A209" s="28" t="s">
        <v>275</v>
      </c>
      <c r="B209" s="28">
        <v>257</v>
      </c>
    </row>
    <row r="210" spans="1:2" x14ac:dyDescent="0.3">
      <c r="A210" s="28" t="s">
        <v>263</v>
      </c>
      <c r="B210" s="28">
        <v>258</v>
      </c>
    </row>
    <row r="211" spans="1:2" x14ac:dyDescent="0.3">
      <c r="A211" s="28" t="s">
        <v>265</v>
      </c>
      <c r="B211" s="28">
        <v>259</v>
      </c>
    </row>
    <row r="212" spans="1:2" x14ac:dyDescent="0.3">
      <c r="A212" s="28" t="s">
        <v>264</v>
      </c>
      <c r="B212" s="28">
        <v>260</v>
      </c>
    </row>
    <row r="213" spans="1:2" x14ac:dyDescent="0.3">
      <c r="A213" s="28" t="s">
        <v>266</v>
      </c>
      <c r="B213" s="28">
        <v>261</v>
      </c>
    </row>
    <row r="214" spans="1:2" x14ac:dyDescent="0.3">
      <c r="A214" s="28" t="s">
        <v>267</v>
      </c>
      <c r="B214" s="28">
        <v>262</v>
      </c>
    </row>
    <row r="215" spans="1:2" x14ac:dyDescent="0.3">
      <c r="A215" s="28" t="s">
        <v>268</v>
      </c>
      <c r="B215" s="28">
        <v>263</v>
      </c>
    </row>
    <row r="216" spans="1:2" x14ac:dyDescent="0.3">
      <c r="A216" s="28" t="s">
        <v>269</v>
      </c>
      <c r="B216" s="28">
        <v>264</v>
      </c>
    </row>
    <row r="217" spans="1:2" x14ac:dyDescent="0.3">
      <c r="A217" s="28" t="s">
        <v>270</v>
      </c>
      <c r="B217" s="28">
        <v>265</v>
      </c>
    </row>
    <row r="218" spans="1:2" x14ac:dyDescent="0.3">
      <c r="A218" s="28" t="s">
        <v>271</v>
      </c>
      <c r="B218" s="28">
        <v>266</v>
      </c>
    </row>
    <row r="219" spans="1:2" x14ac:dyDescent="0.3">
      <c r="A219" s="28" t="s">
        <v>272</v>
      </c>
      <c r="B219" s="28">
        <v>267</v>
      </c>
    </row>
    <row r="220" spans="1:2" x14ac:dyDescent="0.3">
      <c r="A220" s="28" t="s">
        <v>273</v>
      </c>
      <c r="B220" s="28">
        <v>268</v>
      </c>
    </row>
    <row r="221" spans="1:2" s="117" customFormat="1" x14ac:dyDescent="0.3">
      <c r="A221" s="117" t="s">
        <v>274</v>
      </c>
      <c r="B221" s="117">
        <v>269</v>
      </c>
    </row>
    <row r="222" spans="1:2" x14ac:dyDescent="0.3">
      <c r="A222" s="131" t="s">
        <v>322</v>
      </c>
      <c r="B222" s="28">
        <v>501</v>
      </c>
    </row>
    <row r="223" spans="1:2" x14ac:dyDescent="0.3">
      <c r="A223" s="19" t="s">
        <v>315</v>
      </c>
      <c r="B223" s="28">
        <v>502</v>
      </c>
    </row>
    <row r="224" spans="1:2" x14ac:dyDescent="0.3">
      <c r="A224" s="19" t="s">
        <v>319</v>
      </c>
      <c r="B224" s="28">
        <v>503</v>
      </c>
    </row>
    <row r="225" spans="1:2" x14ac:dyDescent="0.3">
      <c r="A225" s="19" t="s">
        <v>318</v>
      </c>
      <c r="B225" s="28">
        <v>504</v>
      </c>
    </row>
    <row r="226" spans="1:2" x14ac:dyDescent="0.3">
      <c r="A226" s="19" t="s">
        <v>320</v>
      </c>
      <c r="B226" s="28">
        <v>505</v>
      </c>
    </row>
    <row r="227" spans="1:2" x14ac:dyDescent="0.3">
      <c r="A227" s="19" t="s">
        <v>317</v>
      </c>
      <c r="B227" s="28">
        <v>506</v>
      </c>
    </row>
    <row r="228" spans="1:2" x14ac:dyDescent="0.3">
      <c r="A228" s="131" t="s">
        <v>316</v>
      </c>
      <c r="B228" s="28">
        <v>507</v>
      </c>
    </row>
    <row r="229" spans="1:2" x14ac:dyDescent="0.3">
      <c r="A229" s="19" t="s">
        <v>314</v>
      </c>
      <c r="B229" s="28">
        <v>508</v>
      </c>
    </row>
    <row r="230" spans="1:2" x14ac:dyDescent="0.3">
      <c r="A230" s="19" t="s">
        <v>313</v>
      </c>
      <c r="B230" s="28">
        <v>509</v>
      </c>
    </row>
    <row r="231" spans="1:2" x14ac:dyDescent="0.3">
      <c r="A231" s="131" t="s">
        <v>321</v>
      </c>
      <c r="B231" s="28">
        <v>510</v>
      </c>
    </row>
    <row r="232" spans="1:2" x14ac:dyDescent="0.3">
      <c r="A232" s="131"/>
    </row>
    <row r="233" spans="1:2" x14ac:dyDescent="0.3">
      <c r="A233" s="131"/>
    </row>
    <row r="234" spans="1:2" x14ac:dyDescent="0.3">
      <c r="A234" s="131"/>
    </row>
    <row r="235" spans="1:2" x14ac:dyDescent="0.3">
      <c r="A235" s="18"/>
    </row>
    <row r="236" spans="1:2" x14ac:dyDescent="0.3">
      <c r="A236" s="131"/>
    </row>
    <row r="237" spans="1:2" x14ac:dyDescent="0.3">
      <c r="A237" s="131"/>
    </row>
    <row r="238" spans="1:2" s="117" customFormat="1" x14ac:dyDescent="0.3">
      <c r="A238" s="2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City</vt:lpstr>
      <vt:lpstr>Desal</vt:lpstr>
      <vt:lpstr>Desal_Candid</vt:lpstr>
      <vt:lpstr>Power</vt:lpstr>
      <vt:lpstr>Pipeline</vt:lpstr>
      <vt:lpstr>Pipeline_Candid</vt:lpstr>
      <vt:lpstr>Powerline</vt:lpstr>
      <vt:lpstr>Node_List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</dc:creator>
  <cp:lastModifiedBy>Takuto</cp:lastModifiedBy>
  <dcterms:created xsi:type="dcterms:W3CDTF">2012-10-02T21:13:43Z</dcterms:created>
  <dcterms:modified xsi:type="dcterms:W3CDTF">2014-08-13T05:08:16Z</dcterms:modified>
</cp:coreProperties>
</file>