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tb\OneDrive\Desktop\"/>
    </mc:Choice>
  </mc:AlternateContent>
  <xr:revisionPtr revIDLastSave="0" documentId="8_{EC30B4ED-30B6-446C-890C-9207D2D14BB9}" xr6:coauthVersionLast="47" xr6:coauthVersionMax="47" xr10:uidLastSave="{00000000-0000-0000-0000-000000000000}"/>
  <bookViews>
    <workbookView xWindow="-105" yWindow="0" windowWidth="25800" windowHeight="20985" xr2:uid="{BE98AF25-8F55-4ACA-B99A-B5546C36757B}"/>
  </bookViews>
  <sheets>
    <sheet name="OrbitXferFixed" sheetId="10" r:id="rId1"/>
    <sheet name="Orbit Transfer" sheetId="1" r:id="rId2"/>
    <sheet name="Azimuth" sheetId="2" r:id="rId3"/>
    <sheet name="VacuumIIP" sheetId="4" r:id="rId4"/>
    <sheet name="RocketDesign" sheetId="9" r:id="rId5"/>
    <sheet name="VehicleDesignDetails" sheetId="6" r:id="rId6"/>
    <sheet name="PreDesign" sheetId="7" r:id="rId7"/>
    <sheet name="MissionEvents" sheetId="8" r:id="rId8"/>
  </sheets>
  <definedNames>
    <definedName name="Alt1C">VacuumIIP!$G$3</definedName>
    <definedName name="Alt2C">VacuumIIP!$H$3</definedName>
    <definedName name="Alt3C">VacuumIIP!$I$3</definedName>
    <definedName name="Alt4C">VacuumIIP!$J$3</definedName>
    <definedName name="Alt5C">VacuumIIP!$K$3</definedName>
    <definedName name="Ang1C">VacuumIIP!$G$5</definedName>
    <definedName name="Ang2C">VacuumIIP!$H$5</definedName>
    <definedName name="Ang3C">VacuumIIP!$I$5</definedName>
    <definedName name="Ang4C">VacuumIIP!$J$5</definedName>
    <definedName name="Ang5C">VacuumIIP!$K$5</definedName>
    <definedName name="DeltaAzi">Azimuth!$D$18</definedName>
    <definedName name="deltaV">'Orbit Transfer'!$K$39</definedName>
    <definedName name="DelVSav">Azimuth!$D$19</definedName>
    <definedName name="DgRd">'Orbit Transfer'!$M$5</definedName>
    <definedName name="DgRdL">Azimuth!$K$4</definedName>
    <definedName name="diffMF3">#REF!</definedName>
    <definedName name="dincl1">'Orbit Transfer'!$I$19</definedName>
    <definedName name="dincl2">'Orbit Transfer'!$I$20</definedName>
    <definedName name="DR1C">VacuumIIP!$G$6</definedName>
    <definedName name="DR2C">VacuumIIP!$H$6</definedName>
    <definedName name="DR3C">VacuumIIP!$I$6</definedName>
    <definedName name="DR4C">VacuumIIP!$J$6</definedName>
    <definedName name="DR5C">VacuumIIP!$K$6</definedName>
    <definedName name="DV2id">#REF!</definedName>
    <definedName name="DVdiff1">#REF!</definedName>
    <definedName name="DVdiff13">#REF!</definedName>
    <definedName name="DVdiff2">#REF!</definedName>
    <definedName name="DVdiff23">#REF!</definedName>
    <definedName name="DVdiff3">#REF!</definedName>
    <definedName name="DVid1">#REF!</definedName>
    <definedName name="DVid13">#REF!</definedName>
    <definedName name="DVid23">#REF!</definedName>
    <definedName name="DVid3">#REF!</definedName>
    <definedName name="EC1C">'Orbit Transfer'!$F$9</definedName>
    <definedName name="EC2C">'Orbit Transfer'!$F$13</definedName>
    <definedName name="Ener1">'Orbit Transfer'!$I$8</definedName>
    <definedName name="Ener2">'Orbit Transfer'!$I$12</definedName>
    <definedName name="EnerT">'Orbit Transfer'!$I$16</definedName>
    <definedName name="EVel">Azimuth!$D$13</definedName>
    <definedName name="fiEner1">'Orbit Transfer'!$T$13</definedName>
    <definedName name="fih">'Orbit Transfer'!$T$14</definedName>
    <definedName name="fiT">'Orbit Transfer'!$T$15</definedName>
    <definedName name="go">'Orbit Transfer'!$I$6</definedName>
    <definedName name="hOrb1">'Orbit Transfer'!$F$10</definedName>
    <definedName name="hOrb2">'Orbit Transfer'!$F$14</definedName>
    <definedName name="hOrbT">'Orbit Transfer'!$F$17</definedName>
    <definedName name="ideltaV">'Orbit Transfer'!$E$51</definedName>
    <definedName name="imf">'Orbit Transfer'!$E$47</definedName>
    <definedName name="imi">'Orbit Transfer'!$E$43</definedName>
    <definedName name="Incl1">'Orbit Transfer'!$B$10</definedName>
    <definedName name="Incl2">'Orbit Transfer'!$B$14</definedName>
    <definedName name="inEner1">'Orbit Transfer'!$T$8</definedName>
    <definedName name="InertAz">Azimuth!$D$8</definedName>
    <definedName name="inh">'Orbit Transfer'!$T$9</definedName>
    <definedName name="InjInerVel">Azimuth!$D$12</definedName>
    <definedName name="inT">'Orbit Transfer'!$T$10</definedName>
    <definedName name="Isp">'Orbit Transfer'!$E$39</definedName>
    <definedName name="Ispdiff1">#REF!</definedName>
    <definedName name="ISPdiff13">#REF!</definedName>
    <definedName name="Ispdiff2">#REF!</definedName>
    <definedName name="ISPdiff23">#REF!</definedName>
    <definedName name="ISPdiff3">#REF!</definedName>
    <definedName name="Ispid1">#REF!</definedName>
    <definedName name="ISPid13">#REF!</definedName>
    <definedName name="Ispid2">#REF!</definedName>
    <definedName name="ISPid23">#REF!</definedName>
    <definedName name="ISPid3">#REF!</definedName>
    <definedName name="J">Azimuth!$K$3</definedName>
    <definedName name="lsLAT">Azimuth!$D$6</definedName>
    <definedName name="mf">'Orbit Transfer'!$K$45</definedName>
    <definedName name="MF1id23">#REF!</definedName>
    <definedName name="MFdiff1">#REF!</definedName>
    <definedName name="MFdiff13">#REF!</definedName>
    <definedName name="MFdiff2">#REF!</definedName>
    <definedName name="MFdiff23">#REF!</definedName>
    <definedName name="MFdiff3">#REF!</definedName>
    <definedName name="MFid1">#REF!</definedName>
    <definedName name="MFid13">#REF!</definedName>
    <definedName name="MFid2">#REF!</definedName>
    <definedName name="MFid23">#REF!</definedName>
    <definedName name="MFid3">#REF!</definedName>
    <definedName name="mi">'Orbit Transfer'!$K$42</definedName>
    <definedName name="mp1r">'Orbit Transfer'!$K$48</definedName>
    <definedName name="mp2r">'Orbit Transfer'!$K$51</definedName>
    <definedName name="mpr">'Orbit Transfer'!$K$48</definedName>
    <definedName name="Mu">'Orbit Transfer'!$I$4</definedName>
    <definedName name="Orb1a">'Orbit Transfer'!$B$9</definedName>
    <definedName name="Orb1p">'Orbit Transfer'!$B$8</definedName>
    <definedName name="Orb2a">'Orbit Transfer'!$B$13</definedName>
    <definedName name="Orb2p">'Orbit Transfer'!$B$12</definedName>
    <definedName name="orbINCL">Azimuth!$D$7</definedName>
    <definedName name="OrbRad">Azimuth!$D$11</definedName>
    <definedName name="PER1t">'Orbit Transfer'!$I$9</definedName>
    <definedName name="Per2t">'Orbit Transfer'!$I$13</definedName>
    <definedName name="PerT">'Orbit Transfer'!$I$17</definedName>
    <definedName name="pldDIFF">#REF!</definedName>
    <definedName name="PldDiffMF2">RocketDesign!$B$5</definedName>
    <definedName name="PldDiffMF3">RocketDesign!$B$31</definedName>
    <definedName name="pldID">#REF!</definedName>
    <definedName name="PLdiff">#REF!</definedName>
    <definedName name="PLid">#REF!</definedName>
    <definedName name="RadIn1">'Orbit Transfer'!$C$27</definedName>
    <definedName name="Re_m">'Orbit Transfer'!$I$5</definedName>
    <definedName name="RelAzi">Azimuth!$D$17</definedName>
    <definedName name="ROrb1">'Orbit Transfer'!$C$23</definedName>
    <definedName name="SM1A">'Orbit Transfer'!$F$8</definedName>
    <definedName name="SM2A">'Orbit Transfer'!$F$12</definedName>
    <definedName name="SMAT">'Orbit Transfer'!$F$16</definedName>
    <definedName name="solver_adj" localSheetId="1" hidden="1">'Orbit Transfer'!$I$19</definedName>
    <definedName name="solver_adj" localSheetId="0" hidden="1">OrbitXferFixed!$C$9,OrbitXferFixed!$B$10</definedName>
    <definedName name="solver_adj" localSheetId="4" hidden="1">RocketDesign!$B$35,RocketDesign!$B$43,RocketDesign!$B$51</definedName>
    <definedName name="solver_cvg" localSheetId="1" hidden="1">0.0001</definedName>
    <definedName name="solver_cvg" localSheetId="0" hidden="1">0.0001</definedName>
    <definedName name="solver_cvg" localSheetId="4" hidden="1">0.0001</definedName>
    <definedName name="solver_drv" localSheetId="1" hidden="1">1</definedName>
    <definedName name="solver_drv" localSheetId="0" hidden="1">1</definedName>
    <definedName name="solver_drv" localSheetId="4" hidden="1">1</definedName>
    <definedName name="solver_eng" localSheetId="1" hidden="1">1</definedName>
    <definedName name="solver_eng" localSheetId="0" hidden="1">1</definedName>
    <definedName name="solver_eng" localSheetId="4" hidden="1">1</definedName>
    <definedName name="solver_est" localSheetId="1" hidden="1">1</definedName>
    <definedName name="solver_est" localSheetId="0" hidden="1">1</definedName>
    <definedName name="solver_est" localSheetId="4" hidden="1">1</definedName>
    <definedName name="solver_itr" localSheetId="1" hidden="1">2147483647</definedName>
    <definedName name="solver_itr" localSheetId="0" hidden="1">2147483647</definedName>
    <definedName name="solver_itr" localSheetId="4" hidden="1">2147483647</definedName>
    <definedName name="solver_lhs1" localSheetId="1" hidden="1">'Orbit Transfer'!$F$9</definedName>
    <definedName name="solver_lhs1" localSheetId="0" hidden="1">OrbitXferFixed!$I$9</definedName>
    <definedName name="solver_lhs1" localSheetId="4" hidden="1">RocketDesign!$B$30</definedName>
    <definedName name="solver_lhs2" localSheetId="1" hidden="1">'Orbit Transfer'!$B$10</definedName>
    <definedName name="solver_lhs3" localSheetId="1" hidden="1">'Orbit Transfer'!$I$9</definedName>
    <definedName name="solver_mip" localSheetId="1" hidden="1">2147483647</definedName>
    <definedName name="solver_mip" localSheetId="0" hidden="1">2147483647</definedName>
    <definedName name="solver_mip" localSheetId="4" hidden="1">2147483647</definedName>
    <definedName name="solver_mni" localSheetId="1" hidden="1">30</definedName>
    <definedName name="solver_mni" localSheetId="0" hidden="1">30</definedName>
    <definedName name="solver_mni" localSheetId="4" hidden="1">30</definedName>
    <definedName name="solver_mrt" localSheetId="1" hidden="1">0.075</definedName>
    <definedName name="solver_mrt" localSheetId="0" hidden="1">0.075</definedName>
    <definedName name="solver_mrt" localSheetId="4" hidden="1">0.075</definedName>
    <definedName name="solver_msl" localSheetId="1" hidden="1">2</definedName>
    <definedName name="solver_msl" localSheetId="0" hidden="1">2</definedName>
    <definedName name="solver_msl" localSheetId="4" hidden="1">2</definedName>
    <definedName name="solver_neg" localSheetId="1" hidden="1">2</definedName>
    <definedName name="solver_neg" localSheetId="0" hidden="1">1</definedName>
    <definedName name="solver_neg" localSheetId="4" hidden="1">1</definedName>
    <definedName name="solver_nod" localSheetId="1" hidden="1">2147483647</definedName>
    <definedName name="solver_nod" localSheetId="0" hidden="1">2147483647</definedName>
    <definedName name="solver_nod" localSheetId="4" hidden="1">2147483647</definedName>
    <definedName name="solver_num" localSheetId="1" hidden="1">0</definedName>
    <definedName name="solver_num" localSheetId="0" hidden="1">1</definedName>
    <definedName name="solver_num" localSheetId="4" hidden="1">1</definedName>
    <definedName name="solver_nwt" localSheetId="1" hidden="1">1</definedName>
    <definedName name="solver_nwt" localSheetId="0" hidden="1">1</definedName>
    <definedName name="solver_nwt" localSheetId="4" hidden="1">1</definedName>
    <definedName name="solver_opt" localSheetId="1" hidden="1">'Orbit Transfer'!$AE$32</definedName>
    <definedName name="solver_opt" localSheetId="0" hidden="1">OrbitXferFixed!$T$29</definedName>
    <definedName name="solver_opt" localSheetId="4" hidden="1">RocketDesign!$B$30</definedName>
    <definedName name="solver_pre" localSheetId="1" hidden="1">0.000001</definedName>
    <definedName name="solver_pre" localSheetId="0" hidden="1">0.000001</definedName>
    <definedName name="solver_pre" localSheetId="4" hidden="1">0.000001</definedName>
    <definedName name="solver_rbv" localSheetId="1" hidden="1">1</definedName>
    <definedName name="solver_rbv" localSheetId="0" hidden="1">1</definedName>
    <definedName name="solver_rbv" localSheetId="4" hidden="1">1</definedName>
    <definedName name="solver_rel1" localSheetId="1" hidden="1">2</definedName>
    <definedName name="solver_rel1" localSheetId="0" hidden="1">2</definedName>
    <definedName name="solver_rel1" localSheetId="4" hidden="1">2</definedName>
    <definedName name="solver_rel2" localSheetId="1" hidden="1">1</definedName>
    <definedName name="solver_rel3" localSheetId="1" hidden="1">2</definedName>
    <definedName name="solver_rhs1" localSheetId="1" hidden="1">0.07</definedName>
    <definedName name="solver_rhs1" localSheetId="0" hidden="1">6000</definedName>
    <definedName name="solver_rhs1" localSheetId="4" hidden="1">12800</definedName>
    <definedName name="solver_rhs2" localSheetId="1" hidden="1">180</definedName>
    <definedName name="solver_rhs3" localSheetId="1" hidden="1">7200</definedName>
    <definedName name="solver_rlx" localSheetId="1" hidden="1">2</definedName>
    <definedName name="solver_rlx" localSheetId="0" hidden="1">2</definedName>
    <definedName name="solver_rlx" localSheetId="4" hidden="1">2</definedName>
    <definedName name="solver_rsd" localSheetId="1" hidden="1">0</definedName>
    <definedName name="solver_rsd" localSheetId="0" hidden="1">0</definedName>
    <definedName name="solver_rsd" localSheetId="4" hidden="1">0</definedName>
    <definedName name="solver_scl" localSheetId="1" hidden="1">1</definedName>
    <definedName name="solver_scl" localSheetId="0" hidden="1">1</definedName>
    <definedName name="solver_scl" localSheetId="4" hidden="1">1</definedName>
    <definedName name="solver_sho" localSheetId="1" hidden="1">2</definedName>
    <definedName name="solver_sho" localSheetId="0" hidden="1">2</definedName>
    <definedName name="solver_sho" localSheetId="4" hidden="1">2</definedName>
    <definedName name="solver_ssz" localSheetId="1" hidden="1">100</definedName>
    <definedName name="solver_ssz" localSheetId="0" hidden="1">100</definedName>
    <definedName name="solver_ssz" localSheetId="4" hidden="1">100</definedName>
    <definedName name="solver_tim" localSheetId="1" hidden="1">2147483647</definedName>
    <definedName name="solver_tim" localSheetId="0" hidden="1">2147483647</definedName>
    <definedName name="solver_tim" localSheetId="4" hidden="1">2147483647</definedName>
    <definedName name="solver_tol" localSheetId="1" hidden="1">0.01</definedName>
    <definedName name="solver_tol" localSheetId="0" hidden="1">0.01</definedName>
    <definedName name="solver_tol" localSheetId="4" hidden="1">0.01</definedName>
    <definedName name="solver_typ" localSheetId="1" hidden="1">2</definedName>
    <definedName name="solver_typ" localSheetId="0" hidden="1">3</definedName>
    <definedName name="solver_typ" localSheetId="4" hidden="1">2</definedName>
    <definedName name="solver_val" localSheetId="1" hidden="1">3</definedName>
    <definedName name="solver_val" localSheetId="0" hidden="1">6</definedName>
    <definedName name="solver_val" localSheetId="4" hidden="1">0</definedName>
    <definedName name="solver_ver" localSheetId="1" hidden="1">3</definedName>
    <definedName name="solver_ver" localSheetId="0" hidden="1">3</definedName>
    <definedName name="solver_ver" localSheetId="4" hidden="1">3</definedName>
    <definedName name="TAn1I">'Orbit Transfer'!$C$26</definedName>
    <definedName name="TAOrb1">'Orbit Transfer'!$C$24</definedName>
    <definedName name="TDVdiff">#REF!</definedName>
    <definedName name="TDVid">#REF!</definedName>
    <definedName name="TotalDV">#REF!</definedName>
    <definedName name="TotDelV2">RocketDesign!$B$4</definedName>
    <definedName name="TotDelVDiff3">RocketDesign!$B$30</definedName>
    <definedName name="totDVdiff">#REF!</definedName>
    <definedName name="totDVid">#REF!</definedName>
    <definedName name="Vcirc1">'Orbit Transfer'!$T$6</definedName>
    <definedName name="Vcirc2">'Orbit Transfer'!$T$7</definedName>
    <definedName name="vel_1">'Orbit Transfer'!$L$16</definedName>
    <definedName name="vel_2">'Orbit Transfer'!$L$17</definedName>
    <definedName name="vel_orb1a">'Orbit Transfer'!$L$9</definedName>
    <definedName name="vel_orb1p">'Orbit Transfer'!$L$8</definedName>
    <definedName name="vel_orb2a">'Orbit Transfer'!$L$13</definedName>
    <definedName name="vel_orb2p">'Orbit Transfer'!$L$12</definedName>
    <definedName name="Vel1C">VacuumIIP!$G$4</definedName>
    <definedName name="Vel2C">VacuumIIP!$H$4</definedName>
    <definedName name="Vel3C">VacuumIIP!$I$4</definedName>
    <definedName name="Vel4C">VacuumIIP!$J$4</definedName>
    <definedName name="Vel5C">VacuumIIP!$K$3</definedName>
    <definedName name="Vel5Ca">VacuumIIP!$K$4</definedName>
    <definedName name="Vhoh1">'Orbit Transfer'!$T$11</definedName>
    <definedName name="Vhoh2">'Orbit Transfer'!$T$12</definedName>
    <definedName name="VidDiffMF">RocketDesign!$B$3</definedName>
    <definedName name="VidDiffMF3">RocketDesign!$B$29</definedName>
    <definedName name="VOrb1">'Orbit Transfer'!$C$25</definedName>
    <definedName name="VRel">Azimuth!$D$16</definedName>
    <definedName name="VxRel">Azimuth!$D$14</definedName>
    <definedName name="VyRel">Azimuth!$D$15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4" i="1" l="1"/>
  <c r="AG43" i="1"/>
  <c r="AG40" i="1"/>
  <c r="AE22" i="10"/>
  <c r="D13" i="2"/>
  <c r="D12" i="2"/>
  <c r="D8" i="2"/>
  <c r="W22" i="10"/>
  <c r="AJ26" i="10" s="1"/>
  <c r="K51" i="10"/>
  <c r="K48" i="10"/>
  <c r="K45" i="10"/>
  <c r="K42" i="10"/>
  <c r="K39" i="10"/>
  <c r="I20" i="10"/>
  <c r="W24" i="10" s="1"/>
  <c r="AJ30" i="10" s="1"/>
  <c r="T58" i="10"/>
  <c r="T57" i="10"/>
  <c r="AE25" i="10"/>
  <c r="B13" i="10"/>
  <c r="W17" i="10" s="1"/>
  <c r="B12" i="10"/>
  <c r="W11" i="10" s="1"/>
  <c r="B9" i="10"/>
  <c r="W7" i="10" s="1"/>
  <c r="B8" i="10"/>
  <c r="T40" i="10" s="1"/>
  <c r="F56" i="9"/>
  <c r="D56" i="9"/>
  <c r="D55" i="9"/>
  <c r="F55" i="9"/>
  <c r="D54" i="9"/>
  <c r="F54" i="9"/>
  <c r="F53" i="9"/>
  <c r="D53" i="9"/>
  <c r="D52" i="9"/>
  <c r="F52" i="9"/>
  <c r="H52" i="9"/>
  <c r="B52" i="9"/>
  <c r="D47" i="9"/>
  <c r="F47" i="9"/>
  <c r="D46" i="9"/>
  <c r="F46" i="9"/>
  <c r="F45" i="9"/>
  <c r="D45" i="9"/>
  <c r="D37" i="9"/>
  <c r="F37" i="9"/>
  <c r="D44" i="9"/>
  <c r="F44" i="9"/>
  <c r="H44" i="9"/>
  <c r="B44" i="9"/>
  <c r="D38" i="9"/>
  <c r="D39" i="9" s="1"/>
  <c r="F38" i="9"/>
  <c r="F39" i="9" s="1"/>
  <c r="D36" i="9"/>
  <c r="F36" i="9"/>
  <c r="H36" i="9"/>
  <c r="H37" i="9" s="1"/>
  <c r="B36" i="9"/>
  <c r="B37" i="9" s="1"/>
  <c r="H22" i="9"/>
  <c r="H19" i="9"/>
  <c r="H11" i="9"/>
  <c r="H12" i="9" s="1"/>
  <c r="H13" i="9" s="1"/>
  <c r="D22" i="9"/>
  <c r="F22" i="9"/>
  <c r="F19" i="9"/>
  <c r="F11" i="9"/>
  <c r="D19" i="9"/>
  <c r="D11" i="9"/>
  <c r="B11" i="9"/>
  <c r="B13" i="9" s="1"/>
  <c r="H20" i="9"/>
  <c r="B19" i="9"/>
  <c r="B20" i="9" s="1"/>
  <c r="B21" i="9" s="1"/>
  <c r="D18" i="9"/>
  <c r="F18" i="9"/>
  <c r="H18" i="9"/>
  <c r="B18" i="9"/>
  <c r="D13" i="9"/>
  <c r="F13" i="9"/>
  <c r="D12" i="9"/>
  <c r="F12" i="9"/>
  <c r="B12" i="9"/>
  <c r="F10" i="9"/>
  <c r="H10" i="9"/>
  <c r="D10" i="9"/>
  <c r="B10" i="9"/>
  <c r="H30" i="9"/>
  <c r="F30" i="9"/>
  <c r="D30" i="9"/>
  <c r="B30" i="9"/>
  <c r="H17" i="9"/>
  <c r="F17" i="9"/>
  <c r="D17" i="9"/>
  <c r="B17" i="9"/>
  <c r="J31" i="4"/>
  <c r="K31" i="4"/>
  <c r="K26" i="4"/>
  <c r="K17" i="4"/>
  <c r="K13" i="4"/>
  <c r="K11" i="4"/>
  <c r="K10" i="4"/>
  <c r="K12" i="4" s="1"/>
  <c r="K14" i="4" s="1"/>
  <c r="K15" i="4" s="1"/>
  <c r="K9" i="4"/>
  <c r="I20" i="1"/>
  <c r="W24" i="1" s="1"/>
  <c r="AJ30" i="1" s="1"/>
  <c r="O51" i="6"/>
  <c r="G51" i="6"/>
  <c r="O53" i="6"/>
  <c r="G53" i="6"/>
  <c r="O55" i="6"/>
  <c r="G55" i="6"/>
  <c r="G54" i="6"/>
  <c r="O54" i="6"/>
  <c r="O65" i="6"/>
  <c r="O64" i="6"/>
  <c r="O63" i="6"/>
  <c r="O58" i="6"/>
  <c r="O57" i="6"/>
  <c r="G66" i="6"/>
  <c r="G64" i="6"/>
  <c r="G65" i="6"/>
  <c r="G58" i="6"/>
  <c r="G57" i="6"/>
  <c r="G63" i="6"/>
  <c r="O49" i="6"/>
  <c r="O41" i="6"/>
  <c r="O40" i="6"/>
  <c r="O38" i="6"/>
  <c r="O37" i="6"/>
  <c r="G41" i="6"/>
  <c r="G40" i="6"/>
  <c r="G38" i="6"/>
  <c r="G37" i="6"/>
  <c r="O23" i="6"/>
  <c r="G23" i="6"/>
  <c r="O8" i="6"/>
  <c r="G8" i="6"/>
  <c r="T57" i="1"/>
  <c r="T58" i="1"/>
  <c r="H27" i="4"/>
  <c r="I27" i="4"/>
  <c r="J27" i="4"/>
  <c r="H18" i="4"/>
  <c r="I18" i="4"/>
  <c r="J18" i="4"/>
  <c r="H31" i="4"/>
  <c r="I31" i="4"/>
  <c r="H29" i="4"/>
  <c r="I29" i="4"/>
  <c r="J29" i="4"/>
  <c r="H30" i="4"/>
  <c r="I30" i="4"/>
  <c r="J30" i="4"/>
  <c r="J26" i="4"/>
  <c r="I26" i="4"/>
  <c r="H26" i="4"/>
  <c r="H25" i="4"/>
  <c r="I25" i="4"/>
  <c r="J25" i="4"/>
  <c r="H24" i="4"/>
  <c r="I24" i="4"/>
  <c r="J24" i="4"/>
  <c r="H23" i="4"/>
  <c r="I23" i="4"/>
  <c r="J23" i="4"/>
  <c r="H22" i="4"/>
  <c r="I22" i="4"/>
  <c r="J22" i="4"/>
  <c r="H21" i="4"/>
  <c r="I21" i="4"/>
  <c r="J21" i="4"/>
  <c r="J17" i="4"/>
  <c r="I17" i="4"/>
  <c r="H17" i="4"/>
  <c r="H16" i="4"/>
  <c r="I16" i="4"/>
  <c r="J16" i="4"/>
  <c r="H15" i="4"/>
  <c r="I15" i="4"/>
  <c r="J15" i="4"/>
  <c r="H14" i="4"/>
  <c r="I14" i="4"/>
  <c r="J14" i="4"/>
  <c r="H13" i="4"/>
  <c r="I13" i="4"/>
  <c r="J13" i="4"/>
  <c r="H11" i="4"/>
  <c r="I11" i="4"/>
  <c r="J11" i="4"/>
  <c r="J12" i="4"/>
  <c r="I12" i="4"/>
  <c r="H12" i="4"/>
  <c r="J10" i="4"/>
  <c r="I10" i="4"/>
  <c r="H10" i="4"/>
  <c r="H9" i="4"/>
  <c r="G10" i="4"/>
  <c r="G12" i="4" s="1"/>
  <c r="G11" i="4" s="1"/>
  <c r="J9" i="4"/>
  <c r="I9" i="4"/>
  <c r="G9" i="4"/>
  <c r="AE25" i="1"/>
  <c r="W22" i="1"/>
  <c r="AJ26" i="1" s="1"/>
  <c r="XFD1048550" i="1" a="1"/>
  <c r="XFD1048550" i="1"/>
  <c r="XFD1048551" i="1" a="1"/>
  <c r="XFD1048551" i="1"/>
  <c r="XFD1048552" i="1" a="1"/>
  <c r="XFD1048552" i="1"/>
  <c r="XFD1048553" i="1" a="1"/>
  <c r="XFD1048553" i="1"/>
  <c r="XFD1048554" i="1" a="1"/>
  <c r="XFD1048554" i="1"/>
  <c r="XFD1048555" i="1" a="1"/>
  <c r="XFD1048555" i="1"/>
  <c r="XFD1048556" i="1" a="1"/>
  <c r="XFD1048556" i="1"/>
  <c r="XFD1048557" i="1" a="1"/>
  <c r="XFD1048557" i="1"/>
  <c r="XFD1048558" i="1" a="1"/>
  <c r="XFD1048558" i="1"/>
  <c r="XFD1048559" i="1" a="1"/>
  <c r="XFD1048559" i="1"/>
  <c r="XFD1048560" i="1" a="1"/>
  <c r="XFD1048560" i="1"/>
  <c r="XFD1048561" i="1" a="1"/>
  <c r="XFD1048561" i="1"/>
  <c r="XFD1048562" i="1" a="1"/>
  <c r="XFD1048562" i="1"/>
  <c r="XFD1048563" i="1" a="1"/>
  <c r="XFD1048563" i="1"/>
  <c r="XFD1048564" i="1" a="1"/>
  <c r="XFD1048564" i="1"/>
  <c r="XFD1048565" i="1" a="1"/>
  <c r="XFD1048565" i="1"/>
  <c r="XFD1048566" i="1" a="1"/>
  <c r="XFD1048566" i="1"/>
  <c r="XFD1048567" i="1" a="1"/>
  <c r="XFD1048567" i="1"/>
  <c r="XFD1048568" i="1" a="1"/>
  <c r="XFD1048568" i="1"/>
  <c r="XFD1048569" i="1" a="1"/>
  <c r="XFD1048569" i="1"/>
  <c r="XFD1048570" i="1" a="1"/>
  <c r="XFD1048570" i="1"/>
  <c r="XFD1048571" i="1" a="1"/>
  <c r="XFD1048571" i="1"/>
  <c r="XFD1048572" i="1" a="1"/>
  <c r="XFD1048572" i="1"/>
  <c r="XFD1048573" i="1" a="1"/>
  <c r="XFD1048573" i="1"/>
  <c r="XFD1048574" i="1" a="1"/>
  <c r="XFD1048574" i="1"/>
  <c r="XFD1048575" i="1" a="1"/>
  <c r="XFD1048575" i="1"/>
  <c r="XFD1048550" i="2" a="1"/>
  <c r="XFD1048550" i="2" s="1"/>
  <c r="XFD1048551" i="2" a="1"/>
  <c r="XFD1048551" i="2" s="1"/>
  <c r="XFD1048552" i="2" a="1"/>
  <c r="XFD1048552" i="2" s="1"/>
  <c r="XFD1048553" i="2" a="1"/>
  <c r="XFD1048553" i="2" s="1"/>
  <c r="XFD1048554" i="2" a="1"/>
  <c r="XFD1048554" i="2" s="1"/>
  <c r="XFD1048555" i="2" a="1"/>
  <c r="XFD1048555" i="2"/>
  <c r="XFD1048556" i="2" a="1"/>
  <c r="XFD1048556" i="2" s="1"/>
  <c r="XFD1048557" i="2" a="1"/>
  <c r="XFD1048557" i="2" s="1"/>
  <c r="XFD1048558" i="2" a="1"/>
  <c r="XFD1048558" i="2" s="1"/>
  <c r="XFD1048559" i="2" a="1"/>
  <c r="XFD1048559" i="2" s="1"/>
  <c r="XFD1048560" i="2" a="1"/>
  <c r="XFD1048560" i="2" s="1"/>
  <c r="XFD1048561" i="2" a="1"/>
  <c r="XFD1048561" i="2" s="1"/>
  <c r="XFD1048562" i="2" a="1"/>
  <c r="XFD1048562" i="2"/>
  <c r="XFD1048563" i="2" a="1"/>
  <c r="XFD1048563" i="2"/>
  <c r="XFD1048564" i="2" a="1"/>
  <c r="XFD1048564" i="2"/>
  <c r="XFD1048565" i="2" a="1"/>
  <c r="XFD1048565" i="2"/>
  <c r="XFD1048566" i="2" a="1"/>
  <c r="XFD1048566" i="2"/>
  <c r="XFD1048567" i="2" a="1"/>
  <c r="XFD1048567" i="2"/>
  <c r="XFD1048568" i="2" a="1"/>
  <c r="XFD1048568" i="2"/>
  <c r="XFD1048569" i="2" a="1"/>
  <c r="XFD1048569" i="2"/>
  <c r="XFD1048570" i="2" a="1"/>
  <c r="XFD1048570" i="2"/>
  <c r="XFD1048571" i="2" a="1"/>
  <c r="XFD1048571" i="2"/>
  <c r="XFD1048572" i="2" a="1"/>
  <c r="XFD1048572" i="2"/>
  <c r="XFD1048573" i="2" a="1"/>
  <c r="XFD1048573" i="2"/>
  <c r="XFD1048574" i="2" a="1"/>
  <c r="XFD1048574" i="2"/>
  <c r="XFD1048575" i="2" a="1"/>
  <c r="XFD1048575" i="2"/>
  <c r="K51" i="1"/>
  <c r="K48" i="1"/>
  <c r="K45" i="1"/>
  <c r="K42" i="1"/>
  <c r="K39" i="1"/>
  <c r="B13" i="1"/>
  <c r="B12" i="1"/>
  <c r="B9" i="1"/>
  <c r="T41" i="1" s="1"/>
  <c r="B8" i="1"/>
  <c r="G13" i="4" l="1"/>
  <c r="G14" i="4" s="1"/>
  <c r="G15" i="4" s="1"/>
  <c r="D14" i="2"/>
  <c r="AK12" i="10"/>
  <c r="AE11" i="10" s="1"/>
  <c r="AJ12" i="10"/>
  <c r="AK7" i="10"/>
  <c r="AE10" i="10" s="1"/>
  <c r="AJ7" i="10"/>
  <c r="B45" i="9"/>
  <c r="B46" i="9" s="1"/>
  <c r="B47" i="9" s="1"/>
  <c r="B38" i="9"/>
  <c r="B39" i="9" s="1"/>
  <c r="AE12" i="10"/>
  <c r="AE15" i="10"/>
  <c r="AE14" i="10"/>
  <c r="AE13" i="10"/>
  <c r="W16" i="10"/>
  <c r="T19" i="10" s="1"/>
  <c r="T41" i="10"/>
  <c r="F17" i="10"/>
  <c r="W6" i="10"/>
  <c r="W12" i="10"/>
  <c r="T15" i="10" s="1"/>
  <c r="F16" i="10"/>
  <c r="L16" i="10" s="1"/>
  <c r="F18" i="10"/>
  <c r="F12" i="10"/>
  <c r="F13" i="10"/>
  <c r="F8" i="10"/>
  <c r="F9" i="10"/>
  <c r="H38" i="9"/>
  <c r="H39" i="9" s="1"/>
  <c r="H45" i="9"/>
  <c r="H21" i="9"/>
  <c r="F20" i="9"/>
  <c r="F21" i="9" s="1"/>
  <c r="D20" i="9"/>
  <c r="D21" i="9"/>
  <c r="B22" i="9"/>
  <c r="K16" i="4"/>
  <c r="K18" i="4"/>
  <c r="K21" i="4"/>
  <c r="K22" i="4" s="1"/>
  <c r="K23" i="4" s="1"/>
  <c r="K24" i="4" s="1"/>
  <c r="K29" i="4" s="1"/>
  <c r="F18" i="1"/>
  <c r="F17" i="1"/>
  <c r="F16" i="1"/>
  <c r="I17" i="1" s="1"/>
  <c r="G15" i="6"/>
  <c r="O15" i="6"/>
  <c r="G30" i="6"/>
  <c r="O30" i="6"/>
  <c r="AL7" i="1"/>
  <c r="AE9" i="1" s="1"/>
  <c r="T40" i="1"/>
  <c r="W7" i="1"/>
  <c r="AJ7" i="1"/>
  <c r="W16" i="1"/>
  <c r="W6" i="1"/>
  <c r="AJ12" i="1"/>
  <c r="W11" i="1"/>
  <c r="AL12" i="1"/>
  <c r="W17" i="1"/>
  <c r="W12" i="1"/>
  <c r="D15" i="2"/>
  <c r="F13" i="1"/>
  <c r="F12" i="1"/>
  <c r="F9" i="1"/>
  <c r="F8" i="1"/>
  <c r="C24" i="1" s="1"/>
  <c r="G16" i="4" l="1"/>
  <c r="G17" i="4" s="1"/>
  <c r="G21" i="4" s="1"/>
  <c r="G22" i="4" s="1"/>
  <c r="G23" i="4" s="1"/>
  <c r="G24" i="4" s="1"/>
  <c r="G27" i="4" s="1"/>
  <c r="G18" i="4"/>
  <c r="AE6" i="10"/>
  <c r="AE16" i="10" s="1"/>
  <c r="AE26" i="10" s="1"/>
  <c r="AE7" i="10"/>
  <c r="AE8" i="10"/>
  <c r="T49" i="10"/>
  <c r="C24" i="10"/>
  <c r="G24" i="10" s="1"/>
  <c r="AE9" i="10"/>
  <c r="B53" i="9"/>
  <c r="B54" i="9" s="1"/>
  <c r="B55" i="9" s="1"/>
  <c r="AE18" i="10"/>
  <c r="AE17" i="10"/>
  <c r="T10" i="10"/>
  <c r="T8" i="10"/>
  <c r="T18" i="10"/>
  <c r="T17" i="10" s="1"/>
  <c r="T20" i="10"/>
  <c r="W20" i="10" s="1"/>
  <c r="T29" i="10"/>
  <c r="AE35" i="10"/>
  <c r="AE33" i="10"/>
  <c r="T27" i="10"/>
  <c r="T48" i="10"/>
  <c r="AE36" i="10"/>
  <c r="T28" i="10"/>
  <c r="AE34" i="10"/>
  <c r="T30" i="10"/>
  <c r="T14" i="10"/>
  <c r="T13" i="10"/>
  <c r="T11" i="10" s="1"/>
  <c r="T9" i="10"/>
  <c r="F10" i="10"/>
  <c r="T50" i="10" s="1"/>
  <c r="C32" i="10"/>
  <c r="C33" i="10" s="1"/>
  <c r="C27" i="10"/>
  <c r="I17" i="10"/>
  <c r="I16" i="10"/>
  <c r="L17" i="10" s="1"/>
  <c r="I12" i="10"/>
  <c r="I13" i="10"/>
  <c r="F14" i="10"/>
  <c r="I9" i="10"/>
  <c r="I8" i="10"/>
  <c r="H46" i="9"/>
  <c r="H47" i="9" s="1"/>
  <c r="H53" i="9"/>
  <c r="K25" i="4"/>
  <c r="K27" i="4"/>
  <c r="T9" i="1"/>
  <c r="T8" i="1"/>
  <c r="T6" i="1" s="1"/>
  <c r="AE10" i="1"/>
  <c r="I16" i="1"/>
  <c r="L17" i="1" s="1"/>
  <c r="AE6" i="1"/>
  <c r="AE16" i="1" s="1"/>
  <c r="AE26" i="1" s="1"/>
  <c r="L16" i="1"/>
  <c r="AE7" i="1"/>
  <c r="AE8" i="1"/>
  <c r="T10" i="1"/>
  <c r="F14" i="1"/>
  <c r="O32" i="6"/>
  <c r="O31" i="6"/>
  <c r="O33" i="6" s="1"/>
  <c r="O42" i="6" s="1"/>
  <c r="G32" i="6"/>
  <c r="G31" i="6"/>
  <c r="G33" i="6" s="1"/>
  <c r="G42" i="6" s="1"/>
  <c r="O17" i="6"/>
  <c r="O16" i="6"/>
  <c r="O18" i="6" s="1"/>
  <c r="O39" i="6" s="1"/>
  <c r="O35" i="6" s="1"/>
  <c r="G17" i="6"/>
  <c r="G16" i="6"/>
  <c r="T49" i="1"/>
  <c r="C32" i="1"/>
  <c r="C33" i="1" s="1"/>
  <c r="T48" i="1"/>
  <c r="AE36" i="1"/>
  <c r="T30" i="1"/>
  <c r="AE34" i="1"/>
  <c r="T28" i="1"/>
  <c r="AE35" i="1"/>
  <c r="T29" i="1"/>
  <c r="AE33" i="1"/>
  <c r="T27" i="1"/>
  <c r="AE15" i="1"/>
  <c r="AE14" i="1"/>
  <c r="AE13" i="1"/>
  <c r="AE11" i="1"/>
  <c r="AE12" i="1"/>
  <c r="T14" i="1"/>
  <c r="T15" i="1"/>
  <c r="T13" i="1"/>
  <c r="T18" i="1"/>
  <c r="T16" i="1" s="1"/>
  <c r="T19" i="1"/>
  <c r="T20" i="1"/>
  <c r="W20" i="1" s="1"/>
  <c r="D17" i="2"/>
  <c r="D18" i="2" s="1"/>
  <c r="D16" i="2"/>
  <c r="D19" i="2" s="1"/>
  <c r="I13" i="1"/>
  <c r="F10" i="1"/>
  <c r="T50" i="1" s="1"/>
  <c r="I12" i="1"/>
  <c r="L12" i="1" s="1"/>
  <c r="I9" i="1"/>
  <c r="I8" i="1"/>
  <c r="C27" i="1"/>
  <c r="G29" i="4" l="1"/>
  <c r="G25" i="4"/>
  <c r="G26" i="4" s="1"/>
  <c r="B56" i="9"/>
  <c r="AE27" i="10"/>
  <c r="AE19" i="10"/>
  <c r="C28" i="10"/>
  <c r="T16" i="10"/>
  <c r="T12" i="10"/>
  <c r="T24" i="10" s="1"/>
  <c r="T51" i="10"/>
  <c r="T62" i="10" s="1"/>
  <c r="C25" i="10"/>
  <c r="T52" i="10"/>
  <c r="T6" i="10"/>
  <c r="T22" i="10" s="1"/>
  <c r="T7" i="10"/>
  <c r="L12" i="10"/>
  <c r="L13" i="10"/>
  <c r="K20" i="10" s="1"/>
  <c r="L8" i="10"/>
  <c r="K19" i="10" s="1"/>
  <c r="L9" i="10"/>
  <c r="H54" i="9"/>
  <c r="H55" i="9" s="1"/>
  <c r="H56" i="9"/>
  <c r="K30" i="4"/>
  <c r="C28" i="1"/>
  <c r="G31" i="4"/>
  <c r="G30" i="4"/>
  <c r="T17" i="1"/>
  <c r="G18" i="6"/>
  <c r="G39" i="6" s="1"/>
  <c r="G35" i="6" s="1"/>
  <c r="AE18" i="1"/>
  <c r="AE17" i="1"/>
  <c r="AE27" i="1" s="1"/>
  <c r="T7" i="1"/>
  <c r="T51" i="1"/>
  <c r="T62" i="1" s="1"/>
  <c r="C25" i="1"/>
  <c r="T52" i="1"/>
  <c r="L8" i="1"/>
  <c r="K19" i="1" s="1"/>
  <c r="T12" i="1"/>
  <c r="T11" i="1"/>
  <c r="L9" i="1"/>
  <c r="L13" i="1"/>
  <c r="K20" i="1" s="1"/>
  <c r="AE20" i="10" l="1"/>
  <c r="AE28" i="10"/>
  <c r="AE29" i="10" s="1"/>
  <c r="AE31" i="10" s="1"/>
  <c r="T23" i="1"/>
  <c r="T24" i="1"/>
  <c r="T23" i="10"/>
  <c r="T26" i="10"/>
  <c r="T21" i="10"/>
  <c r="T25" i="10" s="1"/>
  <c r="T53" i="10"/>
  <c r="AE21" i="10"/>
  <c r="AJ20" i="10"/>
  <c r="AE19" i="1"/>
  <c r="AE20" i="1" s="1"/>
  <c r="T22" i="1"/>
  <c r="T21" i="1"/>
  <c r="T53" i="1"/>
  <c r="T54" i="1" s="1"/>
  <c r="AE28" i="1"/>
  <c r="AE30" i="1" s="1"/>
  <c r="AE30" i="10" l="1"/>
  <c r="AE32" i="10" s="1"/>
  <c r="AE23" i="10"/>
  <c r="AE24" i="10" s="1"/>
  <c r="AJ24" i="10" s="1"/>
  <c r="T54" i="10"/>
  <c r="T56" i="10" s="1"/>
  <c r="AH21" i="10"/>
  <c r="T25" i="1"/>
  <c r="T26" i="1"/>
  <c r="T56" i="1"/>
  <c r="T55" i="1"/>
  <c r="AE32" i="1"/>
  <c r="AE29" i="1"/>
  <c r="AE31" i="1" s="1"/>
  <c r="AE21" i="1"/>
  <c r="AE22" i="1" s="1"/>
  <c r="AJ20" i="1"/>
  <c r="T55" i="10" l="1"/>
  <c r="T61" i="10" s="1"/>
  <c r="T64" i="10" s="1"/>
  <c r="T61" i="1"/>
  <c r="T64" i="1" s="1"/>
  <c r="T65" i="1" s="1"/>
  <c r="AH21" i="1"/>
  <c r="AE23" i="1"/>
  <c r="AE24" i="1" s="1"/>
  <c r="AJ24" i="1" s="1"/>
  <c r="T63" i="10" l="1"/>
  <c r="T70" i="10"/>
  <c r="T65" i="10"/>
  <c r="T70" i="1"/>
  <c r="T63" i="1"/>
  <c r="T66" i="1"/>
  <c r="T67" i="1" s="1"/>
  <c r="T68" i="1"/>
  <c r="T69" i="1" s="1"/>
  <c r="T66" i="10" l="1"/>
  <c r="T67" i="10" s="1"/>
  <c r="T68" i="10"/>
  <c r="T69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<sst xmlns="http://schemas.openxmlformats.org/spreadsheetml/2006/main" count="1296" uniqueCount="332">
  <si>
    <t>Earth Orbit Program</t>
  </si>
  <si>
    <t>Transfer, Plane Change, Stage Sizing</t>
  </si>
  <si>
    <t>Orbit Transfer</t>
  </si>
  <si>
    <t>Constants</t>
  </si>
  <si>
    <t>Earth</t>
  </si>
  <si>
    <t>Mu</t>
  </si>
  <si>
    <r>
      <t>km</t>
    </r>
    <r>
      <rPr>
        <vertAlign val="superscript"/>
        <sz val="11"/>
        <color theme="1"/>
        <rFont val="Century"/>
        <family val="1"/>
      </rPr>
      <t>3</t>
    </r>
    <r>
      <rPr>
        <sz val="11"/>
        <color theme="1"/>
        <rFont val="Century"/>
        <family val="1"/>
      </rPr>
      <t>/s</t>
    </r>
    <r>
      <rPr>
        <vertAlign val="superscript"/>
        <sz val="11"/>
        <color theme="1"/>
        <rFont val="Century"/>
        <family val="1"/>
      </rPr>
      <t>2</t>
    </r>
  </si>
  <si>
    <t>J2</t>
  </si>
  <si>
    <t>Co-Apsidal Hohmann</t>
  </si>
  <si>
    <t>Circular to Circular Orbit</t>
  </si>
  <si>
    <t>Input is:</t>
  </si>
  <si>
    <t>Re_m</t>
  </si>
  <si>
    <t>km</t>
  </si>
  <si>
    <t>Deg / Rad</t>
  </si>
  <si>
    <t>Radii</t>
  </si>
  <si>
    <t>Non-Hohmann 2nd Burn, Given Burn1 (Perigee) ΔVelocity</t>
  </si>
  <si>
    <t>g_o</t>
  </si>
  <si>
    <r>
      <t>m/s</t>
    </r>
    <r>
      <rPr>
        <vertAlign val="superscript"/>
        <sz val="11"/>
        <color theme="1"/>
        <rFont val="Century"/>
        <family val="1"/>
      </rPr>
      <t>2</t>
    </r>
  </si>
  <si>
    <t>Initial Orbit Perigee Velocity</t>
  </si>
  <si>
    <t>km/s</t>
  </si>
  <si>
    <t>Orbit 1 Circular?</t>
  </si>
  <si>
    <t xml:space="preserve">Radius </t>
  </si>
  <si>
    <t xml:space="preserve">Altitude </t>
  </si>
  <si>
    <t>Initial Orbit Apogee Velocity</t>
  </si>
  <si>
    <t>Orb1p</t>
  </si>
  <si>
    <t>SMA1</t>
  </si>
  <si>
    <t>Ener1</t>
  </si>
  <si>
    <r>
      <t>km</t>
    </r>
    <r>
      <rPr>
        <vertAlign val="superscript"/>
        <sz val="11"/>
        <color theme="1"/>
        <rFont val="Century"/>
        <family val="1"/>
      </rPr>
      <t>2</t>
    </r>
    <r>
      <rPr>
        <sz val="11"/>
        <color theme="1"/>
        <rFont val="Century"/>
        <family val="1"/>
      </rPr>
      <t>/s</t>
    </r>
    <r>
      <rPr>
        <vertAlign val="superscript"/>
        <sz val="11"/>
        <color theme="1"/>
        <rFont val="Century"/>
        <family val="1"/>
      </rPr>
      <t>2</t>
    </r>
  </si>
  <si>
    <t>Vel_Orb1p_x</t>
  </si>
  <si>
    <t>Initial Orbit Energy</t>
  </si>
  <si>
    <r>
      <t>km</t>
    </r>
    <r>
      <rPr>
        <vertAlign val="superscript"/>
        <sz val="12"/>
        <color theme="1"/>
        <rFont val="Century"/>
        <family val="1"/>
      </rPr>
      <t>2</t>
    </r>
    <r>
      <rPr>
        <sz val="12"/>
        <color theme="1"/>
        <rFont val="Century"/>
        <family val="1"/>
      </rPr>
      <t>/s</t>
    </r>
    <r>
      <rPr>
        <vertAlign val="superscript"/>
        <sz val="12"/>
        <color theme="1"/>
        <rFont val="Century"/>
        <family val="1"/>
      </rPr>
      <t>2</t>
    </r>
  </si>
  <si>
    <t>Orb1a</t>
  </si>
  <si>
    <t>Ecc1</t>
  </si>
  <si>
    <t>Per1</t>
  </si>
  <si>
    <t>s</t>
  </si>
  <si>
    <t>Vel_Orb1a</t>
  </si>
  <si>
    <t>Initial Orbit Angular Momentum</t>
  </si>
  <si>
    <r>
      <t>km</t>
    </r>
    <r>
      <rPr>
        <vertAlign val="superscript"/>
        <sz val="12"/>
        <color theme="1"/>
        <rFont val="Century"/>
        <family val="1"/>
      </rPr>
      <t>2</t>
    </r>
    <r>
      <rPr>
        <sz val="12"/>
        <color theme="1"/>
        <rFont val="Century"/>
        <family val="1"/>
      </rPr>
      <t>/s</t>
    </r>
  </si>
  <si>
    <t>Incl1</t>
  </si>
  <si>
    <t>°</t>
  </si>
  <si>
    <t>hOrb1</t>
  </si>
  <si>
    <r>
      <t>km</t>
    </r>
    <r>
      <rPr>
        <vertAlign val="superscript"/>
        <sz val="11"/>
        <color theme="1"/>
        <rFont val="Century"/>
        <family val="1"/>
      </rPr>
      <t>2</t>
    </r>
    <r>
      <rPr>
        <sz val="11"/>
        <color theme="1"/>
        <rFont val="Century"/>
        <family val="1"/>
      </rPr>
      <t>/s</t>
    </r>
  </si>
  <si>
    <t>Initial Orbit Period</t>
  </si>
  <si>
    <t>min</t>
  </si>
  <si>
    <t>Final Orbit Perigee Velocity</t>
  </si>
  <si>
    <t>Orbit 2 Circular?</t>
  </si>
  <si>
    <t>Orb2p</t>
  </si>
  <si>
    <t>SMA2</t>
  </si>
  <si>
    <t>Ener2</t>
  </si>
  <si>
    <t>Vel_Orb2p_x</t>
  </si>
  <si>
    <t>Final Orbit Apogee Velocity</t>
  </si>
  <si>
    <t>Orb2a</t>
  </si>
  <si>
    <t>Ecc2</t>
  </si>
  <si>
    <t>Per2</t>
  </si>
  <si>
    <t>Vel_Orb2a</t>
  </si>
  <si>
    <t>Final Orbit Energy</t>
  </si>
  <si>
    <t>Incl2</t>
  </si>
  <si>
    <t>hOrb2</t>
  </si>
  <si>
    <t>Final Orbit Angular Momentum</t>
  </si>
  <si>
    <t>Final Orbit Period</t>
  </si>
  <si>
    <t>Burn 1 Delta V</t>
  </si>
  <si>
    <t>TRANSFER ORBIT</t>
  </si>
  <si>
    <t>SMAT</t>
  </si>
  <si>
    <t>EnerT</t>
  </si>
  <si>
    <t>Transfer Orbit Perigee Velocity</t>
  </si>
  <si>
    <t>hOrbT</t>
  </si>
  <si>
    <t>PerT</t>
  </si>
  <si>
    <t>Transfer Orbit Apogee Velocity</t>
  </si>
  <si>
    <t>Transfer Orbit Energy</t>
  </si>
  <si>
    <t>Transfer Orbit Angular Momentum</t>
  </si>
  <si>
    <t>ΔIncl1</t>
  </si>
  <si>
    <t>Transfer Orbit Semi-Major Axis</t>
  </si>
  <si>
    <t>Xfer Apogee &gt; Orbit 2?</t>
  </si>
  <si>
    <t>ΔIncl2</t>
  </si>
  <si>
    <t>Transfer Orbit Time of Flight</t>
  </si>
  <si>
    <t>hrs</t>
  </si>
  <si>
    <t>Transfer Orbit Apogee Radius</t>
  </si>
  <si>
    <t>Min Delta V Burn 1 SMA Only</t>
  </si>
  <si>
    <t>Transfer Orbit Eccentricity</t>
  </si>
  <si>
    <t>Orbit Equation Evaluation for Orbit 1</t>
  </si>
  <si>
    <t>Input</t>
  </si>
  <si>
    <t>Min Delta V Burn 1 with ∆incl1</t>
  </si>
  <si>
    <t>True Anomaly of Burn 2</t>
  </si>
  <si>
    <t>deg</t>
  </si>
  <si>
    <t>Radius (km)</t>
  </si>
  <si>
    <t>Min Delta V Burn 2 SMA Only</t>
  </si>
  <si>
    <t>Eccentric Anomaly</t>
  </si>
  <si>
    <t>rad</t>
  </si>
  <si>
    <t>True Anomaly (°)</t>
  </si>
  <si>
    <t>Min Delta V Burn 2 with ∆incl2</t>
  </si>
  <si>
    <t>Velocity (km/s)</t>
  </si>
  <si>
    <t>Total Delta V SMA Only</t>
  </si>
  <si>
    <t>Given Delta V Burn 1 SMA only</t>
  </si>
  <si>
    <t>Total Delta V with Inclination Changes</t>
  </si>
  <si>
    <t>Delta V Burn 1 with ΔIncl1</t>
  </si>
  <si>
    <t>Nodal Regression for Initial Orbit</t>
  </si>
  <si>
    <t>deg/day</t>
  </si>
  <si>
    <t>Transfer Orbit Velocity at Burn 2</t>
  </si>
  <si>
    <t>Nodal Regression for Final Orbit</t>
  </si>
  <si>
    <t>Flight Path Angle at Burn 2</t>
  </si>
  <si>
    <t>Apsidal Rotation for Initial Orbit</t>
  </si>
  <si>
    <t>Delta V Burn 2 SMA only</t>
  </si>
  <si>
    <t>Time of Flight Evaluation for Orbit 1</t>
  </si>
  <si>
    <t>Apsidal Rotation for Final Orbit</t>
  </si>
  <si>
    <t>Delta V Burn 2 with ΔIncl2</t>
  </si>
  <si>
    <t>Total Delta V SMA only</t>
  </si>
  <si>
    <t>Eccentricity Anomaly</t>
  </si>
  <si>
    <t>TOF (min)</t>
  </si>
  <si>
    <t>Nodal Regression</t>
  </si>
  <si>
    <t>Apsidal Rotation</t>
  </si>
  <si>
    <t>Some Important Equations</t>
  </si>
  <si>
    <t>Input Values</t>
  </si>
  <si>
    <t>3 Inputs Used</t>
  </si>
  <si>
    <t>Output Values</t>
  </si>
  <si>
    <r>
      <t>I</t>
    </r>
    <r>
      <rPr>
        <b/>
        <vertAlign val="subscript"/>
        <sz val="12"/>
        <color theme="1"/>
        <rFont val="Century"/>
        <family val="1"/>
      </rPr>
      <t>sp</t>
    </r>
  </si>
  <si>
    <r>
      <t>I</t>
    </r>
    <r>
      <rPr>
        <vertAlign val="subscript"/>
        <sz val="12"/>
        <color theme="1"/>
        <rFont val="Century"/>
        <family val="1"/>
      </rPr>
      <t>sp</t>
    </r>
    <r>
      <rPr>
        <sz val="12"/>
        <color theme="1"/>
        <rFont val="Century"/>
        <family val="1"/>
      </rPr>
      <t>, m</t>
    </r>
    <r>
      <rPr>
        <vertAlign val="subscript"/>
        <sz val="12"/>
        <color theme="1"/>
        <rFont val="Century"/>
        <family val="1"/>
      </rPr>
      <t>i</t>
    </r>
    <r>
      <rPr>
        <sz val="12"/>
        <color theme="1"/>
        <rFont val="Century"/>
        <family val="1"/>
      </rPr>
      <t>, m</t>
    </r>
    <r>
      <rPr>
        <vertAlign val="subscript"/>
        <sz val="12"/>
        <color theme="1"/>
        <rFont val="Century"/>
        <family val="1"/>
      </rPr>
      <t>f</t>
    </r>
  </si>
  <si>
    <t>∆V</t>
  </si>
  <si>
    <t>m/s</t>
  </si>
  <si>
    <t>General Burn (Applied To Orbit 1)</t>
  </si>
  <si>
    <t>Given: Radius Orb 1 Perigee</t>
  </si>
  <si>
    <t>Given: Radius Orb 1 Apogee</t>
  </si>
  <si>
    <r>
      <t>I</t>
    </r>
    <r>
      <rPr>
        <vertAlign val="subscript"/>
        <sz val="12"/>
        <color theme="1"/>
        <rFont val="Century"/>
        <family val="1"/>
      </rPr>
      <t>sp</t>
    </r>
    <r>
      <rPr>
        <sz val="12"/>
        <color theme="1"/>
        <rFont val="Century"/>
        <family val="1"/>
      </rPr>
      <t>, ∆V, m</t>
    </r>
    <r>
      <rPr>
        <vertAlign val="subscript"/>
        <sz val="12"/>
        <color theme="1"/>
        <rFont val="Century"/>
        <family val="1"/>
      </rPr>
      <t>f</t>
    </r>
  </si>
  <si>
    <t>Initial Mass</t>
  </si>
  <si>
    <t>kg</t>
  </si>
  <si>
    <r>
      <t>m</t>
    </r>
    <r>
      <rPr>
        <b/>
        <vertAlign val="subscript"/>
        <sz val="12"/>
        <color theme="1"/>
        <rFont val="Century"/>
        <family val="1"/>
      </rPr>
      <t>i</t>
    </r>
  </si>
  <si>
    <t>Delta V</t>
  </si>
  <si>
    <t>True Anomaly</t>
  </si>
  <si>
    <r>
      <t>I</t>
    </r>
    <r>
      <rPr>
        <vertAlign val="subscript"/>
        <sz val="12"/>
        <color theme="1"/>
        <rFont val="Century"/>
        <family val="1"/>
      </rPr>
      <t>sp</t>
    </r>
    <r>
      <rPr>
        <sz val="12"/>
        <color theme="1"/>
        <rFont val="Century"/>
        <family val="1"/>
      </rPr>
      <t>, ∆V, m</t>
    </r>
    <r>
      <rPr>
        <vertAlign val="subscript"/>
        <sz val="12"/>
        <color theme="1"/>
        <rFont val="Century"/>
        <family val="1"/>
      </rPr>
      <t>i</t>
    </r>
  </si>
  <si>
    <t>Final Mass</t>
  </si>
  <si>
    <t>Angle to Local Horizontal</t>
  </si>
  <si>
    <t>Orbit 1 Data</t>
  </si>
  <si>
    <r>
      <t>m</t>
    </r>
    <r>
      <rPr>
        <b/>
        <vertAlign val="subscript"/>
        <sz val="12"/>
        <color theme="1"/>
        <rFont val="Century"/>
        <family val="1"/>
      </rPr>
      <t>f</t>
    </r>
  </si>
  <si>
    <t>Propellant Used</t>
  </si>
  <si>
    <t>Eccentricity</t>
  </si>
  <si>
    <t>Semi-Major Axis</t>
  </si>
  <si>
    <t>Angular Momentum</t>
  </si>
  <si>
    <t>Radius Orb1 = Radius Orb2</t>
  </si>
  <si>
    <t>Energy</t>
  </si>
  <si>
    <t>Orb Velocity at Impulse Point</t>
  </si>
  <si>
    <t>Flight Path Angle</t>
  </si>
  <si>
    <t>Perpendicular Velocity</t>
  </si>
  <si>
    <t>Radial Velocity</t>
  </si>
  <si>
    <t>Perpendicular Impulse Velocity</t>
  </si>
  <si>
    <t>Radial Impulse Velocity</t>
  </si>
  <si>
    <t>Resulting Orbit 2 Data</t>
  </si>
  <si>
    <t>Velocity at Impulse Point</t>
  </si>
  <si>
    <t>Radius of Perigee</t>
  </si>
  <si>
    <t>Radius of Apogee</t>
  </si>
  <si>
    <t>True Anomaly at Impulse Point</t>
  </si>
  <si>
    <t>Rotation of Line of Apsides</t>
  </si>
  <si>
    <t>Period</t>
  </si>
  <si>
    <t>Launch Azimuth Calculation</t>
  </si>
  <si>
    <t>Simple Launch Azimuth</t>
  </si>
  <si>
    <t>Launch Site Latitude</t>
  </si>
  <si>
    <t>Orbit Inclination</t>
  </si>
  <si>
    <t>Inertial Azimuth</t>
  </si>
  <si>
    <t>Real Launch Azimuth</t>
  </si>
  <si>
    <t>Orbit Radius</t>
  </si>
  <si>
    <t>Injection Inertial Velocity</t>
  </si>
  <si>
    <t>Earth Velocity</t>
  </si>
  <si>
    <t>Vx Relative</t>
  </si>
  <si>
    <t>Vy Relative</t>
  </si>
  <si>
    <t>Relative Velocity</t>
  </si>
  <si>
    <t>Relative Azimuth</t>
  </si>
  <si>
    <t>Delta Azimuth (Inertial-Relative)</t>
  </si>
  <si>
    <t>Delta V Savings</t>
  </si>
  <si>
    <t>Rocket Evaluator: 2 Stage</t>
  </si>
  <si>
    <t>Different MF</t>
  </si>
  <si>
    <t>Identical Stages</t>
  </si>
  <si>
    <t>Total Videal</t>
  </si>
  <si>
    <t>Total Delta V</t>
  </si>
  <si>
    <t>Payload</t>
  </si>
  <si>
    <t>Stage 2</t>
  </si>
  <si>
    <t>MF</t>
  </si>
  <si>
    <t>Isp</t>
  </si>
  <si>
    <t>Mass Ratio</t>
  </si>
  <si>
    <t>Total Mass</t>
  </si>
  <si>
    <t>Propellant Mass</t>
  </si>
  <si>
    <t>Dry Mass</t>
  </si>
  <si>
    <t>Stage 1</t>
  </si>
  <si>
    <t>Total Liftoff Mass</t>
  </si>
  <si>
    <t>Rocket Evaluator: 3 Stage</t>
  </si>
  <si>
    <t>Stage 3</t>
  </si>
  <si>
    <t>Initial Conditions</t>
  </si>
  <si>
    <t>Units</t>
  </si>
  <si>
    <t>Case 1</t>
  </si>
  <si>
    <t>Case 2</t>
  </si>
  <si>
    <t>Case 3</t>
  </si>
  <si>
    <t>Case 4</t>
  </si>
  <si>
    <t>Altitude</t>
  </si>
  <si>
    <t>Velocity</t>
  </si>
  <si>
    <t>Angle</t>
  </si>
  <si>
    <t>Downrange at Burnout</t>
  </si>
  <si>
    <t>Results</t>
  </si>
  <si>
    <t>Horizontal Velocity</t>
  </si>
  <si>
    <t>Vertical Velocity</t>
  </si>
  <si>
    <t>Max Increase in Height</t>
  </si>
  <si>
    <t>Time to Max Height</t>
  </si>
  <si>
    <t>Distance to Ground</t>
  </si>
  <si>
    <t>Time to Ground</t>
  </si>
  <si>
    <t>Total Time B/O to Impact</t>
  </si>
  <si>
    <t>Horizontal Distance</t>
  </si>
  <si>
    <t>Total Down Range (LS to Impact)</t>
  </si>
  <si>
    <t>Vacuum Impact Velocity</t>
  </si>
  <si>
    <t>With Earth Curve Correction</t>
  </si>
  <si>
    <t>Height Error</t>
  </si>
  <si>
    <t>Total Down Rangle (LS to Impact)</t>
  </si>
  <si>
    <t>Delta Descent Time</t>
  </si>
  <si>
    <t>Delta Down Range</t>
  </si>
  <si>
    <t>Percent Down Range Change</t>
  </si>
  <si>
    <t>%</t>
  </si>
  <si>
    <t>Propellant Mixture Ratio = MR = 2.29 (ox = Lox Fuel = Kerosene)</t>
  </si>
  <si>
    <t>Propellant Mixture Ratio = MR = 5 (ox = Lox; fuel = LH2)</t>
  </si>
  <si>
    <t>Fuel Mass</t>
  </si>
  <si>
    <t>Fuel Density</t>
  </si>
  <si>
    <t>kg/L</t>
  </si>
  <si>
    <t>Volume of Fuel</t>
  </si>
  <si>
    <t>L</t>
  </si>
  <si>
    <t>Fuel Fill Volume %</t>
  </si>
  <si>
    <t>Fuel Tank Volume</t>
  </si>
  <si>
    <t>Diameter</t>
  </si>
  <si>
    <t>m</t>
  </si>
  <si>
    <t>Side Length</t>
  </si>
  <si>
    <t>Surface Area</t>
  </si>
  <si>
    <r>
      <t>m</t>
    </r>
    <r>
      <rPr>
        <vertAlign val="superscript"/>
        <sz val="11"/>
        <color theme="1"/>
        <rFont val="Copperplate Gothic Light"/>
        <family val="2"/>
      </rPr>
      <t>2</t>
    </r>
  </si>
  <si>
    <t>Fuel Tank Thickness</t>
  </si>
  <si>
    <t>Tank Metal Density</t>
  </si>
  <si>
    <r>
      <t>kg/m</t>
    </r>
    <r>
      <rPr>
        <vertAlign val="superscript"/>
        <sz val="11"/>
        <color theme="1"/>
        <rFont val="Copperplate Gothic Light"/>
        <family val="2"/>
      </rPr>
      <t>3</t>
    </r>
  </si>
  <si>
    <t xml:space="preserve">      Tank Skin</t>
  </si>
  <si>
    <t xml:space="preserve">      Stringer/Isogrid</t>
  </si>
  <si>
    <t>kg (25%)</t>
  </si>
  <si>
    <t xml:space="preserve">      Inner-Tank Structure</t>
  </si>
  <si>
    <t>Fuel Tank Mass</t>
  </si>
  <si>
    <t>Oxidizer Mass</t>
  </si>
  <si>
    <t>Oxidizer Density</t>
  </si>
  <si>
    <t>Volume of Oxidizer</t>
  </si>
  <si>
    <t>Fill Volume %</t>
  </si>
  <si>
    <t>Oxidizer Tank Volume</t>
  </si>
  <si>
    <t>Oxidizer Tank Thickness</t>
  </si>
  <si>
    <t xml:space="preserve">         Tank Skin</t>
  </si>
  <si>
    <t xml:space="preserve">         Stringer/Isogrid</t>
  </si>
  <si>
    <t xml:space="preserve">         Inter-Tank Structure</t>
  </si>
  <si>
    <t>Oxidizer Tank Mass</t>
  </si>
  <si>
    <t>Total Stage Mass</t>
  </si>
  <si>
    <t>Mixture Ratio</t>
  </si>
  <si>
    <t>Ox/Fuel</t>
  </si>
  <si>
    <t>ox/fuel</t>
  </si>
  <si>
    <t>Fuel Usable</t>
  </si>
  <si>
    <t>Fuel Unusable</t>
  </si>
  <si>
    <t>Fuel Tank</t>
  </si>
  <si>
    <t>Oxidizer Usable</t>
  </si>
  <si>
    <t>Oxidizer Unusable</t>
  </si>
  <si>
    <t>Oxidizer Tank</t>
  </si>
  <si>
    <t>Engines (#/name)</t>
  </si>
  <si>
    <t>+50% attach</t>
  </si>
  <si>
    <t>Engines (#/Name)</t>
  </si>
  <si>
    <t>Fluid Systems</t>
  </si>
  <si>
    <t>Electrical Systems</t>
  </si>
  <si>
    <t>Attitude Control System</t>
  </si>
  <si>
    <t>Interstage Section</t>
  </si>
  <si>
    <t>Thrust Skirt</t>
  </si>
  <si>
    <t>Payload Adapter</t>
  </si>
  <si>
    <t>Payload Fairing/12</t>
  </si>
  <si>
    <t>xxxx kg</t>
  </si>
  <si>
    <t>Length</t>
  </si>
  <si>
    <t>Inert Mass</t>
  </si>
  <si>
    <t>Mass Fraction</t>
  </si>
  <si>
    <t>Propellant</t>
  </si>
  <si>
    <t>Propellant Type</t>
  </si>
  <si>
    <t>Engine, # and Type</t>
  </si>
  <si>
    <t>Engine Length</t>
  </si>
  <si>
    <t>Thrust</t>
  </si>
  <si>
    <t>kN (each)</t>
  </si>
  <si>
    <t>Mass Flow Rate</t>
  </si>
  <si>
    <t>kg/s</t>
  </si>
  <si>
    <t>Total Burn Time</t>
  </si>
  <si>
    <t>Mass at Liftoff</t>
  </si>
  <si>
    <t>Ignition T/W</t>
  </si>
  <si>
    <t>G's</t>
  </si>
  <si>
    <t>Liftoff T/W</t>
  </si>
  <si>
    <t>Payload Fairing</t>
  </si>
  <si>
    <t>Performance</t>
  </si>
  <si>
    <t>GTO Mission (200 x 35786 alt 27 deg)</t>
  </si>
  <si>
    <t>Mass</t>
  </si>
  <si>
    <t>GEO Mission (42164 x 42164 rad 0 deg)</t>
  </si>
  <si>
    <t>Payload MF</t>
  </si>
  <si>
    <t>Launching</t>
  </si>
  <si>
    <t>Pre-Design</t>
  </si>
  <si>
    <t>Real Rocket</t>
  </si>
  <si>
    <t>Propellant Mass (Ideal)</t>
  </si>
  <si>
    <t>Mission 1: GTO</t>
  </si>
  <si>
    <t>Mission 2: GEO</t>
  </si>
  <si>
    <t>Mission Event</t>
  </si>
  <si>
    <t>MET (s)</t>
  </si>
  <si>
    <t>Liftoff</t>
  </si>
  <si>
    <t>x</t>
  </si>
  <si>
    <t>Stage 1 Burnout</t>
  </si>
  <si>
    <t>Stage 2 Burn 1 Ignition</t>
  </si>
  <si>
    <t>Stage 2 Burn 1 Shutdown</t>
  </si>
  <si>
    <r>
      <t xml:space="preserve">         </t>
    </r>
    <r>
      <rPr>
        <i/>
        <sz val="14"/>
        <color theme="2" tint="-0.499984740745262"/>
        <rFont val="Aparajita"/>
        <family val="1"/>
      </rPr>
      <t>Total Burn Duration</t>
    </r>
  </si>
  <si>
    <r>
      <t xml:space="preserve">         </t>
    </r>
    <r>
      <rPr>
        <i/>
        <sz val="14"/>
        <color theme="2" tint="-0.499984740745262"/>
        <rFont val="Aparajita"/>
        <family val="1"/>
      </rPr>
      <t>Coast 1 Duration</t>
    </r>
  </si>
  <si>
    <t>Stage 2 Burn 2 Ignition</t>
  </si>
  <si>
    <t>Stage 2 Burn 2 Shutdown</t>
  </si>
  <si>
    <t xml:space="preserve">          Total Burn 2 Duration</t>
  </si>
  <si>
    <t>Payload Separation</t>
  </si>
  <si>
    <t>Rocket Videal Requirements</t>
  </si>
  <si>
    <t>Ascent to LEO</t>
  </si>
  <si>
    <t>Delta V for Mission</t>
  </si>
  <si>
    <t>FPR, LVC, LVD</t>
  </si>
  <si>
    <t>GTO Mission</t>
  </si>
  <si>
    <t>GEO Mission</t>
  </si>
  <si>
    <t>August 5th, 2026</t>
  </si>
  <si>
    <t>Big Red Battleship</t>
  </si>
  <si>
    <t>RS-25</t>
  </si>
  <si>
    <t>NK-33</t>
  </si>
  <si>
    <t>Engine Total Mass</t>
  </si>
  <si>
    <t>LH2/LOX</t>
  </si>
  <si>
    <t>RP-1/LOX</t>
  </si>
  <si>
    <t>Vehicle Design Details</t>
  </si>
  <si>
    <t>Performance Assessor</t>
  </si>
  <si>
    <t>360-TA = other TA</t>
  </si>
  <si>
    <t>GTO</t>
  </si>
  <si>
    <t>GEO</t>
  </si>
  <si>
    <t>EccT</t>
  </si>
  <si>
    <t>Case 5</t>
  </si>
  <si>
    <t xml:space="preserve"> </t>
  </si>
  <si>
    <t>RAAN</t>
  </si>
  <si>
    <t>Initial Orbit</t>
  </si>
  <si>
    <t>Nodal Reg</t>
  </si>
  <si>
    <t>Time</t>
  </si>
  <si>
    <t>days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</si>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</sst>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0"/>
    <numFmt numFmtId="165" formatCode="0.0000"/>
    <numFmt numFmtId="166" formatCode="0.0"/>
    <numFmt numFmtId="167" formatCode="0.000"/>
    <numFmt numFmtId="168" formatCode="0.00000000"/>
    <numFmt numFmtId="169" formatCode="0.0000000"/>
    <numFmt numFmtId="170" formatCode="0.0000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sz val="14"/>
      <color theme="1"/>
      <name val="Bahnschrift SemiLight"/>
      <family val="2"/>
    </font>
    <font>
      <sz val="16"/>
      <color theme="1"/>
      <name val="Bahnschrift SemiLight"/>
      <family val="2"/>
    </font>
    <font>
      <sz val="11"/>
      <color theme="1"/>
      <name val="Calibri"/>
      <family val="2"/>
    </font>
    <font>
      <b/>
      <sz val="11"/>
      <color theme="1"/>
      <name val="Bahnschrift SemiLight"/>
      <family val="2"/>
    </font>
    <font>
      <sz val="12"/>
      <color theme="1"/>
      <name val="Bahnschrift SemiLight"/>
      <family val="2"/>
    </font>
    <font>
      <sz val="11"/>
      <color theme="1"/>
      <name val="Calibri"/>
      <family val="2"/>
      <scheme val="minor"/>
    </font>
    <font>
      <sz val="11"/>
      <color theme="1"/>
      <name val="Merriweather"/>
    </font>
    <font>
      <b/>
      <sz val="14"/>
      <color theme="1"/>
      <name val="Merriweather"/>
    </font>
    <font>
      <i/>
      <sz val="11"/>
      <color theme="1"/>
      <name val="Merriweather"/>
    </font>
    <font>
      <b/>
      <sz val="11"/>
      <color theme="1"/>
      <name val="Merriweather"/>
    </font>
    <font>
      <b/>
      <i/>
      <sz val="11"/>
      <color theme="1"/>
      <name val="Merriweather"/>
    </font>
    <font>
      <sz val="16"/>
      <color theme="1"/>
      <name val="Century"/>
      <family val="1"/>
    </font>
    <font>
      <sz val="14"/>
      <color theme="1"/>
      <name val="Century"/>
      <family val="1"/>
    </font>
    <font>
      <sz val="11"/>
      <color theme="1"/>
      <name val="Century"/>
      <family val="1"/>
    </font>
    <font>
      <b/>
      <sz val="12"/>
      <color theme="5"/>
      <name val="Century"/>
      <family val="1"/>
    </font>
    <font>
      <vertAlign val="superscript"/>
      <sz val="11"/>
      <color theme="1"/>
      <name val="Century"/>
      <family val="1"/>
    </font>
    <font>
      <b/>
      <sz val="11"/>
      <color theme="1"/>
      <name val="Century"/>
      <family val="1"/>
    </font>
    <font>
      <sz val="11"/>
      <name val="Century"/>
      <family val="1"/>
    </font>
    <font>
      <sz val="12"/>
      <color theme="1"/>
      <name val="Century"/>
      <family val="1"/>
    </font>
    <font>
      <sz val="12"/>
      <color rgb="FF00B0F0"/>
      <name val="Century"/>
      <family val="1"/>
    </font>
    <font>
      <b/>
      <sz val="11"/>
      <color rgb="FF0070C0"/>
      <name val="Century"/>
      <family val="1"/>
    </font>
    <font>
      <vertAlign val="superscript"/>
      <sz val="12"/>
      <color theme="1"/>
      <name val="Century"/>
      <family val="1"/>
    </font>
    <font>
      <b/>
      <sz val="11"/>
      <color rgb="FF7030A0"/>
      <name val="Century"/>
      <family val="1"/>
    </font>
    <font>
      <b/>
      <sz val="11"/>
      <color rgb="FFC00000"/>
      <name val="Century"/>
      <family val="1"/>
    </font>
    <font>
      <b/>
      <sz val="11"/>
      <color theme="9"/>
      <name val="Century"/>
      <family val="1"/>
    </font>
    <font>
      <sz val="12"/>
      <name val="Century"/>
      <family val="1"/>
    </font>
    <font>
      <b/>
      <sz val="12"/>
      <color theme="1"/>
      <name val="Century"/>
      <family val="1"/>
    </font>
    <font>
      <b/>
      <vertAlign val="subscript"/>
      <sz val="12"/>
      <color theme="1"/>
      <name val="Century"/>
      <family val="1"/>
    </font>
    <font>
      <vertAlign val="subscript"/>
      <sz val="12"/>
      <color theme="1"/>
      <name val="Century"/>
      <family val="1"/>
    </font>
    <font>
      <b/>
      <sz val="12"/>
      <color theme="4" tint="-0.249977111117893"/>
      <name val="Century"/>
      <family val="1"/>
    </font>
    <font>
      <b/>
      <sz val="12"/>
      <color theme="1"/>
      <name val="Merriweather"/>
    </font>
    <font>
      <sz val="12"/>
      <color theme="1"/>
      <name val="Merriweather"/>
    </font>
    <font>
      <sz val="11"/>
      <color rgb="FF000000"/>
      <name val="Copperplate Gothic Light"/>
      <family val="2"/>
    </font>
    <font>
      <sz val="11"/>
      <color theme="1"/>
      <name val="Copperplate Gothic Light"/>
      <family val="2"/>
    </font>
    <font>
      <vertAlign val="superscript"/>
      <sz val="11"/>
      <color theme="1"/>
      <name val="Copperplate Gothic Light"/>
      <family val="2"/>
    </font>
    <font>
      <b/>
      <sz val="11"/>
      <color rgb="FF000000"/>
      <name val="Copperplate Gothic Light"/>
      <family val="2"/>
    </font>
    <font>
      <b/>
      <sz val="11"/>
      <color theme="1"/>
      <name val="Copperplate Gothic Light"/>
      <family val="2"/>
    </font>
    <font>
      <b/>
      <sz val="18"/>
      <color theme="1"/>
      <name val="Copperplate Gothic Light"/>
      <family val="2"/>
    </font>
    <font>
      <i/>
      <sz val="12"/>
      <color theme="1"/>
      <name val="Century"/>
      <family val="1"/>
    </font>
    <font>
      <sz val="14"/>
      <color theme="5" tint="-0.249977111117893"/>
      <name val="Century"/>
      <family val="1"/>
    </font>
    <font>
      <sz val="14"/>
      <color theme="1"/>
      <name val="Aparajita"/>
      <family val="1"/>
    </font>
    <font>
      <sz val="14"/>
      <color theme="2" tint="-0.499984740745262"/>
      <name val="Aparajita"/>
      <family val="1"/>
    </font>
    <font>
      <i/>
      <sz val="14"/>
      <color theme="2" tint="-0.499984740745262"/>
      <name val="Aparajita"/>
      <family val="1"/>
    </font>
    <font>
      <sz val="16"/>
      <color theme="1"/>
      <name val="Aparajita"/>
      <family val="1"/>
    </font>
    <font>
      <sz val="18"/>
      <color theme="1"/>
      <name val="Aparajita"/>
      <family val="1"/>
    </font>
    <font>
      <sz val="14"/>
      <name val="Aparajita"/>
      <family val="1"/>
    </font>
    <font>
      <sz val="18"/>
      <color theme="1"/>
      <name val="Bodoni MT"/>
      <family val="1"/>
    </font>
    <font>
      <sz val="14"/>
      <color theme="1"/>
      <name val="Bodoni MT"/>
      <family val="1"/>
    </font>
    <font>
      <b/>
      <sz val="14"/>
      <name val="Bodoni MT"/>
      <family val="1"/>
    </font>
    <font>
      <sz val="12"/>
      <color theme="1"/>
      <name val="Bodoni MT"/>
      <family val="1"/>
    </font>
    <font>
      <b/>
      <sz val="14"/>
      <color theme="1"/>
      <name val="Bodoni MT"/>
      <family val="1"/>
    </font>
    <font>
      <sz val="8"/>
      <color rgb="FF000000"/>
      <name val="Segoe UI"/>
      <family val="2"/>
    </font>
    <font>
      <sz val="18"/>
      <color theme="1"/>
      <name val="Century"/>
      <family val="1"/>
    </font>
    <font>
      <sz val="11"/>
      <color theme="1"/>
      <name val="Century Schoolbook"/>
      <family val="1"/>
    </font>
    <font>
      <sz val="14"/>
      <color theme="1"/>
      <name val="Century Schoolbook"/>
      <family val="1"/>
    </font>
    <font>
      <sz val="20"/>
      <color theme="1"/>
      <name val="Century Schoolbook"/>
      <family val="1"/>
    </font>
    <font>
      <b/>
      <sz val="14"/>
      <color theme="1"/>
      <name val="Century Schoolbook"/>
      <family val="1"/>
    </font>
    <font>
      <sz val="20"/>
      <name val="Century Schoolbook"/>
      <family val="1"/>
    </font>
    <font>
      <sz val="14"/>
      <color rgb="FF7030A0"/>
      <name val="Century Schoolbook"/>
      <family val="1"/>
    </font>
    <font>
      <sz val="14"/>
      <color rgb="FFC00000"/>
      <name val="Century Schoolbook"/>
      <family val="1"/>
    </font>
  </fonts>
  <fills count="3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E86F6"/>
        <bgColor indexed="64"/>
      </patternFill>
    </fill>
    <fill>
      <patternFill patternType="solid">
        <fgColor rgb="FFD3B0EE"/>
        <bgColor indexed="64"/>
      </patternFill>
    </fill>
    <fill>
      <patternFill patternType="solid">
        <fgColor rgb="FF70E1FC"/>
        <bgColor indexed="64"/>
      </patternFill>
    </fill>
    <fill>
      <patternFill patternType="solid">
        <fgColor rgb="FFABE2E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178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43" fontId="6" fillId="5" borderId="0" xfId="1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5" fillId="5" borderId="28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8" fillId="0" borderId="0" xfId="0" applyFont="1"/>
    <xf numFmtId="0" fontId="8" fillId="17" borderId="63" xfId="0" applyFont="1" applyFill="1" applyBorder="1" applyAlignment="1">
      <alignment horizontal="center" vertical="center"/>
    </xf>
    <xf numFmtId="0" fontId="8" fillId="17" borderId="64" xfId="0" applyFont="1" applyFill="1" applyBorder="1" applyAlignment="1">
      <alignment horizontal="center" vertical="center"/>
    </xf>
    <xf numFmtId="0" fontId="8" fillId="5" borderId="0" xfId="0" applyFont="1" applyFill="1"/>
    <xf numFmtId="0" fontId="3" fillId="5" borderId="0" xfId="0" applyFont="1" applyFill="1"/>
    <xf numFmtId="0" fontId="8" fillId="21" borderId="0" xfId="0" applyFont="1" applyFill="1" applyAlignment="1">
      <alignment horizontal="center" vertical="center"/>
    </xf>
    <xf numFmtId="0" fontId="1" fillId="13" borderId="0" xfId="0" applyFont="1" applyFill="1"/>
    <xf numFmtId="0" fontId="15" fillId="6" borderId="61" xfId="0" applyFont="1" applyFill="1" applyBorder="1" applyAlignment="1">
      <alignment horizontal="center" vertical="center"/>
    </xf>
    <xf numFmtId="3" fontId="15" fillId="6" borderId="21" xfId="0" applyNumberFormat="1" applyFont="1" applyFill="1" applyBorder="1" applyAlignment="1">
      <alignment horizontal="center" vertical="center"/>
    </xf>
    <xf numFmtId="0" fontId="15" fillId="6" borderId="62" xfId="0" applyFont="1" applyFill="1" applyBorder="1" applyAlignment="1">
      <alignment horizontal="center" vertical="center"/>
    </xf>
    <xf numFmtId="0" fontId="15" fillId="6" borderId="30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5" fillId="6" borderId="49" xfId="0" applyFont="1" applyFill="1" applyBorder="1" applyAlignment="1">
      <alignment horizontal="center" vertical="center"/>
    </xf>
    <xf numFmtId="0" fontId="15" fillId="6" borderId="50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5" fillId="6" borderId="20" xfId="0" applyFont="1" applyFill="1" applyBorder="1" applyAlignment="1">
      <alignment horizontal="center" vertical="center"/>
    </xf>
    <xf numFmtId="0" fontId="15" fillId="5" borderId="29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15" fillId="6" borderId="22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20" fillId="5" borderId="36" xfId="0" applyFont="1" applyFill="1" applyBorder="1" applyAlignment="1">
      <alignment horizontal="center" vertical="center"/>
    </xf>
    <xf numFmtId="43" fontId="20" fillId="6" borderId="15" xfId="1" applyFont="1" applyFill="1" applyBorder="1" applyAlignment="1">
      <alignment vertical="center"/>
    </xf>
    <xf numFmtId="43" fontId="20" fillId="6" borderId="17" xfId="1" applyFont="1" applyFill="1" applyBorder="1" applyAlignment="1">
      <alignment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20" fillId="5" borderId="55" xfId="0" applyFont="1" applyFill="1" applyBorder="1" applyAlignment="1">
      <alignment horizontal="center" vertical="center"/>
    </xf>
    <xf numFmtId="43" fontId="20" fillId="6" borderId="27" xfId="1" applyFont="1" applyFill="1" applyBorder="1" applyAlignment="1">
      <alignment vertical="center"/>
    </xf>
    <xf numFmtId="43" fontId="20" fillId="6" borderId="28" xfId="1" applyFont="1" applyFill="1" applyBorder="1" applyAlignment="1">
      <alignment vertical="center"/>
    </xf>
    <xf numFmtId="0" fontId="20" fillId="22" borderId="20" xfId="0" applyFont="1" applyFill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66" fontId="15" fillId="0" borderId="15" xfId="0" applyNumberFormat="1" applyFont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165" fontId="15" fillId="0" borderId="15" xfId="0" applyNumberFormat="1" applyFont="1" applyBorder="1" applyAlignment="1">
      <alignment horizontal="center" vertical="center"/>
    </xf>
    <xf numFmtId="165" fontId="15" fillId="0" borderId="25" xfId="0" applyNumberFormat="1" applyFont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166" fontId="15" fillId="0" borderId="27" xfId="0" applyNumberFormat="1" applyFont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5" fillId="6" borderId="28" xfId="0" applyFont="1" applyFill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164" fontId="15" fillId="0" borderId="33" xfId="0" applyNumberFormat="1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166" fontId="15" fillId="0" borderId="18" xfId="0" applyNumberFormat="1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165" fontId="15" fillId="0" borderId="26" xfId="0" applyNumberFormat="1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0" fontId="20" fillId="5" borderId="45" xfId="0" applyFont="1" applyFill="1" applyBorder="1" applyAlignment="1">
      <alignment horizontal="center" vertical="center"/>
    </xf>
    <xf numFmtId="43" fontId="20" fillId="6" borderId="18" xfId="1" applyFont="1" applyFill="1" applyBorder="1" applyAlignment="1">
      <alignment vertical="center"/>
    </xf>
    <xf numFmtId="43" fontId="20" fillId="6" borderId="20" xfId="1" applyFont="1" applyFill="1" applyBorder="1" applyAlignment="1">
      <alignment vertical="center"/>
    </xf>
    <xf numFmtId="0" fontId="24" fillId="0" borderId="41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0" fontId="27" fillId="5" borderId="55" xfId="0" applyFont="1" applyFill="1" applyBorder="1" applyAlignment="1">
      <alignment horizontal="center" vertical="center"/>
    </xf>
    <xf numFmtId="43" fontId="27" fillId="6" borderId="27" xfId="1" applyFont="1" applyFill="1" applyBorder="1" applyAlignment="1">
      <alignment vertical="center"/>
    </xf>
    <xf numFmtId="43" fontId="27" fillId="6" borderId="28" xfId="1" applyFont="1" applyFill="1" applyBorder="1" applyAlignment="1">
      <alignment vertical="center"/>
    </xf>
    <xf numFmtId="0" fontId="20" fillId="22" borderId="14" xfId="0" applyFont="1" applyFill="1" applyBorder="1" applyAlignment="1">
      <alignment horizontal="center" vertical="center"/>
    </xf>
    <xf numFmtId="0" fontId="20" fillId="5" borderId="12" xfId="0" applyFont="1" applyFill="1" applyBorder="1"/>
    <xf numFmtId="0" fontId="15" fillId="5" borderId="29" xfId="0" applyFont="1" applyFill="1" applyBorder="1"/>
    <xf numFmtId="0" fontId="15" fillId="5" borderId="12" xfId="0" applyFont="1" applyFill="1" applyBorder="1"/>
    <xf numFmtId="43" fontId="20" fillId="6" borderId="30" xfId="1" applyFont="1" applyFill="1" applyBorder="1" applyAlignment="1">
      <alignment vertical="center"/>
    </xf>
    <xf numFmtId="43" fontId="20" fillId="6" borderId="32" xfId="1" applyFont="1" applyFill="1" applyBorder="1" applyAlignment="1">
      <alignment vertical="center"/>
    </xf>
    <xf numFmtId="0" fontId="20" fillId="5" borderId="9" xfId="0" applyFont="1" applyFill="1" applyBorder="1"/>
    <xf numFmtId="2" fontId="8" fillId="0" borderId="64" xfId="0" applyNumberFormat="1" applyFont="1" applyBorder="1" applyAlignment="1">
      <alignment horizontal="center" vertical="center"/>
    </xf>
    <xf numFmtId="2" fontId="10" fillId="0" borderId="64" xfId="0" applyNumberFormat="1" applyFont="1" applyBorder="1" applyAlignment="1">
      <alignment horizontal="center" vertical="center"/>
    </xf>
    <xf numFmtId="2" fontId="12" fillId="0" borderId="64" xfId="0" applyNumberFormat="1" applyFont="1" applyBorder="1" applyAlignment="1">
      <alignment horizontal="center" vertical="center"/>
    </xf>
    <xf numFmtId="2" fontId="11" fillId="0" borderId="64" xfId="0" applyNumberFormat="1" applyFont="1" applyBorder="1" applyAlignment="1">
      <alignment horizontal="center" vertical="center"/>
    </xf>
    <xf numFmtId="166" fontId="8" fillId="0" borderId="64" xfId="0" applyNumberFormat="1" applyFont="1" applyBorder="1" applyAlignment="1">
      <alignment horizontal="center" vertical="center"/>
    </xf>
    <xf numFmtId="1" fontId="11" fillId="0" borderId="64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9" fontId="11" fillId="0" borderId="35" xfId="0" applyNumberFormat="1" applyFont="1" applyBorder="1" applyAlignment="1">
      <alignment horizontal="center" vertical="center"/>
    </xf>
    <xf numFmtId="2" fontId="8" fillId="0" borderId="34" xfId="0" applyNumberFormat="1" applyFont="1" applyBorder="1" applyAlignment="1">
      <alignment horizontal="center" vertical="center"/>
    </xf>
    <xf numFmtId="166" fontId="8" fillId="0" borderId="63" xfId="0" applyNumberFormat="1" applyFont="1" applyBorder="1" applyAlignment="1">
      <alignment horizontal="center" vertical="center"/>
    </xf>
    <xf numFmtId="166" fontId="10" fillId="5" borderId="35" xfId="0" applyNumberFormat="1" applyFont="1" applyFill="1" applyBorder="1" applyAlignment="1">
      <alignment horizontal="center" vertical="center"/>
    </xf>
    <xf numFmtId="1" fontId="10" fillId="5" borderId="35" xfId="0" applyNumberFormat="1" applyFont="1" applyFill="1" applyBorder="1" applyAlignment="1">
      <alignment horizontal="center" vertical="center"/>
    </xf>
    <xf numFmtId="1" fontId="8" fillId="5" borderId="35" xfId="0" applyNumberFormat="1" applyFont="1" applyFill="1" applyBorder="1" applyAlignment="1">
      <alignment horizontal="center" vertical="center"/>
    </xf>
    <xf numFmtId="0" fontId="20" fillId="5" borderId="56" xfId="0" applyFont="1" applyFill="1" applyBorder="1" applyAlignment="1">
      <alignment horizontal="center" vertical="center"/>
    </xf>
    <xf numFmtId="0" fontId="47" fillId="0" borderId="37" xfId="0" applyFont="1" applyBorder="1" applyAlignment="1">
      <alignment vertical="center"/>
    </xf>
    <xf numFmtId="0" fontId="47" fillId="0" borderId="44" xfId="0" applyFont="1" applyBorder="1" applyAlignment="1">
      <alignment vertical="center"/>
    </xf>
    <xf numFmtId="0" fontId="42" fillId="0" borderId="73" xfId="0" applyFont="1" applyBorder="1" applyAlignment="1">
      <alignment vertical="center"/>
    </xf>
    <xf numFmtId="0" fontId="42" fillId="0" borderId="3" xfId="0" applyFont="1" applyBorder="1" applyAlignment="1">
      <alignment vertical="center"/>
    </xf>
    <xf numFmtId="0" fontId="52" fillId="0" borderId="9" xfId="0" applyFont="1" applyBorder="1"/>
    <xf numFmtId="0" fontId="49" fillId="0" borderId="17" xfId="0" applyFont="1" applyBorder="1"/>
    <xf numFmtId="0" fontId="49" fillId="0" borderId="20" xfId="0" applyFont="1" applyBorder="1"/>
    <xf numFmtId="0" fontId="51" fillId="0" borderId="17" xfId="0" applyFont="1" applyBorder="1"/>
    <xf numFmtId="0" fontId="51" fillId="0" borderId="28" xfId="0" applyFont="1" applyBorder="1"/>
    <xf numFmtId="0" fontId="51" fillId="0" borderId="20" xfId="0" applyFont="1" applyBorder="1"/>
    <xf numFmtId="0" fontId="15" fillId="5" borderId="0" xfId="0" applyFont="1" applyFill="1" applyAlignment="1">
      <alignment horizontal="center" vertical="center"/>
    </xf>
    <xf numFmtId="2" fontId="15" fillId="7" borderId="25" xfId="0" applyNumberFormat="1" applyFont="1" applyFill="1" applyBorder="1" applyAlignment="1">
      <alignment horizontal="center" vertical="center"/>
    </xf>
    <xf numFmtId="2" fontId="15" fillId="5" borderId="26" xfId="0" applyNumberFormat="1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vertical="center"/>
    </xf>
    <xf numFmtId="0" fontId="18" fillId="5" borderId="0" xfId="0" applyFont="1" applyFill="1" applyAlignment="1">
      <alignment horizontal="center" vertical="center"/>
    </xf>
    <xf numFmtId="0" fontId="15" fillId="5" borderId="29" xfId="0" applyFont="1" applyFill="1" applyBorder="1" applyAlignment="1">
      <alignment vertical="center"/>
    </xf>
    <xf numFmtId="0" fontId="15" fillId="7" borderId="0" xfId="0" applyFont="1" applyFill="1" applyAlignment="1">
      <alignment vertical="center"/>
    </xf>
    <xf numFmtId="0" fontId="15" fillId="5" borderId="0" xfId="0" applyFont="1" applyFill="1"/>
    <xf numFmtId="0" fontId="15" fillId="13" borderId="0" xfId="0" applyFont="1" applyFill="1" applyAlignment="1">
      <alignment vertical="center"/>
    </xf>
    <xf numFmtId="0" fontId="20" fillId="5" borderId="29" xfId="0" applyFont="1" applyFill="1" applyBorder="1" applyAlignment="1">
      <alignment vertical="center"/>
    </xf>
    <xf numFmtId="0" fontId="20" fillId="5" borderId="0" xfId="0" applyFont="1" applyFill="1" applyAlignment="1">
      <alignment vertic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165" fontId="15" fillId="5" borderId="26" xfId="0" applyNumberFormat="1" applyFont="1" applyFill="1" applyBorder="1" applyAlignment="1">
      <alignment horizontal="center" vertical="center"/>
    </xf>
    <xf numFmtId="0" fontId="25" fillId="0" borderId="39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/>
    </xf>
    <xf numFmtId="0" fontId="25" fillId="5" borderId="35" xfId="0" applyFont="1" applyFill="1" applyBorder="1" applyAlignment="1">
      <alignment horizontal="center" vertical="center"/>
    </xf>
    <xf numFmtId="169" fontId="15" fillId="5" borderId="26" xfId="0" applyNumberFormat="1" applyFont="1" applyFill="1" applyBorder="1" applyAlignment="1">
      <alignment horizontal="center" vertical="center"/>
    </xf>
    <xf numFmtId="0" fontId="15" fillId="22" borderId="20" xfId="0" applyFont="1" applyFill="1" applyBorder="1" applyAlignment="1">
      <alignment horizontal="center" vertical="center"/>
    </xf>
    <xf numFmtId="0" fontId="56" fillId="0" borderId="27" xfId="0" applyFont="1" applyBorder="1"/>
    <xf numFmtId="0" fontId="56" fillId="0" borderId="28" xfId="0" applyFont="1" applyBorder="1"/>
    <xf numFmtId="0" fontId="56" fillId="0" borderId="32" xfId="0" applyFont="1" applyBorder="1"/>
    <xf numFmtId="0" fontId="56" fillId="0" borderId="13" xfId="0" applyFont="1" applyBorder="1"/>
    <xf numFmtId="0" fontId="56" fillId="0" borderId="33" xfId="0" applyFont="1" applyBorder="1"/>
    <xf numFmtId="0" fontId="56" fillId="0" borderId="69" xfId="0" applyFont="1" applyBorder="1"/>
    <xf numFmtId="0" fontId="56" fillId="0" borderId="68" xfId="0" applyFont="1" applyBorder="1"/>
    <xf numFmtId="0" fontId="56" fillId="0" borderId="47" xfId="0" applyFont="1" applyBorder="1"/>
    <xf numFmtId="0" fontId="56" fillId="0" borderId="14" xfId="0" applyFont="1" applyBorder="1"/>
    <xf numFmtId="0" fontId="56" fillId="0" borderId="65" xfId="0" applyFont="1" applyBorder="1"/>
    <xf numFmtId="0" fontId="56" fillId="19" borderId="30" xfId="0" applyFont="1" applyFill="1" applyBorder="1"/>
    <xf numFmtId="0" fontId="56" fillId="19" borderId="65" xfId="0" applyFont="1" applyFill="1" applyBorder="1"/>
    <xf numFmtId="0" fontId="56" fillId="19" borderId="57" xfId="0" applyFont="1" applyFill="1" applyBorder="1"/>
    <xf numFmtId="0" fontId="56" fillId="19" borderId="69" xfId="0" applyFont="1" applyFill="1" applyBorder="1"/>
    <xf numFmtId="0" fontId="56" fillId="19" borderId="27" xfId="0" applyFont="1" applyFill="1" applyBorder="1"/>
    <xf numFmtId="0" fontId="56" fillId="19" borderId="33" xfId="0" applyFont="1" applyFill="1" applyBorder="1"/>
    <xf numFmtId="0" fontId="56" fillId="5" borderId="27" xfId="0" applyFont="1" applyFill="1" applyBorder="1"/>
    <xf numFmtId="0" fontId="56" fillId="5" borderId="33" xfId="0" applyFont="1" applyFill="1" applyBorder="1"/>
    <xf numFmtId="0" fontId="55" fillId="19" borderId="0" xfId="0" applyFont="1" applyFill="1"/>
    <xf numFmtId="0" fontId="58" fillId="0" borderId="13" xfId="0" applyFont="1" applyBorder="1"/>
    <xf numFmtId="0" fontId="58" fillId="0" borderId="14" xfId="0" applyFont="1" applyBorder="1"/>
    <xf numFmtId="0" fontId="58" fillId="0" borderId="47" xfId="0" applyFont="1" applyBorder="1"/>
    <xf numFmtId="0" fontId="60" fillId="0" borderId="27" xfId="0" applyFont="1" applyBorder="1"/>
    <xf numFmtId="0" fontId="60" fillId="0" borderId="28" xfId="0" applyFont="1" applyBorder="1"/>
    <xf numFmtId="0" fontId="60" fillId="0" borderId="33" xfId="0" applyFont="1" applyBorder="1"/>
    <xf numFmtId="0" fontId="55" fillId="24" borderId="0" xfId="0" applyFont="1" applyFill="1"/>
    <xf numFmtId="0" fontId="55" fillId="5" borderId="0" xfId="0" applyFont="1" applyFill="1"/>
    <xf numFmtId="0" fontId="56" fillId="5" borderId="0" xfId="0" applyFont="1" applyFill="1"/>
    <xf numFmtId="2" fontId="56" fillId="0" borderId="27" xfId="0" applyNumberFormat="1" applyFont="1" applyBorder="1"/>
    <xf numFmtId="2" fontId="56" fillId="0" borderId="28" xfId="0" applyNumberFormat="1" applyFont="1" applyBorder="1"/>
    <xf numFmtId="2" fontId="56" fillId="0" borderId="13" xfId="0" applyNumberFormat="1" applyFont="1" applyBorder="1"/>
    <xf numFmtId="2" fontId="56" fillId="0" borderId="14" xfId="0" applyNumberFormat="1" applyFont="1" applyBorder="1"/>
    <xf numFmtId="2" fontId="56" fillId="24" borderId="30" xfId="0" applyNumberFormat="1" applyFont="1" applyFill="1" applyBorder="1"/>
    <xf numFmtId="2" fontId="56" fillId="0" borderId="32" xfId="0" applyNumberFormat="1" applyFont="1" applyBorder="1"/>
    <xf numFmtId="2" fontId="56" fillId="24" borderId="27" xfId="0" applyNumberFormat="1" applyFont="1" applyFill="1" applyBorder="1"/>
    <xf numFmtId="2" fontId="61" fillId="0" borderId="27" xfId="0" applyNumberFormat="1" applyFont="1" applyBorder="1"/>
    <xf numFmtId="2" fontId="61" fillId="0" borderId="28" xfId="0" applyNumberFormat="1" applyFont="1" applyBorder="1"/>
    <xf numFmtId="2" fontId="56" fillId="0" borderId="65" xfId="0" applyNumberFormat="1" applyFont="1" applyBorder="1"/>
    <xf numFmtId="2" fontId="56" fillId="0" borderId="68" xfId="0" applyNumberFormat="1" applyFont="1" applyBorder="1"/>
    <xf numFmtId="165" fontId="56" fillId="0" borderId="27" xfId="0" applyNumberFormat="1" applyFont="1" applyBorder="1"/>
    <xf numFmtId="165" fontId="56" fillId="0" borderId="28" xfId="0" applyNumberFormat="1" applyFont="1" applyBorder="1"/>
    <xf numFmtId="170" fontId="56" fillId="0" borderId="27" xfId="0" applyNumberFormat="1" applyFont="1" applyBorder="1"/>
    <xf numFmtId="170" fontId="56" fillId="0" borderId="28" xfId="0" applyNumberFormat="1" applyFont="1" applyBorder="1"/>
    <xf numFmtId="0" fontId="56" fillId="0" borderId="1" xfId="0" applyFont="1" applyBorder="1"/>
    <xf numFmtId="0" fontId="56" fillId="0" borderId="58" xfId="0" applyFont="1" applyBorder="1"/>
    <xf numFmtId="0" fontId="56" fillId="0" borderId="42" xfId="0" applyFont="1" applyBorder="1"/>
    <xf numFmtId="0" fontId="56" fillId="0" borderId="71" xfId="0" applyFont="1" applyBorder="1"/>
    <xf numFmtId="0" fontId="58" fillId="0" borderId="1" xfId="0" applyFont="1" applyBorder="1"/>
    <xf numFmtId="0" fontId="60" fillId="0" borderId="42" xfId="0" applyFont="1" applyBorder="1"/>
    <xf numFmtId="165" fontId="56" fillId="0" borderId="33" xfId="0" applyNumberFormat="1" applyFont="1" applyBorder="1"/>
    <xf numFmtId="0" fontId="56" fillId="0" borderId="56" xfId="0" applyFont="1" applyBorder="1"/>
    <xf numFmtId="0" fontId="56" fillId="0" borderId="55" xfId="0" applyFont="1" applyBorder="1"/>
    <xf numFmtId="165" fontId="56" fillId="0" borderId="55" xfId="0" applyNumberFormat="1" applyFont="1" applyBorder="1"/>
    <xf numFmtId="0" fontId="60" fillId="0" borderId="55" xfId="0" applyFont="1" applyBorder="1"/>
    <xf numFmtId="0" fontId="56" fillId="0" borderId="66" xfId="0" applyFont="1" applyBorder="1"/>
    <xf numFmtId="0" fontId="56" fillId="0" borderId="74" xfId="0" applyFont="1" applyBorder="1"/>
    <xf numFmtId="0" fontId="58" fillId="0" borderId="74" xfId="0" applyFont="1" applyBorder="1"/>
    <xf numFmtId="0" fontId="61" fillId="0" borderId="42" xfId="0" applyFont="1" applyBorder="1"/>
    <xf numFmtId="2" fontId="58" fillId="0" borderId="20" xfId="0" applyNumberFormat="1" applyFont="1" applyBorder="1"/>
    <xf numFmtId="2" fontId="56" fillId="24" borderId="57" xfId="0" applyNumberFormat="1" applyFont="1" applyFill="1" applyBorder="1"/>
    <xf numFmtId="2" fontId="56" fillId="0" borderId="33" xfId="0" applyNumberFormat="1" applyFont="1" applyBorder="1"/>
    <xf numFmtId="2" fontId="56" fillId="24" borderId="33" xfId="0" applyNumberFormat="1" applyFont="1" applyFill="1" applyBorder="1"/>
    <xf numFmtId="2" fontId="61" fillId="0" borderId="33" xfId="0" applyNumberFormat="1" applyFont="1" applyBorder="1"/>
    <xf numFmtId="170" fontId="56" fillId="0" borderId="33" xfId="0" applyNumberFormat="1" applyFont="1" applyBorder="1"/>
    <xf numFmtId="2" fontId="58" fillId="0" borderId="26" xfId="0" applyNumberFormat="1" applyFont="1" applyBorder="1"/>
    <xf numFmtId="2" fontId="58" fillId="0" borderId="18" xfId="0" applyNumberFormat="1" applyFont="1" applyBorder="1"/>
    <xf numFmtId="2" fontId="56" fillId="24" borderId="65" xfId="0" applyNumberFormat="1" applyFont="1" applyFill="1" applyBorder="1"/>
    <xf numFmtId="2" fontId="56" fillId="24" borderId="69" xfId="0" applyNumberFormat="1" applyFont="1" applyFill="1" applyBorder="1"/>
    <xf numFmtId="2" fontId="56" fillId="0" borderId="47" xfId="0" applyNumberFormat="1" applyFont="1" applyBorder="1"/>
    <xf numFmtId="2" fontId="56" fillId="0" borderId="69" xfId="0" applyNumberFormat="1" applyFont="1" applyBorder="1"/>
    <xf numFmtId="0" fontId="20" fillId="5" borderId="43" xfId="0" applyFont="1" applyFill="1" applyBorder="1" applyAlignment="1">
      <alignment vertical="center"/>
    </xf>
    <xf numFmtId="0" fontId="20" fillId="5" borderId="40" xfId="0" applyFont="1" applyFill="1" applyBorder="1" applyAlignment="1">
      <alignment vertical="center"/>
    </xf>
    <xf numFmtId="0" fontId="20" fillId="5" borderId="26" xfId="0" applyFont="1" applyFill="1" applyBorder="1" applyAlignment="1">
      <alignment vertical="center"/>
    </xf>
    <xf numFmtId="1" fontId="20" fillId="5" borderId="45" xfId="0" applyNumberFormat="1" applyFont="1" applyFill="1" applyBorder="1" applyAlignment="1">
      <alignment vertical="center"/>
    </xf>
    <xf numFmtId="1" fontId="20" fillId="5" borderId="40" xfId="0" applyNumberFormat="1" applyFont="1" applyFill="1" applyBorder="1" applyAlignment="1">
      <alignment vertical="center"/>
    </xf>
    <xf numFmtId="1" fontId="20" fillId="5" borderId="26" xfId="0" applyNumberFormat="1" applyFont="1" applyFill="1" applyBorder="1" applyAlignment="1">
      <alignment vertical="center"/>
    </xf>
    <xf numFmtId="0" fontId="20" fillId="5" borderId="45" xfId="0" applyFont="1" applyFill="1" applyBorder="1" applyAlignment="1">
      <alignment vertical="center"/>
    </xf>
    <xf numFmtId="0" fontId="20" fillId="5" borderId="38" xfId="0" applyFont="1" applyFill="1" applyBorder="1" applyAlignment="1">
      <alignment vertical="center"/>
    </xf>
    <xf numFmtId="0" fontId="20" fillId="5" borderId="11" xfId="0" applyFont="1" applyFill="1" applyBorder="1" applyAlignment="1">
      <alignment vertical="center"/>
    </xf>
    <xf numFmtId="167" fontId="20" fillId="5" borderId="55" xfId="0" applyNumberFormat="1" applyFont="1" applyFill="1" applyBorder="1" applyAlignment="1">
      <alignment vertical="center"/>
    </xf>
    <xf numFmtId="167" fontId="20" fillId="5" borderId="60" xfId="0" applyNumberFormat="1" applyFont="1" applyFill="1" applyBorder="1" applyAlignment="1">
      <alignment vertical="center"/>
    </xf>
    <xf numFmtId="167" fontId="20" fillId="5" borderId="33" xfId="0" applyNumberFormat="1" applyFont="1" applyFill="1" applyBorder="1" applyAlignment="1">
      <alignment vertical="center"/>
    </xf>
    <xf numFmtId="0" fontId="20" fillId="5" borderId="28" xfId="0" applyFont="1" applyFill="1" applyBorder="1" applyAlignment="1">
      <alignment vertical="center"/>
    </xf>
    <xf numFmtId="0" fontId="20" fillId="5" borderId="42" xfId="0" applyFont="1" applyFill="1" applyBorder="1" applyAlignment="1">
      <alignment vertical="center"/>
    </xf>
    <xf numFmtId="0" fontId="20" fillId="5" borderId="60" xfId="0" applyFont="1" applyFill="1" applyBorder="1" applyAlignment="1">
      <alignment vertical="center"/>
    </xf>
    <xf numFmtId="0" fontId="20" fillId="5" borderId="33" xfId="0" applyFont="1" applyFill="1" applyBorder="1" applyAlignment="1">
      <alignment vertical="center"/>
    </xf>
    <xf numFmtId="0" fontId="20" fillId="5" borderId="55" xfId="0" applyFont="1" applyFill="1" applyBorder="1" applyAlignment="1">
      <alignment vertical="center"/>
    </xf>
    <xf numFmtId="0" fontId="20" fillId="5" borderId="44" xfId="0" applyFont="1" applyFill="1" applyBorder="1" applyAlignment="1">
      <alignment vertical="center"/>
    </xf>
    <xf numFmtId="2" fontId="20" fillId="5" borderId="55" xfId="0" applyNumberFormat="1" applyFont="1" applyFill="1" applyBorder="1" applyAlignment="1">
      <alignment vertical="center"/>
    </xf>
    <xf numFmtId="2" fontId="20" fillId="5" borderId="60" xfId="0" applyNumberFormat="1" applyFont="1" applyFill="1" applyBorder="1" applyAlignment="1">
      <alignment vertical="center"/>
    </xf>
    <xf numFmtId="2" fontId="20" fillId="5" borderId="33" xfId="0" applyNumberFormat="1" applyFont="1" applyFill="1" applyBorder="1" applyAlignment="1">
      <alignment vertical="center"/>
    </xf>
    <xf numFmtId="0" fontId="15" fillId="0" borderId="11" xfId="0" applyFont="1" applyBorder="1"/>
    <xf numFmtId="0" fontId="15" fillId="0" borderId="28" xfId="0" applyFont="1" applyBorder="1"/>
    <xf numFmtId="165" fontId="20" fillId="5" borderId="55" xfId="0" applyNumberFormat="1" applyFont="1" applyFill="1" applyBorder="1" applyAlignment="1">
      <alignment vertical="center"/>
    </xf>
    <xf numFmtId="165" fontId="20" fillId="5" borderId="60" xfId="0" applyNumberFormat="1" applyFont="1" applyFill="1" applyBorder="1" applyAlignment="1">
      <alignment vertical="center"/>
    </xf>
    <xf numFmtId="165" fontId="20" fillId="5" borderId="33" xfId="0" applyNumberFormat="1" applyFont="1" applyFill="1" applyBorder="1" applyAlignment="1">
      <alignment vertical="center"/>
    </xf>
    <xf numFmtId="166" fontId="20" fillId="5" borderId="55" xfId="0" applyNumberFormat="1" applyFont="1" applyFill="1" applyBorder="1" applyAlignment="1">
      <alignment vertical="center"/>
    </xf>
    <xf numFmtId="166" fontId="20" fillId="5" borderId="60" xfId="0" applyNumberFormat="1" applyFont="1" applyFill="1" applyBorder="1" applyAlignment="1">
      <alignment vertical="center"/>
    </xf>
    <xf numFmtId="166" fontId="20" fillId="5" borderId="33" xfId="0" applyNumberFormat="1" applyFont="1" applyFill="1" applyBorder="1" applyAlignment="1">
      <alignment vertical="center"/>
    </xf>
    <xf numFmtId="0" fontId="20" fillId="5" borderId="67" xfId="0" applyFont="1" applyFill="1" applyBorder="1" applyAlignment="1">
      <alignment vertical="center"/>
    </xf>
    <xf numFmtId="165" fontId="20" fillId="5" borderId="66" xfId="0" applyNumberFormat="1" applyFont="1" applyFill="1" applyBorder="1" applyAlignment="1">
      <alignment vertical="center"/>
    </xf>
    <xf numFmtId="165" fontId="20" fillId="5" borderId="72" xfId="0" applyNumberFormat="1" applyFont="1" applyFill="1" applyBorder="1" applyAlignment="1">
      <alignment vertical="center"/>
    </xf>
    <xf numFmtId="165" fontId="20" fillId="5" borderId="69" xfId="0" applyNumberFormat="1" applyFont="1" applyFill="1" applyBorder="1" applyAlignment="1">
      <alignment vertical="center"/>
    </xf>
    <xf numFmtId="0" fontId="20" fillId="5" borderId="68" xfId="0" applyFont="1" applyFill="1" applyBorder="1" applyAlignment="1">
      <alignment vertical="center"/>
    </xf>
    <xf numFmtId="0" fontId="20" fillId="5" borderId="16" xfId="0" applyFont="1" applyFill="1" applyBorder="1" applyAlignment="1">
      <alignment vertical="center"/>
    </xf>
    <xf numFmtId="165" fontId="20" fillId="5" borderId="36" xfId="0" applyNumberFormat="1" applyFont="1" applyFill="1" applyBorder="1" applyAlignment="1">
      <alignment vertical="center"/>
    </xf>
    <xf numFmtId="165" fontId="20" fillId="5" borderId="39" xfId="0" applyNumberFormat="1" applyFont="1" applyFill="1" applyBorder="1" applyAlignment="1">
      <alignment vertical="center"/>
    </xf>
    <xf numFmtId="165" fontId="20" fillId="5" borderId="25" xfId="0" applyNumberFormat="1" applyFont="1" applyFill="1" applyBorder="1" applyAlignment="1">
      <alignment vertical="center"/>
    </xf>
    <xf numFmtId="0" fontId="20" fillId="5" borderId="17" xfId="0" applyFont="1" applyFill="1" applyBorder="1" applyAlignment="1">
      <alignment vertical="center"/>
    </xf>
    <xf numFmtId="0" fontId="20" fillId="5" borderId="12" xfId="0" applyFont="1" applyFill="1" applyBorder="1" applyAlignment="1">
      <alignment vertical="center"/>
    </xf>
    <xf numFmtId="0" fontId="20" fillId="5" borderId="9" xfId="0" applyFont="1" applyFill="1" applyBorder="1" applyAlignment="1">
      <alignment vertical="center"/>
    </xf>
    <xf numFmtId="0" fontId="20" fillId="7" borderId="49" xfId="0" applyFont="1" applyFill="1" applyBorder="1" applyAlignment="1">
      <alignment vertical="center"/>
    </xf>
    <xf numFmtId="0" fontId="20" fillId="7" borderId="21" xfId="0" applyFont="1" applyFill="1" applyBorder="1" applyAlignment="1">
      <alignment vertical="center"/>
    </xf>
    <xf numFmtId="0" fontId="28" fillId="5" borderId="53" xfId="0" applyFont="1" applyFill="1" applyBorder="1" applyAlignment="1">
      <alignment vertical="center"/>
    </xf>
    <xf numFmtId="0" fontId="28" fillId="5" borderId="54" xfId="0" applyFont="1" applyFill="1" applyBorder="1" applyAlignment="1">
      <alignment vertical="center"/>
    </xf>
    <xf numFmtId="0" fontId="20" fillId="5" borderId="7" xfId="0" applyFont="1" applyFill="1" applyBorder="1" applyAlignment="1">
      <alignment vertical="center"/>
    </xf>
    <xf numFmtId="0" fontId="31" fillId="5" borderId="0" xfId="0" applyFont="1" applyFill="1" applyAlignment="1">
      <alignment vertical="center"/>
    </xf>
    <xf numFmtId="0" fontId="31" fillId="5" borderId="8" xfId="0" applyFont="1" applyFill="1" applyBorder="1" applyAlignment="1">
      <alignment vertical="center"/>
    </xf>
    <xf numFmtId="2" fontId="20" fillId="5" borderId="29" xfId="0" applyNumberFormat="1" applyFont="1" applyFill="1" applyBorder="1" applyAlignment="1">
      <alignment vertical="center"/>
    </xf>
    <xf numFmtId="2" fontId="20" fillId="5" borderId="12" xfId="0" applyNumberFormat="1" applyFont="1" applyFill="1" applyBorder="1" applyAlignment="1">
      <alignment vertical="center"/>
    </xf>
    <xf numFmtId="2" fontId="20" fillId="5" borderId="7" xfId="0" applyNumberFormat="1" applyFont="1" applyFill="1" applyBorder="1" applyAlignment="1">
      <alignment vertical="center"/>
    </xf>
    <xf numFmtId="2" fontId="20" fillId="5" borderId="9" xfId="0" applyNumberFormat="1" applyFont="1" applyFill="1" applyBorder="1" applyAlignment="1">
      <alignment vertical="center"/>
    </xf>
    <xf numFmtId="168" fontId="20" fillId="5" borderId="56" xfId="0" applyNumberFormat="1" applyFont="1" applyFill="1" applyBorder="1" applyAlignment="1">
      <alignment vertical="center"/>
    </xf>
    <xf numFmtId="168" fontId="20" fillId="5" borderId="59" xfId="0" applyNumberFormat="1" applyFont="1" applyFill="1" applyBorder="1" applyAlignment="1">
      <alignment vertical="center"/>
    </xf>
    <xf numFmtId="168" fontId="20" fillId="5" borderId="57" xfId="0" applyNumberFormat="1" applyFont="1" applyFill="1" applyBorder="1" applyAlignment="1">
      <alignment vertical="center"/>
    </xf>
    <xf numFmtId="0" fontId="20" fillId="5" borderId="31" xfId="0" applyFont="1" applyFill="1" applyBorder="1" applyAlignment="1">
      <alignment vertical="center"/>
    </xf>
    <xf numFmtId="0" fontId="20" fillId="5" borderId="32" xfId="0" applyFont="1" applyFill="1" applyBorder="1" applyAlignment="1">
      <alignment vertical="center"/>
    </xf>
    <xf numFmtId="0" fontId="41" fillId="5" borderId="19" xfId="0" applyFont="1" applyFill="1" applyBorder="1" applyAlignment="1">
      <alignment vertical="center"/>
    </xf>
    <xf numFmtId="0" fontId="41" fillId="5" borderId="20" xfId="0" applyFont="1" applyFill="1" applyBorder="1" applyAlignment="1">
      <alignment vertical="center"/>
    </xf>
    <xf numFmtId="0" fontId="20" fillId="7" borderId="51" xfId="0" applyFont="1" applyFill="1" applyBorder="1" applyAlignment="1">
      <alignment vertical="center"/>
    </xf>
    <xf numFmtId="0" fontId="28" fillId="5" borderId="52" xfId="0" applyFont="1" applyFill="1" applyBorder="1" applyAlignment="1">
      <alignment vertical="center"/>
    </xf>
    <xf numFmtId="0" fontId="20" fillId="5" borderId="4" xfId="0" applyFont="1" applyFill="1" applyBorder="1" applyAlignment="1">
      <alignment vertical="center"/>
    </xf>
    <xf numFmtId="0" fontId="20" fillId="5" borderId="6" xfId="0" applyFont="1" applyFill="1" applyBorder="1" applyAlignment="1">
      <alignment vertical="center"/>
    </xf>
    <xf numFmtId="0" fontId="31" fillId="5" borderId="4" xfId="0" applyFont="1" applyFill="1" applyBorder="1" applyAlignment="1">
      <alignment vertical="center"/>
    </xf>
    <xf numFmtId="0" fontId="31" fillId="5" borderId="5" xfId="0" applyFont="1" applyFill="1" applyBorder="1" applyAlignment="1">
      <alignment vertical="center"/>
    </xf>
    <xf numFmtId="0" fontId="31" fillId="5" borderId="29" xfId="0" applyFont="1" applyFill="1" applyBorder="1" applyAlignment="1">
      <alignment vertical="center"/>
    </xf>
    <xf numFmtId="0" fontId="31" fillId="5" borderId="7" xfId="0" applyFont="1" applyFill="1" applyBorder="1" applyAlignment="1">
      <alignment vertical="center"/>
    </xf>
    <xf numFmtId="2" fontId="20" fillId="5" borderId="4" xfId="0" applyNumberFormat="1" applyFont="1" applyFill="1" applyBorder="1" applyAlignment="1">
      <alignment vertical="center"/>
    </xf>
    <xf numFmtId="2" fontId="20" fillId="5" borderId="6" xfId="0" applyNumberFormat="1" applyFont="1" applyFill="1" applyBorder="1" applyAlignment="1">
      <alignment vertical="center"/>
    </xf>
    <xf numFmtId="0" fontId="41" fillId="5" borderId="16" xfId="0" applyFont="1" applyFill="1" applyBorder="1" applyAlignment="1">
      <alignment vertical="center"/>
    </xf>
    <xf numFmtId="0" fontId="41" fillId="5" borderId="17" xfId="0" applyFont="1" applyFill="1" applyBorder="1" applyAlignment="1">
      <alignment vertical="center"/>
    </xf>
    <xf numFmtId="0" fontId="41" fillId="5" borderId="11" xfId="0" applyFont="1" applyFill="1" applyBorder="1" applyAlignment="1">
      <alignment vertical="center"/>
    </xf>
    <xf numFmtId="2" fontId="41" fillId="13" borderId="55" xfId="0" applyNumberFormat="1" applyFont="1" applyFill="1" applyBorder="1" applyAlignment="1">
      <alignment vertical="center"/>
    </xf>
    <xf numFmtId="2" fontId="41" fillId="13" borderId="60" xfId="0" applyNumberFormat="1" applyFont="1" applyFill="1" applyBorder="1" applyAlignment="1">
      <alignment vertical="center"/>
    </xf>
    <xf numFmtId="2" fontId="41" fillId="13" borderId="33" xfId="0" applyNumberFormat="1" applyFont="1" applyFill="1" applyBorder="1" applyAlignment="1">
      <alignment vertical="center"/>
    </xf>
    <xf numFmtId="0" fontId="41" fillId="5" borderId="28" xfId="0" applyFont="1" applyFill="1" applyBorder="1" applyAlignment="1">
      <alignment vertical="center"/>
    </xf>
    <xf numFmtId="2" fontId="41" fillId="13" borderId="45" xfId="0" applyNumberFormat="1" applyFont="1" applyFill="1" applyBorder="1" applyAlignment="1">
      <alignment vertical="center"/>
    </xf>
    <xf numFmtId="2" fontId="41" fillId="13" borderId="40" xfId="0" applyNumberFormat="1" applyFont="1" applyFill="1" applyBorder="1" applyAlignment="1">
      <alignment vertical="center"/>
    </xf>
    <xf numFmtId="2" fontId="41" fillId="13" borderId="26" xfId="0" applyNumberFormat="1" applyFont="1" applyFill="1" applyBorder="1" applyAlignment="1">
      <alignment vertical="center"/>
    </xf>
    <xf numFmtId="0" fontId="15" fillId="5" borderId="4" xfId="0" applyFont="1" applyFill="1" applyBorder="1" applyAlignment="1">
      <alignment vertical="center"/>
    </xf>
    <xf numFmtId="0" fontId="15" fillId="5" borderId="5" xfId="0" applyFont="1" applyFill="1" applyBorder="1" applyAlignment="1">
      <alignment vertical="center"/>
    </xf>
    <xf numFmtId="0" fontId="15" fillId="5" borderId="6" xfId="0" applyFont="1" applyFill="1" applyBorder="1" applyAlignment="1">
      <alignment vertical="center"/>
    </xf>
    <xf numFmtId="165" fontId="41" fillId="13" borderId="36" xfId="0" applyNumberFormat="1" applyFont="1" applyFill="1" applyBorder="1" applyAlignment="1">
      <alignment vertical="center"/>
    </xf>
    <xf numFmtId="165" fontId="41" fillId="13" borderId="39" xfId="0" applyNumberFormat="1" applyFont="1" applyFill="1" applyBorder="1" applyAlignment="1">
      <alignment vertical="center"/>
    </xf>
    <xf numFmtId="165" fontId="41" fillId="13" borderId="25" xfId="0" applyNumberFormat="1" applyFont="1" applyFill="1" applyBorder="1" applyAlignment="1">
      <alignment vertical="center"/>
    </xf>
    <xf numFmtId="0" fontId="20" fillId="5" borderId="5" xfId="0" applyFont="1" applyFill="1" applyBorder="1" applyAlignment="1">
      <alignment vertical="center"/>
    </xf>
    <xf numFmtId="0" fontId="20" fillId="5" borderId="8" xfId="0" applyFont="1" applyFill="1" applyBorder="1" applyAlignment="1">
      <alignment vertical="center"/>
    </xf>
    <xf numFmtId="0" fontId="20" fillId="5" borderId="7" xfId="0" applyFont="1" applyFill="1" applyBorder="1"/>
    <xf numFmtId="167" fontId="28" fillId="5" borderId="45" xfId="0" applyNumberFormat="1" applyFont="1" applyFill="1" applyBorder="1"/>
    <xf numFmtId="167" fontId="28" fillId="5" borderId="40" xfId="0" applyNumberFormat="1" applyFont="1" applyFill="1" applyBorder="1"/>
    <xf numFmtId="167" fontId="28" fillId="5" borderId="26" xfId="0" applyNumberFormat="1" applyFont="1" applyFill="1" applyBorder="1"/>
    <xf numFmtId="0" fontId="20" fillId="5" borderId="45" xfId="0" applyFont="1" applyFill="1" applyBorder="1"/>
    <xf numFmtId="0" fontId="20" fillId="5" borderId="40" xfId="0" applyFont="1" applyFill="1" applyBorder="1"/>
    <xf numFmtId="0" fontId="20" fillId="5" borderId="29" xfId="0" applyFont="1" applyFill="1" applyBorder="1"/>
    <xf numFmtId="0" fontId="20" fillId="5" borderId="0" xfId="0" applyFont="1" applyFill="1"/>
    <xf numFmtId="0" fontId="20" fillId="5" borderId="58" xfId="0" applyFont="1" applyFill="1" applyBorder="1" applyAlignment="1">
      <alignment vertical="center"/>
    </xf>
    <xf numFmtId="0" fontId="20" fillId="5" borderId="59" xfId="0" applyFont="1" applyFill="1" applyBorder="1" applyAlignment="1">
      <alignment vertical="center"/>
    </xf>
    <xf numFmtId="0" fontId="20" fillId="5" borderId="57" xfId="0" applyFont="1" applyFill="1" applyBorder="1" applyAlignment="1">
      <alignment vertical="center"/>
    </xf>
    <xf numFmtId="167" fontId="28" fillId="5" borderId="56" xfId="0" applyNumberFormat="1" applyFont="1" applyFill="1" applyBorder="1"/>
    <xf numFmtId="167" fontId="28" fillId="5" borderId="59" xfId="0" applyNumberFormat="1" applyFont="1" applyFill="1" applyBorder="1"/>
    <xf numFmtId="167" fontId="28" fillId="5" borderId="57" xfId="0" applyNumberFormat="1" applyFont="1" applyFill="1" applyBorder="1"/>
    <xf numFmtId="0" fontId="20" fillId="5" borderId="56" xfId="0" applyFont="1" applyFill="1" applyBorder="1"/>
    <xf numFmtId="0" fontId="20" fillId="5" borderId="59" xfId="0" applyFont="1" applyFill="1" applyBorder="1"/>
    <xf numFmtId="0" fontId="20" fillId="5" borderId="41" xfId="0" applyFont="1" applyFill="1" applyBorder="1" applyAlignment="1">
      <alignment vertical="center"/>
    </xf>
    <xf numFmtId="0" fontId="20" fillId="5" borderId="39" xfId="0" applyFont="1" applyFill="1" applyBorder="1" applyAlignment="1">
      <alignment vertical="center"/>
    </xf>
    <xf numFmtId="0" fontId="20" fillId="5" borderId="25" xfId="0" applyFont="1" applyFill="1" applyBorder="1" applyAlignment="1">
      <alignment vertical="center"/>
    </xf>
    <xf numFmtId="165" fontId="28" fillId="5" borderId="36" xfId="0" applyNumberFormat="1" applyFont="1" applyFill="1" applyBorder="1"/>
    <xf numFmtId="165" fontId="28" fillId="5" borderId="39" xfId="0" applyNumberFormat="1" applyFont="1" applyFill="1" applyBorder="1"/>
    <xf numFmtId="165" fontId="28" fillId="5" borderId="25" xfId="0" applyNumberFormat="1" applyFont="1" applyFill="1" applyBorder="1"/>
    <xf numFmtId="0" fontId="20" fillId="5" borderId="36" xfId="0" applyFont="1" applyFill="1" applyBorder="1"/>
    <xf numFmtId="0" fontId="20" fillId="5" borderId="39" xfId="0" applyFont="1" applyFill="1" applyBorder="1"/>
    <xf numFmtId="165" fontId="28" fillId="5" borderId="45" xfId="0" applyNumberFormat="1" applyFont="1" applyFill="1" applyBorder="1"/>
    <xf numFmtId="165" fontId="28" fillId="5" borderId="40" xfId="0" applyNumberFormat="1" applyFont="1" applyFill="1" applyBorder="1"/>
    <xf numFmtId="165" fontId="28" fillId="5" borderId="26" xfId="0" applyNumberFormat="1" applyFont="1" applyFill="1" applyBorder="1"/>
    <xf numFmtId="0" fontId="28" fillId="5" borderId="45" xfId="0" applyFont="1" applyFill="1" applyBorder="1"/>
    <xf numFmtId="0" fontId="28" fillId="5" borderId="40" xfId="0" applyFont="1" applyFill="1" applyBorder="1"/>
    <xf numFmtId="165" fontId="15" fillId="0" borderId="19" xfId="0" applyNumberFormat="1" applyFont="1" applyBorder="1"/>
    <xf numFmtId="165" fontId="15" fillId="0" borderId="20" xfId="0" applyNumberFormat="1" applyFont="1" applyBorder="1"/>
    <xf numFmtId="165" fontId="15" fillId="5" borderId="0" xfId="0" applyNumberFormat="1" applyFont="1" applyFill="1"/>
    <xf numFmtId="165" fontId="28" fillId="5" borderId="55" xfId="0" applyNumberFormat="1" applyFont="1" applyFill="1" applyBorder="1"/>
    <xf numFmtId="165" fontId="28" fillId="5" borderId="60" xfId="0" applyNumberFormat="1" applyFont="1" applyFill="1" applyBorder="1"/>
    <xf numFmtId="165" fontId="28" fillId="5" borderId="33" xfId="0" applyNumberFormat="1" applyFont="1" applyFill="1" applyBorder="1"/>
    <xf numFmtId="0" fontId="28" fillId="5" borderId="55" xfId="0" applyFont="1" applyFill="1" applyBorder="1"/>
    <xf numFmtId="0" fontId="28" fillId="5" borderId="60" xfId="0" applyFont="1" applyFill="1" applyBorder="1"/>
    <xf numFmtId="0" fontId="15" fillId="0" borderId="27" xfId="0" applyFont="1" applyBorder="1"/>
    <xf numFmtId="165" fontId="15" fillId="0" borderId="11" xfId="0" applyNumberFormat="1" applyFont="1" applyBorder="1"/>
    <xf numFmtId="165" fontId="15" fillId="0" borderId="28" xfId="0" applyNumberFormat="1" applyFont="1" applyBorder="1"/>
    <xf numFmtId="0" fontId="20" fillId="5" borderId="55" xfId="0" applyFont="1" applyFill="1" applyBorder="1"/>
    <xf numFmtId="0" fontId="20" fillId="5" borderId="60" xfId="0" applyFont="1" applyFill="1" applyBorder="1"/>
    <xf numFmtId="43" fontId="20" fillId="22" borderId="13" xfId="0" applyNumberFormat="1" applyFont="1" applyFill="1" applyBorder="1" applyAlignment="1">
      <alignment vertical="center"/>
    </xf>
    <xf numFmtId="0" fontId="15" fillId="0" borderId="15" xfId="0" applyFont="1" applyBorder="1"/>
    <xf numFmtId="0" fontId="15" fillId="0" borderId="16" xfId="0" applyFont="1" applyBorder="1"/>
    <xf numFmtId="0" fontId="15" fillId="7" borderId="16" xfId="0" applyFont="1" applyFill="1" applyBorder="1"/>
    <xf numFmtId="0" fontId="15" fillId="7" borderId="17" xfId="0" applyFont="1" applyFill="1" applyBorder="1"/>
    <xf numFmtId="0" fontId="20" fillId="4" borderId="4" xfId="0" applyFont="1" applyFill="1" applyBorder="1"/>
    <xf numFmtId="0" fontId="20" fillId="4" borderId="5" xfId="0" applyFont="1" applyFill="1" applyBorder="1"/>
    <xf numFmtId="0" fontId="20" fillId="4" borderId="6" xfId="0" applyFont="1" applyFill="1" applyBorder="1"/>
    <xf numFmtId="167" fontId="28" fillId="5" borderId="45" xfId="0" applyNumberFormat="1" applyFont="1" applyFill="1" applyBorder="1" applyAlignment="1">
      <alignment vertical="center"/>
    </xf>
    <xf numFmtId="167" fontId="28" fillId="5" borderId="26" xfId="0" applyNumberFormat="1" applyFont="1" applyFill="1" applyBorder="1" applyAlignment="1">
      <alignment vertical="center"/>
    </xf>
    <xf numFmtId="165" fontId="20" fillId="5" borderId="55" xfId="0" applyNumberFormat="1" applyFont="1" applyFill="1" applyBorder="1"/>
    <xf numFmtId="165" fontId="20" fillId="5" borderId="60" xfId="0" applyNumberFormat="1" applyFont="1" applyFill="1" applyBorder="1"/>
    <xf numFmtId="165" fontId="20" fillId="5" borderId="33" xfId="0" applyNumberFormat="1" applyFont="1" applyFill="1" applyBorder="1"/>
    <xf numFmtId="167" fontId="28" fillId="5" borderId="56" xfId="0" applyNumberFormat="1" applyFont="1" applyFill="1" applyBorder="1" applyAlignment="1">
      <alignment vertical="center"/>
    </xf>
    <xf numFmtId="167" fontId="28" fillId="5" borderId="57" xfId="0" applyNumberFormat="1" applyFont="1" applyFill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165" fontId="15" fillId="0" borderId="19" xfId="0" applyNumberFormat="1" applyFont="1" applyBorder="1" applyAlignment="1">
      <alignment vertical="center"/>
    </xf>
    <xf numFmtId="165" fontId="15" fillId="0" borderId="20" xfId="0" applyNumberFormat="1" applyFont="1" applyBorder="1" applyAlignment="1">
      <alignment vertical="center"/>
    </xf>
    <xf numFmtId="165" fontId="28" fillId="5" borderId="45" xfId="0" applyNumberFormat="1" applyFont="1" applyFill="1" applyBorder="1" applyAlignment="1">
      <alignment vertical="center"/>
    </xf>
    <xf numFmtId="165" fontId="28" fillId="5" borderId="26" xfId="0" applyNumberFormat="1" applyFont="1" applyFill="1" applyBorder="1" applyAlignment="1">
      <alignment vertical="center"/>
    </xf>
    <xf numFmtId="167" fontId="20" fillId="5" borderId="55" xfId="0" applyNumberFormat="1" applyFont="1" applyFill="1" applyBorder="1"/>
    <xf numFmtId="167" fontId="20" fillId="5" borderId="60" xfId="0" applyNumberFormat="1" applyFont="1" applyFill="1" applyBorder="1"/>
    <xf numFmtId="167" fontId="20" fillId="5" borderId="33" xfId="0" applyNumberFormat="1" applyFont="1" applyFill="1" applyBorder="1"/>
    <xf numFmtId="0" fontId="15" fillId="0" borderId="27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2" fontId="15" fillId="0" borderId="11" xfId="0" applyNumberFormat="1" applyFont="1" applyBorder="1" applyAlignment="1">
      <alignment vertical="center"/>
    </xf>
    <xf numFmtId="2" fontId="15" fillId="0" borderId="28" xfId="0" applyNumberFormat="1" applyFont="1" applyBorder="1" applyAlignment="1">
      <alignment vertical="center"/>
    </xf>
    <xf numFmtId="165" fontId="28" fillId="5" borderId="36" xfId="0" applyNumberFormat="1" applyFont="1" applyFill="1" applyBorder="1" applyAlignment="1">
      <alignment vertical="center"/>
    </xf>
    <xf numFmtId="165" fontId="28" fillId="5" borderId="25" xfId="0" applyNumberFormat="1" applyFont="1" applyFill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5" fillId="0" borderId="31" xfId="0" applyFont="1" applyBorder="1" applyAlignment="1">
      <alignment vertical="center"/>
    </xf>
    <xf numFmtId="0" fontId="15" fillId="7" borderId="31" xfId="0" applyFont="1" applyFill="1" applyBorder="1" applyAlignment="1">
      <alignment vertical="center"/>
    </xf>
    <xf numFmtId="0" fontId="15" fillId="7" borderId="32" xfId="0" applyFont="1" applyFill="1" applyBorder="1" applyAlignment="1">
      <alignment vertical="center"/>
    </xf>
    <xf numFmtId="2" fontId="20" fillId="22" borderId="13" xfId="0" applyNumberFormat="1" applyFont="1" applyFill="1" applyBorder="1" applyAlignment="1">
      <alignment vertical="center"/>
    </xf>
    <xf numFmtId="165" fontId="28" fillId="5" borderId="55" xfId="0" applyNumberFormat="1" applyFont="1" applyFill="1" applyBorder="1" applyAlignment="1">
      <alignment vertical="center"/>
    </xf>
    <xf numFmtId="165" fontId="28" fillId="5" borderId="33" xfId="0" applyNumberFormat="1" applyFont="1" applyFill="1" applyBorder="1" applyAlignment="1">
      <alignment vertical="center"/>
    </xf>
    <xf numFmtId="167" fontId="21" fillId="5" borderId="55" xfId="0" applyNumberFormat="1" applyFont="1" applyFill="1" applyBorder="1"/>
    <xf numFmtId="167" fontId="21" fillId="5" borderId="60" xfId="0" applyNumberFormat="1" applyFont="1" applyFill="1" applyBorder="1"/>
    <xf numFmtId="167" fontId="21" fillId="5" borderId="33" xfId="0" applyNumberFormat="1" applyFont="1" applyFill="1" applyBorder="1"/>
    <xf numFmtId="0" fontId="21" fillId="5" borderId="55" xfId="0" applyFont="1" applyFill="1" applyBorder="1"/>
    <xf numFmtId="0" fontId="21" fillId="5" borderId="60" xfId="0" applyFont="1" applyFill="1" applyBorder="1"/>
    <xf numFmtId="167" fontId="15" fillId="0" borderId="11" xfId="0" applyNumberFormat="1" applyFont="1" applyBorder="1" applyAlignment="1">
      <alignment vertical="center"/>
    </xf>
    <xf numFmtId="167" fontId="15" fillId="0" borderId="28" xfId="0" applyNumberFormat="1" applyFont="1" applyBorder="1" applyAlignment="1">
      <alignment vertical="center"/>
    </xf>
    <xf numFmtId="2" fontId="20" fillId="5" borderId="55" xfId="0" applyNumberFormat="1" applyFont="1" applyFill="1" applyBorder="1"/>
    <xf numFmtId="2" fontId="20" fillId="5" borderId="60" xfId="0" applyNumberFormat="1" applyFont="1" applyFill="1" applyBorder="1"/>
    <xf numFmtId="2" fontId="20" fillId="5" borderId="33" xfId="0" applyNumberFormat="1" applyFont="1" applyFill="1" applyBorder="1"/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7" borderId="16" xfId="0" applyFont="1" applyFill="1" applyBorder="1" applyAlignment="1">
      <alignment vertical="center"/>
    </xf>
    <xf numFmtId="0" fontId="15" fillId="7" borderId="17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20" fillId="4" borderId="2" xfId="0" applyFont="1" applyFill="1" applyBorder="1" applyAlignment="1">
      <alignment vertical="center"/>
    </xf>
    <xf numFmtId="0" fontId="20" fillId="4" borderId="3" xfId="0" applyFont="1" applyFill="1" applyBorder="1" applyAlignment="1">
      <alignment vertical="center"/>
    </xf>
    <xf numFmtId="165" fontId="27" fillId="5" borderId="55" xfId="0" applyNumberFormat="1" applyFont="1" applyFill="1" applyBorder="1" applyAlignment="1">
      <alignment vertical="center"/>
    </xf>
    <xf numFmtId="165" fontId="27" fillId="5" borderId="33" xfId="0" applyNumberFormat="1" applyFont="1" applyFill="1" applyBorder="1" applyAlignment="1">
      <alignment vertical="center"/>
    </xf>
    <xf numFmtId="2" fontId="20" fillId="5" borderId="56" xfId="0" applyNumberFormat="1" applyFont="1" applyFill="1" applyBorder="1"/>
    <xf numFmtId="2" fontId="20" fillId="5" borderId="59" xfId="0" applyNumberFormat="1" applyFont="1" applyFill="1" applyBorder="1"/>
    <xf numFmtId="2" fontId="20" fillId="5" borderId="57" xfId="0" applyNumberFormat="1" applyFont="1" applyFill="1" applyBorder="1"/>
    <xf numFmtId="0" fontId="21" fillId="22" borderId="43" xfId="0" applyFont="1" applyFill="1" applyBorder="1" applyAlignment="1">
      <alignment vertical="center"/>
    </xf>
    <xf numFmtId="0" fontId="21" fillId="22" borderId="38" xfId="0" applyFont="1" applyFill="1" applyBorder="1" applyAlignment="1">
      <alignment vertical="center"/>
    </xf>
    <xf numFmtId="165" fontId="20" fillId="5" borderId="45" xfId="0" applyNumberFormat="1" applyFont="1" applyFill="1" applyBorder="1"/>
    <xf numFmtId="165" fontId="20" fillId="5" borderId="40" xfId="0" applyNumberFormat="1" applyFont="1" applyFill="1" applyBorder="1"/>
    <xf numFmtId="165" fontId="20" fillId="5" borderId="26" xfId="0" applyNumberFormat="1" applyFont="1" applyFill="1" applyBorder="1"/>
    <xf numFmtId="0" fontId="21" fillId="5" borderId="45" xfId="0" applyFont="1" applyFill="1" applyBorder="1"/>
    <xf numFmtId="0" fontId="21" fillId="5" borderId="38" xfId="0" applyFont="1" applyFill="1" applyBorder="1"/>
    <xf numFmtId="0" fontId="15" fillId="5" borderId="45" xfId="0" applyFont="1" applyFill="1" applyBorder="1" applyAlignment="1">
      <alignment vertical="center"/>
    </xf>
    <xf numFmtId="0" fontId="15" fillId="5" borderId="26" xfId="0" applyFont="1" applyFill="1" applyBorder="1" applyAlignment="1">
      <alignment vertical="center"/>
    </xf>
    <xf numFmtId="2" fontId="20" fillId="5" borderId="45" xfId="0" applyNumberFormat="1" applyFont="1" applyFill="1" applyBorder="1" applyAlignment="1">
      <alignment vertical="center"/>
    </xf>
    <xf numFmtId="2" fontId="20" fillId="5" borderId="26" xfId="0" applyNumberFormat="1" applyFont="1" applyFill="1" applyBorder="1" applyAlignment="1">
      <alignment vertical="center"/>
    </xf>
    <xf numFmtId="1" fontId="20" fillId="5" borderId="55" xfId="0" applyNumberFormat="1" applyFont="1" applyFill="1" applyBorder="1"/>
    <xf numFmtId="1" fontId="20" fillId="5" borderId="60" xfId="0" applyNumberFormat="1" applyFont="1" applyFill="1" applyBorder="1"/>
    <xf numFmtId="1" fontId="20" fillId="5" borderId="33" xfId="0" applyNumberFormat="1" applyFont="1" applyFill="1" applyBorder="1"/>
    <xf numFmtId="0" fontId="20" fillId="5" borderId="44" xfId="0" applyFont="1" applyFill="1" applyBorder="1"/>
    <xf numFmtId="0" fontId="15" fillId="5" borderId="36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1" fontId="20" fillId="5" borderId="55" xfId="0" applyNumberFormat="1" applyFont="1" applyFill="1" applyBorder="1" applyAlignment="1">
      <alignment vertical="center"/>
    </xf>
    <xf numFmtId="1" fontId="20" fillId="5" borderId="33" xfId="0" applyNumberFormat="1" applyFont="1" applyFill="1" applyBorder="1" applyAlignment="1">
      <alignment vertical="center"/>
    </xf>
    <xf numFmtId="0" fontId="20" fillId="22" borderId="41" xfId="0" applyFont="1" applyFill="1" applyBorder="1" applyAlignment="1">
      <alignment vertical="center"/>
    </xf>
    <xf numFmtId="0" fontId="20" fillId="22" borderId="37" xfId="0" applyFont="1" applyFill="1" applyBorder="1" applyAlignment="1">
      <alignment vertical="center"/>
    </xf>
    <xf numFmtId="164" fontId="20" fillId="21" borderId="18" xfId="0" applyNumberFormat="1" applyFont="1" applyFill="1" applyBorder="1" applyAlignment="1">
      <alignment vertical="center"/>
    </xf>
    <xf numFmtId="167" fontId="20" fillId="5" borderId="36" xfId="0" applyNumberFormat="1" applyFont="1" applyFill="1" applyBorder="1" applyAlignment="1">
      <alignment vertical="center"/>
    </xf>
    <xf numFmtId="167" fontId="20" fillId="5" borderId="25" xfId="0" applyNumberFormat="1" applyFont="1" applyFill="1" applyBorder="1" applyAlignment="1">
      <alignment vertical="center"/>
    </xf>
    <xf numFmtId="167" fontId="21" fillId="5" borderId="36" xfId="0" applyNumberFormat="1" applyFont="1" applyFill="1" applyBorder="1"/>
    <xf numFmtId="167" fontId="21" fillId="5" borderId="39" xfId="0" applyNumberFormat="1" applyFont="1" applyFill="1" applyBorder="1"/>
    <xf numFmtId="167" fontId="21" fillId="5" borderId="25" xfId="0" applyNumberFormat="1" applyFont="1" applyFill="1" applyBorder="1"/>
    <xf numFmtId="0" fontId="21" fillId="5" borderId="36" xfId="0" applyFont="1" applyFill="1" applyBorder="1"/>
    <xf numFmtId="0" fontId="21" fillId="5" borderId="37" xfId="0" applyFont="1" applyFill="1" applyBorder="1"/>
    <xf numFmtId="2" fontId="20" fillId="5" borderId="45" xfId="0" applyNumberFormat="1" applyFont="1" applyFill="1" applyBorder="1"/>
    <xf numFmtId="2" fontId="20" fillId="5" borderId="40" xfId="0" applyNumberFormat="1" applyFont="1" applyFill="1" applyBorder="1"/>
    <xf numFmtId="2" fontId="20" fillId="5" borderId="26" xfId="0" applyNumberFormat="1" applyFont="1" applyFill="1" applyBorder="1"/>
    <xf numFmtId="2" fontId="15" fillId="7" borderId="43" xfId="0" applyNumberFormat="1" applyFont="1" applyFill="1" applyBorder="1" applyAlignment="1">
      <alignment vertical="center"/>
    </xf>
    <xf numFmtId="2" fontId="15" fillId="7" borderId="26" xfId="0" applyNumberFormat="1" applyFont="1" applyFill="1" applyBorder="1" applyAlignment="1">
      <alignment vertical="center"/>
    </xf>
    <xf numFmtId="0" fontId="21" fillId="22" borderId="18" xfId="0" applyFont="1" applyFill="1" applyBorder="1" applyAlignment="1">
      <alignment vertical="center"/>
    </xf>
    <xf numFmtId="167" fontId="20" fillId="5" borderId="36" xfId="0" applyNumberFormat="1" applyFont="1" applyFill="1" applyBorder="1"/>
    <xf numFmtId="167" fontId="20" fillId="5" borderId="39" xfId="0" applyNumberFormat="1" applyFont="1" applyFill="1" applyBorder="1"/>
    <xf numFmtId="167" fontId="20" fillId="5" borderId="25" xfId="0" applyNumberFormat="1" applyFont="1" applyFill="1" applyBorder="1"/>
    <xf numFmtId="0" fontId="20" fillId="22" borderId="15" xfId="0" applyFont="1" applyFill="1" applyBorder="1" applyAlignment="1">
      <alignment vertical="center"/>
    </xf>
    <xf numFmtId="0" fontId="20" fillId="22" borderId="17" xfId="0" applyFont="1" applyFill="1" applyBorder="1" applyAlignment="1">
      <alignment vertical="center"/>
    </xf>
    <xf numFmtId="0" fontId="20" fillId="22" borderId="15" xfId="0" applyFont="1" applyFill="1" applyBorder="1"/>
    <xf numFmtId="0" fontId="20" fillId="22" borderId="17" xfId="0" applyFont="1" applyFill="1" applyBorder="1"/>
    <xf numFmtId="0" fontId="19" fillId="15" borderId="4" xfId="0" applyFont="1" applyFill="1" applyBorder="1" applyAlignment="1">
      <alignment vertical="center"/>
    </xf>
    <xf numFmtId="0" fontId="19" fillId="15" borderId="5" xfId="0" applyFont="1" applyFill="1" applyBorder="1" applyAlignment="1">
      <alignment vertical="center"/>
    </xf>
    <xf numFmtId="0" fontId="19" fillId="15" borderId="6" xfId="0" applyFont="1" applyFill="1" applyBorder="1" applyAlignment="1">
      <alignment vertical="center"/>
    </xf>
    <xf numFmtId="2" fontId="20" fillId="0" borderId="55" xfId="0" applyNumberFormat="1" applyFont="1" applyBorder="1"/>
    <xf numFmtId="2" fontId="20" fillId="5" borderId="72" xfId="0" applyNumberFormat="1" applyFont="1" applyFill="1" applyBorder="1" applyAlignment="1">
      <alignment vertical="center"/>
    </xf>
    <xf numFmtId="167" fontId="20" fillId="5" borderId="59" xfId="0" applyNumberFormat="1" applyFont="1" applyFill="1" applyBorder="1" applyAlignment="1">
      <alignment vertical="center"/>
    </xf>
    <xf numFmtId="2" fontId="20" fillId="5" borderId="66" xfId="0" applyNumberFormat="1" applyFont="1" applyFill="1" applyBorder="1" applyAlignment="1">
      <alignment vertical="center"/>
    </xf>
    <xf numFmtId="2" fontId="20" fillId="5" borderId="69" xfId="0" applyNumberFormat="1" applyFont="1" applyFill="1" applyBorder="1" applyAlignment="1">
      <alignment vertical="center"/>
    </xf>
    <xf numFmtId="167" fontId="20" fillId="5" borderId="56" xfId="0" applyNumberFormat="1" applyFont="1" applyFill="1" applyBorder="1" applyAlignment="1">
      <alignment vertical="center"/>
    </xf>
    <xf numFmtId="167" fontId="20" fillId="5" borderId="57" xfId="0" applyNumberFormat="1" applyFont="1" applyFill="1" applyBorder="1" applyAlignment="1">
      <alignment vertical="center"/>
    </xf>
    <xf numFmtId="0" fontId="40" fillId="5" borderId="45" xfId="0" applyFont="1" applyFill="1" applyBorder="1" applyAlignment="1">
      <alignment horizontal="center" vertical="center"/>
    </xf>
    <xf numFmtId="0" fontId="40" fillId="5" borderId="38" xfId="0" applyFont="1" applyFill="1" applyBorder="1" applyAlignment="1">
      <alignment horizontal="center" vertical="center"/>
    </xf>
    <xf numFmtId="0" fontId="20" fillId="5" borderId="43" xfId="0" applyFont="1" applyFill="1" applyBorder="1" applyAlignment="1">
      <alignment horizontal="center" vertical="center"/>
    </xf>
    <xf numFmtId="0" fontId="20" fillId="5" borderId="40" xfId="0" applyFont="1" applyFill="1" applyBorder="1" applyAlignment="1">
      <alignment horizontal="center" vertical="center"/>
    </xf>
    <xf numFmtId="0" fontId="20" fillId="5" borderId="2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20" borderId="4" xfId="0" applyFont="1" applyFill="1" applyBorder="1" applyAlignment="1">
      <alignment horizontal="center" vertical="center"/>
    </xf>
    <xf numFmtId="0" fontId="14" fillId="20" borderId="5" xfId="0" applyFont="1" applyFill="1" applyBorder="1" applyAlignment="1">
      <alignment horizontal="center" vertical="center"/>
    </xf>
    <xf numFmtId="0" fontId="14" fillId="20" borderId="6" xfId="0" applyFont="1" applyFill="1" applyBorder="1" applyAlignment="1">
      <alignment horizontal="center" vertical="center"/>
    </xf>
    <xf numFmtId="0" fontId="14" fillId="20" borderId="7" xfId="0" applyFont="1" applyFill="1" applyBorder="1" applyAlignment="1">
      <alignment horizontal="center" vertical="center"/>
    </xf>
    <xf numFmtId="0" fontId="14" fillId="20" borderId="8" xfId="0" applyFont="1" applyFill="1" applyBorder="1" applyAlignment="1">
      <alignment horizontal="center" vertical="center"/>
    </xf>
    <xf numFmtId="0" fontId="14" fillId="20" borderId="9" xfId="0" applyFont="1" applyFill="1" applyBorder="1" applyAlignment="1">
      <alignment horizontal="center" vertical="center"/>
    </xf>
    <xf numFmtId="0" fontId="40" fillId="5" borderId="36" xfId="0" applyFont="1" applyFill="1" applyBorder="1" applyAlignment="1">
      <alignment horizontal="center" vertical="center"/>
    </xf>
    <xf numFmtId="0" fontId="40" fillId="5" borderId="39" xfId="0" applyFont="1" applyFill="1" applyBorder="1" applyAlignment="1">
      <alignment horizontal="center" vertical="center"/>
    </xf>
    <xf numFmtId="0" fontId="40" fillId="5" borderId="25" xfId="0" applyFont="1" applyFill="1" applyBorder="1" applyAlignment="1">
      <alignment horizontal="center" vertical="center"/>
    </xf>
    <xf numFmtId="0" fontId="40" fillId="5" borderId="40" xfId="0" applyFont="1" applyFill="1" applyBorder="1" applyAlignment="1">
      <alignment horizontal="center" vertical="center"/>
    </xf>
    <xf numFmtId="0" fontId="40" fillId="5" borderId="26" xfId="0" applyFont="1" applyFill="1" applyBorder="1" applyAlignment="1">
      <alignment horizontal="center" vertical="center"/>
    </xf>
    <xf numFmtId="0" fontId="40" fillId="5" borderId="37" xfId="0" applyFont="1" applyFill="1" applyBorder="1" applyAlignment="1">
      <alignment horizontal="center" vertical="center"/>
    </xf>
    <xf numFmtId="0" fontId="20" fillId="5" borderId="58" xfId="0" applyFont="1" applyFill="1" applyBorder="1" applyAlignment="1">
      <alignment horizontal="center" vertical="center"/>
    </xf>
    <xf numFmtId="0" fontId="20" fillId="5" borderId="59" xfId="0" applyFont="1" applyFill="1" applyBorder="1" applyAlignment="1">
      <alignment horizontal="center" vertical="center"/>
    </xf>
    <xf numFmtId="0" fontId="20" fillId="5" borderId="57" xfId="0" applyFont="1" applyFill="1" applyBorder="1" applyAlignment="1">
      <alignment horizontal="center" vertical="center"/>
    </xf>
    <xf numFmtId="0" fontId="20" fillId="5" borderId="42" xfId="0" applyFont="1" applyFill="1" applyBorder="1" applyAlignment="1">
      <alignment horizontal="center" vertical="center"/>
    </xf>
    <xf numFmtId="0" fontId="20" fillId="5" borderId="60" xfId="0" applyFont="1" applyFill="1" applyBorder="1" applyAlignment="1">
      <alignment horizontal="center" vertical="center"/>
    </xf>
    <xf numFmtId="0" fontId="20" fillId="5" borderId="33" xfId="0" applyFont="1" applyFill="1" applyBorder="1" applyAlignment="1">
      <alignment horizontal="center" vertical="center"/>
    </xf>
    <xf numFmtId="0" fontId="20" fillId="5" borderId="71" xfId="0" applyFont="1" applyFill="1" applyBorder="1" applyAlignment="1">
      <alignment horizontal="center" vertical="center"/>
    </xf>
    <xf numFmtId="0" fontId="20" fillId="5" borderId="72" xfId="0" applyFont="1" applyFill="1" applyBorder="1" applyAlignment="1">
      <alignment horizontal="center" vertical="center"/>
    </xf>
    <xf numFmtId="0" fontId="20" fillId="5" borderId="69" xfId="0" applyFont="1" applyFill="1" applyBorder="1" applyAlignment="1">
      <alignment horizontal="center" vertical="center"/>
    </xf>
    <xf numFmtId="0" fontId="20" fillId="0" borderId="42" xfId="0" applyFont="1" applyBorder="1" applyAlignment="1">
      <alignment horizontal="center"/>
    </xf>
    <xf numFmtId="0" fontId="20" fillId="0" borderId="60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14" fillId="28" borderId="4" xfId="0" applyFont="1" applyFill="1" applyBorder="1" applyAlignment="1">
      <alignment horizontal="center" vertical="center"/>
    </xf>
    <xf numFmtId="0" fontId="14" fillId="28" borderId="5" xfId="0" applyFont="1" applyFill="1" applyBorder="1" applyAlignment="1">
      <alignment horizontal="center" vertical="center"/>
    </xf>
    <xf numFmtId="0" fontId="14" fillId="28" borderId="6" xfId="0" applyFont="1" applyFill="1" applyBorder="1" applyAlignment="1">
      <alignment horizontal="center" vertical="center"/>
    </xf>
    <xf numFmtId="0" fontId="14" fillId="28" borderId="7" xfId="0" applyFont="1" applyFill="1" applyBorder="1" applyAlignment="1">
      <alignment horizontal="center" vertical="center"/>
    </xf>
    <xf numFmtId="0" fontId="14" fillId="28" borderId="8" xfId="0" applyFont="1" applyFill="1" applyBorder="1" applyAlignment="1">
      <alignment horizontal="center" vertical="center"/>
    </xf>
    <xf numFmtId="0" fontId="14" fillId="28" borderId="9" xfId="0" applyFont="1" applyFill="1" applyBorder="1" applyAlignment="1">
      <alignment horizontal="center" vertical="center"/>
    </xf>
    <xf numFmtId="0" fontId="20" fillId="5" borderId="41" xfId="0" applyFont="1" applyFill="1" applyBorder="1" applyAlignment="1">
      <alignment horizontal="center" vertical="center"/>
    </xf>
    <xf numFmtId="0" fontId="20" fillId="5" borderId="39" xfId="0" applyFont="1" applyFill="1" applyBorder="1" applyAlignment="1">
      <alignment horizontal="center" vertical="center"/>
    </xf>
    <xf numFmtId="0" fontId="20" fillId="5" borderId="25" xfId="0" applyFont="1" applyFill="1" applyBorder="1" applyAlignment="1">
      <alignment horizontal="center" vertical="center"/>
    </xf>
    <xf numFmtId="0" fontId="28" fillId="5" borderId="75" xfId="0" applyFont="1" applyFill="1" applyBorder="1" applyAlignment="1">
      <alignment horizontal="center" vertical="center"/>
    </xf>
    <xf numFmtId="0" fontId="28" fillId="5" borderId="70" xfId="0" applyFont="1" applyFill="1" applyBorder="1" applyAlignment="1">
      <alignment horizontal="center" vertical="center"/>
    </xf>
    <xf numFmtId="0" fontId="28" fillId="5" borderId="77" xfId="0" applyFont="1" applyFill="1" applyBorder="1" applyAlignment="1">
      <alignment horizontal="center" vertical="center"/>
    </xf>
    <xf numFmtId="0" fontId="41" fillId="5" borderId="42" xfId="0" applyFont="1" applyFill="1" applyBorder="1" applyAlignment="1">
      <alignment horizontal="center" vertical="center"/>
    </xf>
    <xf numFmtId="0" fontId="41" fillId="5" borderId="60" xfId="0" applyFont="1" applyFill="1" applyBorder="1" applyAlignment="1">
      <alignment horizontal="center" vertical="center"/>
    </xf>
    <xf numFmtId="0" fontId="41" fillId="5" borderId="33" xfId="0" applyFont="1" applyFill="1" applyBorder="1" applyAlignment="1">
      <alignment horizontal="center" vertical="center"/>
    </xf>
    <xf numFmtId="0" fontId="41" fillId="5" borderId="43" xfId="0" applyFont="1" applyFill="1" applyBorder="1" applyAlignment="1">
      <alignment horizontal="center" vertical="center"/>
    </xf>
    <xf numFmtId="0" fontId="41" fillId="5" borderId="40" xfId="0" applyFont="1" applyFill="1" applyBorder="1" applyAlignment="1">
      <alignment horizontal="center" vertical="center"/>
    </xf>
    <xf numFmtId="0" fontId="41" fillId="5" borderId="26" xfId="0" applyFont="1" applyFill="1" applyBorder="1" applyAlignment="1">
      <alignment horizontal="center" vertical="center"/>
    </xf>
    <xf numFmtId="0" fontId="41" fillId="5" borderId="41" xfId="0" applyFont="1" applyFill="1" applyBorder="1" applyAlignment="1">
      <alignment horizontal="center" vertical="center"/>
    </xf>
    <xf numFmtId="0" fontId="41" fillId="5" borderId="39" xfId="0" applyFont="1" applyFill="1" applyBorder="1" applyAlignment="1">
      <alignment horizontal="center" vertical="center"/>
    </xf>
    <xf numFmtId="0" fontId="41" fillId="5" borderId="25" xfId="0" applyFont="1" applyFill="1" applyBorder="1" applyAlignment="1">
      <alignment horizontal="center" vertical="center"/>
    </xf>
    <xf numFmtId="0" fontId="40" fillId="5" borderId="41" xfId="0" applyFont="1" applyFill="1" applyBorder="1" applyAlignment="1">
      <alignment horizontal="center" vertical="center"/>
    </xf>
    <xf numFmtId="0" fontId="40" fillId="5" borderId="43" xfId="0" applyFont="1" applyFill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4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54" fillId="29" borderId="4" xfId="0" applyFont="1" applyFill="1" applyBorder="1" applyAlignment="1">
      <alignment horizontal="center"/>
    </xf>
    <xf numFmtId="0" fontId="54" fillId="29" borderId="5" xfId="0" applyFont="1" applyFill="1" applyBorder="1" applyAlignment="1">
      <alignment horizontal="center"/>
    </xf>
    <xf numFmtId="0" fontId="54" fillId="29" borderId="6" xfId="0" applyFont="1" applyFill="1" applyBorder="1" applyAlignment="1">
      <alignment horizontal="center"/>
    </xf>
    <xf numFmtId="0" fontId="54" fillId="29" borderId="7" xfId="0" applyFont="1" applyFill="1" applyBorder="1" applyAlignment="1">
      <alignment horizontal="center"/>
    </xf>
    <xf numFmtId="0" fontId="54" fillId="29" borderId="8" xfId="0" applyFont="1" applyFill="1" applyBorder="1" applyAlignment="1">
      <alignment horizontal="center"/>
    </xf>
    <xf numFmtId="0" fontId="54" fillId="29" borderId="9" xfId="0" applyFont="1" applyFill="1" applyBorder="1" applyAlignment="1">
      <alignment horizontal="center"/>
    </xf>
    <xf numFmtId="0" fontId="15" fillId="0" borderId="43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27" fillId="5" borderId="42" xfId="0" applyFont="1" applyFill="1" applyBorder="1" applyAlignment="1">
      <alignment horizontal="center" vertical="center"/>
    </xf>
    <xf numFmtId="0" fontId="27" fillId="5" borderId="60" xfId="0" applyFont="1" applyFill="1" applyBorder="1" applyAlignment="1">
      <alignment horizontal="center" vertical="center"/>
    </xf>
    <xf numFmtId="0" fontId="27" fillId="5" borderId="33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/>
    </xf>
    <xf numFmtId="0" fontId="18" fillId="8" borderId="29" xfId="0" applyFont="1" applyFill="1" applyBorder="1" applyAlignment="1">
      <alignment horizontal="center" vertical="center"/>
    </xf>
    <xf numFmtId="0" fontId="18" fillId="8" borderId="12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center" vertical="center"/>
    </xf>
    <xf numFmtId="0" fontId="16" fillId="6" borderId="46" xfId="0" applyFont="1" applyFill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center"/>
    </xf>
    <xf numFmtId="0" fontId="15" fillId="6" borderId="24" xfId="0" applyFont="1" applyFill="1" applyBorder="1" applyAlignment="1">
      <alignment horizontal="center" vertical="center"/>
    </xf>
    <xf numFmtId="0" fontId="15" fillId="6" borderId="46" xfId="0" applyFont="1" applyFill="1" applyBorder="1" applyAlignment="1">
      <alignment horizontal="center" vertical="center"/>
    </xf>
    <xf numFmtId="0" fontId="15" fillId="6" borderId="23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4" fillId="14" borderId="2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/>
    </xf>
    <xf numFmtId="43" fontId="6" fillId="12" borderId="1" xfId="1" applyFont="1" applyFill="1" applyBorder="1" applyAlignment="1">
      <alignment horizontal="center" vertical="center"/>
    </xf>
    <xf numFmtId="43" fontId="6" fillId="12" borderId="2" xfId="1" applyFont="1" applyFill="1" applyBorder="1" applyAlignment="1">
      <alignment horizontal="center" vertical="center"/>
    </xf>
    <xf numFmtId="43" fontId="6" fillId="12" borderId="3" xfId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9" fillId="16" borderId="4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9" fillId="16" borderId="6" xfId="0" applyFont="1" applyFill="1" applyBorder="1" applyAlignment="1">
      <alignment horizontal="center" vertical="center"/>
    </xf>
    <xf numFmtId="0" fontId="9" fillId="16" borderId="7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9" fillId="16" borderId="9" xfId="0" applyFont="1" applyFill="1" applyBorder="1" applyAlignment="1">
      <alignment horizontal="center" vertical="center"/>
    </xf>
    <xf numFmtId="43" fontId="9" fillId="16" borderId="4" xfId="1" applyFont="1" applyFill="1" applyBorder="1" applyAlignment="1">
      <alignment horizontal="center" vertical="center"/>
    </xf>
    <xf numFmtId="43" fontId="9" fillId="16" borderId="6" xfId="1" applyFont="1" applyFill="1" applyBorder="1" applyAlignment="1">
      <alignment horizontal="center" vertical="center"/>
    </xf>
    <xf numFmtId="43" fontId="9" fillId="16" borderId="7" xfId="1" applyFont="1" applyFill="1" applyBorder="1" applyAlignment="1">
      <alignment horizontal="center" vertical="center"/>
    </xf>
    <xf numFmtId="43" fontId="9" fillId="16" borderId="9" xfId="1" applyFont="1" applyFill="1" applyBorder="1" applyAlignment="1">
      <alignment horizontal="center" vertical="center"/>
    </xf>
    <xf numFmtId="0" fontId="9" fillId="16" borderId="24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43" fontId="8" fillId="5" borderId="0" xfId="1" applyFont="1" applyFill="1" applyBorder="1" applyAlignment="1">
      <alignment horizontal="center"/>
    </xf>
    <xf numFmtId="43" fontId="11" fillId="0" borderId="18" xfId="1" applyFont="1" applyBorder="1" applyAlignment="1">
      <alignment horizontal="center" vertical="center"/>
    </xf>
    <xf numFmtId="43" fontId="11" fillId="0" borderId="20" xfId="1" applyFont="1" applyBorder="1" applyAlignment="1">
      <alignment horizontal="center" vertical="center"/>
    </xf>
    <xf numFmtId="43" fontId="8" fillId="0" borderId="0" xfId="1" applyFont="1" applyBorder="1" applyAlignment="1">
      <alignment horizontal="center"/>
    </xf>
    <xf numFmtId="43" fontId="10" fillId="0" borderId="18" xfId="1" applyFont="1" applyBorder="1" applyAlignment="1">
      <alignment horizontal="center" vertical="center"/>
    </xf>
    <xf numFmtId="43" fontId="10" fillId="0" borderId="20" xfId="1" applyFont="1" applyBorder="1" applyAlignment="1">
      <alignment horizontal="center" vertical="center"/>
    </xf>
    <xf numFmtId="43" fontId="8" fillId="0" borderId="30" xfId="1" applyFont="1" applyBorder="1" applyAlignment="1">
      <alignment horizontal="center" vertical="center"/>
    </xf>
    <xf numFmtId="43" fontId="8" fillId="0" borderId="32" xfId="1" applyFont="1" applyBorder="1" applyAlignment="1">
      <alignment horizontal="center" vertical="center"/>
    </xf>
    <xf numFmtId="43" fontId="8" fillId="0" borderId="27" xfId="1" applyFont="1" applyBorder="1" applyAlignment="1">
      <alignment horizontal="center" vertical="center"/>
    </xf>
    <xf numFmtId="43" fontId="8" fillId="0" borderId="28" xfId="1" applyFont="1" applyBorder="1" applyAlignment="1">
      <alignment horizontal="center" vertical="center"/>
    </xf>
    <xf numFmtId="43" fontId="10" fillId="0" borderId="27" xfId="1" applyFont="1" applyBorder="1" applyAlignment="1">
      <alignment horizontal="center" vertical="center"/>
    </xf>
    <xf numFmtId="43" fontId="10" fillId="0" borderId="28" xfId="1" applyFont="1" applyBorder="1" applyAlignment="1">
      <alignment horizontal="center" vertical="center"/>
    </xf>
    <xf numFmtId="43" fontId="12" fillId="0" borderId="27" xfId="1" applyFont="1" applyBorder="1" applyAlignment="1">
      <alignment horizontal="center" vertical="center"/>
    </xf>
    <xf numFmtId="43" fontId="12" fillId="0" borderId="28" xfId="1" applyFont="1" applyBorder="1" applyAlignment="1">
      <alignment horizontal="center" vertical="center"/>
    </xf>
    <xf numFmtId="43" fontId="8" fillId="0" borderId="15" xfId="1" applyFont="1" applyBorder="1" applyAlignment="1">
      <alignment horizontal="center" vertical="center"/>
    </xf>
    <xf numFmtId="43" fontId="8" fillId="0" borderId="17" xfId="1" applyFont="1" applyBorder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32" fillId="0" borderId="77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6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43" fontId="11" fillId="0" borderId="27" xfId="1" applyFont="1" applyBorder="1" applyAlignment="1">
      <alignment horizontal="center" vertical="center"/>
    </xf>
    <xf numFmtId="43" fontId="11" fillId="0" borderId="28" xfId="1" applyFont="1" applyBorder="1" applyAlignment="1">
      <alignment horizontal="center" vertical="center"/>
    </xf>
    <xf numFmtId="43" fontId="8" fillId="0" borderId="18" xfId="1" applyFont="1" applyBorder="1" applyAlignment="1">
      <alignment horizontal="center" vertical="center"/>
    </xf>
    <xf numFmtId="43" fontId="8" fillId="0" borderId="20" xfId="1" applyFont="1" applyBorder="1" applyAlignment="1">
      <alignment horizontal="center" vertical="center"/>
    </xf>
    <xf numFmtId="43" fontId="11" fillId="0" borderId="15" xfId="1" applyFont="1" applyBorder="1" applyAlignment="1">
      <alignment horizontal="center" vertical="center"/>
    </xf>
    <xf numFmtId="43" fontId="11" fillId="0" borderId="17" xfId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16" borderId="34" xfId="0" applyFont="1" applyFill="1" applyBorder="1" applyAlignment="1">
      <alignment horizontal="center" vertical="center"/>
    </xf>
    <xf numFmtId="0" fontId="9" fillId="16" borderId="3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3" fontId="33" fillId="23" borderId="1" xfId="1" applyFont="1" applyFill="1" applyBorder="1" applyAlignment="1">
      <alignment horizontal="center" vertical="center"/>
    </xf>
    <xf numFmtId="43" fontId="33" fillId="23" borderId="2" xfId="1" applyFont="1" applyFill="1" applyBorder="1" applyAlignment="1">
      <alignment horizontal="center" vertical="center"/>
    </xf>
    <xf numFmtId="43" fontId="33" fillId="23" borderId="3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16" borderId="15" xfId="0" applyFont="1" applyFill="1" applyBorder="1" applyAlignment="1">
      <alignment horizontal="center" vertical="center"/>
    </xf>
    <xf numFmtId="0" fontId="9" fillId="16" borderId="16" xfId="0" applyFont="1" applyFill="1" applyBorder="1" applyAlignment="1">
      <alignment horizontal="center" vertical="center"/>
    </xf>
    <xf numFmtId="0" fontId="9" fillId="16" borderId="17" xfId="0" applyFont="1" applyFill="1" applyBorder="1" applyAlignment="1">
      <alignment horizontal="center" vertical="center"/>
    </xf>
    <xf numFmtId="0" fontId="9" fillId="16" borderId="18" xfId="0" applyFont="1" applyFill="1" applyBorder="1" applyAlignment="1">
      <alignment horizontal="center" vertical="center"/>
    </xf>
    <xf numFmtId="0" fontId="9" fillId="16" borderId="19" xfId="0" applyFont="1" applyFill="1" applyBorder="1" applyAlignment="1">
      <alignment horizontal="center" vertical="center"/>
    </xf>
    <xf numFmtId="0" fontId="9" fillId="16" borderId="20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59" fillId="18" borderId="13" xfId="0" applyFont="1" applyFill="1" applyBorder="1" applyAlignment="1">
      <alignment horizontal="center"/>
    </xf>
    <xf numFmtId="0" fontId="59" fillId="18" borderId="22" xfId="0" applyFont="1" applyFill="1" applyBorder="1" applyAlignment="1">
      <alignment horizontal="center"/>
    </xf>
    <xf numFmtId="0" fontId="59" fillId="18" borderId="14" xfId="0" applyFont="1" applyFill="1" applyBorder="1" applyAlignment="1">
      <alignment horizontal="center"/>
    </xf>
    <xf numFmtId="0" fontId="56" fillId="0" borderId="13" xfId="0" applyFont="1" applyBorder="1" applyAlignment="1">
      <alignment horizontal="center"/>
    </xf>
    <xf numFmtId="0" fontId="56" fillId="0" borderId="14" xfId="0" applyFont="1" applyBorder="1" applyAlignment="1">
      <alignment horizontal="center"/>
    </xf>
    <xf numFmtId="0" fontId="56" fillId="0" borderId="47" xfId="0" applyFont="1" applyBorder="1" applyAlignment="1">
      <alignment horizontal="center"/>
    </xf>
    <xf numFmtId="0" fontId="57" fillId="8" borderId="13" xfId="0" applyFont="1" applyFill="1" applyBorder="1" applyAlignment="1">
      <alignment horizontal="center"/>
    </xf>
    <xf numFmtId="0" fontId="57" fillId="8" borderId="22" xfId="0" applyFont="1" applyFill="1" applyBorder="1" applyAlignment="1">
      <alignment horizontal="center"/>
    </xf>
    <xf numFmtId="0" fontId="57" fillId="8" borderId="14" xfId="0" applyFont="1" applyFill="1" applyBorder="1" applyAlignment="1">
      <alignment horizontal="center"/>
    </xf>
    <xf numFmtId="0" fontId="56" fillId="0" borderId="74" xfId="0" applyFont="1" applyBorder="1" applyAlignment="1">
      <alignment horizontal="center"/>
    </xf>
    <xf numFmtId="0" fontId="34" fillId="5" borderId="27" xfId="0" applyFont="1" applyFill="1" applyBorder="1" applyAlignment="1">
      <alignment horizontal="left" vertical="center"/>
    </xf>
    <xf numFmtId="0" fontId="34" fillId="5" borderId="11" xfId="0" applyFont="1" applyFill="1" applyBorder="1" applyAlignment="1">
      <alignment horizontal="left" vertical="center"/>
    </xf>
    <xf numFmtId="0" fontId="35" fillId="5" borderId="11" xfId="0" applyFont="1" applyFill="1" applyBorder="1" applyAlignment="1">
      <alignment horizontal="center" vertical="center"/>
    </xf>
    <xf numFmtId="0" fontId="35" fillId="5" borderId="11" xfId="0" applyFont="1" applyFill="1" applyBorder="1" applyAlignment="1">
      <alignment horizontal="center"/>
    </xf>
    <xf numFmtId="0" fontId="35" fillId="5" borderId="28" xfId="0" applyFont="1" applyFill="1" applyBorder="1" applyAlignment="1">
      <alignment horizontal="center"/>
    </xf>
    <xf numFmtId="166" fontId="35" fillId="5" borderId="11" xfId="0" applyNumberFormat="1" applyFont="1" applyFill="1" applyBorder="1" applyAlignment="1">
      <alignment horizontal="center" vertical="center"/>
    </xf>
    <xf numFmtId="0" fontId="39" fillId="25" borderId="15" xfId="0" applyFont="1" applyFill="1" applyBorder="1" applyAlignment="1">
      <alignment horizontal="center"/>
    </xf>
    <xf numFmtId="0" fontId="39" fillId="25" borderId="16" xfId="0" applyFont="1" applyFill="1" applyBorder="1" applyAlignment="1">
      <alignment horizontal="center"/>
    </xf>
    <xf numFmtId="0" fontId="39" fillId="25" borderId="17" xfId="0" applyFont="1" applyFill="1" applyBorder="1" applyAlignment="1">
      <alignment horizontal="center"/>
    </xf>
    <xf numFmtId="0" fontId="39" fillId="25" borderId="18" xfId="0" applyFont="1" applyFill="1" applyBorder="1" applyAlignment="1">
      <alignment horizontal="center"/>
    </xf>
    <xf numFmtId="0" fontId="39" fillId="25" borderId="19" xfId="0" applyFont="1" applyFill="1" applyBorder="1" applyAlignment="1">
      <alignment horizontal="center"/>
    </xf>
    <xf numFmtId="0" fontId="39" fillId="25" borderId="20" xfId="0" applyFont="1" applyFill="1" applyBorder="1" applyAlignment="1">
      <alignment horizontal="center"/>
    </xf>
    <xf numFmtId="0" fontId="37" fillId="26" borderId="13" xfId="0" applyFont="1" applyFill="1" applyBorder="1" applyAlignment="1">
      <alignment horizontal="center" vertical="center"/>
    </xf>
    <xf numFmtId="0" fontId="37" fillId="26" borderId="22" xfId="0" applyFont="1" applyFill="1" applyBorder="1" applyAlignment="1">
      <alignment horizontal="center" vertical="center"/>
    </xf>
    <xf numFmtId="0" fontId="37" fillId="26" borderId="14" xfId="0" applyFont="1" applyFill="1" applyBorder="1" applyAlignment="1">
      <alignment horizontal="center" vertical="center"/>
    </xf>
    <xf numFmtId="0" fontId="34" fillId="26" borderId="13" xfId="0" applyFont="1" applyFill="1" applyBorder="1" applyAlignment="1">
      <alignment horizontal="center" vertical="center"/>
    </xf>
    <xf numFmtId="0" fontId="34" fillId="26" borderId="22" xfId="0" applyFont="1" applyFill="1" applyBorder="1" applyAlignment="1">
      <alignment horizontal="center" vertical="center"/>
    </xf>
    <xf numFmtId="0" fontId="34" fillId="26" borderId="14" xfId="0" applyFont="1" applyFill="1" applyBorder="1" applyAlignment="1">
      <alignment horizontal="center" vertical="center"/>
    </xf>
    <xf numFmtId="0" fontId="34" fillId="5" borderId="15" xfId="0" applyFont="1" applyFill="1" applyBorder="1" applyAlignment="1">
      <alignment horizontal="left" vertical="center"/>
    </xf>
    <xf numFmtId="0" fontId="34" fillId="5" borderId="16" xfId="0" applyFont="1" applyFill="1" applyBorder="1" applyAlignment="1">
      <alignment horizontal="left" vertical="center"/>
    </xf>
    <xf numFmtId="0" fontId="35" fillId="5" borderId="16" xfId="0" applyFont="1" applyFill="1" applyBorder="1" applyAlignment="1">
      <alignment horizontal="center" vertical="center"/>
    </xf>
    <xf numFmtId="0" fontId="35" fillId="5" borderId="16" xfId="0" applyFont="1" applyFill="1" applyBorder="1" applyAlignment="1">
      <alignment horizontal="center"/>
    </xf>
    <xf numFmtId="0" fontId="35" fillId="5" borderId="17" xfId="0" applyFont="1" applyFill="1" applyBorder="1" applyAlignment="1">
      <alignment horizontal="center"/>
    </xf>
    <xf numFmtId="1" fontId="35" fillId="5" borderId="16" xfId="0" applyNumberFormat="1" applyFont="1" applyFill="1" applyBorder="1" applyAlignment="1">
      <alignment horizontal="center"/>
    </xf>
    <xf numFmtId="2" fontId="35" fillId="5" borderId="11" xfId="0" applyNumberFormat="1" applyFont="1" applyFill="1" applyBorder="1" applyAlignment="1">
      <alignment horizontal="center" vertical="center"/>
    </xf>
    <xf numFmtId="2" fontId="35" fillId="5" borderId="11" xfId="0" applyNumberFormat="1" applyFont="1" applyFill="1" applyBorder="1" applyAlignment="1">
      <alignment horizontal="center"/>
    </xf>
    <xf numFmtId="167" fontId="35" fillId="5" borderId="11" xfId="0" applyNumberFormat="1" applyFont="1" applyFill="1" applyBorder="1" applyAlignment="1">
      <alignment horizontal="center" vertical="center"/>
    </xf>
    <xf numFmtId="167" fontId="35" fillId="5" borderId="11" xfId="0" applyNumberFormat="1" applyFont="1" applyFill="1" applyBorder="1" applyAlignment="1">
      <alignment horizontal="center"/>
    </xf>
    <xf numFmtId="0" fontId="37" fillId="5" borderId="18" xfId="0" applyFont="1" applyFill="1" applyBorder="1" applyAlignment="1">
      <alignment horizontal="left" vertical="center"/>
    </xf>
    <xf numFmtId="0" fontId="37" fillId="5" borderId="19" xfId="0" applyFont="1" applyFill="1" applyBorder="1" applyAlignment="1">
      <alignment horizontal="left" vertical="center"/>
    </xf>
    <xf numFmtId="1" fontId="38" fillId="5" borderId="19" xfId="0" applyNumberFormat="1" applyFont="1" applyFill="1" applyBorder="1" applyAlignment="1">
      <alignment horizontal="center" vertical="center"/>
    </xf>
    <xf numFmtId="0" fontId="38" fillId="5" borderId="19" xfId="0" applyFont="1" applyFill="1" applyBorder="1" applyAlignment="1">
      <alignment horizontal="center"/>
    </xf>
    <xf numFmtId="0" fontId="38" fillId="5" borderId="20" xfId="0" applyFont="1" applyFill="1" applyBorder="1" applyAlignment="1">
      <alignment horizontal="center"/>
    </xf>
    <xf numFmtId="1" fontId="38" fillId="5" borderId="19" xfId="0" applyNumberFormat="1" applyFont="1" applyFill="1" applyBorder="1" applyAlignment="1">
      <alignment horizontal="center"/>
    </xf>
    <xf numFmtId="0" fontId="34" fillId="26" borderId="70" xfId="0" applyFont="1" applyFill="1" applyBorder="1" applyAlignment="1">
      <alignment horizontal="center" vertical="center"/>
    </xf>
    <xf numFmtId="0" fontId="34" fillId="26" borderId="49" xfId="0" applyFont="1" applyFill="1" applyBorder="1" applyAlignment="1">
      <alignment horizontal="center" vertical="center"/>
    </xf>
    <xf numFmtId="0" fontId="34" fillId="26" borderId="50" xfId="0" applyFont="1" applyFill="1" applyBorder="1" applyAlignment="1">
      <alignment horizontal="center" vertical="center"/>
    </xf>
    <xf numFmtId="0" fontId="35" fillId="5" borderId="15" xfId="0" applyFont="1" applyFill="1" applyBorder="1" applyAlignment="1">
      <alignment horizontal="left" vertical="center"/>
    </xf>
    <xf numFmtId="0" fontId="35" fillId="5" borderId="16" xfId="0" applyFont="1" applyFill="1" applyBorder="1" applyAlignment="1">
      <alignment horizontal="left" vertical="center"/>
    </xf>
    <xf numFmtId="0" fontId="35" fillId="5" borderId="27" xfId="0" applyFont="1" applyFill="1" applyBorder="1" applyAlignment="1">
      <alignment horizontal="left" vertical="center"/>
    </xf>
    <xf numFmtId="0" fontId="35" fillId="5" borderId="11" xfId="0" applyFont="1" applyFill="1" applyBorder="1" applyAlignment="1">
      <alignment horizontal="left" vertical="center"/>
    </xf>
    <xf numFmtId="166" fontId="35" fillId="5" borderId="11" xfId="0" applyNumberFormat="1" applyFont="1" applyFill="1" applyBorder="1" applyAlignment="1">
      <alignment horizontal="center"/>
    </xf>
    <xf numFmtId="0" fontId="35" fillId="0" borderId="27" xfId="0" applyFont="1" applyBorder="1" applyAlignment="1">
      <alignment horizontal="left" vertical="center"/>
    </xf>
    <xf numFmtId="0" fontId="35" fillId="0" borderId="11" xfId="0" applyFont="1" applyBorder="1" applyAlignment="1">
      <alignment horizontal="left" vertical="center"/>
    </xf>
    <xf numFmtId="2" fontId="35" fillId="0" borderId="11" xfId="0" applyNumberFormat="1" applyFont="1" applyBorder="1" applyAlignment="1">
      <alignment horizontal="center"/>
    </xf>
    <xf numFmtId="0" fontId="35" fillId="0" borderId="11" xfId="0" applyFont="1" applyBorder="1" applyAlignment="1">
      <alignment horizontal="center"/>
    </xf>
    <xf numFmtId="0" fontId="35" fillId="0" borderId="28" xfId="0" applyFont="1" applyBorder="1" applyAlignment="1">
      <alignment horizontal="center"/>
    </xf>
    <xf numFmtId="167" fontId="35" fillId="0" borderId="11" xfId="0" applyNumberFormat="1" applyFont="1" applyBorder="1" applyAlignment="1">
      <alignment horizontal="center"/>
    </xf>
    <xf numFmtId="0" fontId="38" fillId="0" borderId="18" xfId="0" applyFont="1" applyBorder="1" applyAlignment="1">
      <alignment horizontal="left" vertical="center"/>
    </xf>
    <xf numFmtId="0" fontId="38" fillId="0" borderId="19" xfId="0" applyFont="1" applyBorder="1" applyAlignment="1">
      <alignment horizontal="left" vertical="center"/>
    </xf>
    <xf numFmtId="1" fontId="38" fillId="0" borderId="19" xfId="0" applyNumberFormat="1" applyFont="1" applyBorder="1" applyAlignment="1">
      <alignment horizontal="center"/>
    </xf>
    <xf numFmtId="0" fontId="38" fillId="0" borderId="19" xfId="0" applyFont="1" applyBorder="1" applyAlignment="1">
      <alignment horizontal="center"/>
    </xf>
    <xf numFmtId="0" fontId="38" fillId="0" borderId="20" xfId="0" applyFont="1" applyBorder="1" applyAlignment="1">
      <alignment horizontal="center"/>
    </xf>
    <xf numFmtId="0" fontId="35" fillId="26" borderId="4" xfId="0" applyFont="1" applyFill="1" applyBorder="1" applyAlignment="1">
      <alignment horizontal="center" vertical="center"/>
    </xf>
    <xf numFmtId="0" fontId="35" fillId="26" borderId="5" xfId="0" applyFont="1" applyFill="1" applyBorder="1" applyAlignment="1">
      <alignment horizontal="center" vertical="center"/>
    </xf>
    <xf numFmtId="0" fontId="35" fillId="26" borderId="6" xfId="0" applyFont="1" applyFill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1" fontId="38" fillId="0" borderId="16" xfId="0" applyNumberFormat="1" applyFont="1" applyBorder="1" applyAlignment="1">
      <alignment horizontal="center"/>
    </xf>
    <xf numFmtId="0" fontId="38" fillId="0" borderId="16" xfId="0" applyFont="1" applyBorder="1" applyAlignment="1">
      <alignment horizontal="center"/>
    </xf>
    <xf numFmtId="0" fontId="38" fillId="0" borderId="17" xfId="0" applyFont="1" applyBorder="1" applyAlignment="1">
      <alignment horizontal="center"/>
    </xf>
    <xf numFmtId="0" fontId="38" fillId="0" borderId="39" xfId="0" applyFont="1" applyBorder="1" applyAlignment="1">
      <alignment horizontal="center"/>
    </xf>
    <xf numFmtId="0" fontId="38" fillId="0" borderId="25" xfId="0" applyFont="1" applyBorder="1" applyAlignment="1">
      <alignment horizontal="center"/>
    </xf>
    <xf numFmtId="0" fontId="34" fillId="0" borderId="27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5" fillId="0" borderId="33" xfId="0" applyFont="1" applyBorder="1" applyAlignment="1">
      <alignment horizontal="center"/>
    </xf>
    <xf numFmtId="1" fontId="35" fillId="0" borderId="11" xfId="0" applyNumberFormat="1" applyFont="1" applyBorder="1" applyAlignment="1">
      <alignment horizontal="center"/>
    </xf>
    <xf numFmtId="0" fontId="35" fillId="0" borderId="11" xfId="0" quotePrefix="1" applyFont="1" applyBorder="1" applyAlignment="1">
      <alignment horizontal="center"/>
    </xf>
    <xf numFmtId="0" fontId="34" fillId="0" borderId="71" xfId="0" applyFont="1" applyBorder="1" applyAlignment="1">
      <alignment horizontal="center" vertical="center"/>
    </xf>
    <xf numFmtId="0" fontId="34" fillId="0" borderId="72" xfId="0" applyFont="1" applyBorder="1" applyAlignment="1">
      <alignment horizontal="center" vertical="center"/>
    </xf>
    <xf numFmtId="0" fontId="34" fillId="0" borderId="69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61" xfId="0" applyFont="1" applyBorder="1" applyAlignment="1">
      <alignment horizontal="center" vertical="center"/>
    </xf>
    <xf numFmtId="0" fontId="35" fillId="0" borderId="66" xfId="0" applyFont="1" applyBorder="1" applyAlignment="1">
      <alignment horizontal="center"/>
    </xf>
    <xf numFmtId="0" fontId="35" fillId="0" borderId="69" xfId="0" applyFont="1" applyBorder="1" applyAlignment="1">
      <alignment horizontal="center"/>
    </xf>
    <xf numFmtId="0" fontId="35" fillId="0" borderId="54" xfId="0" applyFont="1" applyBorder="1" applyAlignment="1">
      <alignment horizontal="center"/>
    </xf>
    <xf numFmtId="0" fontId="35" fillId="0" borderId="61" xfId="0" applyFont="1" applyBorder="1" applyAlignment="1">
      <alignment horizontal="center"/>
    </xf>
    <xf numFmtId="0" fontId="35" fillId="0" borderId="66" xfId="0" applyFont="1" applyBorder="1" applyAlignment="1">
      <alignment horizontal="center" vertical="center"/>
    </xf>
    <xf numFmtId="0" fontId="35" fillId="0" borderId="73" xfId="0" applyFont="1" applyBorder="1" applyAlignment="1">
      <alignment horizontal="center" vertical="center"/>
    </xf>
    <xf numFmtId="0" fontId="35" fillId="0" borderId="54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/>
    </xf>
    <xf numFmtId="0" fontId="34" fillId="26" borderId="29" xfId="0" applyFont="1" applyFill="1" applyBorder="1" applyAlignment="1">
      <alignment horizontal="center" vertical="center"/>
    </xf>
    <xf numFmtId="0" fontId="34" fillId="26" borderId="0" xfId="0" applyFont="1" applyFill="1" applyAlignment="1">
      <alignment horizontal="center" vertical="center"/>
    </xf>
    <xf numFmtId="0" fontId="34" fillId="26" borderId="12" xfId="0" applyFont="1" applyFill="1" applyBorder="1" applyAlignment="1">
      <alignment horizontal="center" vertical="center"/>
    </xf>
    <xf numFmtId="0" fontId="38" fillId="0" borderId="15" xfId="0" applyFont="1" applyBorder="1" applyAlignment="1">
      <alignment horizontal="center"/>
    </xf>
    <xf numFmtId="0" fontId="35" fillId="0" borderId="27" xfId="0" applyFont="1" applyBorder="1" applyAlignment="1">
      <alignment horizontal="center"/>
    </xf>
    <xf numFmtId="166" fontId="35" fillId="0" borderId="11" xfId="0" applyNumberFormat="1" applyFont="1" applyBorder="1" applyAlignment="1">
      <alignment horizontal="center"/>
    </xf>
    <xf numFmtId="0" fontId="35" fillId="0" borderId="18" xfId="0" applyFont="1" applyBorder="1" applyAlignment="1">
      <alignment horizontal="center"/>
    </xf>
    <xf numFmtId="0" fontId="35" fillId="0" borderId="19" xfId="0" applyFont="1" applyBorder="1" applyAlignment="1">
      <alignment horizontal="center"/>
    </xf>
    <xf numFmtId="2" fontId="35" fillId="0" borderId="19" xfId="0" applyNumberFormat="1" applyFont="1" applyBorder="1" applyAlignment="1">
      <alignment horizontal="center"/>
    </xf>
    <xf numFmtId="0" fontId="35" fillId="0" borderId="20" xfId="0" applyFont="1" applyBorder="1" applyAlignment="1">
      <alignment horizont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167" fontId="35" fillId="0" borderId="19" xfId="0" applyNumberFormat="1" applyFont="1" applyBorder="1" applyAlignment="1">
      <alignment horizontal="center" vertical="center"/>
    </xf>
    <xf numFmtId="0" fontId="35" fillId="26" borderId="29" xfId="0" applyFont="1" applyFill="1" applyBorder="1" applyAlignment="1">
      <alignment horizontal="center"/>
    </xf>
    <xf numFmtId="0" fontId="35" fillId="26" borderId="0" xfId="0" applyFont="1" applyFill="1" applyAlignment="1">
      <alignment horizontal="center"/>
    </xf>
    <xf numFmtId="0" fontId="35" fillId="26" borderId="12" xfId="0" applyFont="1" applyFill="1" applyBorder="1" applyAlignment="1">
      <alignment horizontal="center"/>
    </xf>
    <xf numFmtId="0" fontId="37" fillId="0" borderId="41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0" borderId="37" xfId="0" applyFont="1" applyBorder="1" applyAlignment="1">
      <alignment horizontal="center" vertical="center"/>
    </xf>
    <xf numFmtId="0" fontId="34" fillId="0" borderId="42" xfId="0" applyFont="1" applyBorder="1" applyAlignment="1">
      <alignment horizontal="center" vertical="center"/>
    </xf>
    <xf numFmtId="0" fontId="34" fillId="0" borderId="60" xfId="0" applyFont="1" applyBorder="1" applyAlignment="1">
      <alignment horizontal="center" vertical="center"/>
    </xf>
    <xf numFmtId="0" fontId="34" fillId="0" borderId="33" xfId="0" applyFont="1" applyBorder="1" applyAlignment="1">
      <alignment horizontal="center" vertical="center"/>
    </xf>
    <xf numFmtId="0" fontId="38" fillId="0" borderId="41" xfId="0" applyFont="1" applyBorder="1" applyAlignment="1">
      <alignment horizontal="center"/>
    </xf>
    <xf numFmtId="0" fontId="38" fillId="0" borderId="37" xfId="0" applyFont="1" applyBorder="1" applyAlignment="1">
      <alignment horizontal="center"/>
    </xf>
    <xf numFmtId="0" fontId="34" fillId="0" borderId="43" xfId="0" applyFont="1" applyBorder="1" applyAlignment="1">
      <alignment horizontal="center" vertical="center"/>
    </xf>
    <xf numFmtId="0" fontId="34" fillId="0" borderId="40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8" fillId="0" borderId="18" xfId="0" applyFont="1" applyBorder="1" applyAlignment="1">
      <alignment horizontal="center"/>
    </xf>
    <xf numFmtId="0" fontId="38" fillId="0" borderId="45" xfId="0" applyFont="1" applyBorder="1" applyAlignment="1">
      <alignment horizontal="center"/>
    </xf>
    <xf numFmtId="0" fontId="38" fillId="0" borderId="40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51" fillId="0" borderId="27" xfId="0" applyFont="1" applyBorder="1" applyAlignment="1">
      <alignment horizontal="center"/>
    </xf>
    <xf numFmtId="0" fontId="51" fillId="0" borderId="11" xfId="0" applyFont="1" applyBorder="1" applyAlignment="1">
      <alignment horizontal="center"/>
    </xf>
    <xf numFmtId="0" fontId="51" fillId="0" borderId="28" xfId="0" applyFont="1" applyBorder="1" applyAlignment="1">
      <alignment horizontal="center"/>
    </xf>
    <xf numFmtId="0" fontId="51" fillId="0" borderId="33" xfId="0" applyFont="1" applyBorder="1" applyAlignment="1">
      <alignment horizontal="center"/>
    </xf>
    <xf numFmtId="0" fontId="52" fillId="0" borderId="13" xfId="0" applyFont="1" applyBorder="1" applyAlignment="1">
      <alignment horizontal="center"/>
    </xf>
    <xf numFmtId="0" fontId="52" fillId="0" borderId="22" xfId="0" applyFont="1" applyBorder="1" applyAlignment="1">
      <alignment horizontal="center"/>
    </xf>
    <xf numFmtId="0" fontId="52" fillId="0" borderId="14" xfId="0" applyFont="1" applyBorder="1" applyAlignment="1">
      <alignment horizontal="center"/>
    </xf>
    <xf numFmtId="0" fontId="52" fillId="0" borderId="7" xfId="0" applyFont="1" applyBorder="1" applyAlignment="1">
      <alignment horizontal="center"/>
    </xf>
    <xf numFmtId="0" fontId="52" fillId="0" borderId="8" xfId="0" applyFont="1" applyBorder="1" applyAlignment="1">
      <alignment horizontal="center"/>
    </xf>
    <xf numFmtId="0" fontId="51" fillId="0" borderId="18" xfId="0" applyFont="1" applyBorder="1" applyAlignment="1">
      <alignment horizontal="center"/>
    </xf>
    <xf numFmtId="0" fontId="51" fillId="0" borderId="19" xfId="0" applyFont="1" applyBorder="1" applyAlignment="1">
      <alignment horizontal="center"/>
    </xf>
    <xf numFmtId="0" fontId="51" fillId="0" borderId="20" xfId="0" applyFont="1" applyBorder="1" applyAlignment="1">
      <alignment horizontal="center"/>
    </xf>
    <xf numFmtId="0" fontId="51" fillId="0" borderId="25" xfId="0" applyFont="1" applyBorder="1" applyAlignment="1">
      <alignment horizontal="center"/>
    </xf>
    <xf numFmtId="0" fontId="51" fillId="0" borderId="16" xfId="0" applyFont="1" applyBorder="1" applyAlignment="1">
      <alignment horizontal="center"/>
    </xf>
    <xf numFmtId="0" fontId="51" fillId="0" borderId="15" xfId="0" applyFont="1" applyBorder="1" applyAlignment="1">
      <alignment horizontal="center"/>
    </xf>
    <xf numFmtId="0" fontId="51" fillId="0" borderId="17" xfId="0" applyFont="1" applyBorder="1" applyAlignment="1">
      <alignment horizontal="center"/>
    </xf>
    <xf numFmtId="0" fontId="51" fillId="0" borderId="2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2" xfId="0" applyFont="1" applyBorder="1" applyAlignment="1">
      <alignment horizontal="center"/>
    </xf>
    <xf numFmtId="0" fontId="52" fillId="0" borderId="3" xfId="0" applyFont="1" applyBorder="1" applyAlignment="1">
      <alignment horizontal="center"/>
    </xf>
    <xf numFmtId="0" fontId="49" fillId="0" borderId="27" xfId="0" applyFont="1" applyBorder="1" applyAlignment="1">
      <alignment horizontal="center"/>
    </xf>
    <xf numFmtId="0" fontId="49" fillId="0" borderId="11" xfId="0" applyFont="1" applyBorder="1" applyAlignment="1">
      <alignment horizontal="center"/>
    </xf>
    <xf numFmtId="0" fontId="49" fillId="0" borderId="55" xfId="0" applyFont="1" applyBorder="1" applyAlignment="1">
      <alignment horizontal="center"/>
    </xf>
    <xf numFmtId="0" fontId="49" fillId="0" borderId="18" xfId="0" applyFont="1" applyBorder="1" applyAlignment="1">
      <alignment horizontal="center"/>
    </xf>
    <xf numFmtId="0" fontId="49" fillId="0" borderId="19" xfId="0" applyFont="1" applyBorder="1" applyAlignment="1">
      <alignment horizontal="center"/>
    </xf>
    <xf numFmtId="0" fontId="50" fillId="0" borderId="4" xfId="0" applyFont="1" applyBorder="1" applyAlignment="1">
      <alignment horizontal="center"/>
    </xf>
    <xf numFmtId="0" fontId="50" fillId="0" borderId="5" xfId="0" applyFont="1" applyBorder="1" applyAlignment="1">
      <alignment horizontal="center"/>
    </xf>
    <xf numFmtId="0" fontId="50" fillId="0" borderId="6" xfId="0" applyFont="1" applyBorder="1" applyAlignment="1">
      <alignment horizontal="center"/>
    </xf>
    <xf numFmtId="0" fontId="48" fillId="0" borderId="15" xfId="0" applyFon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6" xfId="0" applyFont="1" applyBorder="1" applyAlignment="1">
      <alignment horizontal="center" vertical="center"/>
    </xf>
    <xf numFmtId="0" fontId="48" fillId="0" borderId="29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49" fillId="0" borderId="30" xfId="0" applyFont="1" applyBorder="1" applyAlignment="1">
      <alignment horizontal="center"/>
    </xf>
    <xf numFmtId="0" fontId="49" fillId="0" borderId="31" xfId="0" applyFont="1" applyBorder="1" applyAlignment="1">
      <alignment horizontal="center"/>
    </xf>
    <xf numFmtId="0" fontId="49" fillId="0" borderId="56" xfId="0" applyFont="1" applyBorder="1" applyAlignment="1">
      <alignment horizontal="center"/>
    </xf>
    <xf numFmtId="0" fontId="49" fillId="0" borderId="15" xfId="0" applyFont="1" applyBorder="1" applyAlignment="1">
      <alignment horizontal="center"/>
    </xf>
    <xf numFmtId="0" fontId="49" fillId="0" borderId="16" xfId="0" applyFont="1" applyBorder="1" applyAlignment="1">
      <alignment horizontal="center"/>
    </xf>
    <xf numFmtId="0" fontId="42" fillId="0" borderId="45" xfId="0" applyFont="1" applyBorder="1" applyAlignment="1">
      <alignment horizontal="right" vertical="center"/>
    </xf>
    <xf numFmtId="0" fontId="42" fillId="0" borderId="40" xfId="0" applyFont="1" applyBorder="1" applyAlignment="1">
      <alignment horizontal="right" vertical="center"/>
    </xf>
    <xf numFmtId="0" fontId="42" fillId="0" borderId="38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42" fillId="0" borderId="18" xfId="0" applyFont="1" applyBorder="1" applyAlignment="1">
      <alignment horizontal="left" vertical="center"/>
    </xf>
    <xf numFmtId="0" fontId="42" fillId="0" borderId="19" xfId="0" applyFont="1" applyBorder="1" applyAlignment="1">
      <alignment horizontal="left" vertical="center"/>
    </xf>
    <xf numFmtId="0" fontId="42" fillId="0" borderId="13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0" fontId="42" fillId="0" borderId="74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27" xfId="0" applyFont="1" applyBorder="1" applyAlignment="1">
      <alignment horizontal="left" vertical="center"/>
    </xf>
    <xf numFmtId="0" fontId="42" fillId="0" borderId="11" xfId="0" applyFont="1" applyBorder="1" applyAlignment="1">
      <alignment horizontal="left" vertical="center"/>
    </xf>
    <xf numFmtId="0" fontId="42" fillId="0" borderId="65" xfId="0" applyFont="1" applyBorder="1" applyAlignment="1">
      <alignment horizontal="left" vertical="center"/>
    </xf>
    <xf numFmtId="0" fontId="42" fillId="0" borderId="67" xfId="0" applyFont="1" applyBorder="1" applyAlignment="1">
      <alignment horizontal="left" vertical="center"/>
    </xf>
    <xf numFmtId="0" fontId="47" fillId="0" borderId="55" xfId="0" applyFont="1" applyBorder="1" applyAlignment="1">
      <alignment horizontal="center" vertical="center"/>
    </xf>
    <xf numFmtId="0" fontId="47" fillId="0" borderId="60" xfId="0" applyFont="1" applyBorder="1" applyAlignment="1">
      <alignment horizontal="center" vertical="center"/>
    </xf>
    <xf numFmtId="0" fontId="42" fillId="0" borderId="66" xfId="0" applyFont="1" applyBorder="1" applyAlignment="1">
      <alignment horizontal="center" vertical="center"/>
    </xf>
    <xf numFmtId="0" fontId="42" fillId="0" borderId="72" xfId="0" applyFont="1" applyBorder="1" applyAlignment="1">
      <alignment horizontal="center" vertical="center"/>
    </xf>
    <xf numFmtId="0" fontId="47" fillId="0" borderId="36" xfId="0" applyFont="1" applyBorder="1" applyAlignment="1">
      <alignment horizontal="center" vertical="center"/>
    </xf>
    <xf numFmtId="0" fontId="47" fillId="0" borderId="39" xfId="0" applyFont="1" applyBorder="1" applyAlignment="1">
      <alignment horizontal="center" vertical="center"/>
    </xf>
    <xf numFmtId="0" fontId="46" fillId="0" borderId="75" xfId="0" applyFont="1" applyBorder="1" applyAlignment="1">
      <alignment horizontal="center"/>
    </xf>
    <xf numFmtId="0" fontId="46" fillId="0" borderId="51" xfId="0" applyFont="1" applyBorder="1" applyAlignment="1">
      <alignment horizontal="center"/>
    </xf>
    <xf numFmtId="0" fontId="46" fillId="0" borderId="76" xfId="0" applyFont="1" applyBorder="1" applyAlignment="1">
      <alignment horizontal="center"/>
    </xf>
    <xf numFmtId="0" fontId="42" fillId="0" borderId="15" xfId="0" applyFont="1" applyBorder="1" applyAlignment="1">
      <alignment horizontal="left" vertical="center"/>
    </xf>
    <xf numFmtId="0" fontId="42" fillId="0" borderId="16" xfId="0" applyFont="1" applyBorder="1" applyAlignment="1">
      <alignment horizontal="left" vertical="center"/>
    </xf>
    <xf numFmtId="0" fontId="42" fillId="0" borderId="55" xfId="0" applyFont="1" applyBorder="1" applyAlignment="1">
      <alignment horizontal="right" vertical="center"/>
    </xf>
    <xf numFmtId="0" fontId="42" fillId="0" borderId="60" xfId="0" applyFont="1" applyBorder="1" applyAlignment="1">
      <alignment horizontal="right" vertical="center"/>
    </xf>
    <xf numFmtId="0" fontId="42" fillId="0" borderId="44" xfId="0" applyFont="1" applyBorder="1" applyAlignment="1">
      <alignment horizontal="right" vertical="center"/>
    </xf>
    <xf numFmtId="0" fontId="44" fillId="0" borderId="27" xfId="0" applyFont="1" applyBorder="1" applyAlignment="1">
      <alignment horizontal="left" vertical="center"/>
    </xf>
    <xf numFmtId="0" fontId="43" fillId="0" borderId="11" xfId="0" applyFont="1" applyBorder="1" applyAlignment="1">
      <alignment horizontal="left" vertical="center"/>
    </xf>
    <xf numFmtId="0" fontId="43" fillId="0" borderId="55" xfId="0" applyFont="1" applyBorder="1" applyAlignment="1">
      <alignment horizontal="center" vertical="center"/>
    </xf>
    <xf numFmtId="0" fontId="43" fillId="0" borderId="60" xfId="0" applyFont="1" applyBorder="1" applyAlignment="1">
      <alignment horizontal="center" vertical="center"/>
    </xf>
    <xf numFmtId="0" fontId="43" fillId="0" borderId="44" xfId="0" applyFont="1" applyBorder="1" applyAlignment="1">
      <alignment horizontal="center" vertical="center"/>
    </xf>
    <xf numFmtId="0" fontId="43" fillId="0" borderId="27" xfId="0" applyFont="1" applyBorder="1" applyAlignment="1">
      <alignment horizontal="left" vertical="center"/>
    </xf>
    <xf numFmtId="0" fontId="47" fillId="0" borderId="55" xfId="0" applyFont="1" applyBorder="1" applyAlignment="1">
      <alignment horizontal="right" vertical="center"/>
    </xf>
    <xf numFmtId="0" fontId="47" fillId="0" borderId="60" xfId="0" applyFont="1" applyBorder="1" applyAlignment="1">
      <alignment horizontal="right" vertical="center"/>
    </xf>
    <xf numFmtId="0" fontId="47" fillId="0" borderId="44" xfId="0" applyFont="1" applyBorder="1" applyAlignment="1">
      <alignment horizontal="right" vertical="center"/>
    </xf>
    <xf numFmtId="0" fontId="45" fillId="0" borderId="13" xfId="0" applyFont="1" applyBorder="1" applyAlignment="1">
      <alignment horizontal="left" vertical="center"/>
    </xf>
    <xf numFmtId="0" fontId="45" fillId="0" borderId="22" xfId="0" applyFont="1" applyBorder="1" applyAlignment="1">
      <alignment horizontal="left" vertical="center"/>
    </xf>
    <xf numFmtId="0" fontId="45" fillId="0" borderId="74" xfId="0" applyFont="1" applyBorder="1" applyAlignment="1">
      <alignment horizontal="left" vertical="center"/>
    </xf>
    <xf numFmtId="0" fontId="45" fillId="0" borderId="74" xfId="0" applyFont="1" applyBorder="1" applyAlignment="1">
      <alignment horizontal="right" vertical="center"/>
    </xf>
    <xf numFmtId="0" fontId="45" fillId="0" borderId="2" xfId="0" applyFont="1" applyBorder="1" applyAlignment="1">
      <alignment horizontal="right" vertical="center"/>
    </xf>
    <xf numFmtId="0" fontId="45" fillId="0" borderId="3" xfId="0" applyFont="1" applyBorder="1" applyAlignment="1">
      <alignment horizontal="right" vertical="center"/>
    </xf>
    <xf numFmtId="0" fontId="47" fillId="0" borderId="36" xfId="0" applyFont="1" applyBorder="1" applyAlignment="1">
      <alignment horizontal="right" vertical="center"/>
    </xf>
    <xf numFmtId="0" fontId="47" fillId="0" borderId="39" xfId="0" applyFont="1" applyBorder="1" applyAlignment="1">
      <alignment horizontal="right" vertical="center"/>
    </xf>
    <xf numFmtId="0" fontId="47" fillId="0" borderId="37" xfId="0" applyFont="1" applyBorder="1" applyAlignment="1">
      <alignment horizontal="right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20" fillId="5" borderId="55" xfId="0" applyFont="1" applyFill="1" applyBorder="1" applyAlignment="1">
      <alignment horizontal="center" vertical="center"/>
    </xf>
    <xf numFmtId="0" fontId="20" fillId="5" borderId="44" xfId="0" applyFont="1" applyFill="1" applyBorder="1" applyAlignment="1">
      <alignment horizontal="center" vertical="center"/>
    </xf>
    <xf numFmtId="0" fontId="20" fillId="5" borderId="45" xfId="0" applyFont="1" applyFill="1" applyBorder="1" applyAlignment="1">
      <alignment horizontal="center" vertical="center"/>
    </xf>
    <xf numFmtId="0" fontId="20" fillId="5" borderId="38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2" fontId="20" fillId="0" borderId="11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20" fillId="5" borderId="27" xfId="0" applyFont="1" applyFill="1" applyBorder="1" applyAlignment="1">
      <alignment horizontal="center" vertical="center"/>
    </xf>
    <xf numFmtId="167" fontId="20" fillId="5" borderId="55" xfId="0" applyNumberFormat="1" applyFont="1" applyFill="1" applyBorder="1" applyAlignment="1">
      <alignment horizontal="center" vertical="center"/>
    </xf>
    <xf numFmtId="167" fontId="20" fillId="5" borderId="60" xfId="0" applyNumberFormat="1" applyFont="1" applyFill="1" applyBorder="1" applyAlignment="1">
      <alignment horizontal="center" vertical="center"/>
    </xf>
    <xf numFmtId="167" fontId="20" fillId="5" borderId="33" xfId="0" applyNumberFormat="1" applyFont="1" applyFill="1" applyBorder="1" applyAlignment="1">
      <alignment horizontal="center" vertical="center"/>
    </xf>
    <xf numFmtId="1" fontId="20" fillId="5" borderId="45" xfId="0" applyNumberFormat="1" applyFont="1" applyFill="1" applyBorder="1" applyAlignment="1">
      <alignment horizontal="center" vertical="center"/>
    </xf>
    <xf numFmtId="1" fontId="20" fillId="5" borderId="40" xfId="0" applyNumberFormat="1" applyFont="1" applyFill="1" applyBorder="1" applyAlignment="1">
      <alignment horizontal="center" vertical="center"/>
    </xf>
    <xf numFmtId="1" fontId="20" fillId="5" borderId="26" xfId="0" applyNumberFormat="1" applyFont="1" applyFill="1" applyBorder="1" applyAlignment="1">
      <alignment horizontal="center" vertical="center"/>
    </xf>
    <xf numFmtId="0" fontId="20" fillId="5" borderId="67" xfId="0" applyFont="1" applyFill="1" applyBorder="1" applyAlignment="1">
      <alignment horizontal="center" vertical="center"/>
    </xf>
    <xf numFmtId="0" fontId="20" fillId="5" borderId="68" xfId="0" applyFont="1" applyFill="1" applyBorder="1" applyAlignment="1">
      <alignment horizontal="center" vertical="center"/>
    </xf>
    <xf numFmtId="0" fontId="20" fillId="5" borderId="16" xfId="0" applyFont="1" applyFill="1" applyBorder="1" applyAlignment="1">
      <alignment horizontal="center" vertical="center"/>
    </xf>
    <xf numFmtId="0" fontId="20" fillId="5" borderId="17" xfId="0" applyFont="1" applyFill="1" applyBorder="1" applyAlignment="1">
      <alignment horizontal="center" vertical="center"/>
    </xf>
    <xf numFmtId="165" fontId="20" fillId="5" borderId="66" xfId="0" applyNumberFormat="1" applyFont="1" applyFill="1" applyBorder="1" applyAlignment="1">
      <alignment horizontal="center" vertical="center"/>
    </xf>
    <xf numFmtId="165" fontId="20" fillId="5" borderId="72" xfId="0" applyNumberFormat="1" applyFont="1" applyFill="1" applyBorder="1" applyAlignment="1">
      <alignment horizontal="center" vertical="center"/>
    </xf>
    <xf numFmtId="165" fontId="20" fillId="5" borderId="69" xfId="0" applyNumberFormat="1" applyFont="1" applyFill="1" applyBorder="1" applyAlignment="1">
      <alignment horizontal="center" vertical="center"/>
    </xf>
    <xf numFmtId="165" fontId="20" fillId="5" borderId="36" xfId="0" applyNumberFormat="1" applyFont="1" applyFill="1" applyBorder="1" applyAlignment="1">
      <alignment horizontal="center" vertical="center"/>
    </xf>
    <xf numFmtId="165" fontId="20" fillId="5" borderId="39" xfId="0" applyNumberFormat="1" applyFont="1" applyFill="1" applyBorder="1" applyAlignment="1">
      <alignment horizontal="center" vertical="center"/>
    </xf>
    <xf numFmtId="165" fontId="20" fillId="5" borderId="25" xfId="0" applyNumberFormat="1" applyFont="1" applyFill="1" applyBorder="1" applyAlignment="1">
      <alignment horizontal="center" vertical="center"/>
    </xf>
    <xf numFmtId="166" fontId="20" fillId="5" borderId="55" xfId="0" applyNumberFormat="1" applyFont="1" applyFill="1" applyBorder="1" applyAlignment="1">
      <alignment horizontal="center" vertical="center"/>
    </xf>
    <xf numFmtId="166" fontId="20" fillId="5" borderId="60" xfId="0" applyNumberFormat="1" applyFont="1" applyFill="1" applyBorder="1" applyAlignment="1">
      <alignment horizontal="center" vertical="center"/>
    </xf>
    <xf numFmtId="166" fontId="20" fillId="5" borderId="33" xfId="0" applyNumberFormat="1" applyFont="1" applyFill="1" applyBorder="1" applyAlignment="1">
      <alignment horizontal="center" vertical="center"/>
    </xf>
    <xf numFmtId="165" fontId="20" fillId="5" borderId="55" xfId="0" applyNumberFormat="1" applyFont="1" applyFill="1" applyBorder="1" applyAlignment="1">
      <alignment horizontal="center" vertical="center"/>
    </xf>
    <xf numFmtId="165" fontId="20" fillId="5" borderId="60" xfId="0" applyNumberFormat="1" applyFont="1" applyFill="1" applyBorder="1" applyAlignment="1">
      <alignment horizontal="center" vertical="center"/>
    </xf>
    <xf numFmtId="165" fontId="20" fillId="5" borderId="33" xfId="0" applyNumberFormat="1" applyFont="1" applyFill="1" applyBorder="1" applyAlignment="1">
      <alignment horizontal="center" vertical="center"/>
    </xf>
    <xf numFmtId="2" fontId="20" fillId="5" borderId="55" xfId="0" applyNumberFormat="1" applyFont="1" applyFill="1" applyBorder="1" applyAlignment="1">
      <alignment horizontal="center" vertical="center"/>
    </xf>
    <xf numFmtId="2" fontId="20" fillId="5" borderId="60" xfId="0" applyNumberFormat="1" applyFont="1" applyFill="1" applyBorder="1" applyAlignment="1">
      <alignment horizontal="center" vertical="center"/>
    </xf>
    <xf numFmtId="2" fontId="20" fillId="5" borderId="33" xfId="0" applyNumberFormat="1" applyFont="1" applyFill="1" applyBorder="1" applyAlignment="1">
      <alignment horizontal="center" vertical="center"/>
    </xf>
    <xf numFmtId="0" fontId="20" fillId="5" borderId="65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center" vertical="center"/>
    </xf>
    <xf numFmtId="165" fontId="41" fillId="13" borderId="36" xfId="0" applyNumberFormat="1" applyFont="1" applyFill="1" applyBorder="1" applyAlignment="1">
      <alignment horizontal="center" vertical="center"/>
    </xf>
    <xf numFmtId="165" fontId="41" fillId="13" borderId="39" xfId="0" applyNumberFormat="1" applyFont="1" applyFill="1" applyBorder="1" applyAlignment="1">
      <alignment horizontal="center" vertical="center"/>
    </xf>
    <xf numFmtId="165" fontId="41" fillId="13" borderId="25" xfId="0" applyNumberFormat="1" applyFont="1" applyFill="1" applyBorder="1" applyAlignment="1">
      <alignment horizontal="center" vertical="center"/>
    </xf>
    <xf numFmtId="2" fontId="41" fillId="13" borderId="55" xfId="0" applyNumberFormat="1" applyFont="1" applyFill="1" applyBorder="1" applyAlignment="1">
      <alignment horizontal="center" vertical="center"/>
    </xf>
    <xf numFmtId="2" fontId="41" fillId="13" borderId="60" xfId="0" applyNumberFormat="1" applyFont="1" applyFill="1" applyBorder="1" applyAlignment="1">
      <alignment horizontal="center" vertical="center"/>
    </xf>
    <xf numFmtId="2" fontId="41" fillId="13" borderId="33" xfId="0" applyNumberFormat="1" applyFont="1" applyFill="1" applyBorder="1" applyAlignment="1">
      <alignment horizontal="center" vertical="center"/>
    </xf>
    <xf numFmtId="2" fontId="41" fillId="13" borderId="45" xfId="0" applyNumberFormat="1" applyFont="1" applyFill="1" applyBorder="1" applyAlignment="1">
      <alignment horizontal="center" vertical="center"/>
    </xf>
    <xf numFmtId="2" fontId="41" fillId="13" borderId="40" xfId="0" applyNumberFormat="1" applyFont="1" applyFill="1" applyBorder="1" applyAlignment="1">
      <alignment horizontal="center" vertical="center"/>
    </xf>
    <xf numFmtId="2" fontId="41" fillId="13" borderId="26" xfId="0" applyNumberFormat="1" applyFont="1" applyFill="1" applyBorder="1" applyAlignment="1">
      <alignment horizontal="center" vertical="center"/>
    </xf>
    <xf numFmtId="168" fontId="20" fillId="5" borderId="56" xfId="0" applyNumberFormat="1" applyFont="1" applyFill="1" applyBorder="1" applyAlignment="1">
      <alignment horizontal="center" vertical="center"/>
    </xf>
    <xf numFmtId="168" fontId="20" fillId="5" borderId="59" xfId="0" applyNumberFormat="1" applyFont="1" applyFill="1" applyBorder="1" applyAlignment="1">
      <alignment horizontal="center" vertical="center"/>
    </xf>
    <xf numFmtId="168" fontId="20" fillId="5" borderId="57" xfId="0" applyNumberFormat="1" applyFont="1" applyFill="1" applyBorder="1" applyAlignment="1">
      <alignment horizontal="center" vertical="center"/>
    </xf>
    <xf numFmtId="164" fontId="20" fillId="21" borderId="18" xfId="0" applyNumberFormat="1" applyFont="1" applyFill="1" applyBorder="1" applyAlignment="1">
      <alignment horizontal="center" vertical="center"/>
    </xf>
    <xf numFmtId="164" fontId="20" fillId="21" borderId="19" xfId="0" applyNumberFormat="1" applyFont="1" applyFill="1" applyBorder="1" applyAlignment="1">
      <alignment horizontal="center" vertical="center"/>
    </xf>
    <xf numFmtId="0" fontId="20" fillId="5" borderId="29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22" borderId="43" xfId="0" applyFont="1" applyFill="1" applyBorder="1" applyAlignment="1">
      <alignment horizontal="center" vertical="center"/>
    </xf>
    <xf numFmtId="0" fontId="21" fillId="22" borderId="40" xfId="0" applyFont="1" applyFill="1" applyBorder="1" applyAlignment="1">
      <alignment horizontal="center" vertical="center"/>
    </xf>
    <xf numFmtId="0" fontId="21" fillId="22" borderId="38" xfId="0" applyFont="1" applyFill="1" applyBorder="1" applyAlignment="1">
      <alignment horizontal="center" vertical="center"/>
    </xf>
    <xf numFmtId="0" fontId="20" fillId="5" borderId="29" xfId="0" applyFont="1" applyFill="1" applyBorder="1" applyAlignment="1">
      <alignment horizontal="center"/>
    </xf>
    <xf numFmtId="0" fontId="20" fillId="5" borderId="0" xfId="0" applyFont="1" applyFill="1" applyAlignment="1">
      <alignment horizontal="center"/>
    </xf>
    <xf numFmtId="0" fontId="20" fillId="5" borderId="7" xfId="0" applyFont="1" applyFill="1" applyBorder="1" applyAlignment="1">
      <alignment horizontal="center"/>
    </xf>
    <xf numFmtId="0" fontId="20" fillId="5" borderId="8" xfId="0" applyFont="1" applyFill="1" applyBorder="1" applyAlignment="1">
      <alignment horizontal="center"/>
    </xf>
    <xf numFmtId="43" fontId="20" fillId="22" borderId="13" xfId="0" applyNumberFormat="1" applyFont="1" applyFill="1" applyBorder="1" applyAlignment="1">
      <alignment horizontal="center" vertical="center"/>
    </xf>
    <xf numFmtId="0" fontId="20" fillId="22" borderId="22" xfId="0" applyFont="1" applyFill="1" applyBorder="1" applyAlignment="1">
      <alignment horizontal="center" vertical="center"/>
    </xf>
    <xf numFmtId="0" fontId="20" fillId="5" borderId="36" xfId="0" applyFont="1" applyFill="1" applyBorder="1" applyAlignment="1">
      <alignment horizontal="center"/>
    </xf>
    <xf numFmtId="0" fontId="20" fillId="5" borderId="39" xfId="0" applyFont="1" applyFill="1" applyBorder="1" applyAlignment="1">
      <alignment horizontal="center"/>
    </xf>
    <xf numFmtId="0" fontId="20" fillId="5" borderId="45" xfId="0" applyFont="1" applyFill="1" applyBorder="1" applyAlignment="1">
      <alignment horizontal="center"/>
    </xf>
    <xf numFmtId="0" fontId="20" fillId="5" borderId="40" xfId="0" applyFont="1" applyFill="1" applyBorder="1" applyAlignment="1">
      <alignment horizontal="center"/>
    </xf>
    <xf numFmtId="0" fontId="20" fillId="5" borderId="56" xfId="0" applyFont="1" applyFill="1" applyBorder="1" applyAlignment="1">
      <alignment horizontal="center"/>
    </xf>
    <xf numFmtId="0" fontId="20" fillId="5" borderId="59" xfId="0" applyFont="1" applyFill="1" applyBorder="1" applyAlignment="1">
      <alignment horizontal="center"/>
    </xf>
    <xf numFmtId="0" fontId="20" fillId="5" borderId="55" xfId="0" applyFont="1" applyFill="1" applyBorder="1" applyAlignment="1">
      <alignment horizontal="center"/>
    </xf>
    <xf numFmtId="0" fontId="20" fillId="5" borderId="60" xfId="0" applyFont="1" applyFill="1" applyBorder="1" applyAlignment="1">
      <alignment horizontal="center"/>
    </xf>
    <xf numFmtId="0" fontId="20" fillId="22" borderId="15" xfId="0" applyFont="1" applyFill="1" applyBorder="1" applyAlignment="1">
      <alignment horizontal="center"/>
    </xf>
    <xf numFmtId="0" fontId="20" fillId="22" borderId="16" xfId="0" applyFont="1" applyFill="1" applyBorder="1" applyAlignment="1">
      <alignment horizontal="center"/>
    </xf>
    <xf numFmtId="0" fontId="20" fillId="22" borderId="17" xfId="0" applyFont="1" applyFill="1" applyBorder="1" applyAlignment="1">
      <alignment horizontal="center"/>
    </xf>
    <xf numFmtId="0" fontId="20" fillId="22" borderId="15" xfId="0" applyFont="1" applyFill="1" applyBorder="1" applyAlignment="1">
      <alignment horizontal="center" vertical="center"/>
    </xf>
    <xf numFmtId="0" fontId="20" fillId="22" borderId="16" xfId="0" applyFont="1" applyFill="1" applyBorder="1" applyAlignment="1">
      <alignment horizontal="center" vertical="center"/>
    </xf>
    <xf numFmtId="0" fontId="20" fillId="22" borderId="17" xfId="0" applyFont="1" applyFill="1" applyBorder="1" applyAlignment="1">
      <alignment horizontal="center" vertical="center"/>
    </xf>
    <xf numFmtId="0" fontId="20" fillId="22" borderId="41" xfId="0" applyFont="1" applyFill="1" applyBorder="1" applyAlignment="1">
      <alignment horizontal="center" vertical="center"/>
    </xf>
    <xf numFmtId="0" fontId="20" fillId="22" borderId="39" xfId="0" applyFont="1" applyFill="1" applyBorder="1" applyAlignment="1">
      <alignment horizontal="center" vertical="center"/>
    </xf>
    <xf numFmtId="0" fontId="20" fillId="22" borderId="37" xfId="0" applyFont="1" applyFill="1" applyBorder="1" applyAlignment="1">
      <alignment horizontal="center" vertical="center"/>
    </xf>
    <xf numFmtId="0" fontId="28" fillId="5" borderId="55" xfId="0" applyFont="1" applyFill="1" applyBorder="1" applyAlignment="1">
      <alignment horizontal="center"/>
    </xf>
    <xf numFmtId="0" fontId="28" fillId="5" borderId="60" xfId="0" applyFont="1" applyFill="1" applyBorder="1" applyAlignment="1">
      <alignment horizontal="center"/>
    </xf>
    <xf numFmtId="0" fontId="28" fillId="5" borderId="45" xfId="0" applyFont="1" applyFill="1" applyBorder="1" applyAlignment="1">
      <alignment horizontal="center"/>
    </xf>
    <xf numFmtId="0" fontId="28" fillId="5" borderId="40" xfId="0" applyFont="1" applyFill="1" applyBorder="1" applyAlignment="1">
      <alignment horizontal="center"/>
    </xf>
    <xf numFmtId="2" fontId="20" fillId="22" borderId="13" xfId="0" applyNumberFormat="1" applyFont="1" applyFill="1" applyBorder="1" applyAlignment="1">
      <alignment horizontal="center" vertical="center"/>
    </xf>
    <xf numFmtId="2" fontId="20" fillId="22" borderId="22" xfId="0" applyNumberFormat="1" applyFont="1" applyFill="1" applyBorder="1" applyAlignment="1">
      <alignment horizontal="center" vertical="center"/>
    </xf>
    <xf numFmtId="0" fontId="21" fillId="22" borderId="18" xfId="0" applyFont="1" applyFill="1" applyBorder="1" applyAlignment="1">
      <alignment horizontal="center" vertical="center"/>
    </xf>
    <xf numFmtId="0" fontId="21" fillId="22" borderId="19" xfId="0" applyFont="1" applyFill="1" applyBorder="1" applyAlignment="1">
      <alignment horizontal="center" vertical="center"/>
    </xf>
    <xf numFmtId="0" fontId="20" fillId="5" borderId="44" xfId="0" applyFont="1" applyFill="1" applyBorder="1" applyAlignment="1">
      <alignment horizontal="center"/>
    </xf>
    <xf numFmtId="0" fontId="21" fillId="5" borderId="45" xfId="0" applyFont="1" applyFill="1" applyBorder="1" applyAlignment="1">
      <alignment horizontal="center"/>
    </xf>
    <xf numFmtId="0" fontId="21" fillId="5" borderId="38" xfId="0" applyFont="1" applyFill="1" applyBorder="1" applyAlignment="1">
      <alignment horizontal="center"/>
    </xf>
    <xf numFmtId="0" fontId="21" fillId="5" borderId="55" xfId="0" applyFont="1" applyFill="1" applyBorder="1" applyAlignment="1">
      <alignment horizontal="center"/>
    </xf>
    <xf numFmtId="0" fontId="21" fillId="5" borderId="60" xfId="0" applyFont="1" applyFill="1" applyBorder="1" applyAlignment="1">
      <alignment horizontal="center"/>
    </xf>
    <xf numFmtId="167" fontId="20" fillId="5" borderId="36" xfId="0" applyNumberFormat="1" applyFont="1" applyFill="1" applyBorder="1" applyAlignment="1">
      <alignment horizontal="center"/>
    </xf>
    <xf numFmtId="167" fontId="20" fillId="5" borderId="39" xfId="0" applyNumberFormat="1" applyFont="1" applyFill="1" applyBorder="1" applyAlignment="1">
      <alignment horizontal="center"/>
    </xf>
    <xf numFmtId="167" fontId="20" fillId="5" borderId="25" xfId="0" applyNumberFormat="1" applyFont="1" applyFill="1" applyBorder="1" applyAlignment="1">
      <alignment horizontal="center"/>
    </xf>
    <xf numFmtId="167" fontId="20" fillId="5" borderId="55" xfId="0" applyNumberFormat="1" applyFont="1" applyFill="1" applyBorder="1" applyAlignment="1">
      <alignment horizontal="center"/>
    </xf>
    <xf numFmtId="167" fontId="20" fillId="5" borderId="60" xfId="0" applyNumberFormat="1" applyFont="1" applyFill="1" applyBorder="1" applyAlignment="1">
      <alignment horizontal="center"/>
    </xf>
    <xf numFmtId="167" fontId="20" fillId="5" borderId="33" xfId="0" applyNumberFormat="1" applyFont="1" applyFill="1" applyBorder="1" applyAlignment="1">
      <alignment horizontal="center"/>
    </xf>
    <xf numFmtId="1" fontId="20" fillId="5" borderId="55" xfId="0" applyNumberFormat="1" applyFont="1" applyFill="1" applyBorder="1" applyAlignment="1">
      <alignment horizontal="center"/>
    </xf>
    <xf numFmtId="1" fontId="20" fillId="5" borderId="60" xfId="0" applyNumberFormat="1" applyFont="1" applyFill="1" applyBorder="1" applyAlignment="1">
      <alignment horizontal="center"/>
    </xf>
    <xf numFmtId="1" fontId="20" fillId="5" borderId="33" xfId="0" applyNumberFormat="1" applyFont="1" applyFill="1" applyBorder="1" applyAlignment="1">
      <alignment horizontal="center"/>
    </xf>
    <xf numFmtId="2" fontId="20" fillId="5" borderId="45" xfId="0" applyNumberFormat="1" applyFont="1" applyFill="1" applyBorder="1" applyAlignment="1">
      <alignment horizontal="center"/>
    </xf>
    <xf numFmtId="2" fontId="20" fillId="5" borderId="40" xfId="0" applyNumberFormat="1" applyFont="1" applyFill="1" applyBorder="1" applyAlignment="1">
      <alignment horizontal="center"/>
    </xf>
    <xf numFmtId="2" fontId="20" fillId="5" borderId="26" xfId="0" applyNumberFormat="1" applyFont="1" applyFill="1" applyBorder="1" applyAlignment="1">
      <alignment horizontal="center"/>
    </xf>
    <xf numFmtId="167" fontId="21" fillId="5" borderId="36" xfId="0" applyNumberFormat="1" applyFont="1" applyFill="1" applyBorder="1" applyAlignment="1">
      <alignment horizontal="center"/>
    </xf>
    <xf numFmtId="167" fontId="21" fillId="5" borderId="39" xfId="0" applyNumberFormat="1" applyFont="1" applyFill="1" applyBorder="1" applyAlignment="1">
      <alignment horizontal="center"/>
    </xf>
    <xf numFmtId="167" fontId="21" fillId="5" borderId="25" xfId="0" applyNumberFormat="1" applyFont="1" applyFill="1" applyBorder="1" applyAlignment="1">
      <alignment horizontal="center"/>
    </xf>
    <xf numFmtId="165" fontId="20" fillId="5" borderId="45" xfId="0" applyNumberFormat="1" applyFont="1" applyFill="1" applyBorder="1" applyAlignment="1">
      <alignment horizontal="center"/>
    </xf>
    <xf numFmtId="165" fontId="20" fillId="5" borderId="40" xfId="0" applyNumberFormat="1" applyFont="1" applyFill="1" applyBorder="1" applyAlignment="1">
      <alignment horizontal="center"/>
    </xf>
    <xf numFmtId="165" fontId="20" fillId="5" borderId="26" xfId="0" applyNumberFormat="1" applyFont="1" applyFill="1" applyBorder="1" applyAlignment="1">
      <alignment horizontal="center"/>
    </xf>
    <xf numFmtId="2" fontId="20" fillId="5" borderId="56" xfId="0" applyNumberFormat="1" applyFont="1" applyFill="1" applyBorder="1" applyAlignment="1">
      <alignment horizontal="center"/>
    </xf>
    <xf numFmtId="2" fontId="20" fillId="5" borderId="59" xfId="0" applyNumberFormat="1" applyFont="1" applyFill="1" applyBorder="1" applyAlignment="1">
      <alignment horizontal="center"/>
    </xf>
    <xf numFmtId="2" fontId="20" fillId="5" borderId="57" xfId="0" applyNumberFormat="1" applyFont="1" applyFill="1" applyBorder="1" applyAlignment="1">
      <alignment horizontal="center"/>
    </xf>
    <xf numFmtId="165" fontId="20" fillId="5" borderId="55" xfId="0" applyNumberFormat="1" applyFont="1" applyFill="1" applyBorder="1" applyAlignment="1">
      <alignment horizontal="center"/>
    </xf>
    <xf numFmtId="165" fontId="20" fillId="5" borderId="60" xfId="0" applyNumberFormat="1" applyFont="1" applyFill="1" applyBorder="1" applyAlignment="1">
      <alignment horizontal="center"/>
    </xf>
    <xf numFmtId="165" fontId="20" fillId="5" borderId="33" xfId="0" applyNumberFormat="1" applyFont="1" applyFill="1" applyBorder="1" applyAlignment="1">
      <alignment horizontal="center"/>
    </xf>
    <xf numFmtId="2" fontId="20" fillId="5" borderId="55" xfId="0" applyNumberFormat="1" applyFont="1" applyFill="1" applyBorder="1" applyAlignment="1">
      <alignment horizontal="center"/>
    </xf>
    <xf numFmtId="2" fontId="20" fillId="5" borderId="60" xfId="0" applyNumberFormat="1" applyFont="1" applyFill="1" applyBorder="1" applyAlignment="1">
      <alignment horizontal="center"/>
    </xf>
    <xf numFmtId="2" fontId="20" fillId="5" borderId="33" xfId="0" applyNumberFormat="1" applyFont="1" applyFill="1" applyBorder="1" applyAlignment="1">
      <alignment horizontal="center"/>
    </xf>
    <xf numFmtId="167" fontId="21" fillId="5" borderId="55" xfId="0" applyNumberFormat="1" applyFont="1" applyFill="1" applyBorder="1" applyAlignment="1">
      <alignment horizontal="center"/>
    </xf>
    <xf numFmtId="167" fontId="21" fillId="5" borderId="60" xfId="0" applyNumberFormat="1" applyFont="1" applyFill="1" applyBorder="1" applyAlignment="1">
      <alignment horizontal="center"/>
    </xf>
    <xf numFmtId="167" fontId="21" fillId="5" borderId="33" xfId="0" applyNumberFormat="1" applyFont="1" applyFill="1" applyBorder="1" applyAlignment="1">
      <alignment horizontal="center"/>
    </xf>
    <xf numFmtId="0" fontId="21" fillId="5" borderId="36" xfId="0" applyFont="1" applyFill="1" applyBorder="1" applyAlignment="1">
      <alignment horizontal="center"/>
    </xf>
    <xf numFmtId="0" fontId="21" fillId="5" borderId="37" xfId="0" applyFont="1" applyFill="1" applyBorder="1" applyAlignment="1">
      <alignment horizontal="center"/>
    </xf>
    <xf numFmtId="165" fontId="28" fillId="5" borderId="36" xfId="0" applyNumberFormat="1" applyFont="1" applyFill="1" applyBorder="1" applyAlignment="1">
      <alignment horizontal="center"/>
    </xf>
    <xf numFmtId="165" fontId="28" fillId="5" borderId="39" xfId="0" applyNumberFormat="1" applyFont="1" applyFill="1" applyBorder="1" applyAlignment="1">
      <alignment horizontal="center"/>
    </xf>
    <xf numFmtId="165" fontId="28" fillId="5" borderId="25" xfId="0" applyNumberFormat="1" applyFont="1" applyFill="1" applyBorder="1" applyAlignment="1">
      <alignment horizontal="center"/>
    </xf>
    <xf numFmtId="165" fontId="28" fillId="5" borderId="45" xfId="0" applyNumberFormat="1" applyFont="1" applyFill="1" applyBorder="1" applyAlignment="1">
      <alignment horizontal="center"/>
    </xf>
    <xf numFmtId="165" fontId="28" fillId="5" borderId="40" xfId="0" applyNumberFormat="1" applyFont="1" applyFill="1" applyBorder="1" applyAlignment="1">
      <alignment horizontal="center"/>
    </xf>
    <xf numFmtId="165" fontId="28" fillId="5" borderId="26" xfId="0" applyNumberFormat="1" applyFont="1" applyFill="1" applyBorder="1" applyAlignment="1">
      <alignment horizontal="center"/>
    </xf>
    <xf numFmtId="167" fontId="28" fillId="5" borderId="56" xfId="0" applyNumberFormat="1" applyFont="1" applyFill="1" applyBorder="1" applyAlignment="1">
      <alignment horizontal="center"/>
    </xf>
    <xf numFmtId="167" fontId="28" fillId="5" borderId="59" xfId="0" applyNumberFormat="1" applyFont="1" applyFill="1" applyBorder="1" applyAlignment="1">
      <alignment horizontal="center"/>
    </xf>
    <xf numFmtId="167" fontId="28" fillId="5" borderId="57" xfId="0" applyNumberFormat="1" applyFont="1" applyFill="1" applyBorder="1" applyAlignment="1">
      <alignment horizontal="center"/>
    </xf>
    <xf numFmtId="167" fontId="28" fillId="5" borderId="45" xfId="0" applyNumberFormat="1" applyFont="1" applyFill="1" applyBorder="1" applyAlignment="1">
      <alignment horizontal="center"/>
    </xf>
    <xf numFmtId="167" fontId="28" fillId="5" borderId="40" xfId="0" applyNumberFormat="1" applyFont="1" applyFill="1" applyBorder="1" applyAlignment="1">
      <alignment horizontal="center"/>
    </xf>
    <xf numFmtId="167" fontId="28" fillId="5" borderId="26" xfId="0" applyNumberFormat="1" applyFont="1" applyFill="1" applyBorder="1" applyAlignment="1">
      <alignment horizontal="center"/>
    </xf>
    <xf numFmtId="165" fontId="28" fillId="5" borderId="55" xfId="0" applyNumberFormat="1" applyFont="1" applyFill="1" applyBorder="1" applyAlignment="1">
      <alignment horizontal="center"/>
    </xf>
    <xf numFmtId="165" fontId="28" fillId="5" borderId="60" xfId="0" applyNumberFormat="1" applyFont="1" applyFill="1" applyBorder="1" applyAlignment="1">
      <alignment horizontal="center"/>
    </xf>
    <xf numFmtId="165" fontId="28" fillId="5" borderId="33" xfId="0" applyNumberFormat="1" applyFont="1" applyFill="1" applyBorder="1" applyAlignment="1">
      <alignment horizontal="center"/>
    </xf>
    <xf numFmtId="0" fontId="41" fillId="5" borderId="11" xfId="0" applyFont="1" applyFill="1" applyBorder="1" applyAlignment="1">
      <alignment horizontal="center" vertical="center"/>
    </xf>
    <xf numFmtId="0" fontId="41" fillId="5" borderId="28" xfId="0" applyFont="1" applyFill="1" applyBorder="1" applyAlignment="1">
      <alignment horizontal="center" vertical="center"/>
    </xf>
    <xf numFmtId="0" fontId="41" fillId="5" borderId="19" xfId="0" applyFont="1" applyFill="1" applyBorder="1" applyAlignment="1">
      <alignment horizontal="center" vertical="center"/>
    </xf>
    <xf numFmtId="0" fontId="41" fillId="5" borderId="20" xfId="0" applyFont="1" applyFill="1" applyBorder="1" applyAlignment="1">
      <alignment horizontal="center" vertical="center"/>
    </xf>
    <xf numFmtId="0" fontId="20" fillId="5" borderId="31" xfId="0" applyFont="1" applyFill="1" applyBorder="1" applyAlignment="1">
      <alignment horizontal="center" vertical="center"/>
    </xf>
    <xf numFmtId="0" fontId="20" fillId="5" borderId="32" xfId="0" applyFont="1" applyFill="1" applyBorder="1" applyAlignment="1">
      <alignment horizontal="center" vertical="center"/>
    </xf>
    <xf numFmtId="0" fontId="40" fillId="5" borderId="16" xfId="0" applyFont="1" applyFill="1" applyBorder="1" applyAlignment="1">
      <alignment horizontal="center" vertical="center"/>
    </xf>
    <xf numFmtId="0" fontId="40" fillId="5" borderId="17" xfId="0" applyFont="1" applyFill="1" applyBorder="1" applyAlignment="1">
      <alignment horizontal="center" vertical="center"/>
    </xf>
    <xf numFmtId="0" fontId="40" fillId="5" borderId="19" xfId="0" applyFont="1" applyFill="1" applyBorder="1" applyAlignment="1">
      <alignment horizontal="center" vertical="center"/>
    </xf>
    <xf numFmtId="0" fontId="40" fillId="5" borderId="20" xfId="0" applyFont="1" applyFill="1" applyBorder="1" applyAlignment="1">
      <alignment horizontal="center" vertical="center"/>
    </xf>
    <xf numFmtId="0" fontId="41" fillId="5" borderId="16" xfId="0" applyFont="1" applyFill="1" applyBorder="1" applyAlignment="1">
      <alignment horizontal="center" vertical="center"/>
    </xf>
    <xf numFmtId="0" fontId="41" fillId="5" borderId="17" xfId="0" applyFont="1" applyFill="1" applyBorder="1" applyAlignment="1">
      <alignment horizontal="center" vertical="center"/>
    </xf>
    <xf numFmtId="0" fontId="40" fillId="5" borderId="16" xfId="0" applyFont="1" applyFill="1" applyBorder="1" applyAlignment="1">
      <alignment horizontal="right" vertical="center"/>
    </xf>
    <xf numFmtId="0" fontId="40" fillId="5" borderId="19" xfId="0" applyFont="1" applyFill="1" applyBorder="1" applyAlignment="1">
      <alignment horizontal="right" vertical="center"/>
    </xf>
    <xf numFmtId="0" fontId="15" fillId="5" borderId="4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41" fillId="5" borderId="18" xfId="0" applyFont="1" applyFill="1" applyBorder="1" applyAlignment="1">
      <alignment horizontal="center" vertical="center"/>
    </xf>
    <xf numFmtId="0" fontId="20" fillId="5" borderId="30" xfId="0" applyFont="1" applyFill="1" applyBorder="1" applyAlignment="1">
      <alignment horizontal="center" vertical="center"/>
    </xf>
    <xf numFmtId="0" fontId="19" fillId="15" borderId="5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167" fontId="20" fillId="5" borderId="36" xfId="0" applyNumberFormat="1" applyFont="1" applyFill="1" applyBorder="1" applyAlignment="1">
      <alignment horizontal="center" vertical="center"/>
    </xf>
    <xf numFmtId="167" fontId="20" fillId="5" borderId="25" xfId="0" applyNumberFormat="1" applyFont="1" applyFill="1" applyBorder="1" applyAlignment="1">
      <alignment horizontal="center" vertical="center"/>
    </xf>
    <xf numFmtId="167" fontId="28" fillId="5" borderId="45" xfId="0" applyNumberFormat="1" applyFont="1" applyFill="1" applyBorder="1" applyAlignment="1">
      <alignment horizontal="center" vertical="center"/>
    </xf>
    <xf numFmtId="167" fontId="28" fillId="5" borderId="26" xfId="0" applyNumberFormat="1" applyFont="1" applyFill="1" applyBorder="1" applyAlignment="1">
      <alignment horizontal="center" vertical="center"/>
    </xf>
    <xf numFmtId="165" fontId="28" fillId="5" borderId="55" xfId="0" applyNumberFormat="1" applyFont="1" applyFill="1" applyBorder="1" applyAlignment="1">
      <alignment horizontal="center" vertical="center"/>
    </xf>
    <xf numFmtId="165" fontId="28" fillId="5" borderId="33" xfId="0" applyNumberFormat="1" applyFont="1" applyFill="1" applyBorder="1" applyAlignment="1">
      <alignment horizontal="center" vertical="center"/>
    </xf>
    <xf numFmtId="165" fontId="28" fillId="5" borderId="45" xfId="0" applyNumberFormat="1" applyFont="1" applyFill="1" applyBorder="1" applyAlignment="1">
      <alignment horizontal="center" vertical="center"/>
    </xf>
    <xf numFmtId="165" fontId="28" fillId="5" borderId="26" xfId="0" applyNumberFormat="1" applyFont="1" applyFill="1" applyBorder="1" applyAlignment="1">
      <alignment horizontal="center" vertical="center"/>
    </xf>
    <xf numFmtId="165" fontId="28" fillId="5" borderId="36" xfId="0" applyNumberFormat="1" applyFont="1" applyFill="1" applyBorder="1" applyAlignment="1">
      <alignment horizontal="center" vertical="center"/>
    </xf>
    <xf numFmtId="165" fontId="28" fillId="5" borderId="25" xfId="0" applyNumberFormat="1" applyFont="1" applyFill="1" applyBorder="1" applyAlignment="1">
      <alignment horizontal="center" vertical="center"/>
    </xf>
    <xf numFmtId="167" fontId="28" fillId="5" borderId="56" xfId="0" applyNumberFormat="1" applyFont="1" applyFill="1" applyBorder="1" applyAlignment="1">
      <alignment horizontal="center" vertical="center"/>
    </xf>
    <xf numFmtId="167" fontId="28" fillId="5" borderId="57" xfId="0" applyNumberFormat="1" applyFont="1" applyFill="1" applyBorder="1" applyAlignment="1">
      <alignment horizontal="center" vertical="center"/>
    </xf>
    <xf numFmtId="0" fontId="19" fillId="15" borderId="4" xfId="0" applyFont="1" applyFill="1" applyBorder="1" applyAlignment="1">
      <alignment horizontal="center" vertical="center"/>
    </xf>
    <xf numFmtId="1" fontId="20" fillId="5" borderId="55" xfId="0" applyNumberFormat="1" applyFont="1" applyFill="1" applyBorder="1" applyAlignment="1">
      <alignment horizontal="center" vertical="center"/>
    </xf>
    <xf numFmtId="1" fontId="20" fillId="5" borderId="33" xfId="0" applyNumberFormat="1" applyFont="1" applyFill="1" applyBorder="1" applyAlignment="1">
      <alignment horizontal="center" vertical="center"/>
    </xf>
    <xf numFmtId="2" fontId="20" fillId="5" borderId="45" xfId="0" applyNumberFormat="1" applyFont="1" applyFill="1" applyBorder="1" applyAlignment="1">
      <alignment horizontal="center" vertical="center"/>
    </xf>
    <xf numFmtId="2" fontId="20" fillId="5" borderId="26" xfId="0" applyNumberFormat="1" applyFont="1" applyFill="1" applyBorder="1" applyAlignment="1">
      <alignment horizontal="center" vertical="center"/>
    </xf>
    <xf numFmtId="0" fontId="40" fillId="5" borderId="15" xfId="0" applyFont="1" applyFill="1" applyBorder="1" applyAlignment="1">
      <alignment horizontal="center" vertical="center"/>
    </xf>
    <xf numFmtId="0" fontId="40" fillId="5" borderId="18" xfId="0" applyFont="1" applyFill="1" applyBorder="1" applyAlignment="1">
      <alignment horizontal="center" vertical="center"/>
    </xf>
    <xf numFmtId="0" fontId="41" fillId="5" borderId="15" xfId="0" applyFont="1" applyFill="1" applyBorder="1" applyAlignment="1">
      <alignment horizontal="center" vertical="center"/>
    </xf>
    <xf numFmtId="0" fontId="41" fillId="5" borderId="27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20" fillId="5" borderId="19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2" fontId="20" fillId="5" borderId="4" xfId="0" applyNumberFormat="1" applyFont="1" applyFill="1" applyBorder="1" applyAlignment="1">
      <alignment horizontal="center" vertical="center"/>
    </xf>
    <xf numFmtId="2" fontId="20" fillId="5" borderId="6" xfId="0" applyNumberFormat="1" applyFont="1" applyFill="1" applyBorder="1" applyAlignment="1">
      <alignment horizontal="center" vertical="center"/>
    </xf>
    <xf numFmtId="2" fontId="20" fillId="5" borderId="29" xfId="0" applyNumberFormat="1" applyFont="1" applyFill="1" applyBorder="1" applyAlignment="1">
      <alignment horizontal="center" vertical="center"/>
    </xf>
    <xf numFmtId="2" fontId="20" fillId="5" borderId="12" xfId="0" applyNumberFormat="1" applyFont="1" applyFill="1" applyBorder="1" applyAlignment="1">
      <alignment horizontal="center" vertical="center"/>
    </xf>
    <xf numFmtId="2" fontId="20" fillId="5" borderId="7" xfId="0" applyNumberFormat="1" applyFont="1" applyFill="1" applyBorder="1" applyAlignment="1">
      <alignment horizontal="center" vertical="center"/>
    </xf>
    <xf numFmtId="2" fontId="20" fillId="5" borderId="9" xfId="0" applyNumberFormat="1" applyFont="1" applyFill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/>
    </xf>
    <xf numFmtId="0" fontId="31" fillId="5" borderId="5" xfId="0" applyFont="1" applyFill="1" applyBorder="1" applyAlignment="1">
      <alignment horizontal="center" vertical="center"/>
    </xf>
    <xf numFmtId="0" fontId="31" fillId="5" borderId="29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31" fillId="5" borderId="7" xfId="0" applyFont="1" applyFill="1" applyBorder="1" applyAlignment="1">
      <alignment horizontal="center" vertical="center"/>
    </xf>
    <xf numFmtId="0" fontId="31" fillId="5" borderId="8" xfId="0" applyFont="1" applyFill="1" applyBorder="1" applyAlignment="1">
      <alignment horizontal="center" vertical="center"/>
    </xf>
    <xf numFmtId="0" fontId="28" fillId="5" borderId="30" xfId="0" applyFont="1" applyFill="1" applyBorder="1" applyAlignment="1">
      <alignment horizontal="center" vertical="center"/>
    </xf>
    <xf numFmtId="0" fontId="28" fillId="5" borderId="27" xfId="0" applyFont="1" applyFill="1" applyBorder="1" applyAlignment="1">
      <alignment horizontal="center" vertical="center"/>
    </xf>
    <xf numFmtId="0" fontId="28" fillId="5" borderId="18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7" borderId="51" xfId="0" applyFont="1" applyFill="1" applyBorder="1" applyAlignment="1">
      <alignment horizontal="center" vertical="center"/>
    </xf>
    <xf numFmtId="0" fontId="20" fillId="7" borderId="49" xfId="0" applyFont="1" applyFill="1" applyBorder="1" applyAlignment="1">
      <alignment horizontal="center" vertical="center"/>
    </xf>
    <xf numFmtId="0" fontId="20" fillId="7" borderId="21" xfId="0" applyFont="1" applyFill="1" applyBorder="1" applyAlignment="1">
      <alignment horizontal="center" vertical="center"/>
    </xf>
    <xf numFmtId="0" fontId="14" fillId="9" borderId="29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28" fillId="5" borderId="15" xfId="0" applyFont="1" applyFill="1" applyBorder="1" applyAlignment="1">
      <alignment horizontal="center" vertical="center"/>
    </xf>
    <xf numFmtId="0" fontId="28" fillId="5" borderId="52" xfId="0" applyFont="1" applyFill="1" applyBorder="1" applyAlignment="1">
      <alignment horizontal="center" vertical="center"/>
    </xf>
    <xf numFmtId="0" fontId="28" fillId="5" borderId="53" xfId="0" applyFont="1" applyFill="1" applyBorder="1" applyAlignment="1">
      <alignment horizontal="center" vertical="center"/>
    </xf>
    <xf numFmtId="0" fontId="28" fillId="5" borderId="54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165" fontId="15" fillId="0" borderId="28" xfId="0" applyNumberFormat="1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165" fontId="15" fillId="0" borderId="19" xfId="0" applyNumberFormat="1" applyFont="1" applyBorder="1" applyAlignment="1">
      <alignment horizontal="center"/>
    </xf>
    <xf numFmtId="165" fontId="15" fillId="0" borderId="20" xfId="0" applyNumberFormat="1" applyFont="1" applyBorder="1" applyAlignment="1">
      <alignment horizontal="center"/>
    </xf>
    <xf numFmtId="0" fontId="15" fillId="7" borderId="16" xfId="0" applyFont="1" applyFill="1" applyBorder="1" applyAlignment="1">
      <alignment horizontal="center"/>
    </xf>
    <xf numFmtId="0" fontId="15" fillId="7" borderId="17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20" fillId="4" borderId="6" xfId="0" applyFont="1" applyFill="1" applyBorder="1" applyAlignment="1">
      <alignment horizontal="center"/>
    </xf>
    <xf numFmtId="0" fontId="15" fillId="0" borderId="2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167" fontId="15" fillId="0" borderId="11" xfId="0" applyNumberFormat="1" applyFont="1" applyBorder="1" applyAlignment="1">
      <alignment horizontal="center" vertical="center"/>
    </xf>
    <xf numFmtId="167" fontId="15" fillId="0" borderId="28" xfId="0" applyNumberFormat="1" applyFont="1" applyBorder="1" applyAlignment="1">
      <alignment horizontal="center" vertical="center"/>
    </xf>
    <xf numFmtId="165" fontId="15" fillId="0" borderId="19" xfId="0" applyNumberFormat="1" applyFont="1" applyBorder="1" applyAlignment="1">
      <alignment horizontal="center" vertical="center"/>
    </xf>
    <xf numFmtId="165" fontId="15" fillId="0" borderId="20" xfId="0" applyNumberFormat="1" applyFont="1" applyBorder="1" applyAlignment="1">
      <alignment horizontal="center" vertical="center"/>
    </xf>
    <xf numFmtId="0" fontId="15" fillId="7" borderId="31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  <xf numFmtId="2" fontId="15" fillId="0" borderId="11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0" fontId="27" fillId="5" borderId="27" xfId="0" applyFont="1" applyFill="1" applyBorder="1" applyAlignment="1">
      <alignment horizontal="center" vertical="center"/>
    </xf>
    <xf numFmtId="0" fontId="27" fillId="5" borderId="1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5" fillId="5" borderId="36" xfId="0" applyFont="1" applyFill="1" applyBorder="1" applyAlignment="1">
      <alignment horizontal="center" vertical="center"/>
    </xf>
    <xf numFmtId="0" fontId="15" fillId="5" borderId="25" xfId="0" applyFont="1" applyFill="1" applyBorder="1" applyAlignment="1">
      <alignment horizontal="center" vertical="center"/>
    </xf>
    <xf numFmtId="0" fontId="15" fillId="5" borderId="45" xfId="0" applyFont="1" applyFill="1" applyBorder="1" applyAlignment="1">
      <alignment horizontal="center" vertical="center"/>
    </xf>
    <xf numFmtId="0" fontId="15" fillId="5" borderId="26" xfId="0" applyFont="1" applyFill="1" applyBorder="1" applyAlignment="1">
      <alignment horizontal="center" vertical="center"/>
    </xf>
    <xf numFmtId="165" fontId="27" fillId="5" borderId="55" xfId="0" applyNumberFormat="1" applyFont="1" applyFill="1" applyBorder="1" applyAlignment="1">
      <alignment horizontal="center" vertical="center"/>
    </xf>
    <xf numFmtId="165" fontId="27" fillId="5" borderId="33" xfId="0" applyNumberFormat="1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/>
    </xf>
    <xf numFmtId="165" fontId="15" fillId="5" borderId="0" xfId="0" applyNumberFormat="1" applyFont="1" applyFill="1" applyAlignment="1">
      <alignment horizont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20" borderId="0" xfId="0" applyFont="1" applyFill="1" applyAlignment="1">
      <alignment horizontal="center" vertical="center"/>
    </xf>
    <xf numFmtId="0" fontId="14" fillId="20" borderId="12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2" fontId="15" fillId="7" borderId="43" xfId="0" applyNumberFormat="1" applyFont="1" applyFill="1" applyBorder="1" applyAlignment="1">
      <alignment horizontal="center" vertical="center"/>
    </xf>
    <xf numFmtId="2" fontId="15" fillId="7" borderId="26" xfId="0" applyNumberFormat="1" applyFont="1" applyFill="1" applyBorder="1" applyAlignment="1">
      <alignment horizontal="center" vertical="center"/>
    </xf>
    <xf numFmtId="0" fontId="14" fillId="14" borderId="29" xfId="0" applyFont="1" applyFill="1" applyBorder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4" fillId="14" borderId="12" xfId="0" applyFont="1" applyFill="1" applyBorder="1" applyAlignment="1">
      <alignment horizontal="center" vertical="center"/>
    </xf>
    <xf numFmtId="166" fontId="40" fillId="5" borderId="36" xfId="0" applyNumberFormat="1" applyFont="1" applyFill="1" applyBorder="1" applyAlignment="1">
      <alignment horizontal="center" vertical="center"/>
    </xf>
    <xf numFmtId="166" fontId="40" fillId="5" borderId="45" xfId="0" applyNumberFormat="1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vertical="center"/>
    </xf>
    <xf numFmtId="167" fontId="5" fillId="5" borderId="19" xfId="0" applyNumberFormat="1" applyFont="1" applyFill="1" applyBorder="1" applyAlignment="1">
      <alignment vertical="center"/>
    </xf>
    <xf numFmtId="0" fontId="1" fillId="13" borderId="11" xfId="0" applyFont="1" applyFill="1" applyBorder="1" applyAlignment="1">
      <alignment vertical="center"/>
    </xf>
    <xf numFmtId="2" fontId="5" fillId="5" borderId="45" xfId="0" applyNumberFormat="1" applyFont="1" applyFill="1" applyBorder="1" applyAlignment="1">
      <alignment vertical="center"/>
    </xf>
    <xf numFmtId="2" fontId="5" fillId="5" borderId="26" xfId="0" applyNumberFormat="1" applyFont="1" applyFill="1" applyBorder="1" applyAlignment="1">
      <alignment vertical="center"/>
    </xf>
    <xf numFmtId="165" fontId="1" fillId="5" borderId="55" xfId="0" applyNumberFormat="1" applyFont="1" applyFill="1" applyBorder="1" applyAlignment="1">
      <alignment vertical="center"/>
    </xf>
    <xf numFmtId="165" fontId="1" fillId="5" borderId="33" xfId="0" applyNumberFormat="1" applyFont="1" applyFill="1" applyBorder="1" applyAlignment="1">
      <alignment vertical="center"/>
    </xf>
    <xf numFmtId="167" fontId="5" fillId="5" borderId="55" xfId="0" applyNumberFormat="1" applyFont="1" applyFill="1" applyBorder="1" applyAlignment="1">
      <alignment vertical="center"/>
    </xf>
    <xf numFmtId="167" fontId="5" fillId="5" borderId="33" xfId="0" applyNumberFormat="1" applyFont="1" applyFill="1" applyBorder="1" applyAlignment="1">
      <alignment vertical="center"/>
    </xf>
    <xf numFmtId="0" fontId="1" fillId="13" borderId="36" xfId="0" applyFont="1" applyFill="1" applyBorder="1" applyAlignment="1">
      <alignment vertical="center"/>
    </xf>
    <xf numFmtId="0" fontId="1" fillId="13" borderId="25" xfId="0" applyFont="1" applyFill="1" applyBorder="1" applyAlignment="1">
      <alignment vertical="center"/>
    </xf>
    <xf numFmtId="166" fontId="20" fillId="22" borderId="20" xfId="0" applyNumberFormat="1" applyFont="1" applyFill="1" applyBorder="1" applyAlignment="1">
      <alignment horizontal="center" vertical="center"/>
    </xf>
    <xf numFmtId="167" fontId="15" fillId="5" borderId="0" xfId="0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7D7D"/>
      <color rgb="FFD3B0EE"/>
      <color rgb="FFCE86F6"/>
      <color rgb="FFABE2EF"/>
      <color rgb="FFFD1B1B"/>
      <color rgb="FF70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checked="Checked" firstButton="1" fmlaLink="$B$5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firstButton="1" fmlaLink="$B$5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19050</xdr:rowOff>
        </xdr:from>
        <xdr:to>
          <xdr:col>2</xdr:col>
          <xdr:colOff>0</xdr:colOff>
          <xdr:row>4</xdr:row>
          <xdr:rowOff>238125</xdr:rowOff>
        </xdr:to>
        <xdr:sp macro="" textlink="">
          <xdr:nvSpPr>
            <xdr:cNvPr id="10241" name="Radius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339966" mc:Ignorable="a14" a14:legacySpreadsheetColorIndex="57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Radius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19050</xdr:rowOff>
        </xdr:from>
        <xdr:to>
          <xdr:col>2</xdr:col>
          <xdr:colOff>981075</xdr:colOff>
          <xdr:row>4</xdr:row>
          <xdr:rowOff>228600</xdr:rowOff>
        </xdr:to>
        <xdr:sp macro="" textlink="">
          <xdr:nvSpPr>
            <xdr:cNvPr id="10242" name="Altitude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0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CCFF" mc:Ignorable="a14" a14:legacySpreadsheetColorIndex="4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Altitude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533401</xdr:colOff>
      <xdr:row>38</xdr:row>
      <xdr:rowOff>19050</xdr:rowOff>
    </xdr:from>
    <xdr:to>
      <xdr:col>2</xdr:col>
      <xdr:colOff>310515</xdr:colOff>
      <xdr:row>47</xdr:row>
      <xdr:rowOff>72143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8334375"/>
          <a:ext cx="1358264" cy="1767593"/>
        </a:xfrm>
        <a:prstGeom prst="rect">
          <a:avLst/>
        </a:prstGeom>
      </xdr:spPr>
    </xdr:pic>
    <xdr:clientData/>
  </xdr:twoCellAnchor>
  <xdr:twoCellAnchor editAs="oneCell">
    <xdr:from>
      <xdr:col>0</xdr:col>
      <xdr:colOff>301522</xdr:colOff>
      <xdr:row>47</xdr:row>
      <xdr:rowOff>19050</xdr:rowOff>
    </xdr:from>
    <xdr:to>
      <xdr:col>2</xdr:col>
      <xdr:colOff>539115</xdr:colOff>
      <xdr:row>53</xdr:row>
      <xdr:rowOff>27760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22" y="10287000"/>
          <a:ext cx="1818743" cy="1151710"/>
        </a:xfrm>
        <a:prstGeom prst="rect">
          <a:avLst/>
        </a:prstGeom>
      </xdr:spPr>
    </xdr:pic>
    <xdr:clientData/>
  </xdr:twoCellAnchor>
  <xdr:twoCellAnchor editAs="oneCell">
    <xdr:from>
      <xdr:col>13</xdr:col>
      <xdr:colOff>469900</xdr:colOff>
      <xdr:row>30</xdr:row>
      <xdr:rowOff>183532</xdr:rowOff>
    </xdr:from>
    <xdr:to>
      <xdr:col>17</xdr:col>
      <xdr:colOff>215900</xdr:colOff>
      <xdr:row>34</xdr:row>
      <xdr:rowOff>155717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025" y="6917707"/>
          <a:ext cx="2184400" cy="800860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571500</xdr:colOff>
      <xdr:row>30</xdr:row>
      <xdr:rowOff>106261</xdr:rowOff>
    </xdr:from>
    <xdr:to>
      <xdr:col>24</xdr:col>
      <xdr:colOff>60588</xdr:colOff>
      <xdr:row>35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4225" y="6840436"/>
          <a:ext cx="3203838" cy="95418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19050</xdr:rowOff>
        </xdr:from>
        <xdr:to>
          <xdr:col>2</xdr:col>
          <xdr:colOff>981075</xdr:colOff>
          <xdr:row>4</xdr:row>
          <xdr:rowOff>228600</xdr:rowOff>
        </xdr:to>
        <xdr:sp macro="" textlink="">
          <xdr:nvSpPr>
            <xdr:cNvPr id="10243" name="Option Button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0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CCFF" mc:Ignorable="a14" a14:legacySpreadsheetColorIndex="4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Altitude</a:t>
              </a:r>
            </a:p>
          </xdr:txBody>
        </xdr:sp>
        <xdr:clientData/>
      </xdr:twoCellAnchor>
    </mc:Choice>
    <mc:Fallback/>
  </mc:AlternateContent>
  <xdr:twoCellAnchor editAs="oneCell">
    <xdr:from>
      <xdr:col>9</xdr:col>
      <xdr:colOff>380193</xdr:colOff>
      <xdr:row>20</xdr:row>
      <xdr:rowOff>22517</xdr:rowOff>
    </xdr:from>
    <xdr:to>
      <xdr:col>12</xdr:col>
      <xdr:colOff>409575</xdr:colOff>
      <xdr:row>33</xdr:row>
      <xdr:rowOff>161613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1568" y="4670717"/>
          <a:ext cx="2686857" cy="28441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19050</xdr:rowOff>
        </xdr:from>
        <xdr:to>
          <xdr:col>1</xdr:col>
          <xdr:colOff>838200</xdr:colOff>
          <xdr:row>4</xdr:row>
          <xdr:rowOff>238125</xdr:rowOff>
        </xdr:to>
        <xdr:sp macro="" textlink="">
          <xdr:nvSpPr>
            <xdr:cNvPr id="1025" name="Radiu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7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339966" mc:Ignorable="a14" a14:legacySpreadsheetColorIndex="57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Radius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19050</xdr:rowOff>
        </xdr:from>
        <xdr:to>
          <xdr:col>2</xdr:col>
          <xdr:colOff>981075</xdr:colOff>
          <xdr:row>4</xdr:row>
          <xdr:rowOff>228600</xdr:rowOff>
        </xdr:to>
        <xdr:sp macro="" textlink="">
          <xdr:nvSpPr>
            <xdr:cNvPr id="1026" name="Altitude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7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CCFF" mc:Ignorable="a14" a14:legacySpreadsheetColorIndex="4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Altitude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533401</xdr:colOff>
      <xdr:row>38</xdr:row>
      <xdr:rowOff>19050</xdr:rowOff>
    </xdr:from>
    <xdr:to>
      <xdr:col>2</xdr:col>
      <xdr:colOff>377190</xdr:colOff>
      <xdr:row>46</xdr:row>
      <xdr:rowOff>34043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7705725"/>
          <a:ext cx="1343024" cy="1767593"/>
        </a:xfrm>
        <a:prstGeom prst="rect">
          <a:avLst/>
        </a:prstGeom>
      </xdr:spPr>
    </xdr:pic>
    <xdr:clientData/>
  </xdr:twoCellAnchor>
  <xdr:twoCellAnchor editAs="oneCell">
    <xdr:from>
      <xdr:col>0</xdr:col>
      <xdr:colOff>301522</xdr:colOff>
      <xdr:row>47</xdr:row>
      <xdr:rowOff>19050</xdr:rowOff>
    </xdr:from>
    <xdr:to>
      <xdr:col>2</xdr:col>
      <xdr:colOff>605790</xdr:colOff>
      <xdr:row>52</xdr:row>
      <xdr:rowOff>84910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22" y="9439275"/>
          <a:ext cx="1813028" cy="1158060"/>
        </a:xfrm>
        <a:prstGeom prst="rect">
          <a:avLst/>
        </a:prstGeom>
      </xdr:spPr>
    </xdr:pic>
    <xdr:clientData/>
  </xdr:twoCellAnchor>
  <xdr:twoCellAnchor editAs="oneCell">
    <xdr:from>
      <xdr:col>14</xdr:col>
      <xdr:colOff>127000</xdr:colOff>
      <xdr:row>30</xdr:row>
      <xdr:rowOff>174007</xdr:rowOff>
    </xdr:from>
    <xdr:to>
      <xdr:col>17</xdr:col>
      <xdr:colOff>482600</xdr:colOff>
      <xdr:row>34</xdr:row>
      <xdr:rowOff>79517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6993907"/>
          <a:ext cx="2184400" cy="75641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30</xdr:row>
      <xdr:rowOff>77686</xdr:rowOff>
    </xdr:from>
    <xdr:to>
      <xdr:col>23</xdr:col>
      <xdr:colOff>413013</xdr:colOff>
      <xdr:row>34</xdr:row>
      <xdr:rowOff>127000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89300" y="6897586"/>
          <a:ext cx="3207013" cy="90021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19050</xdr:rowOff>
        </xdr:from>
        <xdr:to>
          <xdr:col>2</xdr:col>
          <xdr:colOff>981075</xdr:colOff>
          <xdr:row>4</xdr:row>
          <xdr:rowOff>228600</xdr:rowOff>
        </xdr:to>
        <xdr:sp macro="" textlink="">
          <xdr:nvSpPr>
            <xdr:cNvPr id="1028" name="Altitude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7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CCFF" mc:Ignorable="a14" a14:legacySpreadsheetColorIndex="4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Altitude</a:t>
              </a:r>
            </a:p>
          </xdr:txBody>
        </xdr:sp>
        <xdr:clientData/>
      </xdr:twoCellAnchor>
    </mc:Choice>
    <mc:Fallback/>
  </mc:AlternateContent>
  <xdr:twoCellAnchor editAs="oneCell">
    <xdr:from>
      <xdr:col>9</xdr:col>
      <xdr:colOff>437343</xdr:colOff>
      <xdr:row>20</xdr:row>
      <xdr:rowOff>32041</xdr:rowOff>
    </xdr:from>
    <xdr:to>
      <xdr:col>12</xdr:col>
      <xdr:colOff>512740</xdr:colOff>
      <xdr:row>33</xdr:row>
      <xdr:rowOff>42776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2751" y="4443055"/>
          <a:ext cx="2799547" cy="2715835"/>
        </a:xfrm>
        <a:prstGeom prst="rect">
          <a:avLst/>
        </a:prstGeom>
      </xdr:spPr>
    </xdr:pic>
    <xdr:clientData/>
  </xdr:twoCellAnchor>
  <xdr:twoCellAnchor editAs="oneCell">
    <xdr:from>
      <xdr:col>9</xdr:col>
      <xdr:colOff>469541</xdr:colOff>
      <xdr:row>20</xdr:row>
      <xdr:rowOff>117900</xdr:rowOff>
    </xdr:from>
    <xdr:to>
      <xdr:col>12</xdr:col>
      <xdr:colOff>550035</xdr:colOff>
      <xdr:row>33</xdr:row>
      <xdr:rowOff>100086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2252" y="4719414"/>
          <a:ext cx="2790424" cy="27457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</xdr:row>
      <xdr:rowOff>19049</xdr:rowOff>
    </xdr:from>
    <xdr:to>
      <xdr:col>10</xdr:col>
      <xdr:colOff>66674</xdr:colOff>
      <xdr:row>19</xdr:row>
      <xdr:rowOff>111246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5" y="409574"/>
          <a:ext cx="2590799" cy="36888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380999</xdr:colOff>
      <xdr:row>0</xdr:row>
      <xdr:rowOff>142875</xdr:rowOff>
    </xdr:from>
    <xdr:to>
      <xdr:col>23</xdr:col>
      <xdr:colOff>333374</xdr:colOff>
      <xdr:row>30</xdr:row>
      <xdr:rowOff>209617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399" y="142875"/>
          <a:ext cx="7267575" cy="63913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30</xdr:row>
      <xdr:rowOff>66675</xdr:rowOff>
    </xdr:from>
    <xdr:to>
      <xdr:col>19</xdr:col>
      <xdr:colOff>600075</xdr:colOff>
      <xdr:row>52</xdr:row>
      <xdr:rowOff>209550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7210425"/>
          <a:ext cx="6372225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D61C2C-C80B-48DE-945D-B651ABB70F07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42201710972881488&quot;"/>
    <we:property name="dQwsJEAMHRIQKS4ePUIqA0AE" value="&quot;Bg==&quot;"/>
    <we:property name="dQwsJEAMHRIQKS4ePUIqA1ER" value="&quot;BQ==&quot;"/>
    <we:property name="dQwsJEAMHRIQKS4ePUIqAEYC" value="&quot;BFh1fgA=&quot;"/>
    <we:property name="dQwsJEAMHRIQKS4ePUIqAEca" value="&quot;BA==&quot;"/>
    <we:property name="dQwsJEAMHRIQKS4ePUIqAFEC" value="&quot;Bg==&quot;"/>
    <we:property name="dQwsJEAMHRIQKS4ePUIqAFof" value="&quot;B0Y=&quot;"/>
    <we:property name="dQwsJEAMHRIQKS4ePUIqAUQC" value="&quot;BA==&quot;"/>
    <we:property name="dQwsJEAMHRIQKS4ePUIqAUQG" value="&quot;BA==&quot;"/>
    <we:property name="dQwsJEAMHRIQKS4ePUIqBEQF" value="&quot;BFh8cA==&quot;"/>
    <we:property name="dQwsJEAMHRIQKS4ePUIqBEQS" value="&quot;Bw==&quot;"/>
    <we:property name="dQwsJEAMHRIQKS4ePUIqBEQf" value="&quot;BQ==&quot;"/>
    <we:property name="dQwsJEAMHRIQKS4ePUIqC1EX" value="&quot;BFh1eQVIRQI=&quot;"/>
    <we:property name="dQwsJEAMHRIQKS4ePUIqCFoR" value="&quot;cyQC&quot;"/>
    <we:property name="dQwsJEAMHRIQKS4ePUIqClUG" value="&quot;BFh1eQVIRQI=&quot;"/>
    <we:property name="dQwsJEAMHRIQKS4ePUIqDEYF" value="&quot;BQ==&quot;"/>
    <we:property name="dQwsJEAMHRIQKS4ePUIqDFcV" value="&quot;BFh1eQQ=&quot;"/>
    <we:property name="dQwsJEAMHRIQKS4ePUIqDkIR" value="&quot;BFh1eQVJ&quot;"/>
    <we:property name="dQwsJEAMHRIQKS4ePUIqGVsa" value="&quot;BFh1eA==&quot;"/>
    <we:property name="dQwsJEAMHRIQKS4ePUIqH0cS" value="&quot;BA==&quot;"/>
    <we:property name="dQwsJEAMHRIQKS4ePUIqH1EF" value="&quot;AQ==&quot;"/>
    <we:property name="dQwsJEAMHRIQKS4ePUIqH1YA" value="&quot;BQ==&quot;"/>
    <we:property name="dQwsJEAMHRIQKS4ePUIqH1gO" value="&quot;BA==&quot;"/>
    <we:property name="dQwsJEAMHRIQKS4ePUIqHUYT" value="&quot;BFh1eQVIRQI=&quot;"/>
    <we:property name="dQwsJEAMHRIQKS4ePUIqHkAX" value="&quot;BA==&quot;"/>
    <we:property name="dQwsJEAMHRIQKS4ePUIqHkcM" value="&quot;BUZ1&quot;"/>
    <we:property name="dQwsJEAMHRIQKS4ePUIqHlca" value="&quot;BQ==&quot;"/>
    <we:property name="dQwsJEAMHRIQKS4ePUIqHlsV" value="&quot;BA==&quot;"/>
    <we:property name="dQwsJEAMHRIsJCg=" value="&quot;&quot;"/>
    <we:property name="dQwsJEAMHRIuJzolMV4=" value="&quot;BQ==&quot;"/>
    <we:property name="ewQnIEFYIUECKDEOPUJUIlYc" value="&quot;&quot;"/>
    <we:property name="ewQnIEFYIUECKDEOPUJUHlsaMyxHJxBdBA==" value="&quot;cyQC&quot;"/>
    <we:property name="ewQnIEFYIUECKDEOPUJUIFUOCCBb" value="&quot;BQ==&quot;"/>
    <we:property name="ewQnIEFYIUECKDEOPUJUHlsaMyxHJxtWBA==" value="&quot;BQ==&quot;"/>
    <we:property name="ewQnIEFYIUECKDEOPUJUHlsaMyxHJwVBBg==" value="&quot;BFh1eQVIRQI=&quot;"/>
    <we:property name="ewQnIEFYIUECKDEOPUJUHlsaMyxHJwZQDw==" value="&quot;BQ==&quot;"/>
    <we:property name="ewQnIEFYIUECKDEOPUJUHlsaMyxHJwdfGw==" value="&quot;BA==&quot;"/>
    <we:property name="ewQnIEFYIUECKDEOPUJUHlsaMyxHJwFcDw==" value="&quot;BFh1eA==&quot;"/>
    <we:property name="ewQnIEFYIUECKDEOPUJUHlsaMyxHJxZFBA==" value="&quot;BFh1eQVJ&quot;"/>
    <we:property name="ewQnIEFYIUECKDEOPUJUHlsaMyxHJxhADw==" value="&quot;BA==&quot;"/>
    <we:property name="ewQnIEFYIUECKDEOPUJUHlsaMyxHJwZAGQ==" value="&quot;BUZ1&quot;"/>
    <we:property name="ewQnIEFYIUECKDEOPUJUHlsaMyxHJwdABw==" value="&quot;BA==&quot;"/>
    <we:property name="ewQnIEFYIUECKDEOPUJUHlsaMyxHJxhBFw==" value="&quot;BFh1fgA=&quot;"/>
    <we:property name="ewQnIEFYIUECKDEOPUJUHlsaMyxHJxhdCg==" value="&quot;B0Y=&quot;"/>
    <we:property name="ewQnIEFYIUECKDEOPUJUHlsaMyxHJwdRFQ==" value="&quot;BQ==&quot;"/>
    <we:property name="ewQnIEFYIUECKDEOPUJUHlsaMyxHJxtHEQ==" value="&quot;Bg==&quot;"/>
    <we:property name="ewQnIEFYIUECKDEOPUJUHlsaMyxHJxRQAA==" value="&quot;BFh1eQQ=&quot;"/>
    <we:property name="ewQnIEFYIUECKDEOPUJUHlsaMyxHJwdWEA==" value="&quot;AQ==&quot;"/>
    <we:property name="ewQnIEFYIUECKDEOPUJUHlsaMyxHJxRBEA==" value="&quot;BQ==&quot;"/>
    <we:property name="ewQnIEFYIUECKDEOPUJUHlsaMyxHJwZHAg==" value="&quot;BA==&quot;"/>
    <we:property name="ewQnIEFYIUECKDEOPUJUHlsaMyxHJxhWFw==" value="&quot;Bg==&quot;"/>
    <we:property name="ewQnIEFYIUECKDEOPUJUHlsaMyxHJwZcAA==" value="&quot;BA==&quot;"/>
    <we:property name="ewQnIEFYIUECKDEOPUJUHlsaMyxHJxlDFw==" value="&quot;BA==&quot;"/>
    <we:property name="ewQnIEFYIUECKDEOPUJUHlsaMyxHJxlDEw==" value="&quot;BA==&quot;"/>
    <we:property name="ewQnIEFYIUECKDEOPUJUHlsaMyxHJxJSEw==" value="&quot;BFh1eQVIRQI=&quot;"/>
    <we:property name="ewQnIEFYIUECKDEOPUJUHlsaMyxHJxxDEA==" value="&quot;BFh8cA==&quot;"/>
    <we:property name="ewQnIEFYIUECKDEOPUJUHlsaMyxHJxNWAg==" value="&quot;BFh1eQVIRQI=&quot;"/>
    <we:property name="ewQnIEFYIUECKDEOPUJUHlsaMyxHJxxDCg==" value="&quot;BQ==&quot;"/>
    <we:property name="ewQnIEFYIUECKDEOPUJUHlsaMyxHJxxDBw==" value="&quot;Bw==&quot;"/>
  </we:properties>
  <we:bindings>
    <we:binding id="refEdit" type="matrix" appref="{C259C411-6792-4F4D-899A-0C02A2D82099}"/>
    <we:binding id="Worker" type="matrix" appref="{FDB6E4CC-71ED-4576-B58E-C6B696BD1F0B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CC32-8975-43A3-82DF-A333BF56865D}">
  <dimension ref="A1:AK70"/>
  <sheetViews>
    <sheetView tabSelected="1" topLeftCell="N1" workbookViewId="0">
      <selection activeCell="AE23" sqref="AE23"/>
    </sheetView>
  </sheetViews>
  <sheetFormatPr defaultRowHeight="15" x14ac:dyDescent="0.25"/>
  <cols>
    <col min="1" max="1" width="11.140625" customWidth="1"/>
    <col min="2" max="2" width="12.5703125" customWidth="1"/>
    <col min="3" max="3" width="15" customWidth="1"/>
    <col min="6" max="6" width="16.140625" customWidth="1"/>
    <col min="7" max="7" width="11.140625" customWidth="1"/>
    <col min="8" max="8" width="11.7109375" customWidth="1"/>
    <col min="9" max="9" width="11.85546875" customWidth="1"/>
    <col min="10" max="10" width="11" customWidth="1"/>
    <col min="11" max="11" width="17.5703125" customWidth="1"/>
    <col min="12" max="12" width="11.28515625" customWidth="1"/>
    <col min="13" max="13" width="12.140625" customWidth="1"/>
    <col min="20" max="20" width="14" customWidth="1"/>
    <col min="23" max="23" width="14.28515625" customWidth="1"/>
    <col min="31" max="31" width="12.28515625" customWidth="1"/>
    <col min="32" max="32" width="3.7109375" customWidth="1"/>
    <col min="33" max="33" width="2.28515625" customWidth="1"/>
    <col min="36" max="36" width="12.42578125" customWidth="1"/>
    <col min="37" max="37" width="13" customWidth="1"/>
  </cols>
  <sheetData>
    <row r="1" spans="1:37" ht="15" customHeight="1" x14ac:dyDescent="0.25">
      <c r="A1" s="461" t="s">
        <v>0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3"/>
    </row>
    <row r="2" spans="1:37" ht="15.75" customHeight="1" thickBot="1" x14ac:dyDescent="0.3">
      <c r="A2" s="464"/>
      <c r="B2" s="465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465"/>
      <c r="Y2" s="465"/>
      <c r="Z2" s="465"/>
      <c r="AA2" s="465"/>
      <c r="AB2" s="465"/>
      <c r="AC2" s="465"/>
      <c r="AD2" s="465"/>
      <c r="AE2" s="465"/>
      <c r="AF2" s="465"/>
      <c r="AG2" s="465"/>
      <c r="AH2" s="465"/>
      <c r="AI2" s="465"/>
      <c r="AJ2" s="465"/>
      <c r="AK2" s="466"/>
    </row>
    <row r="3" spans="1:37" ht="18.75" thickBot="1" x14ac:dyDescent="0.3">
      <c r="A3" s="467" t="s">
        <v>1</v>
      </c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  <c r="M3" s="468"/>
      <c r="N3" s="468"/>
      <c r="O3" s="468"/>
      <c r="P3" s="468"/>
      <c r="Q3" s="468"/>
      <c r="R3" s="468"/>
      <c r="S3" s="468"/>
      <c r="T3" s="468"/>
      <c r="U3" s="468"/>
      <c r="V3" s="468"/>
      <c r="W3" s="468"/>
      <c r="X3" s="468"/>
      <c r="Y3" s="468"/>
      <c r="Z3" s="468"/>
      <c r="AA3" s="468"/>
      <c r="AB3" s="468"/>
      <c r="AC3" s="468"/>
      <c r="AD3" s="468"/>
      <c r="AE3" s="468"/>
      <c r="AF3" s="468"/>
      <c r="AG3" s="468"/>
      <c r="AH3" s="468"/>
      <c r="AI3" s="468"/>
      <c r="AJ3" s="468"/>
      <c r="AK3" s="469"/>
    </row>
    <row r="4" spans="1:37" ht="18.75" thickBot="1" x14ac:dyDescent="0.3">
      <c r="A4" s="543" t="s">
        <v>2</v>
      </c>
      <c r="B4" s="544"/>
      <c r="C4" s="545"/>
      <c r="D4" s="126"/>
      <c r="E4" s="123"/>
      <c r="F4" s="546" t="s">
        <v>3</v>
      </c>
      <c r="G4" s="549" t="s">
        <v>4</v>
      </c>
      <c r="H4" s="18" t="s">
        <v>5</v>
      </c>
      <c r="I4" s="19">
        <v>398600</v>
      </c>
      <c r="J4" s="20" t="s">
        <v>6</v>
      </c>
      <c r="K4" s="123"/>
      <c r="L4" s="21" t="s">
        <v>7</v>
      </c>
      <c r="M4" s="22">
        <v>1.0826E-3</v>
      </c>
      <c r="N4" s="127"/>
      <c r="O4" s="552" t="s">
        <v>8</v>
      </c>
      <c r="P4" s="553"/>
      <c r="Q4" s="553"/>
      <c r="R4" s="553"/>
      <c r="S4" s="553"/>
      <c r="T4" s="553"/>
      <c r="U4" s="553"/>
      <c r="V4" s="553"/>
      <c r="W4" s="553"/>
      <c r="X4" s="554"/>
      <c r="Y4" s="127"/>
      <c r="Z4" s="470" t="s">
        <v>9</v>
      </c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2"/>
    </row>
    <row r="5" spans="1:37" ht="24.75" customHeight="1" thickBot="1" x14ac:dyDescent="0.3">
      <c r="A5" s="23" t="s">
        <v>10</v>
      </c>
      <c r="B5" s="24">
        <v>1</v>
      </c>
      <c r="C5" s="25"/>
      <c r="D5" s="123"/>
      <c r="E5" s="123"/>
      <c r="F5" s="547"/>
      <c r="G5" s="550"/>
      <c r="H5" s="26" t="s">
        <v>11</v>
      </c>
      <c r="I5" s="27">
        <v>6378</v>
      </c>
      <c r="J5" s="28" t="s">
        <v>12</v>
      </c>
      <c r="K5" s="123"/>
      <c r="L5" s="29" t="s">
        <v>13</v>
      </c>
      <c r="M5" s="30">
        <v>57.295780000000001</v>
      </c>
      <c r="N5" s="127"/>
      <c r="O5" s="446"/>
      <c r="P5" s="447"/>
      <c r="Q5" s="447"/>
      <c r="R5" s="447"/>
      <c r="S5" s="447"/>
      <c r="T5" s="447"/>
      <c r="U5" s="447"/>
      <c r="V5" s="448"/>
      <c r="W5" s="447" t="s">
        <v>14</v>
      </c>
      <c r="X5" s="448"/>
      <c r="Y5" s="127"/>
      <c r="Z5" s="473" t="s">
        <v>15</v>
      </c>
      <c r="AA5" s="474"/>
      <c r="AB5" s="474"/>
      <c r="AC5" s="474"/>
      <c r="AD5" s="474"/>
      <c r="AE5" s="474"/>
      <c r="AF5" s="474"/>
      <c r="AG5" s="474"/>
      <c r="AH5" s="474"/>
      <c r="AI5" s="474"/>
      <c r="AJ5" s="474"/>
      <c r="AK5" s="475"/>
    </row>
    <row r="6" spans="1:37" ht="18" thickBot="1" x14ac:dyDescent="0.3">
      <c r="A6" s="31"/>
      <c r="B6" s="123"/>
      <c r="C6" s="123"/>
      <c r="D6" s="123"/>
      <c r="E6" s="123"/>
      <c r="F6" s="548"/>
      <c r="G6" s="551"/>
      <c r="H6" s="32" t="s">
        <v>16</v>
      </c>
      <c r="I6" s="33">
        <v>9.81</v>
      </c>
      <c r="J6" s="34" t="s">
        <v>17</v>
      </c>
      <c r="K6" s="123"/>
      <c r="L6" s="123"/>
      <c r="M6" s="35"/>
      <c r="N6" s="127"/>
      <c r="O6" s="500" t="s">
        <v>18</v>
      </c>
      <c r="P6" s="501"/>
      <c r="Q6" s="501"/>
      <c r="R6" s="501"/>
      <c r="S6" s="502"/>
      <c r="T6" s="426">
        <f>SQRT(2*((I4/W6)+T8))</f>
        <v>7.6624162873939303</v>
      </c>
      <c r="U6" s="427"/>
      <c r="V6" s="36" t="s">
        <v>19</v>
      </c>
      <c r="W6" s="37">
        <f>B8</f>
        <v>6789</v>
      </c>
      <c r="X6" s="38" t="s">
        <v>12</v>
      </c>
      <c r="Y6" s="127"/>
      <c r="Z6" s="319" t="s">
        <v>18</v>
      </c>
      <c r="AA6" s="320"/>
      <c r="AB6" s="320"/>
      <c r="AC6" s="320"/>
      <c r="AD6" s="321"/>
      <c r="AE6" s="439">
        <f>SQRT(I4/AK7)</f>
        <v>7.6624162873939303</v>
      </c>
      <c r="AF6" s="440"/>
      <c r="AG6" s="441"/>
      <c r="AH6" s="325" t="s">
        <v>19</v>
      </c>
      <c r="AI6" s="326"/>
      <c r="AJ6" s="444" t="s">
        <v>20</v>
      </c>
      <c r="AK6" s="445"/>
    </row>
    <row r="7" spans="1:37" ht="16.5" thickBot="1" x14ac:dyDescent="0.3">
      <c r="A7" s="31"/>
      <c r="B7" s="39" t="s">
        <v>21</v>
      </c>
      <c r="C7" s="40" t="s">
        <v>22</v>
      </c>
      <c r="D7" s="123"/>
      <c r="E7" s="123"/>
      <c r="F7" s="123"/>
      <c r="G7" s="123"/>
      <c r="H7" s="123"/>
      <c r="I7" s="123"/>
      <c r="J7" s="123"/>
      <c r="K7" s="123"/>
      <c r="L7" s="123"/>
      <c r="M7" s="35"/>
      <c r="N7" s="127"/>
      <c r="O7" s="485" t="s">
        <v>23</v>
      </c>
      <c r="P7" s="486"/>
      <c r="Q7" s="486"/>
      <c r="R7" s="486"/>
      <c r="S7" s="487"/>
      <c r="T7" s="225">
        <f>SQRT(2*((I4/W7)+T8))</f>
        <v>7.6624162873939303</v>
      </c>
      <c r="U7" s="227"/>
      <c r="V7" s="41" t="s">
        <v>19</v>
      </c>
      <c r="W7" s="42">
        <f>B9</f>
        <v>6789</v>
      </c>
      <c r="X7" s="43" t="s">
        <v>12</v>
      </c>
      <c r="Y7" s="127"/>
      <c r="Z7" s="229" t="s">
        <v>23</v>
      </c>
      <c r="AA7" s="230"/>
      <c r="AB7" s="230"/>
      <c r="AC7" s="230"/>
      <c r="AD7" s="231"/>
      <c r="AE7" s="366">
        <f>SQRT(I4/AK7)</f>
        <v>7.6624162873939303</v>
      </c>
      <c r="AF7" s="367"/>
      <c r="AG7" s="368"/>
      <c r="AH7" s="343" t="s">
        <v>19</v>
      </c>
      <c r="AI7" s="344"/>
      <c r="AJ7" s="438" t="str">
        <f>IF(B8=B9, "Yes", "No")</f>
        <v>Yes</v>
      </c>
      <c r="AK7" s="1176">
        <f>B8</f>
        <v>6789</v>
      </c>
    </row>
    <row r="8" spans="1:37" ht="18.75" x14ac:dyDescent="0.25">
      <c r="A8" s="45" t="s">
        <v>24</v>
      </c>
      <c r="B8" s="46">
        <f>IF($B$5=1, $C$8,$C$8+6378)</f>
        <v>6789</v>
      </c>
      <c r="C8" s="47">
        <v>6789</v>
      </c>
      <c r="D8" s="48" t="s">
        <v>12</v>
      </c>
      <c r="E8" s="49" t="s">
        <v>25</v>
      </c>
      <c r="F8" s="50">
        <f>(B8+B9)/2</f>
        <v>6789</v>
      </c>
      <c r="G8" s="48" t="s">
        <v>12</v>
      </c>
      <c r="H8" s="51" t="s">
        <v>26</v>
      </c>
      <c r="I8" s="52">
        <f>(-I4)/(2*F8)</f>
        <v>-29.356311680659893</v>
      </c>
      <c r="J8" s="48" t="s">
        <v>27</v>
      </c>
      <c r="K8" s="49" t="s">
        <v>28</v>
      </c>
      <c r="L8" s="53">
        <f>SQRT((2)*((I4/B8)+I8))</f>
        <v>7.6624162873939303</v>
      </c>
      <c r="M8" s="48" t="s">
        <v>19</v>
      </c>
      <c r="N8" s="127"/>
      <c r="O8" s="485" t="s">
        <v>29</v>
      </c>
      <c r="P8" s="486"/>
      <c r="Q8" s="486"/>
      <c r="R8" s="486"/>
      <c r="S8" s="487"/>
      <c r="T8" s="225">
        <f>-(I4)/(2*((W6+W7)/2))</f>
        <v>-29.356311680659893</v>
      </c>
      <c r="U8" s="227"/>
      <c r="V8" s="41" t="s">
        <v>30</v>
      </c>
      <c r="W8" s="42"/>
      <c r="X8" s="43"/>
      <c r="Y8" s="127"/>
      <c r="Z8" s="229" t="s">
        <v>29</v>
      </c>
      <c r="AA8" s="230"/>
      <c r="AB8" s="230"/>
      <c r="AC8" s="230"/>
      <c r="AD8" s="231"/>
      <c r="AE8" s="366">
        <f>(-I4)/(2*AK7)</f>
        <v>-29.356311680659893</v>
      </c>
      <c r="AF8" s="367"/>
      <c r="AG8" s="368"/>
      <c r="AH8" s="343" t="s">
        <v>30</v>
      </c>
      <c r="AI8" s="344"/>
      <c r="AJ8" s="133"/>
      <c r="AK8" s="54"/>
    </row>
    <row r="9" spans="1:37" ht="19.5" thickBot="1" x14ac:dyDescent="0.3">
      <c r="A9" s="55" t="s">
        <v>31</v>
      </c>
      <c r="B9" s="56">
        <f>IF($B$5=1, $C$9,$C$9+6378)</f>
        <v>6789</v>
      </c>
      <c r="C9" s="57">
        <v>6789</v>
      </c>
      <c r="D9" s="58" t="s">
        <v>12</v>
      </c>
      <c r="E9" s="59" t="s">
        <v>32</v>
      </c>
      <c r="F9" s="60">
        <f>(B9-B8)/(B9+B8)</f>
        <v>0</v>
      </c>
      <c r="G9" s="58"/>
      <c r="H9" s="61" t="s">
        <v>33</v>
      </c>
      <c r="I9" s="62">
        <f>(2*PI()*SQRT((F8)^3/I4))</f>
        <v>5566.9835010948173</v>
      </c>
      <c r="J9" s="30" t="s">
        <v>34</v>
      </c>
      <c r="K9" s="63" t="s">
        <v>35</v>
      </c>
      <c r="L9" s="64">
        <f>SQRT((2)*((I4/B9)+I8))</f>
        <v>7.6624162873939303</v>
      </c>
      <c r="M9" s="30" t="s">
        <v>19</v>
      </c>
      <c r="N9" s="127"/>
      <c r="O9" s="485" t="s">
        <v>36</v>
      </c>
      <c r="P9" s="486"/>
      <c r="Q9" s="486"/>
      <c r="R9" s="486"/>
      <c r="S9" s="487"/>
      <c r="T9" s="421">
        <f>SQRT(2*I4)*SQRT((W7*W6)/(W7+W6))</f>
        <v>52020.144175117392</v>
      </c>
      <c r="U9" s="422"/>
      <c r="V9" s="41" t="s">
        <v>37</v>
      </c>
      <c r="W9" s="42"/>
      <c r="X9" s="43"/>
      <c r="Y9" s="127"/>
      <c r="Z9" s="229" t="s">
        <v>36</v>
      </c>
      <c r="AA9" s="230"/>
      <c r="AB9" s="230"/>
      <c r="AC9" s="230"/>
      <c r="AD9" s="231"/>
      <c r="AE9" s="415">
        <f>SQRT(I4*AK7)</f>
        <v>52020.144175117392</v>
      </c>
      <c r="AF9" s="416"/>
      <c r="AG9" s="417"/>
      <c r="AH9" s="343" t="s">
        <v>37</v>
      </c>
      <c r="AI9" s="344"/>
      <c r="AJ9" s="133"/>
      <c r="AK9" s="54"/>
    </row>
    <row r="10" spans="1:37" ht="18" thickBot="1" x14ac:dyDescent="0.3">
      <c r="A10" s="65" t="s">
        <v>38</v>
      </c>
      <c r="B10" s="436">
        <v>47</v>
      </c>
      <c r="C10" s="437"/>
      <c r="D10" s="30" t="s">
        <v>39</v>
      </c>
      <c r="E10" s="63" t="s">
        <v>40</v>
      </c>
      <c r="F10" s="66">
        <f>SQRT(F8*I4*(1-(F9)^2))</f>
        <v>52020.144175117392</v>
      </c>
      <c r="G10" s="30" t="s">
        <v>41</v>
      </c>
      <c r="H10" s="128"/>
      <c r="I10" s="123"/>
      <c r="J10" s="123"/>
      <c r="K10" s="128"/>
      <c r="L10" s="123"/>
      <c r="M10" s="35"/>
      <c r="N10" s="127"/>
      <c r="O10" s="458" t="s">
        <v>42</v>
      </c>
      <c r="P10" s="459"/>
      <c r="Q10" s="459"/>
      <c r="R10" s="459"/>
      <c r="S10" s="460"/>
      <c r="T10" s="413">
        <f>((2*PI())*SQRT(((W6+W7)/2)^3/(I4)))/60</f>
        <v>92.783058351580294</v>
      </c>
      <c r="U10" s="414"/>
      <c r="V10" s="67" t="s">
        <v>43</v>
      </c>
      <c r="W10" s="68"/>
      <c r="X10" s="69"/>
      <c r="Y10" s="127"/>
      <c r="Z10" s="216" t="s">
        <v>42</v>
      </c>
      <c r="AA10" s="217"/>
      <c r="AB10" s="217"/>
      <c r="AC10" s="217"/>
      <c r="AD10" s="218"/>
      <c r="AE10" s="433">
        <f>((2*PI())*SQRT((AK7)^3/I4))/60</f>
        <v>92.783058351580294</v>
      </c>
      <c r="AF10" s="434"/>
      <c r="AG10" s="435"/>
      <c r="AH10" s="307" t="s">
        <v>43</v>
      </c>
      <c r="AI10" s="308"/>
      <c r="AJ10" s="133"/>
      <c r="AK10" s="54"/>
    </row>
    <row r="11" spans="1:37" ht="16.5" thickBot="1" x14ac:dyDescent="0.3">
      <c r="A11" s="31"/>
      <c r="B11" s="123"/>
      <c r="C11" s="123"/>
      <c r="D11" s="123"/>
      <c r="E11" s="128"/>
      <c r="F11" s="123"/>
      <c r="G11" s="123"/>
      <c r="H11" s="128"/>
      <c r="I11" s="123"/>
      <c r="J11" s="123"/>
      <c r="K11" s="128"/>
      <c r="L11" s="123"/>
      <c r="M11" s="35"/>
      <c r="N11" s="127"/>
      <c r="O11" s="500" t="s">
        <v>44</v>
      </c>
      <c r="P11" s="501"/>
      <c r="Q11" s="501"/>
      <c r="R11" s="501"/>
      <c r="S11" s="502"/>
      <c r="T11" s="426">
        <f>SQRT(2*((I4/W11)+T13))</f>
        <v>3.3957663652034697</v>
      </c>
      <c r="U11" s="427"/>
      <c r="V11" s="36" t="s">
        <v>19</v>
      </c>
      <c r="W11" s="37">
        <f>B12</f>
        <v>34567</v>
      </c>
      <c r="X11" s="38" t="s">
        <v>12</v>
      </c>
      <c r="Y11" s="127"/>
      <c r="Z11" s="319" t="s">
        <v>44</v>
      </c>
      <c r="AA11" s="320"/>
      <c r="AB11" s="320"/>
      <c r="AC11" s="320"/>
      <c r="AD11" s="321"/>
      <c r="AE11" s="439">
        <f>SQRT(I4/AK12)</f>
        <v>3.3957663652034697</v>
      </c>
      <c r="AF11" s="440"/>
      <c r="AG11" s="441"/>
      <c r="AH11" s="325" t="s">
        <v>19</v>
      </c>
      <c r="AI11" s="326"/>
      <c r="AJ11" s="442" t="s">
        <v>45</v>
      </c>
      <c r="AK11" s="443"/>
    </row>
    <row r="12" spans="1:37" ht="18" thickBot="1" x14ac:dyDescent="0.3">
      <c r="A12" s="70" t="s">
        <v>46</v>
      </c>
      <c r="B12" s="71">
        <f>IF($B$5=1, $C$12,$C$12+6378)</f>
        <v>34567</v>
      </c>
      <c r="C12" s="47">
        <v>34567</v>
      </c>
      <c r="D12" s="48" t="s">
        <v>12</v>
      </c>
      <c r="E12" s="72" t="s">
        <v>47</v>
      </c>
      <c r="F12" s="50">
        <f>(B12+B13)/2</f>
        <v>34567</v>
      </c>
      <c r="G12" s="48" t="s">
        <v>12</v>
      </c>
      <c r="H12" s="70" t="s">
        <v>48</v>
      </c>
      <c r="I12" s="52">
        <f>-(I4)/(2*F12)</f>
        <v>-5.7656146035235922</v>
      </c>
      <c r="J12" s="48" t="s">
        <v>27</v>
      </c>
      <c r="K12" s="72" t="s">
        <v>49</v>
      </c>
      <c r="L12" s="53">
        <f>SQRT((2)*((I4/B12)+I12))</f>
        <v>3.3957663652034697</v>
      </c>
      <c r="M12" s="48" t="s">
        <v>19</v>
      </c>
      <c r="N12" s="127"/>
      <c r="O12" s="485" t="s">
        <v>50</v>
      </c>
      <c r="P12" s="486"/>
      <c r="Q12" s="486"/>
      <c r="R12" s="486"/>
      <c r="S12" s="487"/>
      <c r="T12" s="225">
        <f>SQRT(2*((I4/W12)+T13))</f>
        <v>3.3957663652034697</v>
      </c>
      <c r="U12" s="227"/>
      <c r="V12" s="41" t="s">
        <v>19</v>
      </c>
      <c r="W12" s="42">
        <f>B13</f>
        <v>34567</v>
      </c>
      <c r="X12" s="43" t="s">
        <v>12</v>
      </c>
      <c r="Y12" s="127"/>
      <c r="Z12" s="229" t="s">
        <v>50</v>
      </c>
      <c r="AA12" s="230"/>
      <c r="AB12" s="230"/>
      <c r="AC12" s="230"/>
      <c r="AD12" s="231"/>
      <c r="AE12" s="366">
        <f>SQRT(I4/AK12)</f>
        <v>3.3957663652034697</v>
      </c>
      <c r="AF12" s="367"/>
      <c r="AG12" s="368"/>
      <c r="AH12" s="343" t="s">
        <v>19</v>
      </c>
      <c r="AI12" s="344"/>
      <c r="AJ12" s="438" t="str">
        <f>IF(B12=B13, "Yes", "No")</f>
        <v>Yes</v>
      </c>
      <c r="AK12" s="44">
        <f>B13</f>
        <v>34567</v>
      </c>
    </row>
    <row r="13" spans="1:37" ht="19.5" thickBot="1" x14ac:dyDescent="0.3">
      <c r="A13" s="73" t="s">
        <v>51</v>
      </c>
      <c r="B13" s="74">
        <f>IF($B$5=1, $C$13,$C$13+6378)</f>
        <v>34567</v>
      </c>
      <c r="C13" s="57">
        <v>34567</v>
      </c>
      <c r="D13" s="58" t="s">
        <v>12</v>
      </c>
      <c r="E13" s="75" t="s">
        <v>52</v>
      </c>
      <c r="F13" s="60">
        <f>(B13-B12)/(B13+B12)</f>
        <v>0</v>
      </c>
      <c r="G13" s="58"/>
      <c r="H13" s="76" t="s">
        <v>53</v>
      </c>
      <c r="I13" s="62">
        <f>(2*PI())*SQRT((F12^3)/I4)</f>
        <v>63959.307901402979</v>
      </c>
      <c r="J13" s="30" t="s">
        <v>34</v>
      </c>
      <c r="K13" s="77" t="s">
        <v>54</v>
      </c>
      <c r="L13" s="64">
        <f>SQRT((2)*((I4/B13)+I12))</f>
        <v>3.3957663652034697</v>
      </c>
      <c r="M13" s="30" t="s">
        <v>19</v>
      </c>
      <c r="N13" s="127"/>
      <c r="O13" s="485" t="s">
        <v>55</v>
      </c>
      <c r="P13" s="486"/>
      <c r="Q13" s="486"/>
      <c r="R13" s="486"/>
      <c r="S13" s="487"/>
      <c r="T13" s="225">
        <f>-(I4)/(2*((W11+W12)/2))</f>
        <v>-5.7656146035235922</v>
      </c>
      <c r="U13" s="227"/>
      <c r="V13" s="41" t="s">
        <v>30</v>
      </c>
      <c r="W13" s="42"/>
      <c r="X13" s="43"/>
      <c r="Y13" s="127"/>
      <c r="Z13" s="229" t="s">
        <v>55</v>
      </c>
      <c r="AA13" s="230"/>
      <c r="AB13" s="230"/>
      <c r="AC13" s="230"/>
      <c r="AD13" s="231"/>
      <c r="AE13" s="366">
        <f>(-I4)/(2*AK12)</f>
        <v>-5.7656146035235922</v>
      </c>
      <c r="AF13" s="367"/>
      <c r="AG13" s="368"/>
      <c r="AH13" s="343" t="s">
        <v>30</v>
      </c>
      <c r="AI13" s="344"/>
      <c r="AJ13" s="133"/>
      <c r="AK13" s="54"/>
    </row>
    <row r="14" spans="1:37" ht="19.5" thickBot="1" x14ac:dyDescent="0.3">
      <c r="A14" s="76" t="s">
        <v>56</v>
      </c>
      <c r="B14" s="436">
        <v>13</v>
      </c>
      <c r="C14" s="437"/>
      <c r="D14" s="30" t="s">
        <v>39</v>
      </c>
      <c r="E14" s="77" t="s">
        <v>57</v>
      </c>
      <c r="F14" s="66">
        <f>SQRT(F12*I4*(1-(F13)^2))</f>
        <v>117381.45594598833</v>
      </c>
      <c r="G14" s="30" t="s">
        <v>41</v>
      </c>
      <c r="H14" s="128"/>
      <c r="I14" s="123"/>
      <c r="J14" s="123"/>
      <c r="K14" s="128"/>
      <c r="L14" s="123"/>
      <c r="M14" s="35"/>
      <c r="N14" s="127"/>
      <c r="O14" s="485" t="s">
        <v>58</v>
      </c>
      <c r="P14" s="486"/>
      <c r="Q14" s="486"/>
      <c r="R14" s="486"/>
      <c r="S14" s="487"/>
      <c r="T14" s="421">
        <f>SQRT(2*I4)*SQRT((W12*W11)/(W12+W11))</f>
        <v>117381.45594598835</v>
      </c>
      <c r="U14" s="422"/>
      <c r="V14" s="41" t="s">
        <v>37</v>
      </c>
      <c r="W14" s="42"/>
      <c r="X14" s="43"/>
      <c r="Y14" s="127"/>
      <c r="Z14" s="229" t="s">
        <v>58</v>
      </c>
      <c r="AA14" s="230"/>
      <c r="AB14" s="230"/>
      <c r="AC14" s="230"/>
      <c r="AD14" s="231"/>
      <c r="AE14" s="415">
        <f>SQRT(I4*AK12)</f>
        <v>117381.45594598833</v>
      </c>
      <c r="AF14" s="416"/>
      <c r="AG14" s="417"/>
      <c r="AH14" s="343" t="s">
        <v>37</v>
      </c>
      <c r="AI14" s="344"/>
      <c r="AJ14" s="133"/>
      <c r="AK14" s="54"/>
    </row>
    <row r="15" spans="1:37" ht="16.5" thickBot="1" x14ac:dyDescent="0.3">
      <c r="A15" s="31"/>
      <c r="B15" s="123"/>
      <c r="C15" s="123"/>
      <c r="D15" s="123"/>
      <c r="E15" s="128"/>
      <c r="F15" s="123"/>
      <c r="G15" s="123"/>
      <c r="H15" s="78"/>
      <c r="I15" s="123"/>
      <c r="J15" s="123"/>
      <c r="K15" s="78"/>
      <c r="L15" s="79"/>
      <c r="M15" s="80"/>
      <c r="N15" s="127"/>
      <c r="O15" s="458" t="s">
        <v>59</v>
      </c>
      <c r="P15" s="459"/>
      <c r="Q15" s="459"/>
      <c r="R15" s="459"/>
      <c r="S15" s="460"/>
      <c r="T15" s="413">
        <f>((2*PI())*SQRT(((W11+W12)/2)^3/(I4)))/60</f>
        <v>1065.988465023383</v>
      </c>
      <c r="U15" s="414"/>
      <c r="V15" s="67" t="s">
        <v>43</v>
      </c>
      <c r="W15" s="68"/>
      <c r="X15" s="69"/>
      <c r="Y15" s="127"/>
      <c r="Z15" s="216" t="s">
        <v>59</v>
      </c>
      <c r="AA15" s="217"/>
      <c r="AB15" s="217"/>
      <c r="AC15" s="217"/>
      <c r="AD15" s="218"/>
      <c r="AE15" s="433">
        <f>((2*PI())*SQRT((AK12)^3/I4))/60</f>
        <v>1065.988465023383</v>
      </c>
      <c r="AF15" s="434"/>
      <c r="AG15" s="435"/>
      <c r="AH15" s="307" t="s">
        <v>43</v>
      </c>
      <c r="AI15" s="308"/>
      <c r="AJ15" s="423" t="s">
        <v>60</v>
      </c>
      <c r="AK15" s="424"/>
    </row>
    <row r="16" spans="1:37" ht="18" thickBot="1" x14ac:dyDescent="0.3">
      <c r="A16" s="31"/>
      <c r="B16" s="123"/>
      <c r="C16" s="537" t="s">
        <v>61</v>
      </c>
      <c r="D16" s="538"/>
      <c r="E16" s="81" t="s">
        <v>62</v>
      </c>
      <c r="F16" s="50">
        <f>(B8+B13)/2</f>
        <v>20678</v>
      </c>
      <c r="G16" s="48" t="s">
        <v>12</v>
      </c>
      <c r="H16" s="139" t="s">
        <v>63</v>
      </c>
      <c r="I16" s="52">
        <f>(-I4)/(2*F16)</f>
        <v>-9.6382628880936263</v>
      </c>
      <c r="J16" s="48" t="s">
        <v>27</v>
      </c>
      <c r="K16" s="82" t="s">
        <v>28</v>
      </c>
      <c r="L16" s="53">
        <f>SQRT(I4*((2/B8)-(1/F16)))</f>
        <v>9.9070036310911043</v>
      </c>
      <c r="M16" s="48" t="s">
        <v>19</v>
      </c>
      <c r="N16" s="127"/>
      <c r="O16" s="500" t="s">
        <v>64</v>
      </c>
      <c r="P16" s="501"/>
      <c r="Q16" s="501"/>
      <c r="R16" s="501"/>
      <c r="S16" s="502"/>
      <c r="T16" s="426">
        <f>SQRT(2*((I4/W16)+T18))</f>
        <v>9.9070036310911043</v>
      </c>
      <c r="U16" s="427"/>
      <c r="V16" s="36" t="s">
        <v>19</v>
      </c>
      <c r="W16" s="37">
        <f>B8</f>
        <v>6789</v>
      </c>
      <c r="X16" s="38" t="s">
        <v>12</v>
      </c>
      <c r="Y16" s="127"/>
      <c r="Z16" s="319" t="s">
        <v>64</v>
      </c>
      <c r="AA16" s="320"/>
      <c r="AB16" s="320"/>
      <c r="AC16" s="320"/>
      <c r="AD16" s="321"/>
      <c r="AE16" s="428">
        <f>(AJ16+AE6)</f>
        <v>9.7322987256992306</v>
      </c>
      <c r="AF16" s="429"/>
      <c r="AG16" s="430"/>
      <c r="AH16" s="431" t="s">
        <v>19</v>
      </c>
      <c r="AI16" s="432"/>
      <c r="AJ16" s="425">
        <v>2.0698824383053012</v>
      </c>
      <c r="AK16" s="44" t="s">
        <v>19</v>
      </c>
    </row>
    <row r="17" spans="1:37" ht="19.5" thickBot="1" x14ac:dyDescent="0.3">
      <c r="A17" s="31"/>
      <c r="B17" s="123"/>
      <c r="C17" s="539"/>
      <c r="D17" s="540"/>
      <c r="E17" s="142" t="s">
        <v>65</v>
      </c>
      <c r="F17" s="141">
        <f>SQRT(2*I4)*SQRT((B13*B8)/(B13+B8))</f>
        <v>67258.647651477499</v>
      </c>
      <c r="G17" s="58" t="s">
        <v>41</v>
      </c>
      <c r="H17" s="140" t="s">
        <v>66</v>
      </c>
      <c r="I17" s="62">
        <f>(2*PI())*SQRT((F16^3)/I4)</f>
        <v>29591.979514548482</v>
      </c>
      <c r="J17" s="30" t="s">
        <v>34</v>
      </c>
      <c r="K17" s="83" t="s">
        <v>54</v>
      </c>
      <c r="L17" s="138">
        <f>SQRT(2*((I4/B13)+I16))</f>
        <v>1.9457473211871876</v>
      </c>
      <c r="M17" s="30" t="s">
        <v>19</v>
      </c>
      <c r="N17" s="127"/>
      <c r="O17" s="485" t="s">
        <v>67</v>
      </c>
      <c r="P17" s="486"/>
      <c r="Q17" s="486"/>
      <c r="R17" s="486"/>
      <c r="S17" s="487"/>
      <c r="T17" s="225">
        <f>SQRT(2*((I4/W17)+T18))</f>
        <v>1.9457473211871876</v>
      </c>
      <c r="U17" s="227"/>
      <c r="V17" s="41" t="s">
        <v>19</v>
      </c>
      <c r="W17" s="42">
        <f>B13</f>
        <v>34567</v>
      </c>
      <c r="X17" s="43" t="s">
        <v>12</v>
      </c>
      <c r="Y17" s="127"/>
      <c r="Z17" s="229" t="s">
        <v>68</v>
      </c>
      <c r="AA17" s="230"/>
      <c r="AB17" s="230"/>
      <c r="AC17" s="230"/>
      <c r="AD17" s="231"/>
      <c r="AE17" s="366">
        <f>((AE16)^2/2)-(I4/AK7)</f>
        <v>-11.353804118196351</v>
      </c>
      <c r="AF17" s="367"/>
      <c r="AG17" s="368"/>
      <c r="AH17" s="343" t="s">
        <v>30</v>
      </c>
      <c r="AI17" s="418"/>
      <c r="AJ17" s="133"/>
      <c r="AK17" s="54"/>
    </row>
    <row r="18" spans="1:37" ht="19.5" thickBot="1" x14ac:dyDescent="0.3">
      <c r="A18" s="31"/>
      <c r="B18" s="123"/>
      <c r="C18" s="541"/>
      <c r="D18" s="542"/>
      <c r="E18" s="143" t="s">
        <v>323</v>
      </c>
      <c r="F18" s="144">
        <f>(B13-B8)/(B13+B8)</f>
        <v>0.67168004642615342</v>
      </c>
      <c r="G18" s="145"/>
      <c r="H18" s="128"/>
      <c r="I18" s="123"/>
      <c r="J18" s="123"/>
      <c r="K18" s="123"/>
      <c r="L18" s="123"/>
      <c r="M18" s="35"/>
      <c r="N18" s="127"/>
      <c r="O18" s="485" t="s">
        <v>68</v>
      </c>
      <c r="P18" s="486"/>
      <c r="Q18" s="486"/>
      <c r="R18" s="486"/>
      <c r="S18" s="487"/>
      <c r="T18" s="225">
        <f>-(I4)/(2*((W16+W17)/2))</f>
        <v>-9.6382628880936263</v>
      </c>
      <c r="U18" s="227"/>
      <c r="V18" s="41" t="s">
        <v>30</v>
      </c>
      <c r="W18" s="42"/>
      <c r="X18" s="43"/>
      <c r="Y18" s="127"/>
      <c r="Z18" s="229" t="s">
        <v>69</v>
      </c>
      <c r="AA18" s="230"/>
      <c r="AB18" s="230"/>
      <c r="AC18" s="230"/>
      <c r="AD18" s="231"/>
      <c r="AE18" s="415">
        <f>(AK7)*(AE16)*COS(0)</f>
        <v>66072.576048772084</v>
      </c>
      <c r="AF18" s="416"/>
      <c r="AG18" s="417"/>
      <c r="AH18" s="343" t="s">
        <v>37</v>
      </c>
      <c r="AI18" s="418"/>
      <c r="AJ18" s="133"/>
      <c r="AK18" s="54"/>
    </row>
    <row r="19" spans="1:37" ht="18.75" x14ac:dyDescent="0.25">
      <c r="A19" s="31"/>
      <c r="B19" s="123"/>
      <c r="C19" s="123"/>
      <c r="D19" s="123"/>
      <c r="E19" s="123"/>
      <c r="F19" s="123"/>
      <c r="G19" s="123"/>
      <c r="H19" s="84" t="s">
        <v>70</v>
      </c>
      <c r="I19" s="124">
        <v>2.946654399950924</v>
      </c>
      <c r="J19" s="85" t="s">
        <v>39</v>
      </c>
      <c r="K19" s="419">
        <f>(2*L8*SIN(RADIANS(I19/2)))</f>
        <v>0.39402561018297683</v>
      </c>
      <c r="L19" s="420"/>
      <c r="M19" s="48" t="s">
        <v>19</v>
      </c>
      <c r="N19" s="127"/>
      <c r="O19" s="485" t="s">
        <v>69</v>
      </c>
      <c r="P19" s="486"/>
      <c r="Q19" s="486"/>
      <c r="R19" s="486"/>
      <c r="S19" s="487"/>
      <c r="T19" s="421">
        <f>SQRT(2*I4)*SQRT((W17*W16)/(W17+W16))</f>
        <v>67258.647651477499</v>
      </c>
      <c r="U19" s="422"/>
      <c r="V19" s="41" t="s">
        <v>37</v>
      </c>
      <c r="W19" s="42"/>
      <c r="X19" s="43"/>
      <c r="Y19" s="127"/>
      <c r="Z19" s="229" t="s">
        <v>71</v>
      </c>
      <c r="AA19" s="230"/>
      <c r="AB19" s="230"/>
      <c r="AC19" s="230"/>
      <c r="AD19" s="231"/>
      <c r="AE19" s="415">
        <f>(-I4)/(2*AE17)</f>
        <v>17553.588024351131</v>
      </c>
      <c r="AF19" s="416"/>
      <c r="AG19" s="417"/>
      <c r="AH19" s="343" t="s">
        <v>12</v>
      </c>
      <c r="AI19" s="418"/>
      <c r="AJ19" s="423" t="s">
        <v>72</v>
      </c>
      <c r="AK19" s="424"/>
    </row>
    <row r="20" spans="1:37" ht="16.5" thickBot="1" x14ac:dyDescent="0.3">
      <c r="A20" s="86"/>
      <c r="B20" s="79"/>
      <c r="C20" s="79"/>
      <c r="D20" s="79"/>
      <c r="E20" s="79"/>
      <c r="F20" s="79"/>
      <c r="G20" s="79"/>
      <c r="H20" s="87" t="s">
        <v>73</v>
      </c>
      <c r="I20" s="125">
        <f>ABS(B10-B14)-I19</f>
        <v>31.053345600049077</v>
      </c>
      <c r="J20" s="88" t="s">
        <v>39</v>
      </c>
      <c r="K20" s="411">
        <f>(2*L13*SIN(RADIANS(I20/2)))</f>
        <v>1.8180046432865746</v>
      </c>
      <c r="L20" s="412"/>
      <c r="M20" s="30" t="s">
        <v>19</v>
      </c>
      <c r="N20" s="127"/>
      <c r="O20" s="458" t="s">
        <v>74</v>
      </c>
      <c r="P20" s="459"/>
      <c r="Q20" s="459"/>
      <c r="R20" s="459"/>
      <c r="S20" s="460"/>
      <c r="T20" s="413">
        <f>((PI())*SQRT(((W16+W17)/2)^3/(I4)))/60</f>
        <v>246.59982928790402</v>
      </c>
      <c r="U20" s="414"/>
      <c r="V20" s="67" t="s">
        <v>43</v>
      </c>
      <c r="W20" s="68">
        <f>T20/60</f>
        <v>4.1099971547984007</v>
      </c>
      <c r="X20" s="69" t="s">
        <v>75</v>
      </c>
      <c r="Y20" s="127"/>
      <c r="Z20" s="229" t="s">
        <v>76</v>
      </c>
      <c r="AA20" s="230"/>
      <c r="AB20" s="230"/>
      <c r="AC20" s="230"/>
      <c r="AD20" s="231"/>
      <c r="AE20" s="415">
        <f>(2*AE19)-AK7</f>
        <v>28318.176048702262</v>
      </c>
      <c r="AF20" s="416"/>
      <c r="AG20" s="417"/>
      <c r="AH20" s="343" t="s">
        <v>12</v>
      </c>
      <c r="AI20" s="418"/>
      <c r="AJ20" s="404" t="str">
        <f>IF(AE20&gt;AK12, "Yes", "No")</f>
        <v>No</v>
      </c>
      <c r="AK20" s="405"/>
    </row>
    <row r="21" spans="1:37" ht="16.5" thickBot="1" x14ac:dyDescent="0.3">
      <c r="A21" s="129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500" t="s">
        <v>77</v>
      </c>
      <c r="P21" s="501"/>
      <c r="Q21" s="501"/>
      <c r="R21" s="501"/>
      <c r="S21" s="502"/>
      <c r="T21" s="251">
        <f>ABS(T16-T6)</f>
        <v>2.2445873436971739</v>
      </c>
      <c r="U21" s="253"/>
      <c r="V21" s="36" t="s">
        <v>19</v>
      </c>
      <c r="W21" s="37"/>
      <c r="X21" s="38"/>
      <c r="Y21" s="127"/>
      <c r="Z21" s="216" t="s">
        <v>78</v>
      </c>
      <c r="AA21" s="217"/>
      <c r="AB21" s="217"/>
      <c r="AC21" s="217"/>
      <c r="AD21" s="218"/>
      <c r="AE21" s="406">
        <f>(AE20-AK7)/(AE20+AK7)</f>
        <v>0.61324146433299032</v>
      </c>
      <c r="AF21" s="407"/>
      <c r="AG21" s="408"/>
      <c r="AH21" s="409" t="str">
        <f>IF(AE21=0,"Circular",IF(AE21&gt;=1,"Hyperbolic","Ellipse"))</f>
        <v>Ellipse</v>
      </c>
      <c r="AI21" s="410"/>
      <c r="AJ21" s="133"/>
      <c r="AK21" s="54"/>
    </row>
    <row r="22" spans="1:37" ht="16.5" thickBot="1" x14ac:dyDescent="0.3">
      <c r="A22" s="396" t="s">
        <v>79</v>
      </c>
      <c r="B22" s="397"/>
      <c r="C22" s="397"/>
      <c r="D22" s="398"/>
      <c r="E22" s="127"/>
      <c r="F22" s="127"/>
      <c r="G22" s="127"/>
      <c r="H22" s="127"/>
      <c r="I22" s="130" t="s">
        <v>80</v>
      </c>
      <c r="J22" s="127"/>
      <c r="K22" s="127"/>
      <c r="L22" s="127"/>
      <c r="M22" s="127"/>
      <c r="N22" s="127"/>
      <c r="O22" s="534" t="s">
        <v>81</v>
      </c>
      <c r="P22" s="535"/>
      <c r="Q22" s="535"/>
      <c r="R22" s="535"/>
      <c r="S22" s="536"/>
      <c r="T22" s="399">
        <f>SQRT((T16)^2+(T6)^2-(2*T16*T6*COS(RADIANS(W22))))</f>
        <v>2.2888661914547681</v>
      </c>
      <c r="U22" s="400"/>
      <c r="V22" s="89" t="s">
        <v>19</v>
      </c>
      <c r="W22" s="90">
        <f>I19</f>
        <v>2.946654399950924</v>
      </c>
      <c r="X22" s="91" t="s">
        <v>70</v>
      </c>
      <c r="Y22" s="127"/>
      <c r="Z22" s="311" t="s">
        <v>82</v>
      </c>
      <c r="AA22" s="312"/>
      <c r="AB22" s="312"/>
      <c r="AC22" s="312"/>
      <c r="AD22" s="313"/>
      <c r="AE22" s="401" t="e">
        <f>(ACOS((AE19*(1-(AE21)^2)-AK12)/(AK12*AE21)))*M5</f>
        <v>#NUM!</v>
      </c>
      <c r="AF22" s="402"/>
      <c r="AG22" s="403"/>
      <c r="AH22" s="317" t="s">
        <v>83</v>
      </c>
      <c r="AI22" s="318"/>
      <c r="AJ22" s="133"/>
      <c r="AK22" s="54"/>
    </row>
    <row r="23" spans="1:37" ht="16.5" thickBot="1" x14ac:dyDescent="0.3">
      <c r="A23" s="392" t="s">
        <v>84</v>
      </c>
      <c r="B23" s="393"/>
      <c r="C23" s="394">
        <v>9000</v>
      </c>
      <c r="D23" s="395" t="s">
        <v>12</v>
      </c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485" t="s">
        <v>85</v>
      </c>
      <c r="P23" s="486"/>
      <c r="Q23" s="486"/>
      <c r="R23" s="486"/>
      <c r="S23" s="487"/>
      <c r="T23" s="239">
        <f>ABS(T17-T12)</f>
        <v>1.4500190440162821</v>
      </c>
      <c r="U23" s="241"/>
      <c r="V23" s="41" t="s">
        <v>19</v>
      </c>
      <c r="W23" s="42"/>
      <c r="X23" s="43"/>
      <c r="Y23" s="127"/>
      <c r="Z23" s="229" t="s">
        <v>86</v>
      </c>
      <c r="AA23" s="230"/>
      <c r="AB23" s="230"/>
      <c r="AC23" s="230"/>
      <c r="AD23" s="231"/>
      <c r="AE23" s="355" t="e">
        <f>ACOS((AE21+COS(AE22/M5))/(1+AE21*COS(AE22/M5)))</f>
        <v>#NUM!</v>
      </c>
      <c r="AF23" s="356"/>
      <c r="AG23" s="357"/>
      <c r="AH23" s="343" t="s">
        <v>87</v>
      </c>
      <c r="AI23" s="344"/>
      <c r="AJ23" s="133"/>
      <c r="AK23" s="54"/>
    </row>
    <row r="24" spans="1:37" ht="16.5" thickBot="1" x14ac:dyDescent="0.3">
      <c r="A24" s="369" t="s">
        <v>88</v>
      </c>
      <c r="B24" s="370"/>
      <c r="C24" s="387" t="e">
        <f>(ACOS((F8*(1-F9^2)-C23)/(C23*F9)))*M5</f>
        <v>#DIV/0!</v>
      </c>
      <c r="D24" s="388" t="s">
        <v>83</v>
      </c>
      <c r="E24" s="127" t="s">
        <v>320</v>
      </c>
      <c r="F24" s="127"/>
      <c r="G24" s="1177" t="e">
        <f>360-C24</f>
        <v>#DIV/0!</v>
      </c>
      <c r="H24" s="127"/>
      <c r="J24" s="127"/>
      <c r="K24" s="127"/>
      <c r="L24" s="127"/>
      <c r="M24" s="127"/>
      <c r="N24" s="127"/>
      <c r="O24" s="485" t="s">
        <v>89</v>
      </c>
      <c r="P24" s="486"/>
      <c r="Q24" s="486"/>
      <c r="R24" s="486"/>
      <c r="S24" s="487"/>
      <c r="T24" s="239">
        <f>SQRT((T17)^2+(T12)^2-(2*T17*T12*COS(RADIANS(W24))))</f>
        <v>1.9990935103931116</v>
      </c>
      <c r="U24" s="241"/>
      <c r="V24" s="41" t="s">
        <v>19</v>
      </c>
      <c r="W24" s="42">
        <f>I20</f>
        <v>31.053345600049077</v>
      </c>
      <c r="X24" s="43" t="s">
        <v>73</v>
      </c>
      <c r="Y24" s="127"/>
      <c r="Z24" s="229" t="s">
        <v>74</v>
      </c>
      <c r="AA24" s="230"/>
      <c r="AB24" s="230"/>
      <c r="AC24" s="230"/>
      <c r="AD24" s="231"/>
      <c r="AE24" s="389" t="e">
        <f>SQRT((AE19)^3/(I4))*(AE23-(AE21*SIN(AE23)))/60</f>
        <v>#NUM!</v>
      </c>
      <c r="AF24" s="390"/>
      <c r="AG24" s="391"/>
      <c r="AH24" s="343" t="s">
        <v>43</v>
      </c>
      <c r="AI24" s="344"/>
      <c r="AJ24" s="379" t="e">
        <f>AE24/60</f>
        <v>#NUM!</v>
      </c>
      <c r="AK24" s="92" t="s">
        <v>75</v>
      </c>
    </row>
    <row r="25" spans="1:37" ht="16.5" thickBot="1" x14ac:dyDescent="0.3">
      <c r="A25" s="360" t="s">
        <v>90</v>
      </c>
      <c r="B25" s="361"/>
      <c r="C25" s="362">
        <f>SQRT((2)*((I4/C23)+I8))</f>
        <v>5.4649020500332846</v>
      </c>
      <c r="D25" s="363" t="s">
        <v>19</v>
      </c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485" t="s">
        <v>91</v>
      </c>
      <c r="P25" s="486"/>
      <c r="Q25" s="486"/>
      <c r="R25" s="486"/>
      <c r="S25" s="487"/>
      <c r="T25" s="380">
        <f>(T21+T23)</f>
        <v>3.6946063877134563</v>
      </c>
      <c r="U25" s="381"/>
      <c r="V25" s="41" t="s">
        <v>19</v>
      </c>
      <c r="W25" s="42"/>
      <c r="X25" s="43"/>
      <c r="Y25" s="127"/>
      <c r="Z25" s="229" t="s">
        <v>92</v>
      </c>
      <c r="AA25" s="230"/>
      <c r="AB25" s="230"/>
      <c r="AC25" s="230"/>
      <c r="AD25" s="231"/>
      <c r="AE25" s="382">
        <f>AJ16</f>
        <v>2.0698824383053012</v>
      </c>
      <c r="AF25" s="383"/>
      <c r="AG25" s="384"/>
      <c r="AH25" s="385" t="s">
        <v>19</v>
      </c>
      <c r="AI25" s="386"/>
      <c r="AJ25" s="309"/>
      <c r="AK25" s="93"/>
    </row>
    <row r="26" spans="1:37" ht="16.5" thickBot="1" x14ac:dyDescent="0.3">
      <c r="A26" s="375" t="s">
        <v>88</v>
      </c>
      <c r="B26" s="376"/>
      <c r="C26" s="377">
        <v>235</v>
      </c>
      <c r="D26" s="378" t="s">
        <v>83</v>
      </c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458" t="s">
        <v>93</v>
      </c>
      <c r="P26" s="459"/>
      <c r="Q26" s="459"/>
      <c r="R26" s="459"/>
      <c r="S26" s="460"/>
      <c r="T26" s="364">
        <f>ABS(T24+T22)</f>
        <v>4.2879597018478801</v>
      </c>
      <c r="U26" s="365"/>
      <c r="V26" s="67" t="s">
        <v>19</v>
      </c>
      <c r="W26" s="68"/>
      <c r="X26" s="69"/>
      <c r="Y26" s="127"/>
      <c r="Z26" s="229" t="s">
        <v>94</v>
      </c>
      <c r="AA26" s="230"/>
      <c r="AB26" s="230"/>
      <c r="AC26" s="230"/>
      <c r="AD26" s="231"/>
      <c r="AE26" s="355">
        <f>SQRT((AE16)^2+(AE6)^2-(2*AE16*AE6*COS(RADIANS(W22))))</f>
        <v>2.1169812303395434</v>
      </c>
      <c r="AF26" s="356"/>
      <c r="AG26" s="357"/>
      <c r="AH26" s="343" t="s">
        <v>19</v>
      </c>
      <c r="AI26" s="344"/>
      <c r="AJ26" s="345">
        <f>W22</f>
        <v>2.946654399950924</v>
      </c>
      <c r="AK26" s="92" t="s">
        <v>70</v>
      </c>
    </row>
    <row r="27" spans="1:37" ht="15.75" x14ac:dyDescent="0.25">
      <c r="A27" s="369" t="s">
        <v>84</v>
      </c>
      <c r="B27" s="370"/>
      <c r="C27" s="371">
        <f>((F8)*(1-(F9^2))/(1+F9*COS(C26/M5)))</f>
        <v>6789</v>
      </c>
      <c r="D27" s="372" t="s">
        <v>12</v>
      </c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500" t="s">
        <v>95</v>
      </c>
      <c r="P27" s="501"/>
      <c r="Q27" s="501"/>
      <c r="R27" s="501"/>
      <c r="S27" s="502"/>
      <c r="T27" s="373">
        <f>((-3/2)*((SQRT(I4))*M4*(I5)^2)/((1-F9^2)^2*(F8)^(7/2)))*(COS(RADIANS(B10)))*3600*24*M5</f>
        <v>-5.4613038169364252</v>
      </c>
      <c r="U27" s="374"/>
      <c r="V27" s="36" t="s">
        <v>96</v>
      </c>
      <c r="W27" s="37"/>
      <c r="X27" s="38"/>
      <c r="Y27" s="127"/>
      <c r="Z27" s="229" t="s">
        <v>97</v>
      </c>
      <c r="AA27" s="230"/>
      <c r="AB27" s="230"/>
      <c r="AC27" s="230"/>
      <c r="AD27" s="231"/>
      <c r="AE27" s="355">
        <f>SQRT((AE17*AK12+I4)/(AK12/2))</f>
        <v>0.59569302304263017</v>
      </c>
      <c r="AF27" s="356"/>
      <c r="AG27" s="357"/>
      <c r="AH27" s="343" t="s">
        <v>19</v>
      </c>
      <c r="AI27" s="344"/>
      <c r="AJ27" s="133"/>
      <c r="AK27" s="54"/>
    </row>
    <row r="28" spans="1:37" ht="16.5" thickBot="1" x14ac:dyDescent="0.3">
      <c r="A28" s="360" t="s">
        <v>90</v>
      </c>
      <c r="B28" s="361"/>
      <c r="C28" s="362">
        <f>SQRT((2)*((Mu/RadIn1)+Ener1))</f>
        <v>7.6624162873939303</v>
      </c>
      <c r="D28" s="363" t="s">
        <v>19</v>
      </c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458" t="s">
        <v>98</v>
      </c>
      <c r="P28" s="459"/>
      <c r="Q28" s="459"/>
      <c r="R28" s="459"/>
      <c r="S28" s="460"/>
      <c r="T28" s="364">
        <f>((-3/2)*((SQRT(I4))*M4*(I5)^2)/((1-F13^2)^2*(F12)^(7/2)))*(COS(RADIANS(B14)))*3600*24*M5</f>
        <v>-2.6196384516364891E-2</v>
      </c>
      <c r="U28" s="365"/>
      <c r="V28" s="67" t="s">
        <v>96</v>
      </c>
      <c r="W28" s="68"/>
      <c r="X28" s="69"/>
      <c r="Y28" s="127"/>
      <c r="Z28" s="229" t="s">
        <v>99</v>
      </c>
      <c r="AA28" s="230"/>
      <c r="AB28" s="230"/>
      <c r="AC28" s="230"/>
      <c r="AD28" s="231"/>
      <c r="AE28" s="366" t="e">
        <f>ACOS((AE18)/(AK12*AE27))*M5</f>
        <v>#NUM!</v>
      </c>
      <c r="AF28" s="367"/>
      <c r="AG28" s="368"/>
      <c r="AH28" s="343" t="s">
        <v>83</v>
      </c>
      <c r="AI28" s="344"/>
      <c r="AJ28" s="133"/>
      <c r="AK28" s="54"/>
    </row>
    <row r="29" spans="1:37" ht="16.5" thickBot="1" x14ac:dyDescent="0.3">
      <c r="A29" s="94"/>
      <c r="B29" s="131"/>
      <c r="C29" s="131"/>
      <c r="D29" s="95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500" t="s">
        <v>100</v>
      </c>
      <c r="P29" s="501"/>
      <c r="Q29" s="501"/>
      <c r="R29" s="501"/>
      <c r="S29" s="502"/>
      <c r="T29" s="358">
        <f>((-3/2)*((SQRT(I4))*M4*(I5)^2)/((1-F9^2)^2*(F8)^(7/2)))*(5/2*(SIN(RADIANS(B10))^2)-2)*3600*24*M5</f>
        <v>5.3076025607702073</v>
      </c>
      <c r="U29" s="359"/>
      <c r="V29" s="112" t="s">
        <v>96</v>
      </c>
      <c r="W29" s="96"/>
      <c r="X29" s="97"/>
      <c r="Y29" s="131"/>
      <c r="Z29" s="229" t="s">
        <v>101</v>
      </c>
      <c r="AA29" s="230"/>
      <c r="AB29" s="230"/>
      <c r="AC29" s="230"/>
      <c r="AD29" s="231"/>
      <c r="AE29" s="355" t="e">
        <f>SQRT((AE27)^2+(AE11)^2-(2*AE27*AE11*COS(RADIANS(AE28))))</f>
        <v>#NUM!</v>
      </c>
      <c r="AF29" s="356"/>
      <c r="AG29" s="357"/>
      <c r="AH29" s="343" t="s">
        <v>19</v>
      </c>
      <c r="AI29" s="344"/>
      <c r="AJ29" s="133"/>
      <c r="AK29" s="54"/>
    </row>
    <row r="30" spans="1:37" ht="16.5" thickBot="1" x14ac:dyDescent="0.3">
      <c r="A30" s="350" t="s">
        <v>102</v>
      </c>
      <c r="B30" s="351"/>
      <c r="C30" s="351"/>
      <c r="D30" s="352"/>
      <c r="E30" s="310" t="s">
        <v>325</v>
      </c>
      <c r="F30" s="310"/>
      <c r="G30" s="310"/>
      <c r="H30" s="310"/>
      <c r="I30" s="131"/>
      <c r="J30" s="131"/>
      <c r="K30" s="131"/>
      <c r="L30" s="131"/>
      <c r="M30" s="131"/>
      <c r="N30" s="131"/>
      <c r="O30" s="458" t="s">
        <v>103</v>
      </c>
      <c r="P30" s="459"/>
      <c r="Q30" s="459"/>
      <c r="R30" s="459"/>
      <c r="S30" s="460"/>
      <c r="T30" s="353">
        <f>((-3/2)*((SQRT(I4))*M4*(I5)^2)/((1-F13^2)^2*(F12)^(7/2)))*(5/2*(SIN(RADIANS(B14))^2)-2)*3600*24*M5</f>
        <v>5.0369703676633237E-2</v>
      </c>
      <c r="U30" s="354"/>
      <c r="V30" s="67" t="s">
        <v>96</v>
      </c>
      <c r="W30" s="68"/>
      <c r="X30" s="69"/>
      <c r="Y30" s="131"/>
      <c r="Z30" s="229" t="s">
        <v>104</v>
      </c>
      <c r="AA30" s="230"/>
      <c r="AB30" s="230"/>
      <c r="AC30" s="230"/>
      <c r="AD30" s="231"/>
      <c r="AE30" s="355" t="e">
        <f>SQRT((AE27)^2+(AE11)^2-(2*AE27*AE11*(COS(RADIANS(AE28))-COS(RADIANS(AE28))*(1-COS(RADIANS(W24))))))</f>
        <v>#NUM!</v>
      </c>
      <c r="AF30" s="356"/>
      <c r="AG30" s="357"/>
      <c r="AH30" s="343" t="s">
        <v>19</v>
      </c>
      <c r="AI30" s="344"/>
      <c r="AJ30" s="345">
        <f>W24</f>
        <v>31.053345600049077</v>
      </c>
      <c r="AK30" s="92" t="s">
        <v>73</v>
      </c>
    </row>
    <row r="31" spans="1:37" ht="15.75" x14ac:dyDescent="0.25">
      <c r="A31" s="346" t="s">
        <v>88</v>
      </c>
      <c r="B31" s="347"/>
      <c r="C31" s="348">
        <v>213</v>
      </c>
      <c r="D31" s="349" t="s">
        <v>83</v>
      </c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31"/>
      <c r="Z31" s="229" t="s">
        <v>105</v>
      </c>
      <c r="AA31" s="230"/>
      <c r="AB31" s="230"/>
      <c r="AC31" s="230"/>
      <c r="AD31" s="231"/>
      <c r="AE31" s="335" t="e">
        <f>ABS(AE29+AE25)</f>
        <v>#NUM!</v>
      </c>
      <c r="AF31" s="336"/>
      <c r="AG31" s="337"/>
      <c r="AH31" s="338" t="s">
        <v>19</v>
      </c>
      <c r="AI31" s="339"/>
      <c r="AJ31" s="309"/>
      <c r="AK31" s="93"/>
    </row>
    <row r="32" spans="1:37" ht="16.5" thickBot="1" x14ac:dyDescent="0.3">
      <c r="A32" s="340" t="s">
        <v>106</v>
      </c>
      <c r="B32" s="237"/>
      <c r="C32" s="341">
        <f>IF(C31&lt;180, 2*ATAN(SQRT((1-F9)/(1+F9))*TAN(RADIANS(C31/2))), (360-ABS(2*ATAN(SQRT((1-F9)/(1+F9))*TAN(RADIANS(C31/2)))*M5))/M5)</f>
        <v>3.7175512533514237</v>
      </c>
      <c r="D32" s="342"/>
      <c r="E32" s="131"/>
      <c r="F32" s="131"/>
      <c r="G32" s="334"/>
      <c r="H32" s="334"/>
      <c r="I32" s="131"/>
      <c r="J32" s="131"/>
      <c r="K32" s="131"/>
      <c r="L32" s="131"/>
      <c r="M32" s="131"/>
      <c r="N32" s="131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31"/>
      <c r="Z32" s="216" t="s">
        <v>93</v>
      </c>
      <c r="AA32" s="217"/>
      <c r="AB32" s="217"/>
      <c r="AC32" s="217"/>
      <c r="AD32" s="218"/>
      <c r="AE32" s="327" t="e">
        <f>ABS(AE30+AE26)</f>
        <v>#NUM!</v>
      </c>
      <c r="AF32" s="328"/>
      <c r="AG32" s="329"/>
      <c r="AH32" s="330" t="s">
        <v>19</v>
      </c>
      <c r="AI32" s="331"/>
      <c r="AJ32" s="309"/>
      <c r="AK32" s="93"/>
    </row>
    <row r="33" spans="1:37" ht="16.5" thickBot="1" x14ac:dyDescent="0.3">
      <c r="A33" s="532" t="s">
        <v>107</v>
      </c>
      <c r="B33" s="533"/>
      <c r="C33" s="332">
        <f>SQRT((F8)^3/(I4))*(C32-(F9*SIN(C32)))/60</f>
        <v>54.896642069518528</v>
      </c>
      <c r="D33" s="333" t="s">
        <v>43</v>
      </c>
      <c r="E33" s="131"/>
      <c r="F33" s="131"/>
      <c r="G33" s="334"/>
      <c r="H33" s="334"/>
      <c r="I33" s="131"/>
      <c r="J33" s="131"/>
      <c r="K33" s="131"/>
      <c r="L33" s="131"/>
      <c r="M33" s="131"/>
      <c r="N33" s="131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31"/>
      <c r="Z33" s="319" t="s">
        <v>95</v>
      </c>
      <c r="AA33" s="320"/>
      <c r="AB33" s="320"/>
      <c r="AC33" s="320"/>
      <c r="AD33" s="321"/>
      <c r="AE33" s="322">
        <f>((-3/2)*((SQRT(I4))*M4*(I5)^2)/((1-F9^2)^2*(F8)^(7/2)))*(COS(RADIANS(B10)))*3600*24*M5</f>
        <v>-5.4613038169364252</v>
      </c>
      <c r="AF33" s="323"/>
      <c r="AG33" s="324"/>
      <c r="AH33" s="325" t="s">
        <v>96</v>
      </c>
      <c r="AI33" s="326"/>
      <c r="AJ33" s="309"/>
      <c r="AK33" s="93"/>
    </row>
    <row r="34" spans="1:37" ht="16.5" thickBot="1" x14ac:dyDescent="0.3">
      <c r="A34" s="94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31"/>
      <c r="Z34" s="216" t="s">
        <v>98</v>
      </c>
      <c r="AA34" s="217"/>
      <c r="AB34" s="217"/>
      <c r="AC34" s="217"/>
      <c r="AD34" s="218"/>
      <c r="AE34" s="327">
        <f>((-3/2)*((SQRT(I4))*M4*(I5)^2)/((1-F13^2)^2*(F12)^(7/2)))*(COS(RADIANS(B14)))*3600*24*M5</f>
        <v>-2.6196384516364891E-2</v>
      </c>
      <c r="AF34" s="328"/>
      <c r="AG34" s="329"/>
      <c r="AH34" s="307" t="s">
        <v>96</v>
      </c>
      <c r="AI34" s="308"/>
      <c r="AJ34" s="309"/>
      <c r="AK34" s="93"/>
    </row>
    <row r="35" spans="1:37" ht="15.75" customHeight="1" x14ac:dyDescent="0.25">
      <c r="A35" s="526" t="s">
        <v>319</v>
      </c>
      <c r="B35" s="527"/>
      <c r="C35" s="527"/>
      <c r="D35" s="527"/>
      <c r="E35" s="527"/>
      <c r="F35" s="527"/>
      <c r="G35" s="527"/>
      <c r="H35" s="527"/>
      <c r="I35" s="527"/>
      <c r="J35" s="527"/>
      <c r="K35" s="527"/>
      <c r="L35" s="527"/>
      <c r="M35" s="528"/>
      <c r="N35" s="131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31"/>
      <c r="Z35" s="311" t="s">
        <v>100</v>
      </c>
      <c r="AA35" s="312"/>
      <c r="AB35" s="312"/>
      <c r="AC35" s="312"/>
      <c r="AD35" s="313"/>
      <c r="AE35" s="314">
        <f>((-3/2)*((SQRT(I4))*M4*(I5)^2)/((1-F9^2)^2*(F8)^(7/2)))*(5/2*(SIN(RADIANS(B10))^2)-2)*3600*24*M5</f>
        <v>5.3076025607702073</v>
      </c>
      <c r="AF35" s="315"/>
      <c r="AG35" s="316"/>
      <c r="AH35" s="317" t="s">
        <v>96</v>
      </c>
      <c r="AI35" s="318"/>
      <c r="AJ35" s="309"/>
      <c r="AK35" s="93"/>
    </row>
    <row r="36" spans="1:37" ht="16.5" customHeight="1" thickBot="1" x14ac:dyDescent="0.3">
      <c r="A36" s="529"/>
      <c r="B36" s="530"/>
      <c r="C36" s="530"/>
      <c r="D36" s="530"/>
      <c r="E36" s="530"/>
      <c r="F36" s="530"/>
      <c r="G36" s="530"/>
      <c r="H36" s="530"/>
      <c r="I36" s="530"/>
      <c r="J36" s="530"/>
      <c r="K36" s="530"/>
      <c r="L36" s="530"/>
      <c r="M36" s="531"/>
      <c r="N36" s="131"/>
      <c r="O36" s="127" t="s">
        <v>108</v>
      </c>
      <c r="P36" s="127"/>
      <c r="Q36" s="127"/>
      <c r="R36" s="127"/>
      <c r="S36" s="127"/>
      <c r="T36" s="127"/>
      <c r="U36" s="127"/>
      <c r="V36" s="127"/>
      <c r="W36" s="127" t="s">
        <v>109</v>
      </c>
      <c r="X36" s="127"/>
      <c r="Y36" s="131"/>
      <c r="Z36" s="216" t="s">
        <v>103</v>
      </c>
      <c r="AA36" s="217"/>
      <c r="AB36" s="217"/>
      <c r="AC36" s="217"/>
      <c r="AD36" s="218"/>
      <c r="AE36" s="304">
        <f>((-3/2)*((SQRT(I4))*M4*(I5)^2)/((1-F13^2)^2*(F12)^(7/2)))*(5/2*(SIN(RADIANS(B14))^2)-2)*3600*24*M5</f>
        <v>5.0369703676633237E-2</v>
      </c>
      <c r="AF36" s="305"/>
      <c r="AG36" s="306"/>
      <c r="AH36" s="307" t="s">
        <v>96</v>
      </c>
      <c r="AI36" s="308"/>
      <c r="AJ36" s="303"/>
      <c r="AK36" s="98"/>
    </row>
    <row r="37" spans="1:37" ht="15" customHeight="1" x14ac:dyDescent="0.25">
      <c r="A37" s="520" t="s">
        <v>110</v>
      </c>
      <c r="B37" s="521"/>
      <c r="C37" s="522"/>
      <c r="D37" s="520" t="s">
        <v>111</v>
      </c>
      <c r="E37" s="521"/>
      <c r="F37" s="522"/>
      <c r="G37" s="520" t="s">
        <v>112</v>
      </c>
      <c r="H37" s="522"/>
      <c r="I37" s="520" t="s">
        <v>113</v>
      </c>
      <c r="J37" s="521"/>
      <c r="K37" s="521"/>
      <c r="L37" s="521"/>
      <c r="M37" s="522"/>
      <c r="N37" s="131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31"/>
      <c r="Z37" s="127"/>
      <c r="AA37" s="127"/>
      <c r="AB37" s="127"/>
      <c r="AC37" s="127"/>
      <c r="AD37" s="127"/>
      <c r="AE37" s="131"/>
      <c r="AF37" s="131"/>
      <c r="AG37" s="131"/>
      <c r="AH37" s="131"/>
      <c r="AI37" s="131"/>
      <c r="AJ37" s="131"/>
      <c r="AK37" s="95"/>
    </row>
    <row r="38" spans="1:37" ht="15.75" customHeight="1" thickBot="1" x14ac:dyDescent="0.3">
      <c r="A38" s="523"/>
      <c r="B38" s="524"/>
      <c r="C38" s="525"/>
      <c r="D38" s="523"/>
      <c r="E38" s="524"/>
      <c r="F38" s="525"/>
      <c r="G38" s="523"/>
      <c r="H38" s="525"/>
      <c r="I38" s="523"/>
      <c r="J38" s="524"/>
      <c r="K38" s="524"/>
      <c r="L38" s="524"/>
      <c r="M38" s="525"/>
      <c r="N38" s="131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31"/>
      <c r="Z38" s="127"/>
      <c r="AA38" s="127"/>
      <c r="AB38" s="127"/>
      <c r="AC38" s="127"/>
      <c r="AD38" s="127"/>
      <c r="AE38" s="131"/>
      <c r="AF38" s="131"/>
      <c r="AG38" s="131"/>
      <c r="AH38" s="131"/>
      <c r="AI38" s="131"/>
      <c r="AJ38" s="131"/>
      <c r="AK38" s="95"/>
    </row>
    <row r="39" spans="1:37" ht="18.75" customHeight="1" thickBot="1" x14ac:dyDescent="0.3">
      <c r="A39" s="277"/>
      <c r="B39" s="301"/>
      <c r="C39" s="301"/>
      <c r="D39" s="503" t="s">
        <v>114</v>
      </c>
      <c r="E39" s="275">
        <v>333</v>
      </c>
      <c r="F39" s="276" t="s">
        <v>34</v>
      </c>
      <c r="G39" s="277" t="s">
        <v>115</v>
      </c>
      <c r="H39" s="278"/>
      <c r="I39" s="279" t="s">
        <v>116</v>
      </c>
      <c r="J39" s="280"/>
      <c r="K39" s="283">
        <f>(I6)*(E39)*LN(E43/E47)</f>
        <v>4317.8194551454426</v>
      </c>
      <c r="L39" s="284"/>
      <c r="M39" s="278" t="s">
        <v>117</v>
      </c>
      <c r="N39" s="131"/>
      <c r="O39" s="517" t="s">
        <v>118</v>
      </c>
      <c r="P39" s="518"/>
      <c r="Q39" s="518"/>
      <c r="R39" s="518"/>
      <c r="S39" s="518"/>
      <c r="T39" s="518"/>
      <c r="U39" s="518"/>
      <c r="V39" s="518"/>
      <c r="W39" s="518"/>
      <c r="X39" s="519"/>
      <c r="Y39" s="131"/>
      <c r="Z39" s="127"/>
      <c r="AA39" s="127"/>
      <c r="AB39" s="127"/>
      <c r="AC39" s="127"/>
      <c r="AD39" s="127"/>
      <c r="AE39" s="131"/>
      <c r="AF39" s="131"/>
      <c r="AG39" s="131"/>
      <c r="AH39" s="131"/>
      <c r="AI39" s="131"/>
      <c r="AJ39" s="131"/>
      <c r="AK39" s="95"/>
    </row>
    <row r="40" spans="1:37" ht="15.75" x14ac:dyDescent="0.25">
      <c r="A40" s="133"/>
      <c r="B40" s="134"/>
      <c r="C40" s="134"/>
      <c r="D40" s="504"/>
      <c r="E40" s="257"/>
      <c r="F40" s="259"/>
      <c r="G40" s="133"/>
      <c r="H40" s="255"/>
      <c r="I40" s="281"/>
      <c r="J40" s="262"/>
      <c r="K40" s="264"/>
      <c r="L40" s="265"/>
      <c r="M40" s="255"/>
      <c r="N40" s="131"/>
      <c r="O40" s="515" t="s">
        <v>119</v>
      </c>
      <c r="P40" s="477"/>
      <c r="Q40" s="477"/>
      <c r="R40" s="477"/>
      <c r="S40" s="478"/>
      <c r="T40" s="1163">
        <f>B8</f>
        <v>6789</v>
      </c>
      <c r="U40" s="477"/>
      <c r="V40" s="478"/>
      <c r="W40" s="476" t="s">
        <v>12</v>
      </c>
      <c r="X40" s="481"/>
      <c r="Y40" s="131"/>
      <c r="Z40" s="127"/>
      <c r="AA40" s="127"/>
      <c r="AB40" s="127"/>
      <c r="AC40" s="127"/>
      <c r="AD40" s="127"/>
      <c r="AE40" s="131"/>
      <c r="AF40" s="131"/>
      <c r="AG40" s="131"/>
      <c r="AH40" s="131"/>
      <c r="AI40" s="131"/>
      <c r="AJ40" s="131"/>
      <c r="AK40" s="95"/>
    </row>
    <row r="41" spans="1:37" ht="16.5" thickBot="1" x14ac:dyDescent="0.3">
      <c r="A41" s="133"/>
      <c r="B41" s="134"/>
      <c r="C41" s="134"/>
      <c r="D41" s="504"/>
      <c r="E41" s="257"/>
      <c r="F41" s="259"/>
      <c r="G41" s="261"/>
      <c r="H41" s="256"/>
      <c r="I41" s="282"/>
      <c r="J41" s="263"/>
      <c r="K41" s="266"/>
      <c r="L41" s="267"/>
      <c r="M41" s="256"/>
      <c r="N41" s="131"/>
      <c r="O41" s="516" t="s">
        <v>120</v>
      </c>
      <c r="P41" s="479"/>
      <c r="Q41" s="479"/>
      <c r="R41" s="479"/>
      <c r="S41" s="480"/>
      <c r="T41" s="1164">
        <f>B9</f>
        <v>6789</v>
      </c>
      <c r="U41" s="479"/>
      <c r="V41" s="480"/>
      <c r="W41" s="456" t="s">
        <v>12</v>
      </c>
      <c r="X41" s="457"/>
      <c r="Y41" s="131"/>
      <c r="Z41" s="127"/>
      <c r="AA41" s="127"/>
      <c r="AB41" s="127"/>
      <c r="AC41" s="127"/>
      <c r="AD41" s="127"/>
      <c r="AE41" s="131"/>
      <c r="AF41" s="131"/>
      <c r="AG41" s="131"/>
      <c r="AH41" s="131"/>
      <c r="AI41" s="131"/>
      <c r="AJ41" s="131"/>
      <c r="AK41" s="95"/>
    </row>
    <row r="42" spans="1:37" ht="15.75" customHeight="1" thickBot="1" x14ac:dyDescent="0.3">
      <c r="A42" s="133"/>
      <c r="B42" s="134"/>
      <c r="C42" s="134"/>
      <c r="D42" s="505"/>
      <c r="E42" s="258"/>
      <c r="F42" s="260"/>
      <c r="G42" s="277" t="s">
        <v>121</v>
      </c>
      <c r="H42" s="278"/>
      <c r="I42" s="279" t="s">
        <v>122</v>
      </c>
      <c r="J42" s="280"/>
      <c r="K42" s="283">
        <f>(E47)*EXP((E51)/(I6*E39))</f>
        <v>4005.2539579400436</v>
      </c>
      <c r="L42" s="284"/>
      <c r="M42" s="278" t="s">
        <v>123</v>
      </c>
      <c r="N42" s="131"/>
      <c r="O42" s="295"/>
      <c r="P42" s="296"/>
      <c r="Q42" s="296"/>
      <c r="R42" s="296"/>
      <c r="S42" s="296"/>
      <c r="T42" s="296"/>
      <c r="U42" s="296"/>
      <c r="V42" s="296"/>
      <c r="W42" s="296"/>
      <c r="X42" s="297"/>
      <c r="Y42" s="131"/>
      <c r="Z42" s="132" t="s">
        <v>80</v>
      </c>
      <c r="AA42" s="127"/>
      <c r="AB42" s="127"/>
      <c r="AC42" s="127"/>
      <c r="AD42" s="127"/>
      <c r="AE42" s="131"/>
      <c r="AF42" s="131"/>
      <c r="AG42" s="131"/>
      <c r="AH42" s="131"/>
      <c r="AI42" s="131"/>
      <c r="AJ42" s="131"/>
      <c r="AK42" s="95"/>
    </row>
    <row r="43" spans="1:37" ht="18" customHeight="1" x14ac:dyDescent="0.25">
      <c r="A43" s="133"/>
      <c r="B43" s="134"/>
      <c r="C43" s="134"/>
      <c r="D43" s="503" t="s">
        <v>124</v>
      </c>
      <c r="E43" s="275">
        <v>15000</v>
      </c>
      <c r="F43" s="276" t="s">
        <v>123</v>
      </c>
      <c r="G43" s="133"/>
      <c r="H43" s="255"/>
      <c r="I43" s="281"/>
      <c r="J43" s="262"/>
      <c r="K43" s="264"/>
      <c r="L43" s="265"/>
      <c r="M43" s="255"/>
      <c r="N43" s="131"/>
      <c r="O43" s="512" t="s">
        <v>125</v>
      </c>
      <c r="P43" s="513"/>
      <c r="Q43" s="513"/>
      <c r="R43" s="513"/>
      <c r="S43" s="514"/>
      <c r="T43" s="298">
        <v>0.3024</v>
      </c>
      <c r="U43" s="299"/>
      <c r="V43" s="300"/>
      <c r="W43" s="285" t="s">
        <v>19</v>
      </c>
      <c r="X43" s="286"/>
      <c r="Y43" s="131"/>
      <c r="Z43" s="127"/>
      <c r="AA43" s="127"/>
      <c r="AB43" s="127"/>
      <c r="AC43" s="127"/>
      <c r="AD43" s="127"/>
      <c r="AE43" s="131"/>
      <c r="AF43" s="131"/>
      <c r="AG43" s="131"/>
      <c r="AH43" s="131"/>
      <c r="AI43" s="131"/>
      <c r="AJ43" s="131"/>
      <c r="AK43" s="95"/>
    </row>
    <row r="44" spans="1:37" ht="18.75" thickBot="1" x14ac:dyDescent="0.3">
      <c r="A44" s="133"/>
      <c r="B44" s="134"/>
      <c r="C44" s="134"/>
      <c r="D44" s="504"/>
      <c r="E44" s="257"/>
      <c r="F44" s="259"/>
      <c r="G44" s="261"/>
      <c r="H44" s="256"/>
      <c r="I44" s="282"/>
      <c r="J44" s="263"/>
      <c r="K44" s="266"/>
      <c r="L44" s="267"/>
      <c r="M44" s="256"/>
      <c r="N44" s="131"/>
      <c r="O44" s="506" t="s">
        <v>126</v>
      </c>
      <c r="P44" s="507"/>
      <c r="Q44" s="507"/>
      <c r="R44" s="507"/>
      <c r="S44" s="508"/>
      <c r="T44" s="288">
        <v>105.99047788690618</v>
      </c>
      <c r="U44" s="289"/>
      <c r="V44" s="290"/>
      <c r="W44" s="287" t="s">
        <v>83</v>
      </c>
      <c r="X44" s="291"/>
      <c r="Y44" s="131"/>
      <c r="Z44" s="127"/>
      <c r="AA44" s="127"/>
      <c r="AB44" s="127"/>
      <c r="AC44" s="127"/>
      <c r="AD44" s="127"/>
      <c r="AE44" s="131"/>
      <c r="AF44" s="131"/>
      <c r="AG44" s="131"/>
      <c r="AH44" s="131"/>
      <c r="AI44" s="131"/>
      <c r="AJ44" s="131"/>
      <c r="AK44" s="95"/>
    </row>
    <row r="45" spans="1:37" ht="18.75" customHeight="1" thickBot="1" x14ac:dyDescent="0.3">
      <c r="A45" s="133"/>
      <c r="B45" s="134"/>
      <c r="C45" s="134"/>
      <c r="D45" s="504"/>
      <c r="E45" s="257"/>
      <c r="F45" s="259"/>
      <c r="G45" s="277" t="s">
        <v>127</v>
      </c>
      <c r="H45" s="278"/>
      <c r="I45" s="279" t="s">
        <v>128</v>
      </c>
      <c r="J45" s="280"/>
      <c r="K45" s="283">
        <f>(E43)/EXP((E51)/(I6*E39))</f>
        <v>14980.323502597277</v>
      </c>
      <c r="L45" s="284"/>
      <c r="M45" s="278" t="s">
        <v>123</v>
      </c>
      <c r="N45" s="131"/>
      <c r="O45" s="509" t="s">
        <v>129</v>
      </c>
      <c r="P45" s="510"/>
      <c r="Q45" s="510"/>
      <c r="R45" s="510"/>
      <c r="S45" s="511"/>
      <c r="T45" s="292">
        <v>10.51998092593187</v>
      </c>
      <c r="U45" s="293"/>
      <c r="V45" s="294"/>
      <c r="W45" s="273" t="s">
        <v>83</v>
      </c>
      <c r="X45" s="274"/>
      <c r="Y45" s="131"/>
      <c r="Z45" s="127"/>
      <c r="AA45" s="127"/>
      <c r="AB45" s="127"/>
      <c r="AC45" s="127"/>
      <c r="AD45" s="127"/>
      <c r="AE45" s="131"/>
      <c r="AF45" s="131"/>
      <c r="AG45" s="131"/>
      <c r="AH45" s="131"/>
      <c r="AI45" s="131"/>
      <c r="AJ45" s="131"/>
      <c r="AK45" s="95"/>
    </row>
    <row r="46" spans="1:37" ht="15.75" customHeight="1" thickBot="1" x14ac:dyDescent="0.3">
      <c r="A46" s="133"/>
      <c r="B46" s="134"/>
      <c r="C46" s="134"/>
      <c r="D46" s="505"/>
      <c r="E46" s="258"/>
      <c r="F46" s="260"/>
      <c r="G46" s="133"/>
      <c r="H46" s="255"/>
      <c r="I46" s="281"/>
      <c r="J46" s="262"/>
      <c r="K46" s="264"/>
      <c r="L46" s="265"/>
      <c r="M46" s="255"/>
      <c r="N46" s="131"/>
      <c r="O46" s="494" t="s">
        <v>130</v>
      </c>
      <c r="P46" s="495"/>
      <c r="Q46" s="495"/>
      <c r="R46" s="495"/>
      <c r="S46" s="495"/>
      <c r="T46" s="495"/>
      <c r="U46" s="495"/>
      <c r="V46" s="495"/>
      <c r="W46" s="495"/>
      <c r="X46" s="496"/>
      <c r="Y46" s="131"/>
      <c r="Z46" s="127"/>
      <c r="AA46" s="127"/>
      <c r="AB46" s="127"/>
      <c r="AC46" s="127"/>
      <c r="AD46" s="127"/>
      <c r="AE46" s="131"/>
      <c r="AF46" s="131"/>
      <c r="AG46" s="131"/>
      <c r="AH46" s="131"/>
      <c r="AI46" s="131"/>
      <c r="AJ46" s="131"/>
      <c r="AK46" s="95"/>
    </row>
    <row r="47" spans="1:37" ht="15.75" customHeight="1" thickBot="1" x14ac:dyDescent="0.3">
      <c r="A47" s="133"/>
      <c r="B47" s="134"/>
      <c r="C47" s="134"/>
      <c r="D47" s="503" t="s">
        <v>131</v>
      </c>
      <c r="E47" s="275">
        <v>4000</v>
      </c>
      <c r="F47" s="276" t="s">
        <v>123</v>
      </c>
      <c r="G47" s="261"/>
      <c r="H47" s="256"/>
      <c r="I47" s="282"/>
      <c r="J47" s="263"/>
      <c r="K47" s="266"/>
      <c r="L47" s="267"/>
      <c r="M47" s="256"/>
      <c r="N47" s="131"/>
      <c r="O47" s="497"/>
      <c r="P47" s="498"/>
      <c r="Q47" s="498"/>
      <c r="R47" s="498"/>
      <c r="S47" s="498"/>
      <c r="T47" s="498"/>
      <c r="U47" s="498"/>
      <c r="V47" s="498"/>
      <c r="W47" s="498"/>
      <c r="X47" s="499"/>
      <c r="Y47" s="131"/>
      <c r="Z47" s="127"/>
      <c r="AA47" s="127"/>
      <c r="AB47" s="127"/>
      <c r="AC47" s="127"/>
      <c r="AD47" s="127"/>
      <c r="AE47" s="131"/>
      <c r="AF47" s="131"/>
      <c r="AG47" s="131"/>
      <c r="AH47" s="131"/>
      <c r="AI47" s="131"/>
      <c r="AJ47" s="131"/>
      <c r="AK47" s="95"/>
    </row>
    <row r="48" spans="1:37" ht="15.75" customHeight="1" x14ac:dyDescent="0.25">
      <c r="A48" s="133"/>
      <c r="B48" s="134"/>
      <c r="C48" s="134"/>
      <c r="D48" s="504"/>
      <c r="E48" s="257"/>
      <c r="F48" s="259"/>
      <c r="G48" s="277" t="s">
        <v>121</v>
      </c>
      <c r="H48" s="278"/>
      <c r="I48" s="279" t="s">
        <v>132</v>
      </c>
      <c r="J48" s="280"/>
      <c r="K48" s="283">
        <f>((EXP(E51/(I6*E39)))-1)*(E47)</f>
        <v>5.2539579400434633</v>
      </c>
      <c r="L48" s="284"/>
      <c r="M48" s="278" t="s">
        <v>123</v>
      </c>
      <c r="N48" s="131"/>
      <c r="O48" s="500" t="s">
        <v>133</v>
      </c>
      <c r="P48" s="501"/>
      <c r="Q48" s="501"/>
      <c r="R48" s="501"/>
      <c r="S48" s="502"/>
      <c r="T48" s="268">
        <f>F9</f>
        <v>0</v>
      </c>
      <c r="U48" s="269"/>
      <c r="V48" s="270"/>
      <c r="W48" s="271"/>
      <c r="X48" s="272"/>
      <c r="Y48" s="131"/>
      <c r="Z48" s="127"/>
      <c r="AA48" s="127"/>
      <c r="AB48" s="127"/>
      <c r="AC48" s="127"/>
      <c r="AD48" s="127"/>
      <c r="AE48" s="131"/>
      <c r="AF48" s="131"/>
      <c r="AG48" s="131"/>
      <c r="AH48" s="131"/>
      <c r="AI48" s="131"/>
      <c r="AJ48" s="131"/>
      <c r="AK48" s="95"/>
    </row>
    <row r="49" spans="1:37" ht="15.75" x14ac:dyDescent="0.25">
      <c r="A49" s="133"/>
      <c r="B49" s="134"/>
      <c r="C49" s="134"/>
      <c r="D49" s="504"/>
      <c r="E49" s="257"/>
      <c r="F49" s="259"/>
      <c r="G49" s="133"/>
      <c r="H49" s="255"/>
      <c r="I49" s="281"/>
      <c r="J49" s="262"/>
      <c r="K49" s="264"/>
      <c r="L49" s="265"/>
      <c r="M49" s="255"/>
      <c r="N49" s="131"/>
      <c r="O49" s="485" t="s">
        <v>134</v>
      </c>
      <c r="P49" s="486"/>
      <c r="Q49" s="486"/>
      <c r="R49" s="486"/>
      <c r="S49" s="487"/>
      <c r="T49" s="234">
        <f>F8</f>
        <v>6789</v>
      </c>
      <c r="U49" s="235"/>
      <c r="V49" s="236"/>
      <c r="W49" s="224" t="s">
        <v>12</v>
      </c>
      <c r="X49" s="228"/>
      <c r="Y49" s="131"/>
      <c r="Z49" s="127"/>
      <c r="AA49" s="127"/>
      <c r="AB49" s="127"/>
      <c r="AC49" s="127"/>
      <c r="AD49" s="127"/>
      <c r="AE49" s="131"/>
      <c r="AF49" s="131"/>
      <c r="AG49" s="131"/>
      <c r="AH49" s="131"/>
      <c r="AI49" s="131"/>
      <c r="AJ49" s="131"/>
      <c r="AK49" s="95"/>
    </row>
    <row r="50" spans="1:37" ht="19.5" thickBot="1" x14ac:dyDescent="0.3">
      <c r="A50" s="133"/>
      <c r="B50" s="134"/>
      <c r="C50" s="134"/>
      <c r="D50" s="505"/>
      <c r="E50" s="258"/>
      <c r="F50" s="260"/>
      <c r="G50" s="261"/>
      <c r="H50" s="256"/>
      <c r="I50" s="282"/>
      <c r="J50" s="263"/>
      <c r="K50" s="266"/>
      <c r="L50" s="267"/>
      <c r="M50" s="256"/>
      <c r="N50" s="131"/>
      <c r="O50" s="485" t="s">
        <v>135</v>
      </c>
      <c r="P50" s="486"/>
      <c r="Q50" s="486"/>
      <c r="R50" s="486"/>
      <c r="S50" s="487"/>
      <c r="T50" s="242">
        <f>F10</f>
        <v>52020.144175117392</v>
      </c>
      <c r="U50" s="243"/>
      <c r="V50" s="244"/>
      <c r="W50" s="224" t="s">
        <v>37</v>
      </c>
      <c r="X50" s="228"/>
      <c r="Y50" s="131"/>
      <c r="Z50" s="127"/>
      <c r="AA50" s="127"/>
      <c r="AB50" s="127"/>
      <c r="AC50" s="127"/>
      <c r="AD50" s="127"/>
      <c r="AE50" s="131"/>
      <c r="AF50" s="131"/>
      <c r="AG50" s="131"/>
      <c r="AH50" s="131"/>
      <c r="AI50" s="131"/>
      <c r="AJ50" s="131"/>
      <c r="AK50" s="95"/>
    </row>
    <row r="51" spans="1:37" ht="15.75" customHeight="1" x14ac:dyDescent="0.25">
      <c r="A51" s="133"/>
      <c r="B51" s="134"/>
      <c r="C51" s="134"/>
      <c r="D51" s="503" t="s">
        <v>116</v>
      </c>
      <c r="E51" s="257">
        <v>4.2880000000000003</v>
      </c>
      <c r="F51" s="259" t="s">
        <v>117</v>
      </c>
      <c r="G51" s="133" t="s">
        <v>127</v>
      </c>
      <c r="H51" s="255"/>
      <c r="I51" s="262" t="s">
        <v>132</v>
      </c>
      <c r="J51" s="262"/>
      <c r="K51" s="264">
        <f>(E43)*(1-EXP(-(E51)/(I6*E39)))</f>
        <v>19.676497402722482</v>
      </c>
      <c r="L51" s="265"/>
      <c r="M51" s="255" t="s">
        <v>123</v>
      </c>
      <c r="N51" s="131"/>
      <c r="O51" s="485" t="s">
        <v>136</v>
      </c>
      <c r="P51" s="486"/>
      <c r="Q51" s="486"/>
      <c r="R51" s="486"/>
      <c r="S51" s="487"/>
      <c r="T51" s="234">
        <f>(((T50)^2)/I4)*(1+(T48*COS(RADIANS(T44))))^-1</f>
        <v>6789</v>
      </c>
      <c r="U51" s="235"/>
      <c r="V51" s="236"/>
      <c r="W51" s="224" t="s">
        <v>12</v>
      </c>
      <c r="X51" s="228"/>
      <c r="Y51" s="131"/>
      <c r="Z51" s="127"/>
      <c r="AA51" s="127"/>
      <c r="AB51" s="127"/>
      <c r="AC51" s="127"/>
      <c r="AD51" s="127"/>
      <c r="AE51" s="131"/>
      <c r="AF51" s="131"/>
      <c r="AG51" s="131"/>
      <c r="AH51" s="131"/>
      <c r="AI51" s="131"/>
      <c r="AJ51" s="131"/>
      <c r="AK51" s="95"/>
    </row>
    <row r="52" spans="1:37" ht="18.75" x14ac:dyDescent="0.25">
      <c r="A52" s="133"/>
      <c r="B52" s="134"/>
      <c r="C52" s="134"/>
      <c r="D52" s="504"/>
      <c r="E52" s="257"/>
      <c r="F52" s="259"/>
      <c r="G52" s="133"/>
      <c r="H52" s="255"/>
      <c r="I52" s="262"/>
      <c r="J52" s="262"/>
      <c r="K52" s="264"/>
      <c r="L52" s="265"/>
      <c r="M52" s="255"/>
      <c r="N52" s="131"/>
      <c r="O52" s="485" t="s">
        <v>137</v>
      </c>
      <c r="P52" s="486"/>
      <c r="Q52" s="486"/>
      <c r="R52" s="486"/>
      <c r="S52" s="487"/>
      <c r="T52" s="239">
        <f>I8</f>
        <v>-29.356311680659893</v>
      </c>
      <c r="U52" s="240"/>
      <c r="V52" s="241"/>
      <c r="W52" s="224" t="s">
        <v>30</v>
      </c>
      <c r="X52" s="228"/>
      <c r="Y52" s="131"/>
      <c r="Z52" s="127"/>
      <c r="AA52" s="127"/>
      <c r="AB52" s="127"/>
      <c r="AC52" s="127"/>
      <c r="AD52" s="127"/>
      <c r="AE52" s="131"/>
      <c r="AF52" s="131"/>
      <c r="AG52" s="131"/>
      <c r="AH52" s="131"/>
      <c r="AI52" s="131"/>
      <c r="AJ52" s="131"/>
      <c r="AK52" s="95"/>
    </row>
    <row r="53" spans="1:37" ht="15.75" x14ac:dyDescent="0.25">
      <c r="A53" s="133"/>
      <c r="B53" s="134"/>
      <c r="C53" s="134"/>
      <c r="D53" s="504"/>
      <c r="E53" s="257"/>
      <c r="F53" s="259"/>
      <c r="G53" s="133"/>
      <c r="H53" s="255"/>
      <c r="I53" s="262"/>
      <c r="J53" s="262"/>
      <c r="K53" s="264"/>
      <c r="L53" s="265"/>
      <c r="M53" s="255"/>
      <c r="N53" s="131"/>
      <c r="O53" s="485" t="s">
        <v>138</v>
      </c>
      <c r="P53" s="486"/>
      <c r="Q53" s="486"/>
      <c r="R53" s="486"/>
      <c r="S53" s="487"/>
      <c r="T53" s="239">
        <f>SQRT(2*((I4/T51)+(T52)))</f>
        <v>7.6624162873939303</v>
      </c>
      <c r="U53" s="240"/>
      <c r="V53" s="241"/>
      <c r="W53" s="224" t="s">
        <v>19</v>
      </c>
      <c r="X53" s="228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95"/>
    </row>
    <row r="54" spans="1:37" ht="16.5" thickBot="1" x14ac:dyDescent="0.3">
      <c r="A54" s="261"/>
      <c r="B54" s="302"/>
      <c r="C54" s="302"/>
      <c r="D54" s="505"/>
      <c r="E54" s="258"/>
      <c r="F54" s="260"/>
      <c r="G54" s="261"/>
      <c r="H54" s="256"/>
      <c r="I54" s="263"/>
      <c r="J54" s="263"/>
      <c r="K54" s="266"/>
      <c r="L54" s="267"/>
      <c r="M54" s="256"/>
      <c r="N54" s="131"/>
      <c r="O54" s="485" t="s">
        <v>139</v>
      </c>
      <c r="P54" s="486"/>
      <c r="Q54" s="486"/>
      <c r="R54" s="486"/>
      <c r="S54" s="487"/>
      <c r="T54" s="225">
        <f>IF(T44&lt;180,(ACOS(T50/(T51*T53))*M5),(ACOS(T50/(T51*T53))*M5*-1))</f>
        <v>0</v>
      </c>
      <c r="U54" s="226"/>
      <c r="V54" s="227"/>
      <c r="W54" s="224" t="s">
        <v>83</v>
      </c>
      <c r="X54" s="228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95"/>
    </row>
    <row r="55" spans="1:37" ht="15.75" x14ac:dyDescent="0.25">
      <c r="A55" s="133"/>
      <c r="B55" s="134"/>
      <c r="C55" s="134"/>
      <c r="D55" s="134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485" t="s">
        <v>140</v>
      </c>
      <c r="P55" s="486"/>
      <c r="Q55" s="486"/>
      <c r="R55" s="486"/>
      <c r="S55" s="487"/>
      <c r="T55" s="239">
        <f>T53*COS(RADIANS(T54))</f>
        <v>7.6624162873939303</v>
      </c>
      <c r="U55" s="240"/>
      <c r="V55" s="241"/>
      <c r="W55" s="224" t="s">
        <v>19</v>
      </c>
      <c r="X55" s="228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95"/>
    </row>
    <row r="56" spans="1:37" ht="15.75" x14ac:dyDescent="0.25">
      <c r="A56" s="133"/>
      <c r="B56" s="134"/>
      <c r="C56" s="134"/>
      <c r="D56" s="134"/>
      <c r="E56" s="131"/>
      <c r="F56" s="131"/>
      <c r="G56" s="131"/>
      <c r="I56" s="131"/>
      <c r="J56" s="131"/>
      <c r="K56" s="131"/>
      <c r="L56" s="131"/>
      <c r="M56" s="131"/>
      <c r="N56" s="131"/>
      <c r="O56" s="485" t="s">
        <v>141</v>
      </c>
      <c r="P56" s="486"/>
      <c r="Q56" s="486"/>
      <c r="R56" s="486"/>
      <c r="S56" s="487"/>
      <c r="T56" s="239">
        <f>T53*SIN(RADIANS(T54))</f>
        <v>0</v>
      </c>
      <c r="U56" s="240"/>
      <c r="V56" s="241"/>
      <c r="W56" s="224" t="s">
        <v>19</v>
      </c>
      <c r="X56" s="228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95"/>
    </row>
    <row r="57" spans="1:37" ht="15.75" x14ac:dyDescent="0.25">
      <c r="A57" s="133"/>
      <c r="B57" s="134"/>
      <c r="C57" s="134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485" t="s">
        <v>142</v>
      </c>
      <c r="P57" s="486"/>
      <c r="Q57" s="486"/>
      <c r="R57" s="486"/>
      <c r="S57" s="487"/>
      <c r="T57" s="239">
        <f>(T43)*COS(RADIANS(T45))</f>
        <v>0.29731704798437492</v>
      </c>
      <c r="U57" s="240"/>
      <c r="V57" s="241"/>
      <c r="W57" s="224" t="s">
        <v>19</v>
      </c>
      <c r="X57" s="228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95"/>
    </row>
    <row r="58" spans="1:37" ht="16.5" thickBot="1" x14ac:dyDescent="0.3">
      <c r="A58" s="133"/>
      <c r="B58" s="134"/>
      <c r="C58" s="134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458" t="s">
        <v>143</v>
      </c>
      <c r="P58" s="459"/>
      <c r="Q58" s="459"/>
      <c r="R58" s="459"/>
      <c r="S58" s="460"/>
      <c r="T58" s="246">
        <f>T43*SIN(RADIANS(T45))</f>
        <v>5.5211710513775138E-2</v>
      </c>
      <c r="U58" s="247"/>
      <c r="V58" s="248"/>
      <c r="W58" s="245" t="s">
        <v>19</v>
      </c>
      <c r="X58" s="249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95"/>
    </row>
    <row r="59" spans="1:37" ht="15" customHeight="1" x14ac:dyDescent="0.25">
      <c r="A59" s="94"/>
      <c r="B59" s="131"/>
      <c r="C59" s="131"/>
      <c r="D59" s="131"/>
      <c r="E59" s="131"/>
      <c r="F59" s="131"/>
      <c r="G59" s="131"/>
      <c r="H59" s="131"/>
      <c r="I59" s="131"/>
      <c r="J59" s="131"/>
      <c r="L59" s="131"/>
      <c r="M59" s="131"/>
      <c r="N59" s="131"/>
      <c r="O59" s="494" t="s">
        <v>144</v>
      </c>
      <c r="P59" s="495"/>
      <c r="Q59" s="495"/>
      <c r="R59" s="495"/>
      <c r="S59" s="495"/>
      <c r="T59" s="495"/>
      <c r="U59" s="495"/>
      <c r="V59" s="495"/>
      <c r="W59" s="495"/>
      <c r="X59" s="496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95"/>
    </row>
    <row r="60" spans="1:37" ht="15.75" customHeight="1" thickBot="1" x14ac:dyDescent="0.3">
      <c r="A60" s="94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497"/>
      <c r="P60" s="498"/>
      <c r="Q60" s="498"/>
      <c r="R60" s="498"/>
      <c r="S60" s="498"/>
      <c r="T60" s="498"/>
      <c r="U60" s="498"/>
      <c r="V60" s="498"/>
      <c r="W60" s="498"/>
      <c r="X60" s="499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95"/>
    </row>
    <row r="61" spans="1:37" ht="15.75" x14ac:dyDescent="0.25">
      <c r="A61" s="94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500" t="s">
        <v>145</v>
      </c>
      <c r="P61" s="501"/>
      <c r="Q61" s="501"/>
      <c r="R61" s="501"/>
      <c r="S61" s="502"/>
      <c r="T61" s="251">
        <f>SQRT((T55+T57)^2+(T56+T58)^2)</f>
        <v>7.9599248176920927</v>
      </c>
      <c r="U61" s="252"/>
      <c r="V61" s="253"/>
      <c r="W61" s="250" t="s">
        <v>19</v>
      </c>
      <c r="X61" s="254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95"/>
    </row>
    <row r="62" spans="1:37" ht="18.75" x14ac:dyDescent="0.25">
      <c r="A62" s="94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485" t="s">
        <v>135</v>
      </c>
      <c r="P62" s="486"/>
      <c r="Q62" s="486"/>
      <c r="R62" s="486"/>
      <c r="S62" s="487"/>
      <c r="T62" s="242">
        <f>T50+(T51*T57)</f>
        <v>54038.629613883313</v>
      </c>
      <c r="U62" s="243"/>
      <c r="V62" s="244"/>
      <c r="W62" s="224" t="s">
        <v>37</v>
      </c>
      <c r="X62" s="228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95"/>
    </row>
    <row r="63" spans="1:37" ht="18.75" x14ac:dyDescent="0.25">
      <c r="A63" s="94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485" t="s">
        <v>137</v>
      </c>
      <c r="P63" s="486"/>
      <c r="Q63" s="486"/>
      <c r="R63" s="486"/>
      <c r="S63" s="487"/>
      <c r="T63" s="239">
        <f>-(I4)/(2*T64)</f>
        <v>-27.032421809664534</v>
      </c>
      <c r="U63" s="240"/>
      <c r="V63" s="241"/>
      <c r="W63" s="224" t="s">
        <v>30</v>
      </c>
      <c r="X63" s="228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95"/>
    </row>
    <row r="64" spans="1:37" ht="15.75" x14ac:dyDescent="0.25">
      <c r="A64" s="94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485" t="s">
        <v>134</v>
      </c>
      <c r="P64" s="486"/>
      <c r="Q64" s="486"/>
      <c r="R64" s="486"/>
      <c r="S64" s="487"/>
      <c r="T64" s="234">
        <f>ABS((T51*I4)/(T51*(T61^2)-(2*I4)))</f>
        <v>7372.6283720812235</v>
      </c>
      <c r="U64" s="235"/>
      <c r="V64" s="236"/>
      <c r="W64" s="224" t="s">
        <v>12</v>
      </c>
      <c r="X64" s="228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95"/>
    </row>
    <row r="65" spans="1:37" ht="15.75" x14ac:dyDescent="0.25">
      <c r="A65" s="94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485" t="s">
        <v>133</v>
      </c>
      <c r="P65" s="486"/>
      <c r="Q65" s="486"/>
      <c r="R65" s="486"/>
      <c r="S65" s="487"/>
      <c r="T65" s="239">
        <f>SQRT(1-((T62^2)/(Mu*T64)))</f>
        <v>7.946290771123421E-2</v>
      </c>
      <c r="U65" s="240"/>
      <c r="V65" s="241"/>
      <c r="W65" s="224"/>
      <c r="X65" s="228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95"/>
    </row>
    <row r="66" spans="1:37" ht="15.75" x14ac:dyDescent="0.25">
      <c r="A66" s="94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488" t="s">
        <v>146</v>
      </c>
      <c r="P66" s="489"/>
      <c r="Q66" s="489"/>
      <c r="R66" s="489"/>
      <c r="S66" s="490"/>
      <c r="T66" s="452">
        <f>(T62^2)/(I4*(1+T65))</f>
        <v>6786.7778841613072</v>
      </c>
      <c r="U66" s="450"/>
      <c r="V66" s="453"/>
      <c r="W66" s="245" t="s">
        <v>12</v>
      </c>
      <c r="X66" s="249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95"/>
    </row>
    <row r="67" spans="1:37" ht="15.75" x14ac:dyDescent="0.25">
      <c r="A67" s="94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491" t="s">
        <v>147</v>
      </c>
      <c r="P67" s="492"/>
      <c r="Q67" s="492"/>
      <c r="R67" s="492"/>
      <c r="S67" s="493"/>
      <c r="T67" s="449">
        <f>(2*T64)-T66</f>
        <v>7958.4788600011398</v>
      </c>
      <c r="U67" s="390"/>
      <c r="V67" s="391"/>
      <c r="W67" s="237" t="s">
        <v>12</v>
      </c>
      <c r="X67" s="238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95"/>
    </row>
    <row r="68" spans="1:37" ht="15.75" x14ac:dyDescent="0.25">
      <c r="A68" s="94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482" t="s">
        <v>148</v>
      </c>
      <c r="P68" s="483"/>
      <c r="Q68" s="483"/>
      <c r="R68" s="483"/>
      <c r="S68" s="484"/>
      <c r="T68" s="454">
        <f>(ACOS((T64*(1-(T65)^2)-T51)/(T51*T65)))*M5</f>
        <v>5.4050630315961641</v>
      </c>
      <c r="U68" s="451"/>
      <c r="V68" s="455"/>
      <c r="W68" s="271" t="s">
        <v>83</v>
      </c>
      <c r="X68" s="272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95"/>
    </row>
    <row r="69" spans="1:37" ht="15.75" x14ac:dyDescent="0.25">
      <c r="A69" s="94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485" t="s">
        <v>149</v>
      </c>
      <c r="P69" s="486"/>
      <c r="Q69" s="486"/>
      <c r="R69" s="486"/>
      <c r="S69" s="487"/>
      <c r="T69" s="225">
        <f>T44-T68</f>
        <v>100.58541485531001</v>
      </c>
      <c r="U69" s="226"/>
      <c r="V69" s="227"/>
      <c r="W69" s="232" t="s">
        <v>83</v>
      </c>
      <c r="X69" s="233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95"/>
    </row>
    <row r="70" spans="1:37" ht="16.5" thickBot="1" x14ac:dyDescent="0.3">
      <c r="A70" s="135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458" t="s">
        <v>150</v>
      </c>
      <c r="P70" s="459"/>
      <c r="Q70" s="459"/>
      <c r="R70" s="459"/>
      <c r="S70" s="460"/>
      <c r="T70" s="219">
        <f>2*PI()*SQRT((T64^3)/(I4))</f>
        <v>6300.0607315720754</v>
      </c>
      <c r="U70" s="220"/>
      <c r="V70" s="221"/>
      <c r="W70" s="222" t="s">
        <v>34</v>
      </c>
      <c r="X70" s="223"/>
      <c r="Y70" s="136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6"/>
      <c r="AK70" s="137"/>
    </row>
  </sheetData>
  <mergeCells count="77">
    <mergeCell ref="A4:C4"/>
    <mergeCell ref="F4:F6"/>
    <mergeCell ref="G4:G6"/>
    <mergeCell ref="O4:X4"/>
    <mergeCell ref="O10:S10"/>
    <mergeCell ref="O9:S9"/>
    <mergeCell ref="O8:S8"/>
    <mergeCell ref="O7:S7"/>
    <mergeCell ref="O6:S6"/>
    <mergeCell ref="O15:S15"/>
    <mergeCell ref="O14:S14"/>
    <mergeCell ref="O13:S13"/>
    <mergeCell ref="O12:S12"/>
    <mergeCell ref="O11:S11"/>
    <mergeCell ref="O21:S21"/>
    <mergeCell ref="O20:S20"/>
    <mergeCell ref="O19:S19"/>
    <mergeCell ref="O17:S17"/>
    <mergeCell ref="C16:D18"/>
    <mergeCell ref="O16:S16"/>
    <mergeCell ref="O18:S18"/>
    <mergeCell ref="O26:S26"/>
    <mergeCell ref="O25:S25"/>
    <mergeCell ref="O24:S24"/>
    <mergeCell ref="O23:S23"/>
    <mergeCell ref="O22:S22"/>
    <mergeCell ref="A33:B33"/>
    <mergeCell ref="O30:S30"/>
    <mergeCell ref="O29:S29"/>
    <mergeCell ref="O28:S28"/>
    <mergeCell ref="O27:S27"/>
    <mergeCell ref="A37:C38"/>
    <mergeCell ref="D37:F38"/>
    <mergeCell ref="G37:H38"/>
    <mergeCell ref="I37:M38"/>
    <mergeCell ref="A35:M36"/>
    <mergeCell ref="O44:S44"/>
    <mergeCell ref="O45:S45"/>
    <mergeCell ref="D43:D46"/>
    <mergeCell ref="O43:S43"/>
    <mergeCell ref="O40:S40"/>
    <mergeCell ref="O41:S41"/>
    <mergeCell ref="D39:D42"/>
    <mergeCell ref="O39:X39"/>
    <mergeCell ref="D51:D54"/>
    <mergeCell ref="O49:S49"/>
    <mergeCell ref="O50:S50"/>
    <mergeCell ref="O46:X47"/>
    <mergeCell ref="D47:D50"/>
    <mergeCell ref="O48:S48"/>
    <mergeCell ref="O54:S54"/>
    <mergeCell ref="O55:S55"/>
    <mergeCell ref="O51:S51"/>
    <mergeCell ref="O52:S52"/>
    <mergeCell ref="O53:S53"/>
    <mergeCell ref="O63:S63"/>
    <mergeCell ref="O58:S58"/>
    <mergeCell ref="O59:X60"/>
    <mergeCell ref="O61:S61"/>
    <mergeCell ref="O56:S56"/>
    <mergeCell ref="O57:S57"/>
    <mergeCell ref="W41:X41"/>
    <mergeCell ref="O70:S70"/>
    <mergeCell ref="A1:AK2"/>
    <mergeCell ref="A3:AK3"/>
    <mergeCell ref="Z4:AK4"/>
    <mergeCell ref="Z5:AK5"/>
    <mergeCell ref="T40:V40"/>
    <mergeCell ref="T41:V41"/>
    <mergeCell ref="W40:X40"/>
    <mergeCell ref="O68:S68"/>
    <mergeCell ref="O69:S69"/>
    <mergeCell ref="O66:S66"/>
    <mergeCell ref="O67:S67"/>
    <mergeCell ref="O64:S64"/>
    <mergeCell ref="O65:S65"/>
    <mergeCell ref="O62:S6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Radius">
              <controlPr defaultSize="0" autoFill="0" autoLine="0" autoPict="0">
                <anchor moveWithCells="1">
                  <from>
                    <xdr:col>1</xdr:col>
                    <xdr:colOff>19050</xdr:colOff>
                    <xdr:row>4</xdr:row>
                    <xdr:rowOff>19050</xdr:rowOff>
                  </from>
                  <to>
                    <xdr:col>2</xdr:col>
                    <xdr:colOff>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Altitude">
              <controlPr defaultSize="0" autoFill="0" autoLine="0" autoPict="0">
                <anchor moveWithCells="1">
                  <from>
                    <xdr:col>2</xdr:col>
                    <xdr:colOff>19050</xdr:colOff>
                    <xdr:row>4</xdr:row>
                    <xdr:rowOff>19050</xdr:rowOff>
                  </from>
                  <to>
                    <xdr:col>2</xdr:col>
                    <xdr:colOff>981075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Option Button 3">
              <controlPr defaultSize="0" autoFill="0" autoLine="0" autoPict="0">
                <anchor moveWithCells="1">
                  <from>
                    <xdr:col>2</xdr:col>
                    <xdr:colOff>19050</xdr:colOff>
                    <xdr:row>4</xdr:row>
                    <xdr:rowOff>19050</xdr:rowOff>
                  </from>
                  <to>
                    <xdr:col>2</xdr:col>
                    <xdr:colOff>981075</xdr:colOff>
                    <xdr:row>4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854A-ECBB-46C6-A64F-C0AAE48981E4}">
  <dimension ref="A1:XFD1048575"/>
  <sheetViews>
    <sheetView zoomScaleNormal="100" workbookViewId="0">
      <selection activeCell="AB40" sqref="AB40"/>
    </sheetView>
  </sheetViews>
  <sheetFormatPr defaultRowHeight="15" x14ac:dyDescent="0.25"/>
  <cols>
    <col min="1" max="1" width="9.85546875" customWidth="1"/>
    <col min="2" max="2" width="12.85546875" customWidth="1"/>
    <col min="3" max="3" width="15.140625" customWidth="1"/>
    <col min="4" max="4" width="11.85546875" customWidth="1"/>
    <col min="5" max="5" width="14" bestFit="1" customWidth="1"/>
    <col min="6" max="6" width="16.42578125" customWidth="1"/>
    <col min="7" max="7" width="11.5703125" customWidth="1"/>
    <col min="8" max="8" width="12.42578125" customWidth="1"/>
    <col min="9" max="9" width="16.5703125" customWidth="1"/>
    <col min="11" max="11" width="20" customWidth="1"/>
    <col min="12" max="12" width="11.7109375" customWidth="1"/>
    <col min="13" max="13" width="13.85546875" customWidth="1"/>
    <col min="21" max="21" width="13" customWidth="1"/>
    <col min="22" max="22" width="12.28515625" customWidth="1"/>
    <col min="23" max="23" width="16.5703125" customWidth="1"/>
    <col min="24" max="24" width="11" customWidth="1"/>
    <col min="38" max="38" width="14.5703125" customWidth="1"/>
  </cols>
  <sheetData>
    <row r="1" spans="1:38" ht="15" customHeight="1" x14ac:dyDescent="0.25">
      <c r="A1" s="461" t="s">
        <v>0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3"/>
    </row>
    <row r="2" spans="1:38" ht="15.75" customHeight="1" thickBot="1" x14ac:dyDescent="0.3">
      <c r="A2" s="464"/>
      <c r="B2" s="465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465"/>
      <c r="Y2" s="465"/>
      <c r="Z2" s="465"/>
      <c r="AA2" s="465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6"/>
    </row>
    <row r="3" spans="1:38" ht="18.75" thickBot="1" x14ac:dyDescent="0.3">
      <c r="A3" s="467" t="s">
        <v>1</v>
      </c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  <c r="M3" s="468"/>
      <c r="N3" s="468"/>
      <c r="O3" s="468"/>
      <c r="P3" s="468"/>
      <c r="Q3" s="468"/>
      <c r="R3" s="468"/>
      <c r="S3" s="468"/>
      <c r="T3" s="468"/>
      <c r="U3" s="468"/>
      <c r="V3" s="468"/>
      <c r="W3" s="468"/>
      <c r="X3" s="468"/>
      <c r="Y3" s="468"/>
      <c r="Z3" s="1151"/>
      <c r="AA3" s="1151"/>
      <c r="AB3" s="1151"/>
      <c r="AC3" s="1151"/>
      <c r="AD3" s="1151"/>
      <c r="AE3" s="1151"/>
      <c r="AF3" s="1151"/>
      <c r="AG3" s="1151"/>
      <c r="AH3" s="1151"/>
      <c r="AI3" s="1151"/>
      <c r="AJ3" s="1151"/>
      <c r="AK3" s="1151"/>
      <c r="AL3" s="1152"/>
    </row>
    <row r="4" spans="1:38" ht="18.75" thickBot="1" x14ac:dyDescent="0.3">
      <c r="A4" s="1155" t="s">
        <v>2</v>
      </c>
      <c r="B4" s="1156"/>
      <c r="C4" s="1157"/>
      <c r="D4" s="126"/>
      <c r="E4" s="123"/>
      <c r="F4" s="547" t="s">
        <v>3</v>
      </c>
      <c r="G4" s="550" t="s">
        <v>4</v>
      </c>
      <c r="H4" s="18" t="s">
        <v>5</v>
      </c>
      <c r="I4" s="19">
        <v>398600</v>
      </c>
      <c r="J4" s="20" t="s">
        <v>6</v>
      </c>
      <c r="K4" s="123"/>
      <c r="L4" s="21" t="s">
        <v>7</v>
      </c>
      <c r="M4" s="22">
        <v>1.0826E-3</v>
      </c>
      <c r="N4" s="127"/>
      <c r="O4" s="1160" t="s">
        <v>8</v>
      </c>
      <c r="P4" s="1161"/>
      <c r="Q4" s="1161"/>
      <c r="R4" s="1161"/>
      <c r="S4" s="1161"/>
      <c r="T4" s="1161"/>
      <c r="U4" s="1161"/>
      <c r="V4" s="1161"/>
      <c r="W4" s="1161"/>
      <c r="X4" s="1162"/>
      <c r="Y4" s="127"/>
      <c r="Z4" s="470" t="s">
        <v>9</v>
      </c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2"/>
    </row>
    <row r="5" spans="1:38" ht="21" customHeight="1" thickBot="1" x14ac:dyDescent="0.3">
      <c r="A5" s="23" t="s">
        <v>10</v>
      </c>
      <c r="B5" s="24">
        <v>1</v>
      </c>
      <c r="C5" s="25"/>
      <c r="D5" s="123"/>
      <c r="E5" s="123"/>
      <c r="F5" s="547"/>
      <c r="G5" s="550"/>
      <c r="H5" s="26" t="s">
        <v>11</v>
      </c>
      <c r="I5" s="27">
        <v>6378</v>
      </c>
      <c r="J5" s="28" t="s">
        <v>12</v>
      </c>
      <c r="K5" s="123"/>
      <c r="L5" s="29" t="s">
        <v>13</v>
      </c>
      <c r="M5" s="30">
        <v>57.295780000000001</v>
      </c>
      <c r="N5" s="127"/>
      <c r="O5" s="1060"/>
      <c r="P5" s="1046"/>
      <c r="Q5" s="1046"/>
      <c r="R5" s="1046"/>
      <c r="S5" s="1046"/>
      <c r="T5" s="1046"/>
      <c r="U5" s="1046"/>
      <c r="V5" s="1047"/>
      <c r="W5" s="1046" t="s">
        <v>14</v>
      </c>
      <c r="X5" s="1047"/>
      <c r="Y5" s="127"/>
      <c r="Z5" s="473" t="s">
        <v>15</v>
      </c>
      <c r="AA5" s="474"/>
      <c r="AB5" s="474"/>
      <c r="AC5" s="474"/>
      <c r="AD5" s="474"/>
      <c r="AE5" s="474"/>
      <c r="AF5" s="474"/>
      <c r="AG5" s="474"/>
      <c r="AH5" s="474"/>
      <c r="AI5" s="474"/>
      <c r="AJ5" s="1153"/>
      <c r="AK5" s="1153"/>
      <c r="AL5" s="1154"/>
    </row>
    <row r="6" spans="1:38" ht="18" thickBot="1" x14ac:dyDescent="0.3">
      <c r="A6" s="31"/>
      <c r="B6" s="123"/>
      <c r="C6" s="123"/>
      <c r="D6" s="123"/>
      <c r="E6" s="123"/>
      <c r="F6" s="548"/>
      <c r="G6" s="1135"/>
      <c r="H6" s="32" t="s">
        <v>16</v>
      </c>
      <c r="I6" s="33">
        <v>9.81</v>
      </c>
      <c r="J6" s="34" t="s">
        <v>17</v>
      </c>
      <c r="K6" s="123"/>
      <c r="L6" s="123"/>
      <c r="M6" s="35"/>
      <c r="N6" s="127"/>
      <c r="O6" s="924" t="s">
        <v>18</v>
      </c>
      <c r="P6" s="906"/>
      <c r="Q6" s="906"/>
      <c r="R6" s="906"/>
      <c r="S6" s="906"/>
      <c r="T6" s="1048">
        <f>SQRT(2*((Mu/W6)+inEner1))</f>
        <v>7.6624162873939303</v>
      </c>
      <c r="U6" s="1049"/>
      <c r="V6" s="36" t="s">
        <v>19</v>
      </c>
      <c r="W6" s="37">
        <f>Orb1p</f>
        <v>6789</v>
      </c>
      <c r="X6" s="38" t="s">
        <v>12</v>
      </c>
      <c r="Y6" s="127"/>
      <c r="Z6" s="500" t="s">
        <v>18</v>
      </c>
      <c r="AA6" s="501"/>
      <c r="AB6" s="501"/>
      <c r="AC6" s="501"/>
      <c r="AD6" s="502"/>
      <c r="AE6" s="980">
        <f>SQRT(Mu/AL7)</f>
        <v>7.6624162873939303</v>
      </c>
      <c r="AF6" s="981"/>
      <c r="AG6" s="982"/>
      <c r="AH6" s="950" t="s">
        <v>19</v>
      </c>
      <c r="AI6" s="951"/>
      <c r="AJ6" s="958" t="s">
        <v>20</v>
      </c>
      <c r="AK6" s="959"/>
      <c r="AL6" s="960"/>
    </row>
    <row r="7" spans="1:38" ht="16.5" thickBot="1" x14ac:dyDescent="0.3">
      <c r="A7" s="31"/>
      <c r="B7" s="39" t="s">
        <v>21</v>
      </c>
      <c r="C7" s="40" t="s">
        <v>22</v>
      </c>
      <c r="D7" s="123"/>
      <c r="E7" s="123"/>
      <c r="F7" s="123"/>
      <c r="G7" s="123"/>
      <c r="H7" s="123"/>
      <c r="I7" s="123"/>
      <c r="J7" s="123"/>
      <c r="K7" s="123"/>
      <c r="L7" s="123"/>
      <c r="M7" s="35"/>
      <c r="N7" s="127"/>
      <c r="O7" s="897" t="s">
        <v>23</v>
      </c>
      <c r="P7" s="885"/>
      <c r="Q7" s="885"/>
      <c r="R7" s="885"/>
      <c r="S7" s="885"/>
      <c r="T7" s="898">
        <f>SQRT(2*((Mu/W7)+inEner1))</f>
        <v>7.6624162873939303</v>
      </c>
      <c r="U7" s="900"/>
      <c r="V7" s="41" t="s">
        <v>19</v>
      </c>
      <c r="W7" s="42">
        <f>Orb1a</f>
        <v>6789</v>
      </c>
      <c r="X7" s="43" t="s">
        <v>12</v>
      </c>
      <c r="Y7" s="127"/>
      <c r="Z7" s="485" t="s">
        <v>23</v>
      </c>
      <c r="AA7" s="486"/>
      <c r="AB7" s="486"/>
      <c r="AC7" s="486"/>
      <c r="AD7" s="487"/>
      <c r="AE7" s="983">
        <f>SQRT(Mu/AL7)</f>
        <v>7.6624162873939303</v>
      </c>
      <c r="AF7" s="984"/>
      <c r="AG7" s="985"/>
      <c r="AH7" s="956" t="s">
        <v>19</v>
      </c>
      <c r="AI7" s="957"/>
      <c r="AJ7" s="973" t="str">
        <f>IF(Orb1p=Orb1a, "Yes", "No")</f>
        <v>Yes</v>
      </c>
      <c r="AK7" s="974"/>
      <c r="AL7" s="44">
        <f>Orb1p</f>
        <v>6789</v>
      </c>
    </row>
    <row r="8" spans="1:38" ht="18.75" x14ac:dyDescent="0.25">
      <c r="A8" s="45" t="s">
        <v>24</v>
      </c>
      <c r="B8" s="46">
        <f>IF($B$5=1, $C$8,$C$8+6378)</f>
        <v>6789</v>
      </c>
      <c r="C8" s="47">
        <v>6789</v>
      </c>
      <c r="D8" s="48" t="s">
        <v>12</v>
      </c>
      <c r="E8" s="49" t="s">
        <v>25</v>
      </c>
      <c r="F8" s="50">
        <f>(Orb1p+Orb1a)/2</f>
        <v>6789</v>
      </c>
      <c r="G8" s="48" t="s">
        <v>12</v>
      </c>
      <c r="H8" s="51" t="s">
        <v>26</v>
      </c>
      <c r="I8" s="52">
        <f>(-Mu)/(2*SM1A)</f>
        <v>-29.356311680659893</v>
      </c>
      <c r="J8" s="48" t="s">
        <v>27</v>
      </c>
      <c r="K8" s="49" t="s">
        <v>28</v>
      </c>
      <c r="L8" s="53">
        <f>SQRT((2)*((Mu/Orb1p)+Ener1))</f>
        <v>7.6624162873939303</v>
      </c>
      <c r="M8" s="48" t="s">
        <v>19</v>
      </c>
      <c r="N8" s="127"/>
      <c r="O8" s="897" t="s">
        <v>29</v>
      </c>
      <c r="P8" s="885"/>
      <c r="Q8" s="885"/>
      <c r="R8" s="885"/>
      <c r="S8" s="885"/>
      <c r="T8" s="898">
        <f>-(Mu)/(2*((W6+W7)/2))</f>
        <v>-29.356311680659893</v>
      </c>
      <c r="U8" s="900"/>
      <c r="V8" s="41" t="s">
        <v>30</v>
      </c>
      <c r="W8" s="42"/>
      <c r="X8" s="43"/>
      <c r="Y8" s="127"/>
      <c r="Z8" s="485" t="s">
        <v>29</v>
      </c>
      <c r="AA8" s="486"/>
      <c r="AB8" s="486"/>
      <c r="AC8" s="486"/>
      <c r="AD8" s="487"/>
      <c r="AE8" s="983">
        <f>(-Mu)/(2*AL7)</f>
        <v>-29.356311680659893</v>
      </c>
      <c r="AF8" s="984"/>
      <c r="AG8" s="985"/>
      <c r="AH8" s="956" t="s">
        <v>30</v>
      </c>
      <c r="AI8" s="957"/>
      <c r="AJ8" s="939"/>
      <c r="AK8" s="940"/>
      <c r="AL8" s="54"/>
    </row>
    <row r="9" spans="1:38" ht="19.5" thickBot="1" x14ac:dyDescent="0.3">
      <c r="A9" s="55" t="s">
        <v>31</v>
      </c>
      <c r="B9" s="56">
        <f>IF($B$5=1, $C$9,$C$9+6378)</f>
        <v>6789</v>
      </c>
      <c r="C9" s="57">
        <v>6789</v>
      </c>
      <c r="D9" s="58" t="s">
        <v>12</v>
      </c>
      <c r="E9" s="59" t="s">
        <v>32</v>
      </c>
      <c r="F9" s="60">
        <f>(Orb1a-Orb1p)/(Orb1a+Orb1p)</f>
        <v>0</v>
      </c>
      <c r="G9" s="58"/>
      <c r="H9" s="61" t="s">
        <v>33</v>
      </c>
      <c r="I9" s="62">
        <f>(2*PI()*SQRT((SM1A)^3/Mu))</f>
        <v>5566.9835010948173</v>
      </c>
      <c r="J9" s="30" t="s">
        <v>34</v>
      </c>
      <c r="K9" s="63" t="s">
        <v>35</v>
      </c>
      <c r="L9" s="64">
        <f>SQRT((2)*((Mu/Orb1a)+Ener1))</f>
        <v>7.6624162873939303</v>
      </c>
      <c r="M9" s="30" t="s">
        <v>19</v>
      </c>
      <c r="N9" s="127"/>
      <c r="O9" s="897" t="s">
        <v>36</v>
      </c>
      <c r="P9" s="885"/>
      <c r="Q9" s="885"/>
      <c r="R9" s="885"/>
      <c r="S9" s="885"/>
      <c r="T9" s="1061">
        <f>SQRT(2*Mu)*SQRT((W7*W6)/(W7+W6))</f>
        <v>52020.144175117392</v>
      </c>
      <c r="U9" s="1062"/>
      <c r="V9" s="41" t="s">
        <v>37</v>
      </c>
      <c r="W9" s="42"/>
      <c r="X9" s="43"/>
      <c r="Y9" s="127"/>
      <c r="Z9" s="485" t="s">
        <v>36</v>
      </c>
      <c r="AA9" s="486"/>
      <c r="AB9" s="486"/>
      <c r="AC9" s="486"/>
      <c r="AD9" s="487"/>
      <c r="AE9" s="986">
        <f>SQRT(Mu*AL7)</f>
        <v>52020.144175117392</v>
      </c>
      <c r="AF9" s="987"/>
      <c r="AG9" s="988"/>
      <c r="AH9" s="956" t="s">
        <v>37</v>
      </c>
      <c r="AI9" s="957"/>
      <c r="AJ9" s="939"/>
      <c r="AK9" s="940"/>
      <c r="AL9" s="54"/>
    </row>
    <row r="10" spans="1:38" ht="18" thickBot="1" x14ac:dyDescent="0.3">
      <c r="A10" s="65" t="s">
        <v>38</v>
      </c>
      <c r="B10" s="1158">
        <v>47</v>
      </c>
      <c r="C10" s="1159"/>
      <c r="D10" s="30" t="s">
        <v>39</v>
      </c>
      <c r="E10" s="63" t="s">
        <v>40</v>
      </c>
      <c r="F10" s="66">
        <f>SQRT(SM1A*Mu*(1-(EC1C)^2))</f>
        <v>52020.144175117392</v>
      </c>
      <c r="G10" s="30" t="s">
        <v>41</v>
      </c>
      <c r="H10" s="128"/>
      <c r="I10" s="123"/>
      <c r="J10" s="123"/>
      <c r="K10" s="128"/>
      <c r="L10" s="123"/>
      <c r="M10" s="35"/>
      <c r="N10" s="127"/>
      <c r="O10" s="1069" t="s">
        <v>42</v>
      </c>
      <c r="P10" s="1070"/>
      <c r="Q10" s="1070"/>
      <c r="R10" s="1070"/>
      <c r="S10" s="1070"/>
      <c r="T10" s="1063">
        <f>((2*PI())*SQRT(((W6+W7)/2)^3/(Mu)))/60</f>
        <v>92.783058351580294</v>
      </c>
      <c r="U10" s="1064"/>
      <c r="V10" s="67" t="s">
        <v>43</v>
      </c>
      <c r="W10" s="68"/>
      <c r="X10" s="69"/>
      <c r="Y10" s="127"/>
      <c r="Z10" s="458" t="s">
        <v>42</v>
      </c>
      <c r="AA10" s="459"/>
      <c r="AB10" s="459"/>
      <c r="AC10" s="459"/>
      <c r="AD10" s="460"/>
      <c r="AE10" s="989">
        <f>((2*PI())*SQRT((AL7)^3/Mu))/60</f>
        <v>92.783058351580294</v>
      </c>
      <c r="AF10" s="990"/>
      <c r="AG10" s="991"/>
      <c r="AH10" s="952" t="s">
        <v>43</v>
      </c>
      <c r="AI10" s="953"/>
      <c r="AJ10" s="939"/>
      <c r="AK10" s="940"/>
      <c r="AL10" s="54"/>
    </row>
    <row r="11" spans="1:38" ht="16.5" thickBot="1" x14ac:dyDescent="0.3">
      <c r="A11" s="31"/>
      <c r="B11" s="123"/>
      <c r="C11" s="123"/>
      <c r="D11" s="123"/>
      <c r="E11" s="128"/>
      <c r="F11" s="123"/>
      <c r="G11" s="123"/>
      <c r="H11" s="128"/>
      <c r="I11" s="123"/>
      <c r="J11" s="123"/>
      <c r="K11" s="128"/>
      <c r="L11" s="123"/>
      <c r="M11" s="35"/>
      <c r="N11" s="127"/>
      <c r="O11" s="924" t="s">
        <v>44</v>
      </c>
      <c r="P11" s="906"/>
      <c r="Q11" s="906"/>
      <c r="R11" s="906"/>
      <c r="S11" s="906"/>
      <c r="T11" s="1048">
        <f>SQRT(2*((Mu/W11)+fiEner1))</f>
        <v>3.3957663652034697</v>
      </c>
      <c r="U11" s="1049"/>
      <c r="V11" s="36" t="s">
        <v>19</v>
      </c>
      <c r="W11" s="37">
        <f>Orb2p</f>
        <v>34567</v>
      </c>
      <c r="X11" s="38" t="s">
        <v>12</v>
      </c>
      <c r="Y11" s="127"/>
      <c r="Z11" s="500" t="s">
        <v>44</v>
      </c>
      <c r="AA11" s="501"/>
      <c r="AB11" s="501"/>
      <c r="AC11" s="501"/>
      <c r="AD11" s="502"/>
      <c r="AE11" s="980">
        <f>SQRT(Mu/AL12)</f>
        <v>3.3957663652034697</v>
      </c>
      <c r="AF11" s="981"/>
      <c r="AG11" s="982"/>
      <c r="AH11" s="950" t="s">
        <v>19</v>
      </c>
      <c r="AI11" s="951"/>
      <c r="AJ11" s="961" t="s">
        <v>45</v>
      </c>
      <c r="AK11" s="962"/>
      <c r="AL11" s="963"/>
    </row>
    <row r="12" spans="1:38" ht="18" thickBot="1" x14ac:dyDescent="0.3">
      <c r="A12" s="70" t="s">
        <v>46</v>
      </c>
      <c r="B12" s="71">
        <f>IF($B$5=1, $C$12,$C$12+6378)</f>
        <v>34567</v>
      </c>
      <c r="C12" s="47">
        <v>34567</v>
      </c>
      <c r="D12" s="48" t="s">
        <v>12</v>
      </c>
      <c r="E12" s="72" t="s">
        <v>47</v>
      </c>
      <c r="F12" s="50">
        <f>(Orb2p+Orb2a)/2</f>
        <v>34567</v>
      </c>
      <c r="G12" s="48" t="s">
        <v>12</v>
      </c>
      <c r="H12" s="70" t="s">
        <v>48</v>
      </c>
      <c r="I12" s="52">
        <f>-(Mu)/(2*SM2A)</f>
        <v>-5.7656146035235922</v>
      </c>
      <c r="J12" s="48" t="s">
        <v>27</v>
      </c>
      <c r="K12" s="72" t="s">
        <v>49</v>
      </c>
      <c r="L12" s="53">
        <f>SQRT((2)*((Mu/Orb2p)+Ener2))</f>
        <v>3.3957663652034697</v>
      </c>
      <c r="M12" s="48" t="s">
        <v>19</v>
      </c>
      <c r="N12" s="127"/>
      <c r="O12" s="897" t="s">
        <v>50</v>
      </c>
      <c r="P12" s="885"/>
      <c r="Q12" s="885"/>
      <c r="R12" s="885"/>
      <c r="S12" s="885"/>
      <c r="T12" s="898">
        <f>SQRT(2*((Mu/W12)+fiEner1))</f>
        <v>3.3957663652034697</v>
      </c>
      <c r="U12" s="900"/>
      <c r="V12" s="41" t="s">
        <v>19</v>
      </c>
      <c r="W12" s="42">
        <f>Orb2a</f>
        <v>34567</v>
      </c>
      <c r="X12" s="43" t="s">
        <v>12</v>
      </c>
      <c r="Y12" s="127"/>
      <c r="Z12" s="485" t="s">
        <v>50</v>
      </c>
      <c r="AA12" s="486"/>
      <c r="AB12" s="486"/>
      <c r="AC12" s="486"/>
      <c r="AD12" s="487"/>
      <c r="AE12" s="983">
        <f>SQRT(Mu/AL12)</f>
        <v>3.3957663652034697</v>
      </c>
      <c r="AF12" s="984"/>
      <c r="AG12" s="985"/>
      <c r="AH12" s="956" t="s">
        <v>19</v>
      </c>
      <c r="AI12" s="957"/>
      <c r="AJ12" s="973" t="str">
        <f>IF(Orb2p=Orb2a, "Yes", "No")</f>
        <v>Yes</v>
      </c>
      <c r="AK12" s="974"/>
      <c r="AL12" s="44">
        <f>Orb2a</f>
        <v>34567</v>
      </c>
    </row>
    <row r="13" spans="1:38" ht="19.5" thickBot="1" x14ac:dyDescent="0.3">
      <c r="A13" s="73" t="s">
        <v>51</v>
      </c>
      <c r="B13" s="74">
        <f>IF($B$5=1, $C$13,$C$13+6378)</f>
        <v>34567</v>
      </c>
      <c r="C13" s="57">
        <v>34567</v>
      </c>
      <c r="D13" s="58" t="s">
        <v>12</v>
      </c>
      <c r="E13" s="75" t="s">
        <v>52</v>
      </c>
      <c r="F13" s="60">
        <f>(Orb2a-Orb2p)/(Orb2a+Orb2p)</f>
        <v>0</v>
      </c>
      <c r="G13" s="58"/>
      <c r="H13" s="76" t="s">
        <v>53</v>
      </c>
      <c r="I13" s="62">
        <f>(2*PI())*SQRT((SM2A^3)/Mu)</f>
        <v>63959.307901402979</v>
      </c>
      <c r="J13" s="30" t="s">
        <v>34</v>
      </c>
      <c r="K13" s="77" t="s">
        <v>54</v>
      </c>
      <c r="L13" s="64">
        <f>SQRT((2)*((Mu/Orb2a)+Ener2))</f>
        <v>3.3957663652034697</v>
      </c>
      <c r="M13" s="30" t="s">
        <v>19</v>
      </c>
      <c r="N13" s="127"/>
      <c r="O13" s="897" t="s">
        <v>55</v>
      </c>
      <c r="P13" s="885"/>
      <c r="Q13" s="885"/>
      <c r="R13" s="885"/>
      <c r="S13" s="885"/>
      <c r="T13" s="898">
        <f>-(Mu)/(2*((W11+W12)/2))</f>
        <v>-5.7656146035235922</v>
      </c>
      <c r="U13" s="900"/>
      <c r="V13" s="41" t="s">
        <v>30</v>
      </c>
      <c r="W13" s="42"/>
      <c r="X13" s="43"/>
      <c r="Y13" s="127"/>
      <c r="Z13" s="485" t="s">
        <v>55</v>
      </c>
      <c r="AA13" s="486"/>
      <c r="AB13" s="486"/>
      <c r="AC13" s="486"/>
      <c r="AD13" s="487"/>
      <c r="AE13" s="983">
        <f>(-Mu)/(2*AL12)</f>
        <v>-5.7656146035235922</v>
      </c>
      <c r="AF13" s="984"/>
      <c r="AG13" s="985"/>
      <c r="AH13" s="956" t="s">
        <v>30</v>
      </c>
      <c r="AI13" s="957"/>
      <c r="AJ13" s="939"/>
      <c r="AK13" s="940"/>
      <c r="AL13" s="54"/>
    </row>
    <row r="14" spans="1:38" ht="19.5" thickBot="1" x14ac:dyDescent="0.3">
      <c r="A14" s="76" t="s">
        <v>56</v>
      </c>
      <c r="B14" s="1158">
        <v>13</v>
      </c>
      <c r="C14" s="1159"/>
      <c r="D14" s="30" t="s">
        <v>39</v>
      </c>
      <c r="E14" s="77" t="s">
        <v>57</v>
      </c>
      <c r="F14" s="66">
        <f>SQRT(SM2A*Mu*(1-(EC2C)^2))</f>
        <v>117381.45594598833</v>
      </c>
      <c r="G14" s="30" t="s">
        <v>41</v>
      </c>
      <c r="H14" s="128"/>
      <c r="I14" s="123"/>
      <c r="J14" s="123"/>
      <c r="K14" s="128"/>
      <c r="L14" s="123"/>
      <c r="M14" s="35"/>
      <c r="N14" s="127"/>
      <c r="O14" s="897" t="s">
        <v>58</v>
      </c>
      <c r="P14" s="885"/>
      <c r="Q14" s="885"/>
      <c r="R14" s="885"/>
      <c r="S14" s="885"/>
      <c r="T14" s="1061">
        <f>SQRT(2*Mu)*SQRT((W12*W11)/(W12+W11))</f>
        <v>117381.45594598835</v>
      </c>
      <c r="U14" s="1062"/>
      <c r="V14" s="41" t="s">
        <v>37</v>
      </c>
      <c r="W14" s="42"/>
      <c r="X14" s="43"/>
      <c r="Y14" s="127"/>
      <c r="Z14" s="485" t="s">
        <v>58</v>
      </c>
      <c r="AA14" s="486"/>
      <c r="AB14" s="486"/>
      <c r="AC14" s="486"/>
      <c r="AD14" s="487"/>
      <c r="AE14" s="986">
        <f>SQRT(Mu*AL12)</f>
        <v>117381.45594598833</v>
      </c>
      <c r="AF14" s="987"/>
      <c r="AG14" s="988"/>
      <c r="AH14" s="956" t="s">
        <v>37</v>
      </c>
      <c r="AI14" s="957"/>
      <c r="AJ14" s="939"/>
      <c r="AK14" s="940"/>
      <c r="AL14" s="54"/>
    </row>
    <row r="15" spans="1:38" ht="16.5" thickBot="1" x14ac:dyDescent="0.3">
      <c r="A15" s="31"/>
      <c r="B15" s="123"/>
      <c r="C15" s="123"/>
      <c r="D15" s="123"/>
      <c r="E15" s="128"/>
      <c r="F15" s="123"/>
      <c r="G15" s="123"/>
      <c r="H15" s="78"/>
      <c r="I15" s="123"/>
      <c r="J15" s="123"/>
      <c r="K15" s="78"/>
      <c r="L15" s="79"/>
      <c r="M15" s="80"/>
      <c r="N15" s="127"/>
      <c r="O15" s="1069" t="s">
        <v>59</v>
      </c>
      <c r="P15" s="1070"/>
      <c r="Q15" s="1070"/>
      <c r="R15" s="1070"/>
      <c r="S15" s="1070"/>
      <c r="T15" s="1063">
        <f>((2*PI())*SQRT(((W11+W12)/2)^3/(Mu)))/60</f>
        <v>1065.988465023383</v>
      </c>
      <c r="U15" s="1064"/>
      <c r="V15" s="67" t="s">
        <v>43</v>
      </c>
      <c r="W15" s="68"/>
      <c r="X15" s="69"/>
      <c r="Y15" s="127"/>
      <c r="Z15" s="458" t="s">
        <v>59</v>
      </c>
      <c r="AA15" s="459"/>
      <c r="AB15" s="459"/>
      <c r="AC15" s="459"/>
      <c r="AD15" s="460"/>
      <c r="AE15" s="989">
        <f>((2*PI())*SQRT((AL12)^3/Mu))/60</f>
        <v>1065.988465023383</v>
      </c>
      <c r="AF15" s="990"/>
      <c r="AG15" s="991"/>
      <c r="AH15" s="952" t="s">
        <v>43</v>
      </c>
      <c r="AI15" s="953"/>
      <c r="AJ15" s="964" t="s">
        <v>60</v>
      </c>
      <c r="AK15" s="965"/>
      <c r="AL15" s="966"/>
    </row>
    <row r="16" spans="1:38" ht="18" thickBot="1" x14ac:dyDescent="0.3">
      <c r="A16" s="31"/>
      <c r="B16" s="123"/>
      <c r="C16" s="1123" t="s">
        <v>61</v>
      </c>
      <c r="D16" s="538"/>
      <c r="E16" s="81" t="s">
        <v>62</v>
      </c>
      <c r="F16" s="50">
        <f>(Orb1p+Orb2a)/2</f>
        <v>20678</v>
      </c>
      <c r="G16" s="48" t="s">
        <v>12</v>
      </c>
      <c r="H16" s="139" t="s">
        <v>63</v>
      </c>
      <c r="I16" s="52">
        <f>(-Mu)/(2*SMAT)</f>
        <v>-9.6382628880936263</v>
      </c>
      <c r="J16" s="48" t="s">
        <v>27</v>
      </c>
      <c r="K16" s="82" t="s">
        <v>28</v>
      </c>
      <c r="L16" s="53">
        <f>SQRT(Mu*((2/Orb1p)-(1/SMAT)))</f>
        <v>9.9070036310911043</v>
      </c>
      <c r="M16" s="48" t="s">
        <v>19</v>
      </c>
      <c r="N16" s="127"/>
      <c r="O16" s="924" t="s">
        <v>64</v>
      </c>
      <c r="P16" s="906"/>
      <c r="Q16" s="906"/>
      <c r="R16" s="906"/>
      <c r="S16" s="906"/>
      <c r="T16" s="1048">
        <f>SQRT(2*((Mu/W16)+T18))</f>
        <v>9.9070036310911043</v>
      </c>
      <c r="U16" s="1049"/>
      <c r="V16" s="36" t="s">
        <v>19</v>
      </c>
      <c r="W16" s="37">
        <f>Orb1p</f>
        <v>6789</v>
      </c>
      <c r="X16" s="38" t="s">
        <v>12</v>
      </c>
      <c r="Y16" s="127"/>
      <c r="Z16" s="500" t="s">
        <v>64</v>
      </c>
      <c r="AA16" s="501"/>
      <c r="AB16" s="501"/>
      <c r="AC16" s="501"/>
      <c r="AD16" s="502"/>
      <c r="AE16" s="992">
        <f>(AJ16+AE6)</f>
        <v>10.12241628739393</v>
      </c>
      <c r="AF16" s="993"/>
      <c r="AG16" s="994"/>
      <c r="AH16" s="1010" t="s">
        <v>19</v>
      </c>
      <c r="AI16" s="1011"/>
      <c r="AJ16" s="937">
        <v>2.46</v>
      </c>
      <c r="AK16" s="938"/>
      <c r="AL16" s="44" t="s">
        <v>19</v>
      </c>
    </row>
    <row r="17" spans="1:38" ht="19.5" thickBot="1" x14ac:dyDescent="0.3">
      <c r="A17" s="31"/>
      <c r="B17" s="123"/>
      <c r="C17" s="1124"/>
      <c r="D17" s="540"/>
      <c r="E17" s="142" t="s">
        <v>65</v>
      </c>
      <c r="F17" s="141">
        <f>SQRT(2*Mu)*SQRT((Orb2a*Orb1p)/(Orb2a+Orb1p))</f>
        <v>67258.647651477499</v>
      </c>
      <c r="G17" s="58" t="s">
        <v>41</v>
      </c>
      <c r="H17" s="140" t="s">
        <v>66</v>
      </c>
      <c r="I17" s="62">
        <f>(2*PI())*SQRT((SMAT^3)/Mu)</f>
        <v>29591.979514548482</v>
      </c>
      <c r="J17" s="30" t="s">
        <v>34</v>
      </c>
      <c r="K17" s="83" t="s">
        <v>54</v>
      </c>
      <c r="L17" s="138">
        <f>SQRT(2*((Mu/Orb2a)+EnerT))</f>
        <v>1.9457473211871876</v>
      </c>
      <c r="M17" s="30" t="s">
        <v>19</v>
      </c>
      <c r="N17" s="127"/>
      <c r="O17" s="897" t="s">
        <v>67</v>
      </c>
      <c r="P17" s="885"/>
      <c r="Q17" s="885"/>
      <c r="R17" s="885"/>
      <c r="S17" s="885"/>
      <c r="T17" s="898">
        <f>SQRT(2*((Mu/W17)+T18))</f>
        <v>1.9457473211871876</v>
      </c>
      <c r="U17" s="900"/>
      <c r="V17" s="41" t="s">
        <v>19</v>
      </c>
      <c r="W17" s="42">
        <f>Orb2a</f>
        <v>34567</v>
      </c>
      <c r="X17" s="43" t="s">
        <v>12</v>
      </c>
      <c r="Y17" s="127"/>
      <c r="Z17" s="485" t="s">
        <v>68</v>
      </c>
      <c r="AA17" s="486"/>
      <c r="AB17" s="486"/>
      <c r="AC17" s="486"/>
      <c r="AD17" s="487"/>
      <c r="AE17" s="983">
        <f>((AE16)^2/2)-(Mu/AL7)</f>
        <v>-7.4809676136708276</v>
      </c>
      <c r="AF17" s="984"/>
      <c r="AG17" s="985"/>
      <c r="AH17" s="956" t="s">
        <v>30</v>
      </c>
      <c r="AI17" s="975"/>
      <c r="AJ17" s="939"/>
      <c r="AK17" s="940"/>
      <c r="AL17" s="54"/>
    </row>
    <row r="18" spans="1:38" ht="19.5" thickBot="1" x14ac:dyDescent="0.3">
      <c r="A18" s="31"/>
      <c r="B18" s="123"/>
      <c r="C18" s="1124"/>
      <c r="D18" s="540"/>
      <c r="E18" s="143" t="s">
        <v>323</v>
      </c>
      <c r="F18" s="144">
        <f>(Orb2a-Orb1p)/(Orb2a+Orb1p)</f>
        <v>0.67168004642615342</v>
      </c>
      <c r="G18" s="145"/>
      <c r="H18" s="128"/>
      <c r="I18" s="123"/>
      <c r="J18" s="123"/>
      <c r="K18" s="123"/>
      <c r="L18" s="123"/>
      <c r="M18" s="35"/>
      <c r="N18" s="127"/>
      <c r="O18" s="897" t="s">
        <v>68</v>
      </c>
      <c r="P18" s="885"/>
      <c r="Q18" s="885"/>
      <c r="R18" s="885"/>
      <c r="S18" s="885"/>
      <c r="T18" s="898">
        <f>-(Mu)/(2*((W16+W17)/2))</f>
        <v>-9.6382628880936263</v>
      </c>
      <c r="U18" s="900"/>
      <c r="V18" s="41" t="s">
        <v>30</v>
      </c>
      <c r="W18" s="42"/>
      <c r="X18" s="43"/>
      <c r="Y18" s="127"/>
      <c r="Z18" s="485" t="s">
        <v>69</v>
      </c>
      <c r="AA18" s="486"/>
      <c r="AB18" s="486"/>
      <c r="AC18" s="486"/>
      <c r="AD18" s="487"/>
      <c r="AE18" s="986">
        <f>(AL7)*(AE16)*COS(0)</f>
        <v>68721.084175117387</v>
      </c>
      <c r="AF18" s="987"/>
      <c r="AG18" s="988"/>
      <c r="AH18" s="956" t="s">
        <v>37</v>
      </c>
      <c r="AI18" s="975"/>
      <c r="AJ18" s="939"/>
      <c r="AK18" s="940"/>
      <c r="AL18" s="54"/>
    </row>
    <row r="19" spans="1:38" ht="18.75" x14ac:dyDescent="0.25">
      <c r="A19" s="31"/>
      <c r="B19" s="123"/>
      <c r="C19" s="123"/>
      <c r="D19" s="123"/>
      <c r="E19" s="123"/>
      <c r="F19" s="123"/>
      <c r="G19" s="123"/>
      <c r="H19" s="84" t="s">
        <v>70</v>
      </c>
      <c r="I19" s="124">
        <v>2.2831818478725019</v>
      </c>
      <c r="J19" s="85" t="s">
        <v>39</v>
      </c>
      <c r="K19" s="1143">
        <f>(2*vel_orb1p*SIN(RADIANS(dincl1/2)))</f>
        <v>0.30531973600651352</v>
      </c>
      <c r="L19" s="1144"/>
      <c r="M19" s="48" t="s">
        <v>19</v>
      </c>
      <c r="N19" s="127"/>
      <c r="O19" s="897" t="s">
        <v>69</v>
      </c>
      <c r="P19" s="885"/>
      <c r="Q19" s="885"/>
      <c r="R19" s="885"/>
      <c r="S19" s="885"/>
      <c r="T19" s="1061">
        <f>SQRT(2*Mu)*SQRT((W17*W16)/(W17+W16))</f>
        <v>67258.647651477499</v>
      </c>
      <c r="U19" s="1062"/>
      <c r="V19" s="41" t="s">
        <v>37</v>
      </c>
      <c r="W19" s="42"/>
      <c r="X19" s="43"/>
      <c r="Y19" s="127"/>
      <c r="Z19" s="485" t="s">
        <v>71</v>
      </c>
      <c r="AA19" s="486"/>
      <c r="AB19" s="486"/>
      <c r="AC19" s="486"/>
      <c r="AD19" s="487"/>
      <c r="AE19" s="986">
        <f>(-Mu)/(2*AE17)</f>
        <v>26640.938751799476</v>
      </c>
      <c r="AF19" s="987"/>
      <c r="AG19" s="988"/>
      <c r="AH19" s="956" t="s">
        <v>12</v>
      </c>
      <c r="AI19" s="975"/>
      <c r="AJ19" s="964" t="s">
        <v>72</v>
      </c>
      <c r="AK19" s="965"/>
      <c r="AL19" s="966"/>
    </row>
    <row r="20" spans="1:38" ht="16.5" thickBot="1" x14ac:dyDescent="0.3">
      <c r="A20" s="86"/>
      <c r="B20" s="79"/>
      <c r="C20" s="79"/>
      <c r="D20" s="79"/>
      <c r="E20" s="79"/>
      <c r="F20" s="79"/>
      <c r="G20" s="79"/>
      <c r="H20" s="87" t="s">
        <v>73</v>
      </c>
      <c r="I20" s="125">
        <f>ABS(Incl1-Incl2)-dincl1</f>
        <v>31.716818152127498</v>
      </c>
      <c r="J20" s="88" t="s">
        <v>39</v>
      </c>
      <c r="K20" s="1145">
        <f>(2*vel_orb2a*SIN(RADIANS(dincl2/2)))</f>
        <v>1.8558611608804072</v>
      </c>
      <c r="L20" s="1146"/>
      <c r="M20" s="30" t="s">
        <v>19</v>
      </c>
      <c r="N20" s="127"/>
      <c r="O20" s="1069" t="s">
        <v>74</v>
      </c>
      <c r="P20" s="1070"/>
      <c r="Q20" s="1070"/>
      <c r="R20" s="1070"/>
      <c r="S20" s="1070"/>
      <c r="T20" s="1063">
        <f>((PI())*SQRT(((W16+W17)/2)^3/(Mu)))/60</f>
        <v>246.59982928790402</v>
      </c>
      <c r="U20" s="1064"/>
      <c r="V20" s="67" t="s">
        <v>43</v>
      </c>
      <c r="W20" s="68">
        <f>T20/60</f>
        <v>4.1099971547984007</v>
      </c>
      <c r="X20" s="69" t="s">
        <v>75</v>
      </c>
      <c r="Y20" s="127"/>
      <c r="Z20" s="485" t="s">
        <v>76</v>
      </c>
      <c r="AA20" s="486"/>
      <c r="AB20" s="486"/>
      <c r="AC20" s="486"/>
      <c r="AD20" s="487"/>
      <c r="AE20" s="986">
        <f>(2*AE19)-AL7</f>
        <v>46492.877503598953</v>
      </c>
      <c r="AF20" s="987"/>
      <c r="AG20" s="988"/>
      <c r="AH20" s="956" t="s">
        <v>12</v>
      </c>
      <c r="AI20" s="975"/>
      <c r="AJ20" s="941" t="str">
        <f>IF(AE20&gt;AL12, "Yes", "No")</f>
        <v>Yes</v>
      </c>
      <c r="AK20" s="942"/>
      <c r="AL20" s="943"/>
    </row>
    <row r="21" spans="1:38" ht="16.5" thickBot="1" x14ac:dyDescent="0.3">
      <c r="A21" s="129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924" t="s">
        <v>77</v>
      </c>
      <c r="P21" s="906"/>
      <c r="Q21" s="906"/>
      <c r="R21" s="906"/>
      <c r="S21" s="906"/>
      <c r="T21" s="911">
        <f>ABS(T16-Vcirc1)</f>
        <v>2.2445873436971739</v>
      </c>
      <c r="U21" s="913"/>
      <c r="V21" s="36" t="s">
        <v>19</v>
      </c>
      <c r="W21" s="37"/>
      <c r="X21" s="38"/>
      <c r="Y21" s="127"/>
      <c r="Z21" s="458" t="s">
        <v>78</v>
      </c>
      <c r="AA21" s="459"/>
      <c r="AB21" s="459"/>
      <c r="AC21" s="459"/>
      <c r="AD21" s="460"/>
      <c r="AE21" s="995">
        <f>(AE20-AL7)/(AE20+AL7)</f>
        <v>0.74516663758549295</v>
      </c>
      <c r="AF21" s="996"/>
      <c r="AG21" s="997"/>
      <c r="AH21" s="976" t="str">
        <f>IF(AE21=0,"Circular",IF(AE21&gt;=1,"Hyperbolic","Ellipse"))</f>
        <v>Ellipse</v>
      </c>
      <c r="AI21" s="977"/>
      <c r="AJ21" s="939"/>
      <c r="AK21" s="940"/>
      <c r="AL21" s="54"/>
    </row>
    <row r="22" spans="1:38" ht="16.5" thickBot="1" x14ac:dyDescent="0.3">
      <c r="A22" s="1136" t="s">
        <v>79</v>
      </c>
      <c r="B22" s="1137"/>
      <c r="C22" s="1137"/>
      <c r="D22" s="1138"/>
      <c r="E22" s="127"/>
      <c r="F22" s="127"/>
      <c r="G22" s="127"/>
      <c r="H22" s="127"/>
      <c r="I22" s="130" t="s">
        <v>80</v>
      </c>
      <c r="J22" s="127"/>
      <c r="K22" s="127"/>
      <c r="L22" s="127"/>
      <c r="M22" s="127"/>
      <c r="N22" s="127"/>
      <c r="O22" s="1133" t="s">
        <v>81</v>
      </c>
      <c r="P22" s="1134"/>
      <c r="Q22" s="1134"/>
      <c r="R22" s="1134"/>
      <c r="S22" s="1134"/>
      <c r="T22" s="1147">
        <f>SQRT((T16)^2+(Vcirc1)^2-(2*T16*Vcirc1*COS(RADIANS(W22))))</f>
        <v>2.2712771507364877</v>
      </c>
      <c r="U22" s="1148"/>
      <c r="V22" s="89" t="s">
        <v>19</v>
      </c>
      <c r="W22" s="90">
        <f>dincl1</f>
        <v>2.2831818478725019</v>
      </c>
      <c r="X22" s="91" t="s">
        <v>70</v>
      </c>
      <c r="Y22" s="127"/>
      <c r="Z22" s="482" t="s">
        <v>82</v>
      </c>
      <c r="AA22" s="483"/>
      <c r="AB22" s="483"/>
      <c r="AC22" s="483"/>
      <c r="AD22" s="484"/>
      <c r="AE22" s="998">
        <f>(ACOS((AE19*(1-(AE21)^2)-AL12)/(AL12*AE21)))*DgRd</f>
        <v>151.88623991826037</v>
      </c>
      <c r="AF22" s="999"/>
      <c r="AG22" s="1000"/>
      <c r="AH22" s="954" t="s">
        <v>83</v>
      </c>
      <c r="AI22" s="955"/>
      <c r="AJ22" s="939"/>
      <c r="AK22" s="940"/>
      <c r="AL22" s="54"/>
    </row>
    <row r="23" spans="1:38" ht="16.5" thickBot="1" x14ac:dyDescent="0.3">
      <c r="A23" s="1139" t="s">
        <v>84</v>
      </c>
      <c r="B23" s="1140"/>
      <c r="C23" s="1141">
        <v>7989</v>
      </c>
      <c r="D23" s="1142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897" t="s">
        <v>85</v>
      </c>
      <c r="P23" s="885"/>
      <c r="Q23" s="885"/>
      <c r="R23" s="885"/>
      <c r="S23" s="885"/>
      <c r="T23" s="917">
        <f>ABS(T17-Vhoh2)</f>
        <v>1.4500190440162821</v>
      </c>
      <c r="U23" s="919"/>
      <c r="V23" s="41" t="s">
        <v>19</v>
      </c>
      <c r="W23" s="42"/>
      <c r="X23" s="43"/>
      <c r="Y23" s="127"/>
      <c r="Z23" s="485" t="s">
        <v>86</v>
      </c>
      <c r="AA23" s="486"/>
      <c r="AB23" s="486"/>
      <c r="AC23" s="486"/>
      <c r="AD23" s="487"/>
      <c r="AE23" s="1001">
        <f>ACOS((AE21+COS(AE22/DgRd))/(1+AE21*COS(AE22/DgRd)))</f>
        <v>1.9815046001881029</v>
      </c>
      <c r="AF23" s="1002"/>
      <c r="AG23" s="1003"/>
      <c r="AH23" s="956" t="s">
        <v>87</v>
      </c>
      <c r="AI23" s="957"/>
      <c r="AJ23" s="939"/>
      <c r="AK23" s="940"/>
      <c r="AL23" s="54"/>
    </row>
    <row r="24" spans="1:38" ht="16.5" thickBot="1" x14ac:dyDescent="0.3">
      <c r="A24" s="1117" t="s">
        <v>88</v>
      </c>
      <c r="B24" s="1118"/>
      <c r="C24" s="1125" t="e">
        <f>(ACOS((SM1A*(1-EC1C^2)-ROrb1)/(ROrb1*EC1C)))*DgRd</f>
        <v>#DIV/0!</v>
      </c>
      <c r="D24" s="1126"/>
      <c r="E24" s="127" t="s">
        <v>320</v>
      </c>
      <c r="F24" s="127"/>
      <c r="G24" s="127"/>
      <c r="H24" s="127"/>
      <c r="J24" s="127"/>
      <c r="K24" s="127"/>
      <c r="L24" s="127"/>
      <c r="M24" s="127"/>
      <c r="N24" s="127"/>
      <c r="O24" s="897" t="s">
        <v>89</v>
      </c>
      <c r="P24" s="885"/>
      <c r="Q24" s="885"/>
      <c r="R24" s="885"/>
      <c r="S24" s="885"/>
      <c r="T24" s="917">
        <f>SQRT((T17)^2+(Vhoh2)^2-(2*T17*Vhoh2*COS(RADIANS(W24))))</f>
        <v>2.0189270593582544</v>
      </c>
      <c r="U24" s="919"/>
      <c r="V24" s="41" t="s">
        <v>19</v>
      </c>
      <c r="W24" s="42">
        <f>dincl2</f>
        <v>31.716818152127498</v>
      </c>
      <c r="X24" s="43" t="s">
        <v>73</v>
      </c>
      <c r="Y24" s="127"/>
      <c r="Z24" s="485" t="s">
        <v>74</v>
      </c>
      <c r="AA24" s="486"/>
      <c r="AB24" s="486"/>
      <c r="AC24" s="486"/>
      <c r="AD24" s="487"/>
      <c r="AE24" s="1004">
        <f>SQRT((AE19)^3/(Mu))*(AE23-(AE21*SIN(AE23)))/60</f>
        <v>149.03281033371715</v>
      </c>
      <c r="AF24" s="1005"/>
      <c r="AG24" s="1006"/>
      <c r="AH24" s="956" t="s">
        <v>43</v>
      </c>
      <c r="AI24" s="957"/>
      <c r="AJ24" s="971">
        <f>AE24/60</f>
        <v>2.483880172228619</v>
      </c>
      <c r="AK24" s="972"/>
      <c r="AL24" s="92" t="s">
        <v>75</v>
      </c>
    </row>
    <row r="25" spans="1:38" ht="16.5" thickBot="1" x14ac:dyDescent="0.3">
      <c r="A25" s="1119" t="s">
        <v>90</v>
      </c>
      <c r="B25" s="1120"/>
      <c r="C25" s="1127">
        <f>SQRT((2)*((Mu/ROrb1)+Ener1))</f>
        <v>6.4089456269240754</v>
      </c>
      <c r="D25" s="1128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897" t="s">
        <v>91</v>
      </c>
      <c r="P25" s="885"/>
      <c r="Q25" s="885"/>
      <c r="R25" s="885"/>
      <c r="S25" s="885"/>
      <c r="T25" s="1052">
        <f>(T21+T23)</f>
        <v>3.6946063877134563</v>
      </c>
      <c r="U25" s="1053"/>
      <c r="V25" s="41" t="s">
        <v>19</v>
      </c>
      <c r="W25" s="42"/>
      <c r="X25" s="43"/>
      <c r="Y25" s="127"/>
      <c r="Z25" s="485" t="s">
        <v>92</v>
      </c>
      <c r="AA25" s="486"/>
      <c r="AB25" s="486"/>
      <c r="AC25" s="486"/>
      <c r="AD25" s="487"/>
      <c r="AE25" s="1007">
        <f>AJ16</f>
        <v>2.46</v>
      </c>
      <c r="AF25" s="1008"/>
      <c r="AG25" s="1009"/>
      <c r="AH25" s="978" t="s">
        <v>19</v>
      </c>
      <c r="AI25" s="979"/>
      <c r="AJ25" s="944"/>
      <c r="AK25" s="945"/>
      <c r="AL25" s="93"/>
    </row>
    <row r="26" spans="1:38" ht="16.5" thickBot="1" x14ac:dyDescent="0.3">
      <c r="A26" s="1121" t="s">
        <v>88</v>
      </c>
      <c r="B26" s="1122"/>
      <c r="C26" s="1129">
        <v>120</v>
      </c>
      <c r="D26" s="1130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069" t="s">
        <v>93</v>
      </c>
      <c r="P26" s="1070"/>
      <c r="Q26" s="1070"/>
      <c r="R26" s="1070"/>
      <c r="S26" s="1070"/>
      <c r="T26" s="1054">
        <f>ABS(T24+T22)</f>
        <v>4.2902042100947426</v>
      </c>
      <c r="U26" s="1055"/>
      <c r="V26" s="67" t="s">
        <v>19</v>
      </c>
      <c r="W26" s="68"/>
      <c r="X26" s="69"/>
      <c r="Y26" s="127"/>
      <c r="Z26" s="485" t="s">
        <v>94</v>
      </c>
      <c r="AA26" s="486"/>
      <c r="AB26" s="486"/>
      <c r="AC26" s="486"/>
      <c r="AD26" s="487"/>
      <c r="AE26" s="1001">
        <f>SQRT((AE16)^2+(AE6)^2-(2*AE16*AE6*COS(RADIANS(W22))))</f>
        <v>2.4849040704676262</v>
      </c>
      <c r="AF26" s="1002"/>
      <c r="AG26" s="1003"/>
      <c r="AH26" s="956" t="s">
        <v>19</v>
      </c>
      <c r="AI26" s="957"/>
      <c r="AJ26" s="948">
        <f>W22</f>
        <v>2.2831818478725019</v>
      </c>
      <c r="AK26" s="949"/>
      <c r="AL26" s="92" t="s">
        <v>70</v>
      </c>
    </row>
    <row r="27" spans="1:38" ht="15.75" x14ac:dyDescent="0.25">
      <c r="A27" s="1117" t="s">
        <v>84</v>
      </c>
      <c r="B27" s="1118"/>
      <c r="C27" s="1131">
        <f>((SM1A)*(1-(EC1C^2))/(1+EC1C*COS(TAn1I/DgRd)))</f>
        <v>6789</v>
      </c>
      <c r="D27" s="1132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924" t="s">
        <v>95</v>
      </c>
      <c r="P27" s="906"/>
      <c r="Q27" s="906"/>
      <c r="R27" s="906"/>
      <c r="S27" s="906"/>
      <c r="T27" s="1056">
        <f>((-3/2)*((SQRT(Mu))*M4*(Re_m)^2)/((1-EC1C^2)^2*(SM1A)^(7/2)))*(COS(RADIANS(Incl1)))*3600*24*DgRd</f>
        <v>-5.4613038169364252</v>
      </c>
      <c r="U27" s="1057"/>
      <c r="V27" s="36" t="s">
        <v>96</v>
      </c>
      <c r="W27" s="37"/>
      <c r="X27" s="38"/>
      <c r="Y27" s="127"/>
      <c r="Z27" s="485" t="s">
        <v>97</v>
      </c>
      <c r="AA27" s="486"/>
      <c r="AB27" s="486"/>
      <c r="AC27" s="486"/>
      <c r="AD27" s="487"/>
      <c r="AE27" s="1001">
        <f>SQRT((AE17*AL12+Mu)/(AL12/2))</f>
        <v>2.8461418072107216</v>
      </c>
      <c r="AF27" s="1002"/>
      <c r="AG27" s="1003"/>
      <c r="AH27" s="956" t="s">
        <v>19</v>
      </c>
      <c r="AI27" s="957"/>
      <c r="AJ27" s="939"/>
      <c r="AK27" s="940"/>
      <c r="AL27" s="54"/>
    </row>
    <row r="28" spans="1:38" ht="16.5" thickBot="1" x14ac:dyDescent="0.3">
      <c r="A28" s="1119" t="s">
        <v>90</v>
      </c>
      <c r="B28" s="1120"/>
      <c r="C28" s="1127">
        <f>SQRT((2)*((Mu/RadIn1)+Ener1))</f>
        <v>7.6624162873939303</v>
      </c>
      <c r="D28" s="1128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069" t="s">
        <v>98</v>
      </c>
      <c r="P28" s="1070"/>
      <c r="Q28" s="1070"/>
      <c r="R28" s="1070"/>
      <c r="S28" s="1070"/>
      <c r="T28" s="1054">
        <f>((-3/2)*((SQRT(Mu))*M4*(Re_m)^2)/((1-EC2C^2)^2*(SM2A)^(7/2)))*(COS(RADIANS(Incl2)))*3600*24*DgRd</f>
        <v>-2.6196384516364891E-2</v>
      </c>
      <c r="U28" s="1055"/>
      <c r="V28" s="67" t="s">
        <v>96</v>
      </c>
      <c r="W28" s="68"/>
      <c r="X28" s="69"/>
      <c r="Y28" s="127"/>
      <c r="Z28" s="485" t="s">
        <v>99</v>
      </c>
      <c r="AA28" s="486"/>
      <c r="AB28" s="486"/>
      <c r="AC28" s="486"/>
      <c r="AD28" s="487"/>
      <c r="AE28" s="983">
        <f>ACOS((AE18)/(AL12*AE27))*DgRd</f>
        <v>45.692526827286578</v>
      </c>
      <c r="AF28" s="984"/>
      <c r="AG28" s="985"/>
      <c r="AH28" s="956" t="s">
        <v>83</v>
      </c>
      <c r="AI28" s="957"/>
      <c r="AJ28" s="939"/>
      <c r="AK28" s="940"/>
      <c r="AL28" s="54"/>
    </row>
    <row r="29" spans="1:38" ht="16.5" thickBot="1" x14ac:dyDescent="0.3">
      <c r="A29" s="94"/>
      <c r="B29" s="131"/>
      <c r="C29" s="131"/>
      <c r="D29" s="95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045" t="s">
        <v>100</v>
      </c>
      <c r="P29" s="1031"/>
      <c r="Q29" s="1031"/>
      <c r="R29" s="1031"/>
      <c r="S29" s="1031"/>
      <c r="T29" s="1058">
        <f>((-3/2)*((SQRT(Mu))*M4*(Re_m)^2)/((1-EC1C^2)^2*(SM1A)^(7/2)))*(5/2*(SIN(RADIANS(Incl1))^2)-2)*3600*24*DgRd</f>
        <v>5.3076025607702073</v>
      </c>
      <c r="U29" s="1059"/>
      <c r="V29" s="112" t="s">
        <v>96</v>
      </c>
      <c r="W29" s="96"/>
      <c r="X29" s="97"/>
      <c r="Y29" s="131"/>
      <c r="Z29" s="485" t="s">
        <v>101</v>
      </c>
      <c r="AA29" s="486"/>
      <c r="AB29" s="486"/>
      <c r="AC29" s="486"/>
      <c r="AD29" s="487"/>
      <c r="AE29" s="1001">
        <f>SQRT((AE27)^2+(AE11)^2-(2*AE27*AE11*COS(RADIANS(AE28))))</f>
        <v>2.4758462071191056</v>
      </c>
      <c r="AF29" s="1002"/>
      <c r="AG29" s="1003"/>
      <c r="AH29" s="956" t="s">
        <v>19</v>
      </c>
      <c r="AI29" s="957"/>
      <c r="AJ29" s="939"/>
      <c r="AK29" s="940"/>
      <c r="AL29" s="54"/>
    </row>
    <row r="30" spans="1:38" ht="16.5" thickBot="1" x14ac:dyDescent="0.3">
      <c r="A30" s="1114" t="s">
        <v>102</v>
      </c>
      <c r="B30" s="1115"/>
      <c r="C30" s="1115"/>
      <c r="D30" s="1116"/>
      <c r="E30" s="945" t="s">
        <v>325</v>
      </c>
      <c r="F30" s="945"/>
      <c r="G30" s="945"/>
      <c r="H30" s="945"/>
      <c r="I30" s="131"/>
      <c r="J30" s="131"/>
      <c r="K30" s="131"/>
      <c r="L30" s="131"/>
      <c r="M30" s="131"/>
      <c r="N30" s="131"/>
      <c r="O30" s="1069" t="s">
        <v>103</v>
      </c>
      <c r="P30" s="1070"/>
      <c r="Q30" s="1070"/>
      <c r="R30" s="1070"/>
      <c r="S30" s="1070"/>
      <c r="T30" s="1050">
        <f>((-3/2)*((SQRT(Mu))*M4*(Re_m)^2)/((1-EC2C^2)^2*(SM2A)^(7/2)))*(5/2*(SIN(RADIANS(Incl2))^2)-2)*3600*24*DgRd</f>
        <v>5.0369703676633237E-2</v>
      </c>
      <c r="U30" s="1051"/>
      <c r="V30" s="67" t="s">
        <v>96</v>
      </c>
      <c r="W30" s="68"/>
      <c r="X30" s="69"/>
      <c r="Y30" s="131"/>
      <c r="Z30" s="485" t="s">
        <v>104</v>
      </c>
      <c r="AA30" s="486"/>
      <c r="AB30" s="486"/>
      <c r="AC30" s="486"/>
      <c r="AD30" s="487"/>
      <c r="AE30" s="1001">
        <f>SQRT((AE27)^2+(AE11)^2-(2*AE27*AE11*(COS(RADIANS(AE28))-COS(RADIANS(AE28))*(1-COS(RADIANS(W24))))))</f>
        <v>2.8541612878055371</v>
      </c>
      <c r="AF30" s="1002"/>
      <c r="AG30" s="1003"/>
      <c r="AH30" s="956" t="s">
        <v>19</v>
      </c>
      <c r="AI30" s="957"/>
      <c r="AJ30" s="948">
        <f>W24</f>
        <v>31.716818152127498</v>
      </c>
      <c r="AK30" s="949"/>
      <c r="AL30" s="92" t="s">
        <v>73</v>
      </c>
    </row>
    <row r="31" spans="1:38" ht="15.75" x14ac:dyDescent="0.25">
      <c r="A31" s="1103" t="s">
        <v>88</v>
      </c>
      <c r="B31" s="1104"/>
      <c r="C31" s="1112">
        <v>179.9</v>
      </c>
      <c r="D31" s="1113"/>
      <c r="E31" s="1149"/>
      <c r="F31" s="1149"/>
      <c r="G31" s="1149"/>
      <c r="H31" s="1149"/>
      <c r="I31" s="131"/>
      <c r="J31" s="131"/>
      <c r="K31" s="131"/>
      <c r="L31" s="131"/>
      <c r="M31" s="131"/>
      <c r="N31" s="131"/>
      <c r="O31" s="891"/>
      <c r="P31" s="891"/>
      <c r="Q31" s="891"/>
      <c r="R31" s="891"/>
      <c r="S31" s="891"/>
      <c r="T31" s="891"/>
      <c r="U31" s="891"/>
      <c r="V31" s="127"/>
      <c r="W31" s="891"/>
      <c r="X31" s="891"/>
      <c r="Y31" s="131"/>
      <c r="Z31" s="485" t="s">
        <v>105</v>
      </c>
      <c r="AA31" s="486"/>
      <c r="AB31" s="486"/>
      <c r="AC31" s="486"/>
      <c r="AD31" s="487"/>
      <c r="AE31" s="1024">
        <f>ABS(AE29+AE25)</f>
        <v>4.9358462071191056</v>
      </c>
      <c r="AF31" s="1025"/>
      <c r="AG31" s="1026"/>
      <c r="AH31" s="967" t="s">
        <v>19</v>
      </c>
      <c r="AI31" s="968"/>
      <c r="AJ31" s="944"/>
      <c r="AK31" s="945"/>
      <c r="AL31" s="93"/>
    </row>
    <row r="32" spans="1:38" ht="16.5" thickBot="1" x14ac:dyDescent="0.3">
      <c r="A32" s="1105" t="s">
        <v>106</v>
      </c>
      <c r="B32" s="895"/>
      <c r="C32" s="1106">
        <f>IF(C31&lt;180, 2*ATAN(SQRT((1-EC1C)/(1+EC1C))*TAN(RADIANS(C31/2))), (360-ABS(2*ATAN(SQRT((1-EC1C)/(1+EC1C))*TAN(RADIANS(C31/2)))*DgRd))/DgRd)</f>
        <v>3.1398473243377989</v>
      </c>
      <c r="D32" s="1107"/>
      <c r="E32" s="1149"/>
      <c r="F32" s="1149"/>
      <c r="G32" s="1150"/>
      <c r="H32" s="1150"/>
      <c r="I32" s="131"/>
      <c r="J32" s="131"/>
      <c r="K32" s="131"/>
      <c r="L32" s="131"/>
      <c r="M32" s="131"/>
      <c r="N32" s="131"/>
      <c r="O32" s="891"/>
      <c r="P32" s="891"/>
      <c r="Q32" s="891"/>
      <c r="R32" s="891"/>
      <c r="S32" s="891"/>
      <c r="T32" s="891"/>
      <c r="U32" s="891"/>
      <c r="V32" s="127"/>
      <c r="W32" s="891"/>
      <c r="X32" s="891"/>
      <c r="Y32" s="131"/>
      <c r="Z32" s="458" t="s">
        <v>93</v>
      </c>
      <c r="AA32" s="459"/>
      <c r="AB32" s="459"/>
      <c r="AC32" s="459"/>
      <c r="AD32" s="460"/>
      <c r="AE32" s="1015">
        <f>ABS(AE30+AE26)</f>
        <v>5.3390653582731638</v>
      </c>
      <c r="AF32" s="1016"/>
      <c r="AG32" s="1017"/>
      <c r="AH32" s="969" t="s">
        <v>19</v>
      </c>
      <c r="AI32" s="970"/>
      <c r="AJ32" s="944"/>
      <c r="AK32" s="945"/>
      <c r="AL32" s="93"/>
    </row>
    <row r="33" spans="1:38" ht="16.5" thickBot="1" x14ac:dyDescent="0.3">
      <c r="A33" s="1108" t="s">
        <v>107</v>
      </c>
      <c r="B33" s="1109"/>
      <c r="C33" s="1110">
        <f>SQRT((SM1A)^3/(Mu))*(C32-(EC1C*SIN(C32)))/60</f>
        <v>46.365756104025813</v>
      </c>
      <c r="D33" s="1111"/>
      <c r="E33" s="1149"/>
      <c r="F33" s="1149"/>
      <c r="G33" s="1150"/>
      <c r="H33" s="1150"/>
      <c r="I33" s="131"/>
      <c r="J33" s="131"/>
      <c r="K33" s="131"/>
      <c r="L33" s="131"/>
      <c r="M33" s="131"/>
      <c r="N33" s="131"/>
      <c r="O33" s="891"/>
      <c r="P33" s="891"/>
      <c r="Q33" s="891"/>
      <c r="R33" s="891"/>
      <c r="S33" s="891"/>
      <c r="T33" s="891"/>
      <c r="U33" s="891"/>
      <c r="V33" s="127"/>
      <c r="W33" s="891"/>
      <c r="X33" s="891"/>
      <c r="Y33" s="131"/>
      <c r="Z33" s="500" t="s">
        <v>95</v>
      </c>
      <c r="AA33" s="501"/>
      <c r="AB33" s="501"/>
      <c r="AC33" s="501"/>
      <c r="AD33" s="502"/>
      <c r="AE33" s="1012">
        <f>((-3/2)*((SQRT(Mu))*M4*(Re_m)^2)/((1-EC1C^2)^2*(SM1A)^(7/2)))*(COS(RADIANS(Incl1)))*3600*24*DgRd</f>
        <v>-5.4613038169364252</v>
      </c>
      <c r="AF33" s="1013"/>
      <c r="AG33" s="1014"/>
      <c r="AH33" s="950" t="s">
        <v>96</v>
      </c>
      <c r="AI33" s="951"/>
      <c r="AJ33" s="944"/>
      <c r="AK33" s="945"/>
      <c r="AL33" s="93"/>
    </row>
    <row r="34" spans="1:38" ht="16.5" thickBot="1" x14ac:dyDescent="0.3">
      <c r="A34" s="94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891"/>
      <c r="P34" s="891"/>
      <c r="Q34" s="891"/>
      <c r="R34" s="891"/>
      <c r="S34" s="891"/>
      <c r="T34" s="891"/>
      <c r="U34" s="891"/>
      <c r="V34" s="127"/>
      <c r="W34" s="891"/>
      <c r="X34" s="891"/>
      <c r="Y34" s="131"/>
      <c r="Z34" s="458" t="s">
        <v>98</v>
      </c>
      <c r="AA34" s="459"/>
      <c r="AB34" s="459"/>
      <c r="AC34" s="459"/>
      <c r="AD34" s="460"/>
      <c r="AE34" s="1015">
        <f>((-3/2)*((SQRT(Mu))*M4*(Re_m)^2)/((1-EC2C^2)^2*(SM2A)^(7/2)))*(COS(RADIANS(Incl2)))*3600*24*DgRd</f>
        <v>-2.6196384516364891E-2</v>
      </c>
      <c r="AF34" s="1016"/>
      <c r="AG34" s="1017"/>
      <c r="AH34" s="952" t="s">
        <v>96</v>
      </c>
      <c r="AI34" s="953"/>
      <c r="AJ34" s="944"/>
      <c r="AK34" s="945"/>
      <c r="AL34" s="93"/>
    </row>
    <row r="35" spans="1:38" ht="15.75" x14ac:dyDescent="0.25">
      <c r="A35" s="526" t="s">
        <v>319</v>
      </c>
      <c r="B35" s="527"/>
      <c r="C35" s="527"/>
      <c r="D35" s="527"/>
      <c r="E35" s="527"/>
      <c r="F35" s="527"/>
      <c r="G35" s="527"/>
      <c r="H35" s="527"/>
      <c r="I35" s="527"/>
      <c r="J35" s="527"/>
      <c r="K35" s="527"/>
      <c r="L35" s="527"/>
      <c r="M35" s="528"/>
      <c r="N35" s="131"/>
      <c r="O35" s="891"/>
      <c r="P35" s="891"/>
      <c r="Q35" s="891"/>
      <c r="R35" s="891"/>
      <c r="S35" s="891"/>
      <c r="T35" s="891"/>
      <c r="U35" s="891"/>
      <c r="V35" s="127"/>
      <c r="W35" s="891"/>
      <c r="X35" s="891"/>
      <c r="Y35" s="131"/>
      <c r="Z35" s="482" t="s">
        <v>100</v>
      </c>
      <c r="AA35" s="483"/>
      <c r="AB35" s="483"/>
      <c r="AC35" s="483"/>
      <c r="AD35" s="484"/>
      <c r="AE35" s="1018">
        <f>((-3/2)*((SQRT(Mu))*M4*(Re_m)^2)/((1-EC1C^2)^2*(SM1A)^(7/2)))*(5/2*(SIN(RADIANS(Incl1))^2)-2)*3600*24*DgRd</f>
        <v>5.3076025607702073</v>
      </c>
      <c r="AF35" s="1019"/>
      <c r="AG35" s="1020"/>
      <c r="AH35" s="954" t="s">
        <v>96</v>
      </c>
      <c r="AI35" s="955"/>
      <c r="AJ35" s="944"/>
      <c r="AK35" s="945"/>
      <c r="AL35" s="93"/>
    </row>
    <row r="36" spans="1:38" ht="16.5" thickBot="1" x14ac:dyDescent="0.3">
      <c r="A36" s="529"/>
      <c r="B36" s="530"/>
      <c r="C36" s="530"/>
      <c r="D36" s="530"/>
      <c r="E36" s="530"/>
      <c r="F36" s="530"/>
      <c r="G36" s="530"/>
      <c r="H36" s="530"/>
      <c r="I36" s="530"/>
      <c r="J36" s="530"/>
      <c r="K36" s="530"/>
      <c r="L36" s="530"/>
      <c r="M36" s="531"/>
      <c r="N36" s="131"/>
      <c r="O36" s="891" t="s">
        <v>108</v>
      </c>
      <c r="P36" s="891"/>
      <c r="Q36" s="891"/>
      <c r="R36" s="891"/>
      <c r="S36" s="891"/>
      <c r="T36" s="891"/>
      <c r="U36" s="891"/>
      <c r="V36" s="127"/>
      <c r="W36" s="891" t="s">
        <v>109</v>
      </c>
      <c r="X36" s="891"/>
      <c r="Y36" s="131"/>
      <c r="Z36" s="458" t="s">
        <v>103</v>
      </c>
      <c r="AA36" s="459"/>
      <c r="AB36" s="459"/>
      <c r="AC36" s="459"/>
      <c r="AD36" s="460"/>
      <c r="AE36" s="1021">
        <f>((-3/2)*((SQRT(Mu))*M4*(Re_m)^2)/((1-EC2C^2)^2*(SM2A)^(7/2)))*(5/2*(SIN(RADIANS(Incl2))^2)-2)*3600*24*DgRd</f>
        <v>5.0369703676633237E-2</v>
      </c>
      <c r="AF36" s="1022"/>
      <c r="AG36" s="1023"/>
      <c r="AH36" s="952" t="s">
        <v>96</v>
      </c>
      <c r="AI36" s="953"/>
      <c r="AJ36" s="946"/>
      <c r="AK36" s="947"/>
      <c r="AL36" s="98"/>
    </row>
    <row r="37" spans="1:38" ht="15" customHeight="1" x14ac:dyDescent="0.25">
      <c r="A37" s="520" t="s">
        <v>110</v>
      </c>
      <c r="B37" s="521"/>
      <c r="C37" s="522"/>
      <c r="D37" s="520" t="s">
        <v>111</v>
      </c>
      <c r="E37" s="521"/>
      <c r="F37" s="522"/>
      <c r="G37" s="520" t="s">
        <v>112</v>
      </c>
      <c r="H37" s="522"/>
      <c r="I37" s="521" t="s">
        <v>113</v>
      </c>
      <c r="J37" s="521"/>
      <c r="K37" s="521"/>
      <c r="L37" s="521"/>
      <c r="M37" s="522"/>
      <c r="N37" s="131"/>
      <c r="O37" s="891"/>
      <c r="P37" s="891"/>
      <c r="Q37" s="891"/>
      <c r="R37" s="891"/>
      <c r="S37" s="891"/>
      <c r="T37" s="891"/>
      <c r="U37" s="891"/>
      <c r="V37" s="127"/>
      <c r="W37" s="891"/>
      <c r="X37" s="891"/>
      <c r="Y37" s="131"/>
      <c r="Z37" s="127"/>
      <c r="AA37" s="127"/>
      <c r="AB37" s="127"/>
      <c r="AC37" s="127"/>
      <c r="AD37" s="127"/>
      <c r="AE37" s="131"/>
      <c r="AF37" s="131"/>
      <c r="AG37" s="131"/>
      <c r="AH37" s="131"/>
      <c r="AI37" s="131"/>
      <c r="AJ37" s="131"/>
      <c r="AK37" s="131"/>
      <c r="AL37" s="95"/>
    </row>
    <row r="38" spans="1:38" ht="15.75" customHeight="1" thickBot="1" x14ac:dyDescent="0.3">
      <c r="A38" s="523"/>
      <c r="B38" s="524"/>
      <c r="C38" s="525"/>
      <c r="D38" s="1096"/>
      <c r="E38" s="1097"/>
      <c r="F38" s="1098"/>
      <c r="G38" s="523"/>
      <c r="H38" s="525"/>
      <c r="I38" s="524"/>
      <c r="J38" s="524"/>
      <c r="K38" s="524"/>
      <c r="L38" s="524"/>
      <c r="M38" s="525"/>
      <c r="N38" s="131"/>
      <c r="O38" s="891"/>
      <c r="P38" s="891"/>
      <c r="Q38" s="891"/>
      <c r="R38" s="891"/>
      <c r="S38" s="891"/>
      <c r="T38" s="891"/>
      <c r="U38" s="891"/>
      <c r="V38" s="127"/>
      <c r="W38" s="891"/>
      <c r="X38" s="891"/>
      <c r="Y38" s="131"/>
      <c r="Z38" s="127"/>
      <c r="AA38" s="127"/>
      <c r="AB38" s="127"/>
      <c r="AC38" s="127"/>
      <c r="AD38" s="127"/>
      <c r="AE38" s="131"/>
      <c r="AF38" s="131"/>
      <c r="AG38" s="131"/>
      <c r="AH38" s="131"/>
      <c r="AI38" s="131"/>
      <c r="AJ38" s="131"/>
      <c r="AK38" s="131"/>
      <c r="AL38" s="95"/>
    </row>
    <row r="39" spans="1:38" ht="18.75" thickBot="1" x14ac:dyDescent="0.3">
      <c r="A39" s="1090"/>
      <c r="B39" s="1091"/>
      <c r="C39" s="1091"/>
      <c r="D39" s="1099" t="s">
        <v>114</v>
      </c>
      <c r="E39" s="1093">
        <v>230</v>
      </c>
      <c r="F39" s="1100" t="s">
        <v>34</v>
      </c>
      <c r="G39" s="1090" t="s">
        <v>115</v>
      </c>
      <c r="H39" s="1074"/>
      <c r="I39" s="1081" t="s">
        <v>116</v>
      </c>
      <c r="J39" s="1082"/>
      <c r="K39" s="1075">
        <f>(go)*(Isp)*LN(imi/imf)</f>
        <v>3846.4231205175593</v>
      </c>
      <c r="L39" s="1076"/>
      <c r="M39" s="1074" t="s">
        <v>117</v>
      </c>
      <c r="N39" s="131"/>
      <c r="O39" s="517" t="s">
        <v>118</v>
      </c>
      <c r="P39" s="518"/>
      <c r="Q39" s="518"/>
      <c r="R39" s="518"/>
      <c r="S39" s="518"/>
      <c r="T39" s="518"/>
      <c r="U39" s="518"/>
      <c r="V39" s="518"/>
      <c r="W39" s="518"/>
      <c r="X39" s="519"/>
      <c r="Y39" s="131"/>
      <c r="Z39" s="127"/>
      <c r="AA39" s="127"/>
      <c r="AB39" s="127"/>
      <c r="AC39" s="127"/>
      <c r="AD39" s="127" t="s">
        <v>327</v>
      </c>
      <c r="AE39" s="131"/>
      <c r="AF39" s="131" t="s">
        <v>326</v>
      </c>
      <c r="AG39" s="131">
        <v>112</v>
      </c>
      <c r="AH39" s="131" t="s">
        <v>83</v>
      </c>
      <c r="AI39" s="131"/>
      <c r="AJ39" s="131"/>
      <c r="AK39" s="131"/>
      <c r="AL39" s="95"/>
    </row>
    <row r="40" spans="1:38" ht="15.75" x14ac:dyDescent="0.25">
      <c r="A40" s="939"/>
      <c r="B40" s="940"/>
      <c r="C40" s="940"/>
      <c r="D40" s="1088"/>
      <c r="E40" s="1094"/>
      <c r="F40" s="1101"/>
      <c r="G40" s="939"/>
      <c r="H40" s="1071"/>
      <c r="I40" s="1083"/>
      <c r="J40" s="1084"/>
      <c r="K40" s="1077"/>
      <c r="L40" s="1078"/>
      <c r="M40" s="1071"/>
      <c r="N40" s="131"/>
      <c r="O40" s="1065" t="s">
        <v>119</v>
      </c>
      <c r="P40" s="1033"/>
      <c r="Q40" s="1033"/>
      <c r="R40" s="1033"/>
      <c r="S40" s="1033"/>
      <c r="T40" s="1039">
        <f>Orb1p</f>
        <v>6789</v>
      </c>
      <c r="U40" s="1039"/>
      <c r="V40" s="1039"/>
      <c r="W40" s="1033" t="s">
        <v>12</v>
      </c>
      <c r="X40" s="1034"/>
      <c r="Y40" s="131"/>
      <c r="Z40" s="127"/>
      <c r="AA40" s="127"/>
      <c r="AB40" s="127"/>
      <c r="AC40" s="127"/>
      <c r="AD40" s="127"/>
      <c r="AE40" s="131"/>
      <c r="AF40" s="131" t="s">
        <v>328</v>
      </c>
      <c r="AG40" s="334">
        <f>AE33</f>
        <v>-5.4613038169364252</v>
      </c>
      <c r="AH40" s="131" t="s">
        <v>96</v>
      </c>
      <c r="AI40" s="131"/>
      <c r="AJ40" s="131"/>
      <c r="AK40" s="131"/>
      <c r="AL40" s="95"/>
    </row>
    <row r="41" spans="1:38" ht="16.5" thickBot="1" x14ac:dyDescent="0.3">
      <c r="A41" s="939"/>
      <c r="B41" s="940"/>
      <c r="C41" s="940"/>
      <c r="D41" s="1088"/>
      <c r="E41" s="1094"/>
      <c r="F41" s="1101"/>
      <c r="G41" s="1072"/>
      <c r="H41" s="1073"/>
      <c r="I41" s="1085"/>
      <c r="J41" s="1086"/>
      <c r="K41" s="1079"/>
      <c r="L41" s="1080"/>
      <c r="M41" s="1073"/>
      <c r="N41" s="131"/>
      <c r="O41" s="1066" t="s">
        <v>120</v>
      </c>
      <c r="P41" s="1035"/>
      <c r="Q41" s="1035"/>
      <c r="R41" s="1035"/>
      <c r="S41" s="1035"/>
      <c r="T41" s="1040">
        <f>Orb1a</f>
        <v>6789</v>
      </c>
      <c r="U41" s="1040"/>
      <c r="V41" s="1040"/>
      <c r="W41" s="1035" t="s">
        <v>12</v>
      </c>
      <c r="X41" s="1036"/>
      <c r="Y41" s="131"/>
      <c r="Z41" s="127"/>
      <c r="AA41" s="127"/>
      <c r="AB41" s="127"/>
      <c r="AC41" s="127"/>
      <c r="AD41" s="127" t="s">
        <v>329</v>
      </c>
      <c r="AE41" s="131"/>
      <c r="AF41" s="131"/>
      <c r="AG41" s="131">
        <v>2</v>
      </c>
      <c r="AH41" s="131" t="s">
        <v>330</v>
      </c>
      <c r="AI41" s="131"/>
      <c r="AJ41" s="131"/>
      <c r="AK41" s="131"/>
      <c r="AL41" s="95"/>
    </row>
    <row r="42" spans="1:38" ht="15.75" thickBot="1" x14ac:dyDescent="0.3">
      <c r="A42" s="939"/>
      <c r="B42" s="940"/>
      <c r="C42" s="940"/>
      <c r="D42" s="1089"/>
      <c r="E42" s="1095"/>
      <c r="F42" s="1102"/>
      <c r="G42" s="1090" t="s">
        <v>121</v>
      </c>
      <c r="H42" s="1074"/>
      <c r="I42" s="1081" t="s">
        <v>122</v>
      </c>
      <c r="J42" s="1082"/>
      <c r="K42" s="1075">
        <f>(imf)*EXP((ideltaV)/(go*Isp))</f>
        <v>36682.937720086869</v>
      </c>
      <c r="L42" s="1076"/>
      <c r="M42" s="1074" t="s">
        <v>123</v>
      </c>
      <c r="N42" s="131"/>
      <c r="O42" s="1041"/>
      <c r="P42" s="1042"/>
      <c r="Q42" s="1042"/>
      <c r="R42" s="1042"/>
      <c r="S42" s="1042"/>
      <c r="T42" s="1042"/>
      <c r="U42" s="1042"/>
      <c r="V42" s="1042"/>
      <c r="W42" s="1042"/>
      <c r="X42" s="1043"/>
      <c r="Y42" s="131"/>
      <c r="Z42" s="132" t="s">
        <v>80</v>
      </c>
      <c r="AA42" s="127"/>
      <c r="AB42" s="127"/>
      <c r="AC42" s="127"/>
      <c r="AD42" s="127"/>
      <c r="AE42" s="131"/>
      <c r="AF42" s="131"/>
      <c r="AG42" s="131"/>
      <c r="AH42" s="131"/>
      <c r="AI42" s="131"/>
      <c r="AJ42" s="131"/>
      <c r="AK42" s="131"/>
      <c r="AL42" s="95"/>
    </row>
    <row r="43" spans="1:38" ht="18" x14ac:dyDescent="0.25">
      <c r="A43" s="939"/>
      <c r="B43" s="940"/>
      <c r="C43" s="940"/>
      <c r="D43" s="1099" t="s">
        <v>124</v>
      </c>
      <c r="E43" s="1093">
        <v>22000</v>
      </c>
      <c r="F43" s="1100" t="s">
        <v>123</v>
      </c>
      <c r="G43" s="939"/>
      <c r="H43" s="1071"/>
      <c r="I43" s="1083"/>
      <c r="J43" s="1084"/>
      <c r="K43" s="1077"/>
      <c r="L43" s="1078"/>
      <c r="M43" s="1071"/>
      <c r="N43" s="131"/>
      <c r="O43" s="1067" t="s">
        <v>125</v>
      </c>
      <c r="P43" s="1037"/>
      <c r="Q43" s="1037"/>
      <c r="R43" s="1037"/>
      <c r="S43" s="1037"/>
      <c r="T43" s="925">
        <v>0.75</v>
      </c>
      <c r="U43" s="926"/>
      <c r="V43" s="927"/>
      <c r="W43" s="1037" t="s">
        <v>19</v>
      </c>
      <c r="X43" s="1038"/>
      <c r="Y43" s="131"/>
      <c r="Z43" s="127"/>
      <c r="AA43" s="127"/>
      <c r="AB43" s="127"/>
      <c r="AC43" s="127"/>
      <c r="AD43" s="127" t="s">
        <v>331</v>
      </c>
      <c r="AE43" s="131"/>
      <c r="AF43" s="131" t="s">
        <v>328</v>
      </c>
      <c r="AG43" s="131">
        <f>AG40*AG41</f>
        <v>-10.92260763387285</v>
      </c>
      <c r="AH43" s="131" t="s">
        <v>83</v>
      </c>
      <c r="AI43" s="131"/>
      <c r="AJ43" s="131"/>
      <c r="AK43" s="131"/>
      <c r="AL43" s="95"/>
    </row>
    <row r="44" spans="1:38" ht="18.75" thickBot="1" x14ac:dyDescent="0.3">
      <c r="A44" s="939"/>
      <c r="B44" s="940"/>
      <c r="C44" s="940"/>
      <c r="D44" s="1088"/>
      <c r="E44" s="1094"/>
      <c r="F44" s="1101"/>
      <c r="G44" s="1072"/>
      <c r="H44" s="1073"/>
      <c r="I44" s="1085"/>
      <c r="J44" s="1086"/>
      <c r="K44" s="1079"/>
      <c r="L44" s="1080"/>
      <c r="M44" s="1073"/>
      <c r="N44" s="131"/>
      <c r="O44" s="1068" t="s">
        <v>126</v>
      </c>
      <c r="P44" s="1027"/>
      <c r="Q44" s="1027"/>
      <c r="R44" s="1027"/>
      <c r="S44" s="1027"/>
      <c r="T44" s="928">
        <v>270</v>
      </c>
      <c r="U44" s="929"/>
      <c r="V44" s="930"/>
      <c r="W44" s="1027" t="s">
        <v>83</v>
      </c>
      <c r="X44" s="1028"/>
      <c r="Y44" s="131"/>
      <c r="Z44" s="127"/>
      <c r="AA44" s="127"/>
      <c r="AB44" s="127"/>
      <c r="AC44" s="127"/>
      <c r="AD44" s="127"/>
      <c r="AE44" s="131"/>
      <c r="AF44" s="131" t="s">
        <v>326</v>
      </c>
      <c r="AG44" s="131">
        <f>AG39+AG43</f>
        <v>101.07739236612716</v>
      </c>
      <c r="AH44" s="131" t="s">
        <v>83</v>
      </c>
      <c r="AI44" s="131"/>
      <c r="AJ44" s="131"/>
      <c r="AK44" s="131"/>
      <c r="AL44" s="95"/>
    </row>
    <row r="45" spans="1:38" ht="18.75" thickBot="1" x14ac:dyDescent="0.3">
      <c r="A45" s="939"/>
      <c r="B45" s="940"/>
      <c r="C45" s="940"/>
      <c r="D45" s="1088"/>
      <c r="E45" s="1094"/>
      <c r="F45" s="1101"/>
      <c r="G45" s="1090" t="s">
        <v>127</v>
      </c>
      <c r="H45" s="1074"/>
      <c r="I45" s="1081" t="s">
        <v>128</v>
      </c>
      <c r="J45" s="1082"/>
      <c r="K45" s="1075">
        <f>(imi)/EXP((ideltaV)/(go*Isp))</f>
        <v>2398.9354579912201</v>
      </c>
      <c r="L45" s="1076"/>
      <c r="M45" s="1074" t="s">
        <v>123</v>
      </c>
      <c r="N45" s="131"/>
      <c r="O45" s="1044" t="s">
        <v>129</v>
      </c>
      <c r="P45" s="1029"/>
      <c r="Q45" s="1029"/>
      <c r="R45" s="1029"/>
      <c r="S45" s="1029"/>
      <c r="T45" s="931">
        <v>110</v>
      </c>
      <c r="U45" s="932"/>
      <c r="V45" s="933"/>
      <c r="W45" s="1029" t="s">
        <v>83</v>
      </c>
      <c r="X45" s="1030"/>
      <c r="Y45" s="131"/>
      <c r="Z45" s="127"/>
      <c r="AA45" s="127"/>
      <c r="AB45" s="127"/>
      <c r="AC45" s="127"/>
      <c r="AD45" s="127"/>
      <c r="AE45" s="131"/>
      <c r="AF45" s="131"/>
      <c r="AG45" s="131"/>
      <c r="AH45" s="131"/>
      <c r="AI45" s="131"/>
      <c r="AJ45" s="131"/>
      <c r="AK45" s="131"/>
      <c r="AL45" s="95"/>
    </row>
    <row r="46" spans="1:38" ht="15.75" thickBot="1" x14ac:dyDescent="0.3">
      <c r="A46" s="939"/>
      <c r="B46" s="940"/>
      <c r="C46" s="940"/>
      <c r="D46" s="1089"/>
      <c r="E46" s="1095"/>
      <c r="F46" s="1102"/>
      <c r="G46" s="939"/>
      <c r="H46" s="1071"/>
      <c r="I46" s="1083"/>
      <c r="J46" s="1084"/>
      <c r="K46" s="1077"/>
      <c r="L46" s="1078"/>
      <c r="M46" s="1071"/>
      <c r="N46" s="131"/>
      <c r="O46" s="494" t="s">
        <v>130</v>
      </c>
      <c r="P46" s="495"/>
      <c r="Q46" s="495"/>
      <c r="R46" s="495"/>
      <c r="S46" s="495"/>
      <c r="T46" s="495"/>
      <c r="U46" s="495"/>
      <c r="V46" s="495"/>
      <c r="W46" s="495"/>
      <c r="X46" s="496"/>
      <c r="Y46" s="131"/>
      <c r="Z46" s="127"/>
      <c r="AA46" s="127"/>
      <c r="AB46" s="127"/>
      <c r="AC46" s="127"/>
      <c r="AD46" s="127"/>
      <c r="AE46" s="131"/>
      <c r="AF46" s="131"/>
      <c r="AG46" s="131"/>
      <c r="AH46" s="131"/>
      <c r="AI46" s="131"/>
      <c r="AJ46" s="131"/>
      <c r="AK46" s="131"/>
      <c r="AL46" s="95"/>
    </row>
    <row r="47" spans="1:38" ht="15.75" thickBot="1" x14ac:dyDescent="0.3">
      <c r="A47" s="939"/>
      <c r="B47" s="940"/>
      <c r="C47" s="940"/>
      <c r="D47" s="1099" t="s">
        <v>131</v>
      </c>
      <c r="E47" s="1093">
        <v>4000</v>
      </c>
      <c r="F47" s="1100" t="s">
        <v>123</v>
      </c>
      <c r="G47" s="1072"/>
      <c r="H47" s="1073"/>
      <c r="I47" s="1085"/>
      <c r="J47" s="1086"/>
      <c r="K47" s="1079"/>
      <c r="L47" s="1080"/>
      <c r="M47" s="1073"/>
      <c r="N47" s="131"/>
      <c r="O47" s="497"/>
      <c r="P47" s="498"/>
      <c r="Q47" s="498"/>
      <c r="R47" s="498"/>
      <c r="S47" s="498"/>
      <c r="T47" s="498"/>
      <c r="U47" s="498"/>
      <c r="V47" s="498"/>
      <c r="W47" s="498"/>
      <c r="X47" s="499"/>
      <c r="Y47" s="131"/>
      <c r="Z47" s="127"/>
      <c r="AA47" s="127"/>
      <c r="AB47" s="127"/>
      <c r="AC47" s="127"/>
      <c r="AD47" s="127"/>
      <c r="AE47" s="131"/>
      <c r="AF47" s="131"/>
      <c r="AG47" s="131"/>
      <c r="AH47" s="131"/>
      <c r="AI47" s="131"/>
      <c r="AJ47" s="131"/>
      <c r="AK47" s="131"/>
      <c r="AL47" s="95"/>
    </row>
    <row r="48" spans="1:38" ht="15.75" x14ac:dyDescent="0.25">
      <c r="A48" s="939"/>
      <c r="B48" s="940"/>
      <c r="C48" s="940"/>
      <c r="D48" s="1088"/>
      <c r="E48" s="1094"/>
      <c r="F48" s="1101"/>
      <c r="G48" s="1090" t="s">
        <v>121</v>
      </c>
      <c r="H48" s="1074"/>
      <c r="I48" s="1081" t="s">
        <v>132</v>
      </c>
      <c r="J48" s="1082"/>
      <c r="K48" s="1075">
        <f>((EXP(ideltaV/(go*Isp)))-1)*(imf)</f>
        <v>32682.937720086869</v>
      </c>
      <c r="L48" s="1076"/>
      <c r="M48" s="1074" t="s">
        <v>123</v>
      </c>
      <c r="N48" s="131"/>
      <c r="O48" s="1045" t="s">
        <v>133</v>
      </c>
      <c r="P48" s="1031"/>
      <c r="Q48" s="1031"/>
      <c r="R48" s="1031"/>
      <c r="S48" s="1031"/>
      <c r="T48" s="934">
        <f>EC1C</f>
        <v>0</v>
      </c>
      <c r="U48" s="935"/>
      <c r="V48" s="936"/>
      <c r="W48" s="1031"/>
      <c r="X48" s="1032"/>
      <c r="Y48" s="131"/>
      <c r="Z48" s="127"/>
      <c r="AA48" s="127"/>
      <c r="AB48" s="127"/>
      <c r="AC48" s="127"/>
      <c r="AD48" s="127"/>
      <c r="AE48" s="131"/>
      <c r="AF48" s="131"/>
      <c r="AG48" s="131"/>
      <c r="AH48" s="131"/>
      <c r="AI48" s="131"/>
      <c r="AJ48" s="131"/>
      <c r="AK48" s="131"/>
      <c r="AL48" s="95"/>
    </row>
    <row r="49" spans="1:38" ht="15.75" x14ac:dyDescent="0.25">
      <c r="A49" s="939"/>
      <c r="B49" s="940"/>
      <c r="C49" s="940"/>
      <c r="D49" s="1088"/>
      <c r="E49" s="1094"/>
      <c r="F49" s="1101"/>
      <c r="G49" s="939"/>
      <c r="H49" s="1071"/>
      <c r="I49" s="1083"/>
      <c r="J49" s="1084"/>
      <c r="K49" s="1077"/>
      <c r="L49" s="1078"/>
      <c r="M49" s="1071"/>
      <c r="N49" s="131"/>
      <c r="O49" s="897" t="s">
        <v>134</v>
      </c>
      <c r="P49" s="885"/>
      <c r="Q49" s="885"/>
      <c r="R49" s="885"/>
      <c r="S49" s="885"/>
      <c r="T49" s="920">
        <f>SM1A</f>
        <v>6789</v>
      </c>
      <c r="U49" s="921"/>
      <c r="V49" s="922"/>
      <c r="W49" s="885" t="s">
        <v>12</v>
      </c>
      <c r="X49" s="886"/>
      <c r="Y49" s="131"/>
      <c r="Z49" s="127"/>
      <c r="AA49" s="127"/>
      <c r="AB49" s="127"/>
      <c r="AC49" s="127"/>
      <c r="AD49" s="127"/>
      <c r="AE49" s="131"/>
      <c r="AF49" s="131"/>
      <c r="AG49" s="131"/>
      <c r="AH49" s="131"/>
      <c r="AI49" s="131"/>
      <c r="AJ49" s="131"/>
      <c r="AK49" s="131"/>
      <c r="AL49" s="95"/>
    </row>
    <row r="50" spans="1:38" ht="19.5" thickBot="1" x14ac:dyDescent="0.3">
      <c r="A50" s="939"/>
      <c r="B50" s="940"/>
      <c r="C50" s="940"/>
      <c r="D50" s="1089"/>
      <c r="E50" s="1095"/>
      <c r="F50" s="1102"/>
      <c r="G50" s="1072"/>
      <c r="H50" s="1073"/>
      <c r="I50" s="1085"/>
      <c r="J50" s="1086"/>
      <c r="K50" s="1079"/>
      <c r="L50" s="1080"/>
      <c r="M50" s="1073"/>
      <c r="N50" s="131"/>
      <c r="O50" s="897" t="s">
        <v>135</v>
      </c>
      <c r="P50" s="885"/>
      <c r="Q50" s="885"/>
      <c r="R50" s="885"/>
      <c r="S50" s="885"/>
      <c r="T50" s="914">
        <f>hOrb1</f>
        <v>52020.144175117392</v>
      </c>
      <c r="U50" s="915"/>
      <c r="V50" s="916"/>
      <c r="W50" s="885" t="s">
        <v>37</v>
      </c>
      <c r="X50" s="886"/>
      <c r="Y50" s="131"/>
      <c r="Z50" s="127"/>
      <c r="AA50" s="127"/>
      <c r="AB50" s="127"/>
      <c r="AC50" s="127"/>
      <c r="AD50" s="127"/>
      <c r="AE50" s="131"/>
      <c r="AF50" s="131"/>
      <c r="AG50" s="131"/>
      <c r="AH50" s="131"/>
      <c r="AI50" s="131"/>
      <c r="AJ50" s="131"/>
      <c r="AK50" s="131"/>
      <c r="AL50" s="95"/>
    </row>
    <row r="51" spans="1:38" ht="15.75" x14ac:dyDescent="0.25">
      <c r="A51" s="939"/>
      <c r="B51" s="940"/>
      <c r="C51" s="940"/>
      <c r="D51" s="1087" t="s">
        <v>116</v>
      </c>
      <c r="E51" s="1094">
        <v>5000</v>
      </c>
      <c r="F51" s="1101" t="s">
        <v>117</v>
      </c>
      <c r="G51" s="939" t="s">
        <v>127</v>
      </c>
      <c r="H51" s="1071"/>
      <c r="I51" s="1084" t="s">
        <v>132</v>
      </c>
      <c r="J51" s="1084"/>
      <c r="K51" s="1077">
        <f>(imi)*(1-EXP(-(ideltaV)/(go*Isp)))</f>
        <v>19601.064542008779</v>
      </c>
      <c r="L51" s="1078"/>
      <c r="M51" s="1071" t="s">
        <v>123</v>
      </c>
      <c r="N51" s="131"/>
      <c r="O51" s="897" t="s">
        <v>136</v>
      </c>
      <c r="P51" s="885"/>
      <c r="Q51" s="885"/>
      <c r="R51" s="885"/>
      <c r="S51" s="885"/>
      <c r="T51" s="920">
        <f>(((T50)^2)/Mu)*(1+(T48*COS(RADIANS(T44))))^-1</f>
        <v>6789</v>
      </c>
      <c r="U51" s="921"/>
      <c r="V51" s="922"/>
      <c r="W51" s="885" t="s">
        <v>12</v>
      </c>
      <c r="X51" s="886"/>
      <c r="Y51" s="131"/>
      <c r="Z51" s="127"/>
      <c r="AA51" s="127"/>
      <c r="AB51" s="127"/>
      <c r="AC51" s="127"/>
      <c r="AD51" s="127"/>
      <c r="AE51" s="131"/>
      <c r="AF51" s="131"/>
      <c r="AG51" s="131"/>
      <c r="AH51" s="131"/>
      <c r="AI51" s="131"/>
      <c r="AJ51" s="131"/>
      <c r="AK51" s="131"/>
      <c r="AL51" s="95"/>
    </row>
    <row r="52" spans="1:38" ht="18.75" x14ac:dyDescent="0.25">
      <c r="A52" s="939"/>
      <c r="B52" s="940"/>
      <c r="C52" s="940"/>
      <c r="D52" s="1088"/>
      <c r="E52" s="1094"/>
      <c r="F52" s="1101"/>
      <c r="G52" s="939"/>
      <c r="H52" s="1071"/>
      <c r="I52" s="1084"/>
      <c r="J52" s="1084"/>
      <c r="K52" s="1077"/>
      <c r="L52" s="1078"/>
      <c r="M52" s="1071"/>
      <c r="N52" s="131"/>
      <c r="O52" s="897" t="s">
        <v>137</v>
      </c>
      <c r="P52" s="885"/>
      <c r="Q52" s="885"/>
      <c r="R52" s="885"/>
      <c r="S52" s="885"/>
      <c r="T52" s="917">
        <f>Ener1</f>
        <v>-29.356311680659893</v>
      </c>
      <c r="U52" s="918"/>
      <c r="V52" s="919"/>
      <c r="W52" s="885" t="s">
        <v>30</v>
      </c>
      <c r="X52" s="886"/>
      <c r="Y52" s="131"/>
      <c r="Z52" s="127"/>
      <c r="AA52" s="127"/>
      <c r="AB52" s="127"/>
      <c r="AC52" s="127"/>
      <c r="AD52" s="127"/>
      <c r="AE52" s="131"/>
      <c r="AF52" s="131"/>
      <c r="AG52" s="131"/>
      <c r="AH52" s="131"/>
      <c r="AI52" s="131"/>
      <c r="AJ52" s="131"/>
      <c r="AK52" s="131"/>
      <c r="AL52" s="95"/>
    </row>
    <row r="53" spans="1:38" ht="15.75" x14ac:dyDescent="0.25">
      <c r="A53" s="939"/>
      <c r="B53" s="940"/>
      <c r="C53" s="940"/>
      <c r="D53" s="1088"/>
      <c r="E53" s="1094"/>
      <c r="F53" s="1101"/>
      <c r="G53" s="939"/>
      <c r="H53" s="1071"/>
      <c r="I53" s="1084"/>
      <c r="J53" s="1084"/>
      <c r="K53" s="1077"/>
      <c r="L53" s="1078"/>
      <c r="M53" s="1071"/>
      <c r="N53" s="131"/>
      <c r="O53" s="897" t="s">
        <v>138</v>
      </c>
      <c r="P53" s="885"/>
      <c r="Q53" s="885"/>
      <c r="R53" s="885"/>
      <c r="S53" s="885"/>
      <c r="T53" s="917">
        <f>SQRT(2*((Mu/T51)+(T52)))</f>
        <v>7.6624162873939303</v>
      </c>
      <c r="U53" s="918"/>
      <c r="V53" s="919"/>
      <c r="W53" s="885" t="s">
        <v>19</v>
      </c>
      <c r="X53" s="886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95"/>
    </row>
    <row r="54" spans="1:38" ht="16.5" thickBot="1" x14ac:dyDescent="0.3">
      <c r="A54" s="1072"/>
      <c r="B54" s="1092"/>
      <c r="C54" s="1092"/>
      <c r="D54" s="1089"/>
      <c r="E54" s="1095"/>
      <c r="F54" s="1102"/>
      <c r="G54" s="1072"/>
      <c r="H54" s="1073"/>
      <c r="I54" s="1086"/>
      <c r="J54" s="1086"/>
      <c r="K54" s="1079"/>
      <c r="L54" s="1080"/>
      <c r="M54" s="1073"/>
      <c r="N54" s="131"/>
      <c r="O54" s="897" t="s">
        <v>139</v>
      </c>
      <c r="P54" s="885"/>
      <c r="Q54" s="885"/>
      <c r="R54" s="885"/>
      <c r="S54" s="885"/>
      <c r="T54" s="898">
        <f>IF(T44&lt;180,(ACOS(T50/(T51*T53))*DgRd),(ACOS(T50/(T51*T53))*DgRd*-1))</f>
        <v>0</v>
      </c>
      <c r="U54" s="899"/>
      <c r="V54" s="900"/>
      <c r="W54" s="885" t="s">
        <v>83</v>
      </c>
      <c r="X54" s="886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95"/>
    </row>
    <row r="55" spans="1:38" ht="15.75" x14ac:dyDescent="0.25">
      <c r="A55" s="133"/>
      <c r="B55" s="134"/>
      <c r="C55" s="134"/>
      <c r="D55" s="134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897" t="s">
        <v>140</v>
      </c>
      <c r="P55" s="885"/>
      <c r="Q55" s="885"/>
      <c r="R55" s="885"/>
      <c r="S55" s="885"/>
      <c r="T55" s="917">
        <f>T53*COS(RADIANS(T54))</f>
        <v>7.6624162873939303</v>
      </c>
      <c r="U55" s="918"/>
      <c r="V55" s="919"/>
      <c r="W55" s="885" t="s">
        <v>19</v>
      </c>
      <c r="X55" s="886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95"/>
    </row>
    <row r="56" spans="1:38" ht="15.75" x14ac:dyDescent="0.25">
      <c r="A56" s="133"/>
      <c r="B56" s="134"/>
      <c r="C56" s="134"/>
      <c r="D56" s="134"/>
      <c r="E56" s="131"/>
      <c r="F56" s="131"/>
      <c r="G56" s="131"/>
      <c r="I56" s="131"/>
      <c r="J56" s="131"/>
      <c r="K56" s="131"/>
      <c r="L56" s="131"/>
      <c r="M56" s="131"/>
      <c r="N56" s="131"/>
      <c r="O56" s="897" t="s">
        <v>141</v>
      </c>
      <c r="P56" s="885"/>
      <c r="Q56" s="885"/>
      <c r="R56" s="885"/>
      <c r="S56" s="885"/>
      <c r="T56" s="917">
        <f>T53*SIN(RADIANS(T54))</f>
        <v>0</v>
      </c>
      <c r="U56" s="918"/>
      <c r="V56" s="919"/>
      <c r="W56" s="885" t="s">
        <v>19</v>
      </c>
      <c r="X56" s="886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95"/>
    </row>
    <row r="57" spans="1:38" ht="15.75" x14ac:dyDescent="0.25">
      <c r="A57" s="133"/>
      <c r="B57" s="134"/>
      <c r="C57" s="134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897" t="s">
        <v>142</v>
      </c>
      <c r="P57" s="885"/>
      <c r="Q57" s="885"/>
      <c r="R57" s="885"/>
      <c r="S57" s="885"/>
      <c r="T57" s="917">
        <f>(T43)*COS(RADIANS(T45))</f>
        <v>-0.25651510749425155</v>
      </c>
      <c r="U57" s="918"/>
      <c r="V57" s="919"/>
      <c r="W57" s="885" t="s">
        <v>19</v>
      </c>
      <c r="X57" s="886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95"/>
    </row>
    <row r="58" spans="1:38" ht="16.5" thickBot="1" x14ac:dyDescent="0.3">
      <c r="A58" s="133"/>
      <c r="B58" s="134"/>
      <c r="C58" s="134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923" t="s">
        <v>143</v>
      </c>
      <c r="P58" s="904"/>
      <c r="Q58" s="904"/>
      <c r="R58" s="904"/>
      <c r="S58" s="904"/>
      <c r="T58" s="908">
        <f>T43*SIN(RADIANS(T45))</f>
        <v>0.70476946558943132</v>
      </c>
      <c r="U58" s="909"/>
      <c r="V58" s="910"/>
      <c r="W58" s="904" t="s">
        <v>19</v>
      </c>
      <c r="X58" s="905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95"/>
    </row>
    <row r="59" spans="1:38" x14ac:dyDescent="0.25">
      <c r="A59" s="94"/>
      <c r="B59" s="131"/>
      <c r="C59" s="131"/>
      <c r="D59" s="131"/>
      <c r="E59" s="131"/>
      <c r="F59" s="131"/>
      <c r="G59" s="131"/>
      <c r="H59" s="131"/>
      <c r="I59" s="131"/>
      <c r="J59" s="131"/>
      <c r="L59" s="131"/>
      <c r="M59" s="131"/>
      <c r="N59" s="131"/>
      <c r="O59" s="494" t="s">
        <v>144</v>
      </c>
      <c r="P59" s="495"/>
      <c r="Q59" s="495"/>
      <c r="R59" s="495"/>
      <c r="S59" s="495"/>
      <c r="T59" s="495"/>
      <c r="U59" s="495"/>
      <c r="V59" s="495"/>
      <c r="W59" s="495"/>
      <c r="X59" s="496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95"/>
    </row>
    <row r="60" spans="1:38" ht="15.75" thickBot="1" x14ac:dyDescent="0.3">
      <c r="A60" s="94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497"/>
      <c r="P60" s="498"/>
      <c r="Q60" s="498"/>
      <c r="R60" s="498"/>
      <c r="S60" s="498"/>
      <c r="T60" s="498"/>
      <c r="U60" s="498"/>
      <c r="V60" s="498"/>
      <c r="W60" s="498"/>
      <c r="X60" s="499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95"/>
    </row>
    <row r="61" spans="1:38" ht="15.75" x14ac:dyDescent="0.25">
      <c r="A61" s="94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924" t="s">
        <v>145</v>
      </c>
      <c r="P61" s="906"/>
      <c r="Q61" s="906"/>
      <c r="R61" s="906"/>
      <c r="S61" s="906"/>
      <c r="T61" s="911">
        <f>SQRT((T55+T57)^2+(T56+T58)^2)</f>
        <v>7.439359669088911</v>
      </c>
      <c r="U61" s="912"/>
      <c r="V61" s="913"/>
      <c r="W61" s="906" t="s">
        <v>19</v>
      </c>
      <c r="X61" s="907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95"/>
    </row>
    <row r="62" spans="1:38" ht="18.75" x14ac:dyDescent="0.25">
      <c r="A62" s="94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897" t="s">
        <v>135</v>
      </c>
      <c r="P62" s="885"/>
      <c r="Q62" s="885"/>
      <c r="R62" s="885"/>
      <c r="S62" s="885"/>
      <c r="T62" s="914">
        <f>T50+(T51*T57)</f>
        <v>50278.663110338915</v>
      </c>
      <c r="U62" s="915"/>
      <c r="V62" s="916"/>
      <c r="W62" s="885" t="s">
        <v>37</v>
      </c>
      <c r="X62" s="886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95"/>
    </row>
    <row r="63" spans="1:38" ht="18.75" x14ac:dyDescent="0.25">
      <c r="A63" s="94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897" t="s">
        <v>137</v>
      </c>
      <c r="P63" s="885"/>
      <c r="Q63" s="885"/>
      <c r="R63" s="885"/>
      <c r="S63" s="885"/>
      <c r="T63" s="917">
        <f>-(Mu)/(2*T64)</f>
        <v>-31.040587218286451</v>
      </c>
      <c r="U63" s="918"/>
      <c r="V63" s="919"/>
      <c r="W63" s="885" t="s">
        <v>30</v>
      </c>
      <c r="X63" s="886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95"/>
    </row>
    <row r="64" spans="1:38" ht="15.75" x14ac:dyDescent="0.25">
      <c r="A64" s="94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897" t="s">
        <v>134</v>
      </c>
      <c r="P64" s="885"/>
      <c r="Q64" s="885"/>
      <c r="R64" s="885"/>
      <c r="S64" s="885"/>
      <c r="T64" s="920">
        <f>ABS((T51*Mu)/(T51*(T61^2)-(2*Mu)))</f>
        <v>6420.6259565408463</v>
      </c>
      <c r="U64" s="921"/>
      <c r="V64" s="922"/>
      <c r="W64" s="885" t="s">
        <v>12</v>
      </c>
      <c r="X64" s="886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95"/>
    </row>
    <row r="65" spans="1:38" ht="15.75" x14ac:dyDescent="0.25">
      <c r="A65" s="94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897" t="s">
        <v>133</v>
      </c>
      <c r="P65" s="885"/>
      <c r="Q65" s="885"/>
      <c r="R65" s="885"/>
      <c r="S65" s="885"/>
      <c r="T65" s="917">
        <f>SQRT(1-((T62^2)/(Mu*T64)))</f>
        <v>0.11062072559052002</v>
      </c>
      <c r="U65" s="918"/>
      <c r="V65" s="919"/>
      <c r="W65" s="885"/>
      <c r="X65" s="886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95"/>
    </row>
    <row r="66" spans="1:38" ht="15.75" x14ac:dyDescent="0.25">
      <c r="A66" s="94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897" t="s">
        <v>146</v>
      </c>
      <c r="P66" s="885"/>
      <c r="Q66" s="885"/>
      <c r="R66" s="885"/>
      <c r="S66" s="885"/>
      <c r="T66" s="920">
        <f>(T62^2)/(Mu*(1+T65))</f>
        <v>5710.3716544829704</v>
      </c>
      <c r="U66" s="921"/>
      <c r="V66" s="922"/>
      <c r="W66" s="885" t="s">
        <v>12</v>
      </c>
      <c r="X66" s="886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95"/>
    </row>
    <row r="67" spans="1:38" ht="15.75" x14ac:dyDescent="0.25">
      <c r="A67" s="94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892" t="s">
        <v>147</v>
      </c>
      <c r="P67" s="893"/>
      <c r="Q67" s="893"/>
      <c r="R67" s="893"/>
      <c r="S67" s="893"/>
      <c r="T67" s="894">
        <f>(2*T64)-T66</f>
        <v>7130.8802585987223</v>
      </c>
      <c r="U67" s="894"/>
      <c r="V67" s="894"/>
      <c r="W67" s="895" t="s">
        <v>12</v>
      </c>
      <c r="X67" s="896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95"/>
    </row>
    <row r="68" spans="1:38" ht="15.75" x14ac:dyDescent="0.25">
      <c r="A68" s="94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897" t="s">
        <v>148</v>
      </c>
      <c r="P68" s="885"/>
      <c r="Q68" s="885"/>
      <c r="R68" s="885"/>
      <c r="S68" s="885"/>
      <c r="T68" s="898">
        <f>(ACOS((T64*(1-(T65)^2)-T51)/(T51*T65)))*DgRd</f>
        <v>126.52169380505239</v>
      </c>
      <c r="U68" s="899"/>
      <c r="V68" s="900"/>
      <c r="W68" s="885" t="s">
        <v>83</v>
      </c>
      <c r="X68" s="886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95"/>
    </row>
    <row r="69" spans="1:38" ht="15.75" x14ac:dyDescent="0.25">
      <c r="A69" s="94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485" t="s">
        <v>149</v>
      </c>
      <c r="P69" s="486"/>
      <c r="Q69" s="486"/>
      <c r="R69" s="486"/>
      <c r="S69" s="487"/>
      <c r="T69" s="898">
        <f>T44-T68</f>
        <v>143.47830619494761</v>
      </c>
      <c r="U69" s="899"/>
      <c r="V69" s="900"/>
      <c r="W69" s="887" t="s">
        <v>83</v>
      </c>
      <c r="X69" s="888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95"/>
    </row>
    <row r="70" spans="1:38" ht="16.5" thickBot="1" x14ac:dyDescent="0.3">
      <c r="A70" s="135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458" t="s">
        <v>150</v>
      </c>
      <c r="P70" s="459"/>
      <c r="Q70" s="459"/>
      <c r="R70" s="459"/>
      <c r="S70" s="460"/>
      <c r="T70" s="901">
        <f>2*PI()*SQRT((T64^3)/(Mu))</f>
        <v>5120.0862441580375</v>
      </c>
      <c r="U70" s="902"/>
      <c r="V70" s="903"/>
      <c r="W70" s="889" t="s">
        <v>34</v>
      </c>
      <c r="X70" s="890"/>
      <c r="Y70" s="136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6"/>
      <c r="AK70" s="136"/>
      <c r="AL70" s="137"/>
    </row>
    <row r="71" spans="1:3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891"/>
      <c r="P71" s="891"/>
      <c r="Q71" s="891"/>
      <c r="R71" s="891"/>
      <c r="S71" s="891"/>
      <c r="T71" s="891"/>
      <c r="U71" s="891"/>
      <c r="V71" s="891"/>
      <c r="W71" s="891"/>
      <c r="X71" s="891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891"/>
      <c r="P72" s="891"/>
      <c r="Q72" s="891"/>
      <c r="R72" s="891"/>
      <c r="S72" s="891"/>
      <c r="T72" s="891"/>
      <c r="U72" s="891"/>
      <c r="V72" s="891"/>
      <c r="W72" s="891"/>
      <c r="X72" s="891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891"/>
      <c r="P73" s="891"/>
      <c r="Q73" s="891"/>
      <c r="R73" s="891"/>
      <c r="S73" s="891"/>
      <c r="T73" s="891"/>
      <c r="U73" s="891"/>
      <c r="V73" s="891"/>
      <c r="W73" s="891"/>
      <c r="X73" s="891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x14ac:dyDescent="0.25"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048550" spans="16384:16384" x14ac:dyDescent="0.25">
      <c r="XFD1048550" cm="1">
        <f t="array" ref="XFD1048550">solver_pre</f>
        <v>9.9999999999999995E-7</v>
      </c>
    </row>
    <row r="1048551" spans="16384:16384" x14ac:dyDescent="0.25">
      <c r="XFD1048551" cm="1">
        <f t="array" ref="XFD1048551">solver_scl</f>
        <v>1</v>
      </c>
    </row>
    <row r="1048552" spans="16384:16384" x14ac:dyDescent="0.25">
      <c r="XFD1048552" cm="1">
        <f t="array" ref="XFD1048552">solver_rlx</f>
        <v>2</v>
      </c>
    </row>
    <row r="1048553" spans="16384:16384" x14ac:dyDescent="0.25">
      <c r="XFD1048553" cm="1">
        <f t="array" ref="XFD1048553">solver_tol</f>
        <v>0.01</v>
      </c>
    </row>
    <row r="1048554" spans="16384:16384" x14ac:dyDescent="0.25">
      <c r="XFD1048554" cm="1">
        <f t="array" ref="XFD1048554">solver_cvg</f>
        <v>1E-4</v>
      </c>
    </row>
    <row r="1048555" spans="16384:16384" x14ac:dyDescent="0.25">
      <c r="XFD1048555" t="e" cm="1">
        <f t="array" ref="XFD1048555">AREAS(solver_adj1)</f>
        <v>#NAME?</v>
      </c>
    </row>
    <row r="1048556" spans="16384:16384" x14ac:dyDescent="0.25">
      <c r="XFD1048556" cm="1">
        <f t="array" ref="XFD1048556">solver_ssz</f>
        <v>100</v>
      </c>
    </row>
    <row r="1048557" spans="16384:16384" x14ac:dyDescent="0.25">
      <c r="XFD1048557" cm="1">
        <f t="array" ref="XFD1048557">solver_rsd</f>
        <v>0</v>
      </c>
    </row>
    <row r="1048558" spans="16384:16384" x14ac:dyDescent="0.25">
      <c r="XFD1048558" cm="1">
        <f t="array" ref="XFD1048558">solver_mrt</f>
        <v>7.4999999999999997E-2</v>
      </c>
    </row>
    <row r="1048559" spans="16384:16384" x14ac:dyDescent="0.25">
      <c r="XFD1048559" cm="1">
        <f t="array" ref="XFD1048559">solver_mni</f>
        <v>30</v>
      </c>
    </row>
    <row r="1048560" spans="16384:16384" x14ac:dyDescent="0.25">
      <c r="XFD1048560" cm="1">
        <f t="array" ref="XFD1048560">solver_rbv</f>
        <v>1</v>
      </c>
    </row>
    <row r="1048561" spans="16384:16384" x14ac:dyDescent="0.25">
      <c r="XFD1048561" cm="1">
        <f t="array" ref="XFD1048561">solver_neg</f>
        <v>2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mergeCells count="369">
    <mergeCell ref="A1:AL2"/>
    <mergeCell ref="A3:AL3"/>
    <mergeCell ref="Z4:AL4"/>
    <mergeCell ref="Z5:AL5"/>
    <mergeCell ref="Z6:AD6"/>
    <mergeCell ref="Z7:AD7"/>
    <mergeCell ref="A4:C4"/>
    <mergeCell ref="B10:C10"/>
    <mergeCell ref="B14:C14"/>
    <mergeCell ref="O4:X4"/>
    <mergeCell ref="O6:S6"/>
    <mergeCell ref="O7:S7"/>
    <mergeCell ref="O8:S8"/>
    <mergeCell ref="O9:S9"/>
    <mergeCell ref="O10:S10"/>
    <mergeCell ref="O11:S11"/>
    <mergeCell ref="O12:S12"/>
    <mergeCell ref="Z8:AD8"/>
    <mergeCell ref="Z9:AD9"/>
    <mergeCell ref="Z10:AD10"/>
    <mergeCell ref="A22:D22"/>
    <mergeCell ref="A23:B23"/>
    <mergeCell ref="C23:D23"/>
    <mergeCell ref="K19:L19"/>
    <mergeCell ref="K20:L20"/>
    <mergeCell ref="O15:S15"/>
    <mergeCell ref="T20:U20"/>
    <mergeCell ref="T21:U21"/>
    <mergeCell ref="T22:U22"/>
    <mergeCell ref="T23:U23"/>
    <mergeCell ref="Z11:AD11"/>
    <mergeCell ref="Z12:AD12"/>
    <mergeCell ref="Z13:AD13"/>
    <mergeCell ref="Z14:AD14"/>
    <mergeCell ref="Z15:AD15"/>
    <mergeCell ref="Z16:AD16"/>
    <mergeCell ref="Z17:AD17"/>
    <mergeCell ref="O23:S23"/>
    <mergeCell ref="O24:S24"/>
    <mergeCell ref="O16:S16"/>
    <mergeCell ref="O17:S17"/>
    <mergeCell ref="O18:S18"/>
    <mergeCell ref="O19:S19"/>
    <mergeCell ref="O13:S13"/>
    <mergeCell ref="O14:S14"/>
    <mergeCell ref="F4:F6"/>
    <mergeCell ref="G4:G6"/>
    <mergeCell ref="A35:M36"/>
    <mergeCell ref="M39:M41"/>
    <mergeCell ref="G39:H41"/>
    <mergeCell ref="G42:H44"/>
    <mergeCell ref="G45:H47"/>
    <mergeCell ref="G48:H50"/>
    <mergeCell ref="C16:D18"/>
    <mergeCell ref="A27:B27"/>
    <mergeCell ref="A28:B28"/>
    <mergeCell ref="C24:D24"/>
    <mergeCell ref="C25:D25"/>
    <mergeCell ref="C26:D26"/>
    <mergeCell ref="C27:D27"/>
    <mergeCell ref="C28:D28"/>
    <mergeCell ref="D43:D46"/>
    <mergeCell ref="E30:H30"/>
    <mergeCell ref="G31:H31"/>
    <mergeCell ref="E32:F32"/>
    <mergeCell ref="G32:H32"/>
    <mergeCell ref="E33:F33"/>
    <mergeCell ref="G33:H33"/>
    <mergeCell ref="E31:F31"/>
    <mergeCell ref="A31:B31"/>
    <mergeCell ref="A32:B32"/>
    <mergeCell ref="C32:D32"/>
    <mergeCell ref="A33:B33"/>
    <mergeCell ref="C33:D33"/>
    <mergeCell ref="C31:D31"/>
    <mergeCell ref="A30:D30"/>
    <mergeCell ref="A24:B24"/>
    <mergeCell ref="A25:B25"/>
    <mergeCell ref="A26:B26"/>
    <mergeCell ref="D51:D54"/>
    <mergeCell ref="A39:C54"/>
    <mergeCell ref="E39:E42"/>
    <mergeCell ref="E43:E46"/>
    <mergeCell ref="E47:E50"/>
    <mergeCell ref="E51:E54"/>
    <mergeCell ref="A37:C38"/>
    <mergeCell ref="D37:F38"/>
    <mergeCell ref="D39:D42"/>
    <mergeCell ref="F39:F42"/>
    <mergeCell ref="F43:F46"/>
    <mergeCell ref="F47:F50"/>
    <mergeCell ref="F51:F54"/>
    <mergeCell ref="D47:D50"/>
    <mergeCell ref="G51:H54"/>
    <mergeCell ref="G37:H38"/>
    <mergeCell ref="M42:M44"/>
    <mergeCell ref="M45:M47"/>
    <mergeCell ref="M48:M50"/>
    <mergeCell ref="M51:M54"/>
    <mergeCell ref="I37:M38"/>
    <mergeCell ref="K39:L41"/>
    <mergeCell ref="K42:L44"/>
    <mergeCell ref="K45:L47"/>
    <mergeCell ref="K48:L50"/>
    <mergeCell ref="K51:L54"/>
    <mergeCell ref="I39:J41"/>
    <mergeCell ref="I42:J44"/>
    <mergeCell ref="I45:J47"/>
    <mergeCell ref="I48:J50"/>
    <mergeCell ref="I51:J54"/>
    <mergeCell ref="T18:U18"/>
    <mergeCell ref="T19:U19"/>
    <mergeCell ref="O40:S40"/>
    <mergeCell ref="O41:S41"/>
    <mergeCell ref="O43:S43"/>
    <mergeCell ref="O44:S44"/>
    <mergeCell ref="O35:S35"/>
    <mergeCell ref="O36:S36"/>
    <mergeCell ref="O37:S37"/>
    <mergeCell ref="O38:S38"/>
    <mergeCell ref="O30:S30"/>
    <mergeCell ref="O31:S31"/>
    <mergeCell ref="O32:S32"/>
    <mergeCell ref="O33:S33"/>
    <mergeCell ref="O34:S34"/>
    <mergeCell ref="O25:S25"/>
    <mergeCell ref="O26:S26"/>
    <mergeCell ref="O27:S27"/>
    <mergeCell ref="O28:S28"/>
    <mergeCell ref="O29:S29"/>
    <mergeCell ref="T24:U24"/>
    <mergeCell ref="O20:S20"/>
    <mergeCell ref="O21:S21"/>
    <mergeCell ref="O22:S22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W5:X5"/>
    <mergeCell ref="T6:U6"/>
    <mergeCell ref="T7:U7"/>
    <mergeCell ref="T8:U8"/>
    <mergeCell ref="T38:U38"/>
    <mergeCell ref="T30:U30"/>
    <mergeCell ref="T31:U31"/>
    <mergeCell ref="T32:U32"/>
    <mergeCell ref="T33:U33"/>
    <mergeCell ref="T34:U34"/>
    <mergeCell ref="T25:U25"/>
    <mergeCell ref="T26:U26"/>
    <mergeCell ref="T27:U27"/>
    <mergeCell ref="T28:U28"/>
    <mergeCell ref="T29:U29"/>
    <mergeCell ref="T35:U35"/>
    <mergeCell ref="T36:U36"/>
    <mergeCell ref="T37:U37"/>
    <mergeCell ref="W34:X34"/>
    <mergeCell ref="W35:X35"/>
    <mergeCell ref="W36:X36"/>
    <mergeCell ref="W37:X37"/>
    <mergeCell ref="O5:V5"/>
    <mergeCell ref="W38:X38"/>
    <mergeCell ref="W31:X31"/>
    <mergeCell ref="W32:X32"/>
    <mergeCell ref="W33:X33"/>
    <mergeCell ref="W44:X44"/>
    <mergeCell ref="W45:X45"/>
    <mergeCell ref="W48:X48"/>
    <mergeCell ref="W40:X40"/>
    <mergeCell ref="W41:X41"/>
    <mergeCell ref="W43:X43"/>
    <mergeCell ref="O39:X39"/>
    <mergeCell ref="T40:V40"/>
    <mergeCell ref="T41:V41"/>
    <mergeCell ref="O42:X42"/>
    <mergeCell ref="O46:X47"/>
    <mergeCell ref="O45:S45"/>
    <mergeCell ref="O48:S48"/>
    <mergeCell ref="Z18:AD18"/>
    <mergeCell ref="Z19:AD19"/>
    <mergeCell ref="Z20:AD20"/>
    <mergeCell ref="Z21:AD21"/>
    <mergeCell ref="Z22:AD22"/>
    <mergeCell ref="Z23:AD23"/>
    <mergeCell ref="Z24:AD24"/>
    <mergeCell ref="Z25:AD25"/>
    <mergeCell ref="Z35:AD35"/>
    <mergeCell ref="Z36:AD36"/>
    <mergeCell ref="Z26:AD26"/>
    <mergeCell ref="Z27:AD27"/>
    <mergeCell ref="Z28:AD28"/>
    <mergeCell ref="Z29:AD29"/>
    <mergeCell ref="Z30:AD30"/>
    <mergeCell ref="Z31:AD31"/>
    <mergeCell ref="Z32:AD32"/>
    <mergeCell ref="Z33:AD33"/>
    <mergeCell ref="Z34:AD34"/>
    <mergeCell ref="AE26:AG26"/>
    <mergeCell ref="AE27:AG27"/>
    <mergeCell ref="AE33:AG33"/>
    <mergeCell ref="AE34:AG34"/>
    <mergeCell ref="AE35:AG35"/>
    <mergeCell ref="AE36:AG36"/>
    <mergeCell ref="AE28:AG28"/>
    <mergeCell ref="AE29:AG29"/>
    <mergeCell ref="AE30:AG30"/>
    <mergeCell ref="AE31:AG31"/>
    <mergeCell ref="AE32:AG32"/>
    <mergeCell ref="AH25:AI25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E25:AG25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J6:AL6"/>
    <mergeCell ref="AJ11:AL11"/>
    <mergeCell ref="AJ15:AL15"/>
    <mergeCell ref="AJ19:AL19"/>
    <mergeCell ref="AH28:AI28"/>
    <mergeCell ref="AH29:AI29"/>
    <mergeCell ref="AH30:AI30"/>
    <mergeCell ref="AH31:AI31"/>
    <mergeCell ref="AH32:AI32"/>
    <mergeCell ref="AH26:AI26"/>
    <mergeCell ref="AH27:AI27"/>
    <mergeCell ref="AJ18:AK18"/>
    <mergeCell ref="AJ21:AK21"/>
    <mergeCell ref="AJ22:AK22"/>
    <mergeCell ref="AJ23:AK23"/>
    <mergeCell ref="AJ24:AK24"/>
    <mergeCell ref="AJ25:AK25"/>
    <mergeCell ref="AJ7:AK7"/>
    <mergeCell ref="AJ8:AK8"/>
    <mergeCell ref="AJ9:AK9"/>
    <mergeCell ref="AJ10:AK10"/>
    <mergeCell ref="AJ12:AK12"/>
    <mergeCell ref="AJ13:AK13"/>
    <mergeCell ref="AJ14:AK14"/>
    <mergeCell ref="O53:S53"/>
    <mergeCell ref="O54:S54"/>
    <mergeCell ref="O55:S55"/>
    <mergeCell ref="O56:S56"/>
    <mergeCell ref="O57:S57"/>
    <mergeCell ref="AJ16:AK16"/>
    <mergeCell ref="AJ17:AK17"/>
    <mergeCell ref="AJ20:AL20"/>
    <mergeCell ref="AJ34:AK34"/>
    <mergeCell ref="AJ35:AK35"/>
    <mergeCell ref="AJ36:AK36"/>
    <mergeCell ref="AJ26:AK26"/>
    <mergeCell ref="AJ27:AK27"/>
    <mergeCell ref="AJ28:AK28"/>
    <mergeCell ref="AJ29:AK29"/>
    <mergeCell ref="AJ30:AK30"/>
    <mergeCell ref="AJ31:AK31"/>
    <mergeCell ref="AJ32:AK32"/>
    <mergeCell ref="AJ33:AK33"/>
    <mergeCell ref="AH33:AI33"/>
    <mergeCell ref="AH34:AI34"/>
    <mergeCell ref="AH35:AI35"/>
    <mergeCell ref="AH36:AI36"/>
    <mergeCell ref="AH24:AI24"/>
    <mergeCell ref="T66:V66"/>
    <mergeCell ref="O58:S58"/>
    <mergeCell ref="O61:S61"/>
    <mergeCell ref="O62:S62"/>
    <mergeCell ref="O63:S63"/>
    <mergeCell ref="O64:S64"/>
    <mergeCell ref="O65:S65"/>
    <mergeCell ref="T43:V43"/>
    <mergeCell ref="T44:V44"/>
    <mergeCell ref="T45:V45"/>
    <mergeCell ref="T48:V48"/>
    <mergeCell ref="T49:V49"/>
    <mergeCell ref="T50:V50"/>
    <mergeCell ref="T51:V51"/>
    <mergeCell ref="T52:V52"/>
    <mergeCell ref="T53:V53"/>
    <mergeCell ref="T54:V54"/>
    <mergeCell ref="T55:V55"/>
    <mergeCell ref="T56:V56"/>
    <mergeCell ref="T57:V57"/>
    <mergeCell ref="O49:S49"/>
    <mergeCell ref="O50:S50"/>
    <mergeCell ref="O51:S51"/>
    <mergeCell ref="O52:S52"/>
    <mergeCell ref="O66:S66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61:X61"/>
    <mergeCell ref="W62:X62"/>
    <mergeCell ref="W63:X63"/>
    <mergeCell ref="W64:X64"/>
    <mergeCell ref="W65:X65"/>
    <mergeCell ref="W66:X66"/>
    <mergeCell ref="O59:X60"/>
    <mergeCell ref="T58:V58"/>
    <mergeCell ref="T61:V61"/>
    <mergeCell ref="T62:V62"/>
    <mergeCell ref="T63:V63"/>
    <mergeCell ref="T64:V64"/>
    <mergeCell ref="T65:V65"/>
    <mergeCell ref="W68:X68"/>
    <mergeCell ref="W69:X69"/>
    <mergeCell ref="W70:X70"/>
    <mergeCell ref="W71:X71"/>
    <mergeCell ref="W72:X72"/>
    <mergeCell ref="W73:X73"/>
    <mergeCell ref="O67:S67"/>
    <mergeCell ref="T67:V67"/>
    <mergeCell ref="W67:X67"/>
    <mergeCell ref="O68:S68"/>
    <mergeCell ref="O69:S69"/>
    <mergeCell ref="O70:S70"/>
    <mergeCell ref="O71:S71"/>
    <mergeCell ref="O72:S72"/>
    <mergeCell ref="O73:S73"/>
    <mergeCell ref="T68:V68"/>
    <mergeCell ref="T71:V71"/>
    <mergeCell ref="T72:V72"/>
    <mergeCell ref="T73:V73"/>
    <mergeCell ref="T69:V69"/>
    <mergeCell ref="T70:V7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Radius">
              <controlPr defaultSize="0" autoFill="0" autoLine="0" autoPict="0">
                <anchor moveWithCells="1">
                  <from>
                    <xdr:col>1</xdr:col>
                    <xdr:colOff>19050</xdr:colOff>
                    <xdr:row>4</xdr:row>
                    <xdr:rowOff>19050</xdr:rowOff>
                  </from>
                  <to>
                    <xdr:col>1</xdr:col>
                    <xdr:colOff>838200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Altitude">
              <controlPr defaultSize="0" autoFill="0" autoLine="0" autoPict="0">
                <anchor moveWithCells="1">
                  <from>
                    <xdr:col>2</xdr:col>
                    <xdr:colOff>19050</xdr:colOff>
                    <xdr:row>4</xdr:row>
                    <xdr:rowOff>19050</xdr:rowOff>
                  </from>
                  <to>
                    <xdr:col>2</xdr:col>
                    <xdr:colOff>981075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2</xdr:col>
                    <xdr:colOff>19050</xdr:colOff>
                    <xdr:row>4</xdr:row>
                    <xdr:rowOff>19050</xdr:rowOff>
                  </from>
                  <to>
                    <xdr:col>2</xdr:col>
                    <xdr:colOff>981075</xdr:colOff>
                    <xdr:row>4</xdr:row>
                    <xdr:rowOff>228600</xdr:rowOff>
                  </to>
                </anchor>
              </controlPr>
            </control>
          </mc:Choice>
        </mc:AlternateContent>
      </controls>
    </mc:Choice>
  </mc:AlternateContent>
  <extLst>
    <ext xmlns:x15="http://schemas.microsoft.com/office/spreadsheetml/2010/11/main" uri="{F7C9EE02-42E1-4005-9D12-6889AFFD525C}">
      <x15:webExtensions xmlns:xm="http://schemas.microsoft.com/office/excel/2006/main">
        <x15:webExtension appRef="{C259C411-6792-4F4D-899A-0C02A2D82099}">
          <xm:f>'Orbit Transfer'!1:1048576</xm:f>
        </x15:webExtension>
        <x15:webExtension appRef="{FDB6E4CC-71ED-4576-B58E-C6B696BD1F0B}">
          <xm:f>'Orbit Transfer'!XFD1048550:XFD1048575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44B6-8533-44BC-8355-E7A64040F136}">
  <dimension ref="A1:XFD1048575"/>
  <sheetViews>
    <sheetView zoomScale="115" zoomScaleNormal="115" workbookViewId="0">
      <selection activeCell="D12" sqref="D12"/>
    </sheetView>
  </sheetViews>
  <sheetFormatPr defaultRowHeight="15" x14ac:dyDescent="0.25"/>
  <cols>
    <col min="10" max="10" width="11.85546875" customWidth="1"/>
    <col min="11" max="11" width="12" customWidth="1"/>
  </cols>
  <sheetData>
    <row r="1" spans="1:38" ht="14.45" customHeight="1" x14ac:dyDescent="0.25">
      <c r="A1" s="571"/>
      <c r="B1" s="572"/>
      <c r="C1" s="572"/>
      <c r="D1" s="572"/>
      <c r="E1" s="572"/>
      <c r="F1" s="572"/>
      <c r="G1" s="572"/>
      <c r="H1" s="572"/>
      <c r="I1" s="572"/>
      <c r="J1" s="573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" customHeight="1" thickBot="1" x14ac:dyDescent="0.3">
      <c r="A2" s="574"/>
      <c r="B2" s="575"/>
      <c r="C2" s="575"/>
      <c r="D2" s="575"/>
      <c r="E2" s="575"/>
      <c r="F2" s="575"/>
      <c r="G2" s="575"/>
      <c r="H2" s="575"/>
      <c r="I2" s="575"/>
      <c r="J2" s="576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8.75" customHeight="1" x14ac:dyDescent="0.25">
      <c r="A3" s="559" t="s">
        <v>151</v>
      </c>
      <c r="B3" s="560"/>
      <c r="C3" s="560"/>
      <c r="D3" s="560"/>
      <c r="E3" s="560"/>
      <c r="F3" s="561"/>
      <c r="G3" s="5"/>
      <c r="H3" s="5"/>
      <c r="I3" s="5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 thickBot="1" x14ac:dyDescent="0.3">
      <c r="A4" s="562"/>
      <c r="B4" s="563"/>
      <c r="C4" s="563"/>
      <c r="D4" s="563"/>
      <c r="E4" s="563"/>
      <c r="F4" s="564"/>
      <c r="G4" s="5"/>
      <c r="H4" s="5"/>
      <c r="I4" s="5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thickBot="1" x14ac:dyDescent="0.3">
      <c r="A5" s="555" t="s">
        <v>152</v>
      </c>
      <c r="B5" s="556"/>
      <c r="C5" s="556"/>
      <c r="D5" s="556"/>
      <c r="E5" s="556"/>
      <c r="F5" s="557"/>
      <c r="G5" s="4"/>
      <c r="H5" s="4"/>
      <c r="I5" s="4"/>
      <c r="J5" s="2"/>
      <c r="K5" s="2"/>
      <c r="L5" s="17" t="s">
        <v>80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5">
      <c r="A6" s="567" t="s">
        <v>153</v>
      </c>
      <c r="B6" s="568"/>
      <c r="C6" s="568"/>
      <c r="D6" s="1165">
        <v>33</v>
      </c>
      <c r="E6" s="1165"/>
      <c r="F6" s="7" t="s">
        <v>39</v>
      </c>
      <c r="G6" s="558"/>
      <c r="H6" s="55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5">
      <c r="A7" s="565" t="s">
        <v>154</v>
      </c>
      <c r="B7" s="566"/>
      <c r="C7" s="566"/>
      <c r="D7" s="1167">
        <v>72</v>
      </c>
      <c r="E7" s="1167"/>
      <c r="F7" s="8" t="s">
        <v>39</v>
      </c>
      <c r="G7" s="558"/>
      <c r="H7" s="5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thickBot="1" x14ac:dyDescent="0.3">
      <c r="A8" s="569" t="s">
        <v>155</v>
      </c>
      <c r="B8" s="570"/>
      <c r="C8" s="570"/>
      <c r="D8" s="1166">
        <f>DEGREES(ASIN(COS(RADIANS(orbINCL))/COS(RADIANS(lsLAT))))</f>
        <v>21.620704913316022</v>
      </c>
      <c r="E8" s="1166"/>
      <c r="F8" s="9" t="s">
        <v>39</v>
      </c>
      <c r="G8" s="558"/>
      <c r="H8" s="5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thickBot="1" x14ac:dyDescent="0.3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thickBot="1" x14ac:dyDescent="0.3">
      <c r="A10" s="577" t="s">
        <v>156</v>
      </c>
      <c r="B10" s="578"/>
      <c r="C10" s="578"/>
      <c r="D10" s="578"/>
      <c r="E10" s="578"/>
      <c r="F10" s="57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5">
      <c r="A11" s="567" t="s">
        <v>157</v>
      </c>
      <c r="B11" s="568"/>
      <c r="C11" s="568"/>
      <c r="D11" s="1174">
        <v>6578</v>
      </c>
      <c r="E11" s="1175"/>
      <c r="F11" s="10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565" t="s">
        <v>158</v>
      </c>
      <c r="B12" s="566"/>
      <c r="C12" s="566"/>
      <c r="D12" s="1170">
        <f>SQRT((398600)/OrbRad)</f>
        <v>7.784338495550994</v>
      </c>
      <c r="E12" s="1171"/>
      <c r="F12" s="8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565" t="s">
        <v>159</v>
      </c>
      <c r="B13" s="566"/>
      <c r="C13" s="566"/>
      <c r="D13" s="1170">
        <f>0.463*COS(RADIANS(lsLAT))</f>
        <v>0.38830447295873133</v>
      </c>
      <c r="E13" s="1171"/>
      <c r="F13" s="8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5">
      <c r="A14" s="565" t="s">
        <v>160</v>
      </c>
      <c r="B14" s="566"/>
      <c r="C14" s="566"/>
      <c r="D14" s="1170">
        <f>(InjInerVel)*(SIN(RADIANS(InertAz)))-(EVel)</f>
        <v>2.4799169444034481</v>
      </c>
      <c r="E14" s="1171"/>
      <c r="F14" s="8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565" t="s">
        <v>161</v>
      </c>
      <c r="B15" s="566"/>
      <c r="C15" s="566"/>
      <c r="D15" s="1170">
        <f>(InjInerVel)*(COS(RADIANS(InertAz)))</f>
        <v>7.236658877845632</v>
      </c>
      <c r="E15" s="1171"/>
      <c r="F15" s="8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565" t="s">
        <v>162</v>
      </c>
      <c r="B16" s="566"/>
      <c r="C16" s="566"/>
      <c r="D16" s="1170">
        <f>SQRT((VxRel)^2+(VyRel)^2)</f>
        <v>7.6497856025800708</v>
      </c>
      <c r="E16" s="1171"/>
      <c r="F16" s="8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5">
      <c r="A17" s="580" t="s">
        <v>163</v>
      </c>
      <c r="B17" s="581"/>
      <c r="C17" s="581"/>
      <c r="D17" s="1172">
        <f>DEGREES(ATAN(VxRel/VyRel))</f>
        <v>18.915977747719555</v>
      </c>
      <c r="E17" s="1173"/>
      <c r="F17" s="6" t="s">
        <v>39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35.25" customHeight="1" x14ac:dyDescent="0.25">
      <c r="A18" s="582" t="s">
        <v>164</v>
      </c>
      <c r="B18" s="583"/>
      <c r="C18" s="583"/>
      <c r="D18" s="1172">
        <f>InertAz-RelAzi</f>
        <v>2.7047271655964664</v>
      </c>
      <c r="E18" s="1173"/>
      <c r="F18" s="6" t="s">
        <v>39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.75" thickBot="1" x14ac:dyDescent="0.3">
      <c r="A19" s="569" t="s">
        <v>165</v>
      </c>
      <c r="B19" s="570"/>
      <c r="C19" s="570"/>
      <c r="D19" s="1168">
        <f>(InjInerVel-VRel)*1000</f>
        <v>134.55289297092321</v>
      </c>
      <c r="E19" s="1169"/>
      <c r="F19" s="9" t="s">
        <v>117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ref="XFD1048555">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mergeCells count="19">
    <mergeCell ref="A1:J2"/>
    <mergeCell ref="A10:F10"/>
    <mergeCell ref="A11:C11"/>
    <mergeCell ref="A12:C12"/>
    <mergeCell ref="A14:C14"/>
    <mergeCell ref="A15:C15"/>
    <mergeCell ref="A16:C16"/>
    <mergeCell ref="A17:C17"/>
    <mergeCell ref="A18:C18"/>
    <mergeCell ref="A19:C19"/>
    <mergeCell ref="A5:F5"/>
    <mergeCell ref="G6:H6"/>
    <mergeCell ref="A3:F4"/>
    <mergeCell ref="A13:C13"/>
    <mergeCell ref="A6:C6"/>
    <mergeCell ref="A7:C7"/>
    <mergeCell ref="A8:C8"/>
    <mergeCell ref="G7:H7"/>
    <mergeCell ref="G8:H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9182-DD83-47C8-A133-78B7FDC7A605}">
  <dimension ref="A1:AK55"/>
  <sheetViews>
    <sheetView zoomScaleNormal="100" workbookViewId="0">
      <selection activeCell="A24" sqref="A24:G24"/>
    </sheetView>
  </sheetViews>
  <sheetFormatPr defaultRowHeight="15" x14ac:dyDescent="0.25"/>
  <cols>
    <col min="4" max="4" width="12.42578125" customWidth="1"/>
    <col min="7" max="7" width="14" customWidth="1"/>
    <col min="8" max="8" width="12.7109375" customWidth="1"/>
    <col min="9" max="9" width="14.28515625" customWidth="1"/>
    <col min="10" max="10" width="14" customWidth="1"/>
    <col min="11" max="11" width="13.140625" customWidth="1"/>
  </cols>
  <sheetData>
    <row r="1" spans="1:37" x14ac:dyDescent="0.25">
      <c r="A1" s="658" t="s">
        <v>183</v>
      </c>
      <c r="B1" s="659"/>
      <c r="C1" s="659"/>
      <c r="D1" s="660"/>
      <c r="E1" s="658" t="s">
        <v>184</v>
      </c>
      <c r="F1" s="660"/>
      <c r="G1" s="647" t="s">
        <v>185</v>
      </c>
      <c r="H1" s="647" t="s">
        <v>186</v>
      </c>
      <c r="I1" s="647" t="s">
        <v>187</v>
      </c>
      <c r="J1" s="647" t="s">
        <v>188</v>
      </c>
      <c r="K1" s="647" t="s">
        <v>324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thickBot="1" x14ac:dyDescent="0.3">
      <c r="A2" s="661"/>
      <c r="B2" s="662"/>
      <c r="C2" s="662"/>
      <c r="D2" s="663"/>
      <c r="E2" s="661"/>
      <c r="F2" s="663"/>
      <c r="G2" s="648"/>
      <c r="H2" s="648"/>
      <c r="I2" s="648"/>
      <c r="J2" s="648"/>
      <c r="K2" s="64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6.5" x14ac:dyDescent="0.25">
      <c r="A3" s="620" t="s">
        <v>189</v>
      </c>
      <c r="B3" s="621"/>
      <c r="C3" s="621"/>
      <c r="D3" s="622"/>
      <c r="E3" s="602" t="s">
        <v>12</v>
      </c>
      <c r="F3" s="603"/>
      <c r="G3" s="12">
        <v>110</v>
      </c>
      <c r="H3" s="12">
        <v>50</v>
      </c>
      <c r="I3" s="12">
        <v>80</v>
      </c>
      <c r="J3" s="12">
        <v>110</v>
      </c>
      <c r="K3" s="12">
        <v>180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6.5" x14ac:dyDescent="0.25">
      <c r="A4" s="623" t="s">
        <v>190</v>
      </c>
      <c r="B4" s="624"/>
      <c r="C4" s="624"/>
      <c r="D4" s="625"/>
      <c r="E4" s="604" t="s">
        <v>117</v>
      </c>
      <c r="F4" s="605"/>
      <c r="G4" s="13">
        <v>3070</v>
      </c>
      <c r="H4" s="13">
        <v>2200</v>
      </c>
      <c r="I4" s="13">
        <v>2600</v>
      </c>
      <c r="J4" s="13">
        <v>5000</v>
      </c>
      <c r="K4" s="13">
        <v>8500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6.5" x14ac:dyDescent="0.25">
      <c r="A5" s="623" t="s">
        <v>191</v>
      </c>
      <c r="B5" s="624"/>
      <c r="C5" s="624"/>
      <c r="D5" s="625"/>
      <c r="E5" s="604" t="s">
        <v>83</v>
      </c>
      <c r="F5" s="605"/>
      <c r="G5" s="13">
        <v>14.650363988129845</v>
      </c>
      <c r="H5" s="13">
        <v>45</v>
      </c>
      <c r="I5" s="13">
        <v>30</v>
      </c>
      <c r="J5" s="13">
        <v>22</v>
      </c>
      <c r="K5" s="13">
        <v>10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7.25" thickBot="1" x14ac:dyDescent="0.3">
      <c r="A6" s="623" t="s">
        <v>192</v>
      </c>
      <c r="B6" s="624"/>
      <c r="C6" s="624"/>
      <c r="D6" s="625"/>
      <c r="E6" s="604" t="s">
        <v>12</v>
      </c>
      <c r="F6" s="605"/>
      <c r="G6" s="13">
        <v>135.69999999999999</v>
      </c>
      <c r="H6" s="13">
        <v>60</v>
      </c>
      <c r="I6" s="13">
        <v>120</v>
      </c>
      <c r="J6" s="13">
        <v>300</v>
      </c>
      <c r="K6" s="13">
        <v>600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6.5" customHeight="1" x14ac:dyDescent="0.25">
      <c r="A7" s="584" t="s">
        <v>193</v>
      </c>
      <c r="B7" s="585"/>
      <c r="C7" s="585"/>
      <c r="D7" s="586"/>
      <c r="E7" s="590"/>
      <c r="F7" s="591"/>
      <c r="G7" s="594"/>
      <c r="H7" s="594"/>
      <c r="I7" s="594"/>
      <c r="J7" s="594"/>
      <c r="K7" s="59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6.5" customHeight="1" thickBot="1" x14ac:dyDescent="0.3">
      <c r="A8" s="587"/>
      <c r="B8" s="588"/>
      <c r="C8" s="588"/>
      <c r="D8" s="589"/>
      <c r="E8" s="592"/>
      <c r="F8" s="593"/>
      <c r="G8" s="595"/>
      <c r="H8" s="595"/>
      <c r="I8" s="595"/>
      <c r="J8" s="595"/>
      <c r="K8" s="59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6.5" x14ac:dyDescent="0.25">
      <c r="A9" s="635" t="s">
        <v>194</v>
      </c>
      <c r="B9" s="636"/>
      <c r="C9" s="636"/>
      <c r="D9" s="637"/>
      <c r="E9" s="610" t="s">
        <v>117</v>
      </c>
      <c r="F9" s="611"/>
      <c r="G9" s="107">
        <f>(Vel1C)*COS(RADIANS(Ang1C))</f>
        <v>2970.1857755112273</v>
      </c>
      <c r="H9" s="107">
        <f>(Vel2C)*COS(RADIANS(Ang2C))</f>
        <v>1555.6349186104046</v>
      </c>
      <c r="I9" s="107">
        <f>(Vel3C)*COS(RADIANS(Ang3C))</f>
        <v>2251.6660498395408</v>
      </c>
      <c r="J9" s="107">
        <f>(Vel4C)*COS(RADIANS(Ang4C))</f>
        <v>4635.9192728339367</v>
      </c>
      <c r="K9" s="107">
        <f>(Vel5Ca)*COS(RADIANS(Ang5C))</f>
        <v>8370.8659006037688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6.5" x14ac:dyDescent="0.25">
      <c r="A10" s="623" t="s">
        <v>195</v>
      </c>
      <c r="B10" s="624"/>
      <c r="C10" s="624"/>
      <c r="D10" s="625"/>
      <c r="E10" s="604" t="s">
        <v>117</v>
      </c>
      <c r="F10" s="605"/>
      <c r="G10" s="99">
        <f>(Vel1C)*SIN(RADIANS(Ang1C))</f>
        <v>776.46407447529009</v>
      </c>
      <c r="H10" s="99">
        <f>(Vel2C)*SIN(RADIANS(Ang2C))</f>
        <v>1555.6349186104044</v>
      </c>
      <c r="I10" s="99">
        <f>(Vel3C)*SIN(RADIANS(Ang3C))</f>
        <v>1299.9999999999998</v>
      </c>
      <c r="J10" s="99">
        <f>(Vel4C)*SIN(RADIANS(Ang4C))</f>
        <v>1873.03296707956</v>
      </c>
      <c r="K10" s="99">
        <f>(Vel5Ca)*SIN(RADIANS(Ang5C))</f>
        <v>1476.0095101689078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6.5" x14ac:dyDescent="0.25">
      <c r="A11" s="623" t="s">
        <v>196</v>
      </c>
      <c r="B11" s="624"/>
      <c r="C11" s="624"/>
      <c r="D11" s="625"/>
      <c r="E11" s="604" t="s">
        <v>12</v>
      </c>
      <c r="F11" s="605"/>
      <c r="G11" s="99">
        <f>((0.5*9.81*(G12)^2))/1000</f>
        <v>30.728667632557027</v>
      </c>
      <c r="H11" s="99">
        <f t="shared" ref="H11:J11" si="0">((0.5*9.81*(H12)^2))/1000</f>
        <v>123.34352701325174</v>
      </c>
      <c r="I11" s="99">
        <f t="shared" si="0"/>
        <v>86.136595310907197</v>
      </c>
      <c r="J11" s="99">
        <f t="shared" si="0"/>
        <v>178.81001507476353</v>
      </c>
      <c r="K11" s="99">
        <f>((0.5*9.81*(K12)^2))/1000</f>
        <v>111.03996300250049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6.5" x14ac:dyDescent="0.25">
      <c r="A12" s="623" t="s">
        <v>197</v>
      </c>
      <c r="B12" s="624"/>
      <c r="C12" s="624"/>
      <c r="D12" s="625"/>
      <c r="E12" s="604" t="s">
        <v>34</v>
      </c>
      <c r="F12" s="605"/>
      <c r="G12" s="99">
        <f>G10/9.81</f>
        <v>79.150262433770649</v>
      </c>
      <c r="H12" s="99">
        <f>H10/9.81</f>
        <v>158.5764443027935</v>
      </c>
      <c r="I12" s="99">
        <f>I10/9.81</f>
        <v>132.51783893985726</v>
      </c>
      <c r="J12" s="99">
        <f>J10/9.81</f>
        <v>190.9309854311478</v>
      </c>
      <c r="K12" s="99">
        <f>K10/9.81</f>
        <v>150.45968503250845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6.5" x14ac:dyDescent="0.25">
      <c r="A13" s="664" t="s">
        <v>198</v>
      </c>
      <c r="B13" s="665"/>
      <c r="C13" s="665"/>
      <c r="D13" s="666"/>
      <c r="E13" s="606" t="s">
        <v>12</v>
      </c>
      <c r="F13" s="607"/>
      <c r="G13" s="100">
        <f>G11+Alt1C</f>
        <v>140.72866763255703</v>
      </c>
      <c r="H13" s="100">
        <f>H11+Alt2C</f>
        <v>173.34352701325173</v>
      </c>
      <c r="I13" s="100">
        <f>I11+Alt3C</f>
        <v>166.13659531090718</v>
      </c>
      <c r="J13" s="100">
        <f>J11+Alt4C</f>
        <v>288.81001507476356</v>
      </c>
      <c r="K13" s="100">
        <f>K11+Alt5C</f>
        <v>291.03996300250049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6.5" x14ac:dyDescent="0.25">
      <c r="A14" s="664" t="s">
        <v>199</v>
      </c>
      <c r="B14" s="665"/>
      <c r="C14" s="665"/>
      <c r="D14" s="666"/>
      <c r="E14" s="606" t="s">
        <v>34</v>
      </c>
      <c r="F14" s="607"/>
      <c r="G14" s="100">
        <f>SQRT((2*G13*1000)/9.81)</f>
        <v>169.38376505416923</v>
      </c>
      <c r="H14" s="100">
        <f t="shared" ref="H14:J14" si="1">SQRT((2*H13*1000)/9.81)</f>
        <v>187.98980984661782</v>
      </c>
      <c r="I14" s="100">
        <f t="shared" si="1"/>
        <v>184.0403909657085</v>
      </c>
      <c r="J14" s="100">
        <f t="shared" si="1"/>
        <v>242.6535328782592</v>
      </c>
      <c r="K14" s="100">
        <f t="shared" ref="K14" si="2">SQRT((2*K13*1000)/9.81)</f>
        <v>243.5885147672272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6.5" x14ac:dyDescent="0.25">
      <c r="A15" s="664" t="s">
        <v>200</v>
      </c>
      <c r="B15" s="665"/>
      <c r="C15" s="665"/>
      <c r="D15" s="666"/>
      <c r="E15" s="606" t="s">
        <v>34</v>
      </c>
      <c r="F15" s="607"/>
      <c r="G15" s="100">
        <f>G14+G12</f>
        <v>248.53402748793988</v>
      </c>
      <c r="H15" s="100">
        <f t="shared" ref="H15:J15" si="3">H14+H12</f>
        <v>346.56625414941129</v>
      </c>
      <c r="I15" s="100">
        <f t="shared" si="3"/>
        <v>316.55822990556578</v>
      </c>
      <c r="J15" s="100">
        <f t="shared" si="3"/>
        <v>433.58451830940703</v>
      </c>
      <c r="K15" s="100">
        <f t="shared" ref="K15" si="4">K14+K12</f>
        <v>394.04819979973564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6.5" x14ac:dyDescent="0.25">
      <c r="A16" s="664" t="s">
        <v>201</v>
      </c>
      <c r="B16" s="665"/>
      <c r="C16" s="665"/>
      <c r="D16" s="666"/>
      <c r="E16" s="606" t="s">
        <v>12</v>
      </c>
      <c r="F16" s="607"/>
      <c r="G16" s="100">
        <f>G15*(G9/1000)</f>
        <v>738.1922331751955</v>
      </c>
      <c r="H16" s="100">
        <f t="shared" ref="H16:J16" si="5">H15*(H9/1000)</f>
        <v>539.13056656683227</v>
      </c>
      <c r="I16" s="100">
        <f t="shared" si="5"/>
        <v>712.78341907566244</v>
      </c>
      <c r="J16" s="100">
        <f t="shared" si="5"/>
        <v>2010.0628248329992</v>
      </c>
      <c r="K16" s="100">
        <f t="shared" ref="K16" si="6">K15*(K9/1000)</f>
        <v>3298.5246388979081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6.5" x14ac:dyDescent="0.25">
      <c r="A17" s="667" t="s">
        <v>202</v>
      </c>
      <c r="B17" s="668"/>
      <c r="C17" s="668"/>
      <c r="D17" s="669"/>
      <c r="E17" s="608" t="s">
        <v>12</v>
      </c>
      <c r="F17" s="609"/>
      <c r="G17" s="101">
        <f>G16+DR1C</f>
        <v>873.89223317519554</v>
      </c>
      <c r="H17" s="101">
        <f>H16+DR2C</f>
        <v>599.13056656683227</v>
      </c>
      <c r="I17" s="101">
        <f>I16+DR3C</f>
        <v>832.78341907566244</v>
      </c>
      <c r="J17" s="101">
        <f>J16+DR4C</f>
        <v>2310.0628248329995</v>
      </c>
      <c r="K17" s="101">
        <f>K16+DR5C</f>
        <v>3898.5246388979081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7.25" thickBot="1" x14ac:dyDescent="0.3">
      <c r="A18" s="632" t="s">
        <v>203</v>
      </c>
      <c r="B18" s="633"/>
      <c r="C18" s="633"/>
      <c r="D18" s="634"/>
      <c r="E18" s="600" t="s">
        <v>117</v>
      </c>
      <c r="F18" s="601"/>
      <c r="G18" s="109">
        <f>(9.81*G15)-G10</f>
        <v>1661.6547351814002</v>
      </c>
      <c r="H18" s="110">
        <f t="shared" ref="H18:J18" si="7">(9.81*H15)-H10</f>
        <v>1844.1800345953206</v>
      </c>
      <c r="I18" s="110">
        <f t="shared" si="7"/>
        <v>1805.4362353736008</v>
      </c>
      <c r="J18" s="110">
        <f t="shared" si="7"/>
        <v>2380.4311575357233</v>
      </c>
      <c r="K18" s="110">
        <f t="shared" ref="K18" si="8">(9.81*K15)-K10</f>
        <v>2389.6033298664988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7.25" thickBot="1" x14ac:dyDescent="0.3">
      <c r="A19" s="649"/>
      <c r="B19" s="650"/>
      <c r="C19" s="650"/>
      <c r="D19" s="650"/>
      <c r="E19" s="650"/>
      <c r="F19" s="650"/>
      <c r="G19" s="650"/>
      <c r="H19" s="650"/>
      <c r="I19" s="650"/>
      <c r="J19" s="650"/>
      <c r="K19" s="65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8" thickBot="1" x14ac:dyDescent="0.3">
      <c r="A20" s="617" t="s">
        <v>204</v>
      </c>
      <c r="B20" s="618"/>
      <c r="C20" s="618"/>
      <c r="D20" s="619"/>
      <c r="E20" s="652"/>
      <c r="F20" s="653"/>
      <c r="G20" s="653"/>
      <c r="H20" s="653"/>
      <c r="I20" s="653"/>
      <c r="J20" s="653"/>
      <c r="K20" s="65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6.5" x14ac:dyDescent="0.25">
      <c r="A21" s="620" t="s">
        <v>205</v>
      </c>
      <c r="B21" s="621"/>
      <c r="C21" s="621"/>
      <c r="D21" s="622"/>
      <c r="E21" s="602" t="s">
        <v>12</v>
      </c>
      <c r="F21" s="603"/>
      <c r="G21" s="108">
        <f>6378-SQRT((6378)^2-(G17/2)^2)</f>
        <v>14.984827049442174</v>
      </c>
      <c r="H21" s="108">
        <f t="shared" ref="H21:J21" si="9">6378-SQRT((6378)^2-(H17/2)^2)</f>
        <v>7.0389546747874192</v>
      </c>
      <c r="I21" s="108">
        <f t="shared" si="9"/>
        <v>13.606710437501533</v>
      </c>
      <c r="J21" s="108">
        <f t="shared" si="9"/>
        <v>105.45773738182379</v>
      </c>
      <c r="K21" s="108">
        <f t="shared" ref="K21" si="10">6378-SQRT((6378)^2-(K17/2)^2)</f>
        <v>305.17031278033573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6.5" x14ac:dyDescent="0.25">
      <c r="A22" s="623" t="s">
        <v>198</v>
      </c>
      <c r="B22" s="624"/>
      <c r="C22" s="624"/>
      <c r="D22" s="625"/>
      <c r="E22" s="604" t="s">
        <v>34</v>
      </c>
      <c r="F22" s="605"/>
      <c r="G22" s="103">
        <f>G13+G21</f>
        <v>155.71349468199921</v>
      </c>
      <c r="H22" s="103">
        <f>H13+H21</f>
        <v>180.38248168803915</v>
      </c>
      <c r="I22" s="103">
        <f t="shared" ref="I22:J22" si="11">I13+I21</f>
        <v>179.74330574840872</v>
      </c>
      <c r="J22" s="103">
        <f t="shared" si="11"/>
        <v>394.26775245658735</v>
      </c>
      <c r="K22" s="103">
        <f t="shared" ref="K22" si="12">K13+K21</f>
        <v>596.21027578283622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6.5" x14ac:dyDescent="0.25">
      <c r="A23" s="623" t="s">
        <v>199</v>
      </c>
      <c r="B23" s="624"/>
      <c r="C23" s="624"/>
      <c r="D23" s="625"/>
      <c r="E23" s="604" t="s">
        <v>34</v>
      </c>
      <c r="F23" s="605"/>
      <c r="G23" s="99">
        <f>SQRT((2*G22*1000)/9.81)</f>
        <v>178.17370870987972</v>
      </c>
      <c r="H23" s="99">
        <f t="shared" ref="H23:J23" si="13">SQRT((2*H22*1000)/9.81)</f>
        <v>191.76867738103846</v>
      </c>
      <c r="I23" s="99">
        <f t="shared" si="13"/>
        <v>191.42861469923838</v>
      </c>
      <c r="J23" s="99">
        <f t="shared" si="13"/>
        <v>283.51505324089413</v>
      </c>
      <c r="K23" s="99">
        <f t="shared" ref="K23" si="14">SQRT((2*K22*1000)/9.81)</f>
        <v>348.64241610628414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6.5" x14ac:dyDescent="0.25">
      <c r="A24" s="623" t="s">
        <v>200</v>
      </c>
      <c r="B24" s="624"/>
      <c r="C24" s="624"/>
      <c r="D24" s="625"/>
      <c r="E24" s="604" t="s">
        <v>34</v>
      </c>
      <c r="F24" s="605"/>
      <c r="G24" s="99">
        <f>G23+G12</f>
        <v>257.3239711436504</v>
      </c>
      <c r="H24" s="99">
        <f t="shared" ref="H24:J24" si="15">H23+H12</f>
        <v>350.34512168383196</v>
      </c>
      <c r="I24" s="99">
        <f t="shared" si="15"/>
        <v>323.94645363909564</v>
      </c>
      <c r="J24" s="99">
        <f t="shared" si="15"/>
        <v>474.44603867204194</v>
      </c>
      <c r="K24" s="99">
        <f t="shared" ref="K24" si="16">K23+K12</f>
        <v>499.10210113879259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6.5" x14ac:dyDescent="0.25">
      <c r="A25" s="623" t="s">
        <v>201</v>
      </c>
      <c r="B25" s="624"/>
      <c r="C25" s="624"/>
      <c r="D25" s="625"/>
      <c r="E25" s="604" t="s">
        <v>12</v>
      </c>
      <c r="F25" s="605"/>
      <c r="G25" s="99">
        <f>G9*(G24/1000)</f>
        <v>764.29999878893193</v>
      </c>
      <c r="H25" s="99">
        <f t="shared" ref="H25:J25" si="17">H9*(H24/1000)</f>
        <v>545.00910485618022</v>
      </c>
      <c r="I25" s="99">
        <f t="shared" si="17"/>
        <v>729.41923162507044</v>
      </c>
      <c r="J25" s="99">
        <f t="shared" si="17"/>
        <v>2199.4935345994345</v>
      </c>
      <c r="K25" s="99">
        <f t="shared" ref="K25" si="18">K9*(K24/1000)</f>
        <v>4177.9167593424127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6.5" x14ac:dyDescent="0.25">
      <c r="A26" s="638" t="s">
        <v>206</v>
      </c>
      <c r="B26" s="639"/>
      <c r="C26" s="639"/>
      <c r="D26" s="640"/>
      <c r="E26" s="626" t="s">
        <v>12</v>
      </c>
      <c r="F26" s="627"/>
      <c r="G26" s="102">
        <f>G25+DR1C</f>
        <v>899.99999878893186</v>
      </c>
      <c r="H26" s="102">
        <f>H25+DR2C</f>
        <v>605.00910485618022</v>
      </c>
      <c r="I26" s="102">
        <f>I25+DR3C</f>
        <v>849.41923162507044</v>
      </c>
      <c r="J26" s="102">
        <f>J25+DR4C</f>
        <v>2499.4935345994345</v>
      </c>
      <c r="K26" s="102">
        <f>K25+DR5C</f>
        <v>4777.9167593424127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7.25" thickBot="1" x14ac:dyDescent="0.3">
      <c r="A27" s="641" t="s">
        <v>203</v>
      </c>
      <c r="B27" s="642"/>
      <c r="C27" s="642"/>
      <c r="D27" s="643"/>
      <c r="E27" s="628" t="s">
        <v>117</v>
      </c>
      <c r="F27" s="629"/>
      <c r="G27" s="111">
        <f>(9.81*G24)-G10</f>
        <v>1747.8840824439203</v>
      </c>
      <c r="H27" s="111">
        <f t="shared" ref="H27:J27" si="19">(9.81*H24)-H10</f>
        <v>1881.2507251079874</v>
      </c>
      <c r="I27" s="111">
        <f t="shared" si="19"/>
        <v>1877.9147101995284</v>
      </c>
      <c r="J27" s="111">
        <f t="shared" si="19"/>
        <v>2781.2826722931713</v>
      </c>
      <c r="K27" s="111">
        <f t="shared" ref="K27" si="20">(9.81*K24)-K10</f>
        <v>3420.1821020026482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7.25" thickBot="1" x14ac:dyDescent="0.3">
      <c r="A28" s="655"/>
      <c r="B28" s="656"/>
      <c r="C28" s="656"/>
      <c r="D28" s="656"/>
      <c r="E28" s="656"/>
      <c r="F28" s="656"/>
      <c r="G28" s="656"/>
      <c r="H28" s="656"/>
      <c r="I28" s="656"/>
      <c r="J28" s="656"/>
      <c r="K28" s="65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6.5" x14ac:dyDescent="0.25">
      <c r="A29" s="644" t="s">
        <v>207</v>
      </c>
      <c r="B29" s="645"/>
      <c r="C29" s="645"/>
      <c r="D29" s="646"/>
      <c r="E29" s="630" t="s">
        <v>34</v>
      </c>
      <c r="F29" s="631"/>
      <c r="G29" s="105">
        <f>G24-G15</f>
        <v>8.7899436557105162</v>
      </c>
      <c r="H29" s="105">
        <f t="shared" ref="H29:J29" si="21">H24-H15</f>
        <v>3.7788675344206695</v>
      </c>
      <c r="I29" s="105">
        <f t="shared" si="21"/>
        <v>7.3882237335298555</v>
      </c>
      <c r="J29" s="105">
        <f t="shared" si="21"/>
        <v>40.861520362634906</v>
      </c>
      <c r="K29" s="105">
        <f t="shared" ref="K29" si="22">K24-K15</f>
        <v>105.05390133905695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6.5" x14ac:dyDescent="0.25">
      <c r="A30" s="638" t="s">
        <v>208</v>
      </c>
      <c r="B30" s="639"/>
      <c r="C30" s="639"/>
      <c r="D30" s="640"/>
      <c r="E30" s="626" t="s">
        <v>12</v>
      </c>
      <c r="F30" s="627"/>
      <c r="G30" s="104">
        <f>G26-G17</f>
        <v>26.107765613736319</v>
      </c>
      <c r="H30" s="104">
        <f t="shared" ref="H30:J30" si="23">H26-H17</f>
        <v>5.8785382893479436</v>
      </c>
      <c r="I30" s="104">
        <f t="shared" si="23"/>
        <v>16.635812549408001</v>
      </c>
      <c r="J30" s="104">
        <f t="shared" si="23"/>
        <v>189.43070976643503</v>
      </c>
      <c r="K30" s="104">
        <f t="shared" ref="K30" si="24">K26-K17</f>
        <v>879.3921204445046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7.25" thickBot="1" x14ac:dyDescent="0.3">
      <c r="A31" s="614" t="s">
        <v>209</v>
      </c>
      <c r="B31" s="615"/>
      <c r="C31" s="615"/>
      <c r="D31" s="616"/>
      <c r="E31" s="597" t="s">
        <v>210</v>
      </c>
      <c r="F31" s="598"/>
      <c r="G31" s="106">
        <f>((G26-G17)/G17)</f>
        <v>2.987526908080702E-2</v>
      </c>
      <c r="H31" s="106">
        <f t="shared" ref="H31:I31" si="25">((H26-H17)/H17)</f>
        <v>9.8117816338989944E-3</v>
      </c>
      <c r="I31" s="106">
        <f t="shared" si="25"/>
        <v>1.9976157267723598E-2</v>
      </c>
      <c r="J31" s="106">
        <f>((J26-J17)/J17)</f>
        <v>8.2002406051501858E-2</v>
      </c>
      <c r="K31" s="106">
        <f>((K26-K17)/K17)</f>
        <v>0.22557049189077436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6.5" x14ac:dyDescent="0.3">
      <c r="A32" s="612"/>
      <c r="B32" s="612"/>
      <c r="C32" s="612"/>
      <c r="D32" s="612"/>
      <c r="E32" s="596"/>
      <c r="F32" s="596"/>
      <c r="G32" s="14"/>
      <c r="H32" s="14"/>
      <c r="I32" s="14"/>
      <c r="J32" s="1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6.5" x14ac:dyDescent="0.3">
      <c r="A33" s="612"/>
      <c r="B33" s="612"/>
      <c r="C33" s="612"/>
      <c r="D33" s="612"/>
      <c r="E33" s="596"/>
      <c r="F33" s="596"/>
      <c r="G33" s="14"/>
      <c r="H33" s="14"/>
      <c r="I33" s="16" t="s">
        <v>80</v>
      </c>
      <c r="J33" s="1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6.5" x14ac:dyDescent="0.3">
      <c r="A34" s="612"/>
      <c r="B34" s="612"/>
      <c r="C34" s="612"/>
      <c r="D34" s="612"/>
      <c r="E34" s="596"/>
      <c r="F34" s="596"/>
      <c r="G34" s="14"/>
      <c r="H34" s="14"/>
      <c r="I34" s="14"/>
      <c r="J34" s="1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6.5" x14ac:dyDescent="0.3">
      <c r="A35" s="612"/>
      <c r="B35" s="612"/>
      <c r="C35" s="612"/>
      <c r="D35" s="612"/>
      <c r="E35" s="596"/>
      <c r="F35" s="596"/>
      <c r="G35" s="14"/>
      <c r="H35" s="14"/>
      <c r="I35" s="14"/>
      <c r="J35" s="1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6.5" x14ac:dyDescent="0.3">
      <c r="A36" s="612"/>
      <c r="B36" s="612"/>
      <c r="C36" s="612"/>
      <c r="D36" s="612"/>
      <c r="E36" s="596"/>
      <c r="F36" s="596"/>
      <c r="G36" s="14"/>
      <c r="H36" s="14"/>
      <c r="I36" s="14"/>
      <c r="J36" s="1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6.5" x14ac:dyDescent="0.3">
      <c r="A37" s="612"/>
      <c r="B37" s="612"/>
      <c r="C37" s="612"/>
      <c r="D37" s="612"/>
      <c r="E37" s="596"/>
      <c r="F37" s="596"/>
      <c r="G37" s="14"/>
      <c r="H37" s="14"/>
      <c r="I37" s="14"/>
      <c r="J37" s="1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6.5" x14ac:dyDescent="0.3">
      <c r="A38" s="612"/>
      <c r="B38" s="612"/>
      <c r="C38" s="612"/>
      <c r="D38" s="612"/>
      <c r="E38" s="596"/>
      <c r="F38" s="596"/>
      <c r="G38" s="14"/>
      <c r="H38" s="14"/>
      <c r="I38" s="14"/>
      <c r="J38" s="1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6.5" x14ac:dyDescent="0.3">
      <c r="A39" s="612"/>
      <c r="B39" s="612"/>
      <c r="C39" s="612"/>
      <c r="D39" s="612"/>
      <c r="E39" s="596"/>
      <c r="F39" s="596"/>
      <c r="G39" s="14"/>
      <c r="H39" s="14"/>
      <c r="I39" s="14"/>
      <c r="J39" s="1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6.5" x14ac:dyDescent="0.3">
      <c r="A40" s="612"/>
      <c r="B40" s="612"/>
      <c r="C40" s="612"/>
      <c r="D40" s="612"/>
      <c r="E40" s="596"/>
      <c r="F40" s="596"/>
      <c r="G40" s="14"/>
      <c r="H40" s="14"/>
      <c r="I40" s="14"/>
      <c r="J40" s="1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6.5" x14ac:dyDescent="0.3">
      <c r="A41" s="612"/>
      <c r="B41" s="612"/>
      <c r="C41" s="612"/>
      <c r="D41" s="612"/>
      <c r="E41" s="596"/>
      <c r="F41" s="596"/>
      <c r="G41" s="14"/>
      <c r="H41" s="14"/>
      <c r="I41" s="14"/>
      <c r="J41" s="1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6.5" x14ac:dyDescent="0.3">
      <c r="A42" s="612"/>
      <c r="B42" s="612"/>
      <c r="C42" s="612"/>
      <c r="D42" s="612"/>
      <c r="E42" s="596"/>
      <c r="F42" s="596"/>
      <c r="G42" s="14"/>
      <c r="H42" s="14"/>
      <c r="I42" s="14"/>
      <c r="J42" s="1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6.5" x14ac:dyDescent="0.3">
      <c r="A43" s="612"/>
      <c r="B43" s="612"/>
      <c r="C43" s="612"/>
      <c r="D43" s="612"/>
      <c r="E43" s="596"/>
      <c r="F43" s="596"/>
      <c r="G43" s="14"/>
      <c r="H43" s="14"/>
      <c r="I43" s="14"/>
      <c r="J43" s="1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6.5" x14ac:dyDescent="0.3">
      <c r="A44" s="612"/>
      <c r="B44" s="612"/>
      <c r="C44" s="612"/>
      <c r="D44" s="612"/>
      <c r="E44" s="596"/>
      <c r="F44" s="596"/>
      <c r="G44" s="14"/>
      <c r="H44" s="14"/>
      <c r="I44" s="14"/>
      <c r="J44" s="1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6.5" x14ac:dyDescent="0.3">
      <c r="A45" s="612"/>
      <c r="B45" s="612"/>
      <c r="C45" s="612"/>
      <c r="D45" s="612"/>
      <c r="E45" s="596"/>
      <c r="F45" s="596"/>
      <c r="G45" s="14"/>
      <c r="H45" s="14"/>
      <c r="I45" s="14"/>
      <c r="J45" s="1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6.5" x14ac:dyDescent="0.3">
      <c r="A46" s="612"/>
      <c r="B46" s="612"/>
      <c r="C46" s="612"/>
      <c r="D46" s="612"/>
      <c r="E46" s="596"/>
      <c r="F46" s="596"/>
      <c r="G46" s="14"/>
      <c r="H46" s="14"/>
      <c r="I46" s="14"/>
      <c r="J46" s="1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6.5" x14ac:dyDescent="0.3">
      <c r="A47" s="612"/>
      <c r="B47" s="612"/>
      <c r="C47" s="612"/>
      <c r="D47" s="612"/>
      <c r="E47" s="596"/>
      <c r="F47" s="596"/>
      <c r="G47" s="14"/>
      <c r="H47" s="14"/>
      <c r="I47" s="14"/>
      <c r="J47" s="1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6.5" x14ac:dyDescent="0.3">
      <c r="A48" s="612"/>
      <c r="B48" s="612"/>
      <c r="C48" s="612"/>
      <c r="D48" s="612"/>
      <c r="E48" s="596"/>
      <c r="F48" s="596"/>
      <c r="G48" s="14"/>
      <c r="H48" s="14"/>
      <c r="I48" s="14"/>
      <c r="J48" s="1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6.5" x14ac:dyDescent="0.3">
      <c r="A49" s="612"/>
      <c r="B49" s="612"/>
      <c r="C49" s="612"/>
      <c r="D49" s="612"/>
      <c r="E49" s="596"/>
      <c r="F49" s="596"/>
      <c r="G49" s="14"/>
      <c r="H49" s="14"/>
      <c r="I49" s="14"/>
      <c r="J49" s="1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6.5" x14ac:dyDescent="0.3">
      <c r="A50" s="612"/>
      <c r="B50" s="612"/>
      <c r="C50" s="612"/>
      <c r="D50" s="612"/>
      <c r="E50" s="596"/>
      <c r="F50" s="596"/>
      <c r="G50" s="14"/>
      <c r="H50" s="14"/>
      <c r="I50" s="14"/>
      <c r="J50" s="1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6.5" x14ac:dyDescent="0.3">
      <c r="A51" s="612"/>
      <c r="B51" s="612"/>
      <c r="C51" s="612"/>
      <c r="D51" s="612"/>
      <c r="E51" s="596"/>
      <c r="F51" s="596"/>
      <c r="G51" s="14"/>
      <c r="H51" s="14"/>
      <c r="I51" s="14"/>
      <c r="J51" s="1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6.5" x14ac:dyDescent="0.3">
      <c r="A52" s="612"/>
      <c r="B52" s="612"/>
      <c r="C52" s="612"/>
      <c r="D52" s="612"/>
      <c r="E52" s="596"/>
      <c r="F52" s="596"/>
      <c r="G52" s="14"/>
      <c r="H52" s="14"/>
      <c r="I52" s="14"/>
      <c r="J52" s="1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6.5" x14ac:dyDescent="0.3">
      <c r="A53" s="613"/>
      <c r="B53" s="613"/>
      <c r="C53" s="613"/>
      <c r="D53" s="613"/>
      <c r="E53" s="599"/>
      <c r="F53" s="599"/>
      <c r="G53" s="11"/>
      <c r="H53" s="11"/>
      <c r="I53" s="11"/>
      <c r="J53" s="11"/>
    </row>
    <row r="54" spans="1:37" ht="16.5" x14ac:dyDescent="0.3">
      <c r="A54" s="613"/>
      <c r="B54" s="613"/>
      <c r="C54" s="613"/>
      <c r="D54" s="613"/>
      <c r="E54" s="599"/>
      <c r="F54" s="599"/>
      <c r="G54" s="11"/>
      <c r="H54" s="11"/>
      <c r="I54" s="11"/>
      <c r="J54" s="11"/>
    </row>
    <row r="55" spans="1:37" ht="16.5" x14ac:dyDescent="0.3">
      <c r="A55" s="613"/>
      <c r="B55" s="613"/>
      <c r="C55" s="613"/>
      <c r="D55" s="613"/>
      <c r="E55" s="599"/>
      <c r="F55" s="599"/>
      <c r="G55" s="11"/>
      <c r="H55" s="11"/>
      <c r="I55" s="11"/>
      <c r="J55" s="11"/>
    </row>
  </sheetData>
  <mergeCells count="114">
    <mergeCell ref="K1:K2"/>
    <mergeCell ref="K7:K8"/>
    <mergeCell ref="A19:K19"/>
    <mergeCell ref="E20:K20"/>
    <mergeCell ref="A28:K28"/>
    <mergeCell ref="J1:J2"/>
    <mergeCell ref="A3:D3"/>
    <mergeCell ref="A4:D4"/>
    <mergeCell ref="A5:D5"/>
    <mergeCell ref="A6:D6"/>
    <mergeCell ref="E3:F3"/>
    <mergeCell ref="E4:F4"/>
    <mergeCell ref="E5:F5"/>
    <mergeCell ref="E6:F6"/>
    <mergeCell ref="A1:D2"/>
    <mergeCell ref="E1:F2"/>
    <mergeCell ref="G1:G2"/>
    <mergeCell ref="H1:H2"/>
    <mergeCell ref="I1:I2"/>
    <mergeCell ref="A13:D13"/>
    <mergeCell ref="A14:D14"/>
    <mergeCell ref="A15:D15"/>
    <mergeCell ref="A16:D16"/>
    <mergeCell ref="A17:D17"/>
    <mergeCell ref="A18:D18"/>
    <mergeCell ref="A9:D9"/>
    <mergeCell ref="A10:D10"/>
    <mergeCell ref="A11:D11"/>
    <mergeCell ref="A12:D12"/>
    <mergeCell ref="A26:D26"/>
    <mergeCell ref="A27:D27"/>
    <mergeCell ref="A29:D29"/>
    <mergeCell ref="A30:D30"/>
    <mergeCell ref="A31:D31"/>
    <mergeCell ref="A20:D20"/>
    <mergeCell ref="A21:D21"/>
    <mergeCell ref="A22:D22"/>
    <mergeCell ref="A23:D23"/>
    <mergeCell ref="A24:D24"/>
    <mergeCell ref="A25:D25"/>
    <mergeCell ref="E25:F25"/>
    <mergeCell ref="E26:F26"/>
    <mergeCell ref="E27:F27"/>
    <mergeCell ref="E29:F29"/>
    <mergeCell ref="E30:F30"/>
    <mergeCell ref="A38:D38"/>
    <mergeCell ref="A39:D39"/>
    <mergeCell ref="A40:D40"/>
    <mergeCell ref="A41:D41"/>
    <mergeCell ref="A42:D42"/>
    <mergeCell ref="A43:D43"/>
    <mergeCell ref="A32:D32"/>
    <mergeCell ref="A33:D33"/>
    <mergeCell ref="A34:D34"/>
    <mergeCell ref="A35:D35"/>
    <mergeCell ref="A36:D36"/>
    <mergeCell ref="A37:D37"/>
    <mergeCell ref="A51:D51"/>
    <mergeCell ref="A52:D52"/>
    <mergeCell ref="A53:D53"/>
    <mergeCell ref="A54:D54"/>
    <mergeCell ref="A55:D55"/>
    <mergeCell ref="A44:D44"/>
    <mergeCell ref="A45:D45"/>
    <mergeCell ref="A46:D46"/>
    <mergeCell ref="A47:D47"/>
    <mergeCell ref="A48:D48"/>
    <mergeCell ref="A49:D49"/>
    <mergeCell ref="A50:D50"/>
    <mergeCell ref="E36:F36"/>
    <mergeCell ref="J7:J8"/>
    <mergeCell ref="E55:F55"/>
    <mergeCell ref="E53:F53"/>
    <mergeCell ref="E54:F54"/>
    <mergeCell ref="E18:F18"/>
    <mergeCell ref="E21:F21"/>
    <mergeCell ref="E22:F22"/>
    <mergeCell ref="E23:F23"/>
    <mergeCell ref="E24:F24"/>
    <mergeCell ref="E40:F40"/>
    <mergeCell ref="E41:F41"/>
    <mergeCell ref="E12:F12"/>
    <mergeCell ref="E13:F13"/>
    <mergeCell ref="E14:F14"/>
    <mergeCell ref="E15:F15"/>
    <mergeCell ref="E16:F16"/>
    <mergeCell ref="E17:F17"/>
    <mergeCell ref="E9:F9"/>
    <mergeCell ref="E10:F10"/>
    <mergeCell ref="E11:F11"/>
    <mergeCell ref="A7:D8"/>
    <mergeCell ref="E7:F8"/>
    <mergeCell ref="G7:G8"/>
    <mergeCell ref="H7:H8"/>
    <mergeCell ref="I7:I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2:F42"/>
    <mergeCell ref="E31:F31"/>
    <mergeCell ref="E32:F32"/>
    <mergeCell ref="E33:F33"/>
    <mergeCell ref="E34:F34"/>
    <mergeCell ref="E35:F3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2058-5FBE-43BB-A79A-E4EE50E9EC06}">
  <dimension ref="A1:U60"/>
  <sheetViews>
    <sheetView topLeftCell="A15" workbookViewId="0">
      <selection activeCell="B32" sqref="B32"/>
    </sheetView>
  </sheetViews>
  <sheetFormatPr defaultRowHeight="15" x14ac:dyDescent="0.25"/>
  <cols>
    <col min="1" max="1" width="28.28515625" customWidth="1"/>
    <col min="2" max="2" width="16.7109375" customWidth="1"/>
    <col min="3" max="3" width="11" customWidth="1"/>
    <col min="4" max="4" width="17.28515625" customWidth="1"/>
    <col min="5" max="5" width="10.42578125" customWidth="1"/>
    <col min="6" max="6" width="17.28515625" customWidth="1"/>
    <col min="7" max="7" width="10.42578125" customWidth="1"/>
    <col min="8" max="8" width="15.7109375" customWidth="1"/>
    <col min="9" max="9" width="10.28515625" customWidth="1"/>
  </cols>
  <sheetData>
    <row r="1" spans="1:21" ht="26.25" thickBot="1" x14ac:dyDescent="0.4">
      <c r="A1" s="670" t="s">
        <v>166</v>
      </c>
      <c r="B1" s="671"/>
      <c r="C1" s="671"/>
      <c r="D1" s="671"/>
      <c r="E1" s="671"/>
      <c r="F1" s="671"/>
      <c r="G1" s="671"/>
      <c r="H1" s="671"/>
      <c r="I1" s="672"/>
      <c r="J1" s="172"/>
      <c r="K1" s="172"/>
      <c r="L1" s="172"/>
      <c r="M1" s="172"/>
      <c r="N1" s="172"/>
      <c r="O1" s="172"/>
      <c r="P1" s="172"/>
      <c r="Q1" s="172"/>
      <c r="R1" s="172"/>
      <c r="S1" s="3"/>
      <c r="T1" s="3"/>
      <c r="U1" s="3"/>
    </row>
    <row r="2" spans="1:21" ht="18.75" thickBot="1" x14ac:dyDescent="0.3">
      <c r="A2" s="189"/>
      <c r="B2" s="673" t="s">
        <v>167</v>
      </c>
      <c r="C2" s="674"/>
      <c r="D2" s="673" t="s">
        <v>168</v>
      </c>
      <c r="E2" s="674"/>
      <c r="F2" s="675" t="s">
        <v>321</v>
      </c>
      <c r="G2" s="679"/>
      <c r="H2" s="673" t="s">
        <v>322</v>
      </c>
      <c r="I2" s="674"/>
      <c r="J2" s="172"/>
      <c r="K2" s="164" t="s">
        <v>80</v>
      </c>
      <c r="L2" s="172"/>
      <c r="M2" s="172"/>
      <c r="N2" s="172"/>
      <c r="O2" s="172"/>
      <c r="P2" s="172"/>
      <c r="Q2" s="172"/>
      <c r="R2" s="172"/>
      <c r="S2" s="3"/>
      <c r="T2" s="3"/>
      <c r="U2" s="3"/>
    </row>
    <row r="3" spans="1:21" ht="18" x14ac:dyDescent="0.25">
      <c r="A3" s="190" t="s">
        <v>169</v>
      </c>
      <c r="B3" s="156">
        <v>10000</v>
      </c>
      <c r="C3" s="148" t="s">
        <v>117</v>
      </c>
      <c r="D3" s="156">
        <v>10000</v>
      </c>
      <c r="E3" s="148" t="s">
        <v>117</v>
      </c>
      <c r="F3" s="158">
        <v>11543</v>
      </c>
      <c r="G3" s="196" t="s">
        <v>117</v>
      </c>
      <c r="H3" s="156">
        <v>12000</v>
      </c>
      <c r="I3" s="148" t="s">
        <v>117</v>
      </c>
      <c r="J3" s="173"/>
      <c r="K3" s="173"/>
      <c r="L3" s="173"/>
      <c r="M3" s="173"/>
      <c r="N3" s="172"/>
      <c r="O3" s="172"/>
      <c r="P3" s="172"/>
      <c r="Q3" s="172"/>
      <c r="R3" s="172"/>
      <c r="S3" s="3"/>
      <c r="T3" s="3"/>
      <c r="U3" s="3"/>
    </row>
    <row r="4" spans="1:21" ht="18" x14ac:dyDescent="0.25">
      <c r="A4" s="191" t="s">
        <v>170</v>
      </c>
      <c r="B4" s="160">
        <v>10000</v>
      </c>
      <c r="C4" s="147" t="s">
        <v>117</v>
      </c>
      <c r="D4" s="160">
        <v>10000</v>
      </c>
      <c r="E4" s="147" t="s">
        <v>117</v>
      </c>
      <c r="F4" s="161">
        <v>11543</v>
      </c>
      <c r="G4" s="197" t="s">
        <v>117</v>
      </c>
      <c r="H4" s="160">
        <v>12000</v>
      </c>
      <c r="I4" s="147" t="s">
        <v>117</v>
      </c>
      <c r="J4" s="173"/>
      <c r="K4" s="173"/>
      <c r="L4" s="173"/>
      <c r="M4" s="173"/>
      <c r="N4" s="172"/>
      <c r="O4" s="172"/>
      <c r="P4" s="172"/>
      <c r="Q4" s="172"/>
      <c r="R4" s="172"/>
      <c r="S4" s="3"/>
      <c r="T4" s="3"/>
      <c r="U4" s="3"/>
    </row>
    <row r="5" spans="1:21" ht="18.75" thickBot="1" x14ac:dyDescent="0.3">
      <c r="A5" s="192" t="s">
        <v>171</v>
      </c>
      <c r="B5" s="157">
        <v>1000</v>
      </c>
      <c r="C5" s="152" t="s">
        <v>123</v>
      </c>
      <c r="D5" s="157">
        <v>1000</v>
      </c>
      <c r="E5" s="152" t="s">
        <v>123</v>
      </c>
      <c r="F5" s="159">
        <v>2000</v>
      </c>
      <c r="G5" s="200" t="s">
        <v>123</v>
      </c>
      <c r="H5" s="157">
        <v>5000</v>
      </c>
      <c r="I5" s="152" t="s">
        <v>123</v>
      </c>
      <c r="J5" s="173"/>
      <c r="K5" s="173"/>
      <c r="L5" s="173"/>
      <c r="M5" s="173"/>
      <c r="N5" s="172"/>
      <c r="O5" s="172"/>
      <c r="P5" s="172"/>
      <c r="Q5" s="172"/>
      <c r="R5" s="172"/>
      <c r="S5" s="3"/>
      <c r="T5" s="3"/>
      <c r="U5" s="3"/>
    </row>
    <row r="6" spans="1:21" ht="19.5" thickBot="1" x14ac:dyDescent="0.35">
      <c r="A6" s="193" t="s">
        <v>172</v>
      </c>
      <c r="B6" s="149"/>
      <c r="C6" s="154"/>
      <c r="D6" s="149"/>
      <c r="E6" s="154"/>
      <c r="F6" s="153"/>
      <c r="G6" s="201"/>
      <c r="H6" s="149"/>
      <c r="I6" s="154"/>
      <c r="J6" s="173"/>
      <c r="K6" s="173"/>
      <c r="L6" s="173"/>
      <c r="M6" s="173"/>
      <c r="N6" s="172"/>
      <c r="O6" s="172"/>
      <c r="P6" s="172"/>
      <c r="Q6" s="172"/>
      <c r="R6" s="172"/>
      <c r="S6" s="3"/>
      <c r="T6" s="3"/>
      <c r="U6" s="3"/>
    </row>
    <row r="7" spans="1:21" ht="18" x14ac:dyDescent="0.25">
      <c r="A7" s="190" t="s">
        <v>173</v>
      </c>
      <c r="B7" s="156">
        <v>0.86</v>
      </c>
      <c r="C7" s="148"/>
      <c r="D7" s="156">
        <v>0.88</v>
      </c>
      <c r="E7" s="148"/>
      <c r="F7" s="158">
        <v>0.9</v>
      </c>
      <c r="G7" s="196"/>
      <c r="H7" s="156">
        <v>0.92</v>
      </c>
      <c r="I7" s="148"/>
      <c r="J7" s="173"/>
      <c r="K7" s="173"/>
      <c r="L7" s="173"/>
      <c r="M7" s="173"/>
      <c r="N7" s="172"/>
      <c r="O7" s="172"/>
      <c r="P7" s="172"/>
      <c r="Q7" s="172"/>
      <c r="R7" s="172"/>
      <c r="S7" s="3"/>
      <c r="T7" s="3"/>
      <c r="U7" s="3"/>
    </row>
    <row r="8" spans="1:21" ht="18" x14ac:dyDescent="0.25">
      <c r="A8" s="191" t="s">
        <v>174</v>
      </c>
      <c r="B8" s="160">
        <v>230</v>
      </c>
      <c r="C8" s="147" t="s">
        <v>34</v>
      </c>
      <c r="D8" s="160">
        <v>230</v>
      </c>
      <c r="E8" s="147" t="s">
        <v>34</v>
      </c>
      <c r="F8" s="161">
        <v>290</v>
      </c>
      <c r="G8" s="197" t="s">
        <v>34</v>
      </c>
      <c r="H8" s="160">
        <v>290</v>
      </c>
      <c r="I8" s="147" t="s">
        <v>34</v>
      </c>
      <c r="J8" s="173"/>
      <c r="K8" s="173"/>
      <c r="L8" s="173"/>
      <c r="M8" s="173"/>
      <c r="N8" s="172"/>
      <c r="O8" s="172"/>
      <c r="P8" s="172"/>
      <c r="Q8" s="172"/>
      <c r="R8" s="172"/>
      <c r="S8" s="3"/>
      <c r="T8" s="3"/>
      <c r="U8" s="3"/>
    </row>
    <row r="9" spans="1:21" ht="18" x14ac:dyDescent="0.25">
      <c r="A9" s="191" t="s">
        <v>125</v>
      </c>
      <c r="B9" s="160">
        <v>5000</v>
      </c>
      <c r="C9" s="147" t="s">
        <v>117</v>
      </c>
      <c r="D9" s="160">
        <v>7500</v>
      </c>
      <c r="E9" s="147" t="s">
        <v>117</v>
      </c>
      <c r="F9" s="161">
        <v>8068</v>
      </c>
      <c r="G9" s="197" t="s">
        <v>117</v>
      </c>
      <c r="H9" s="160">
        <v>6383</v>
      </c>
      <c r="I9" s="147" t="s">
        <v>117</v>
      </c>
      <c r="J9" s="173"/>
      <c r="K9" s="173"/>
      <c r="L9" s="173"/>
      <c r="M9" s="173"/>
      <c r="N9" s="172"/>
      <c r="O9" s="172"/>
      <c r="P9" s="172"/>
      <c r="Q9" s="172"/>
      <c r="R9" s="172"/>
      <c r="S9" s="3"/>
      <c r="T9" s="3"/>
      <c r="U9" s="3"/>
    </row>
    <row r="10" spans="1:21" ht="18" x14ac:dyDescent="0.25">
      <c r="A10" s="191" t="s">
        <v>175</v>
      </c>
      <c r="B10" s="185">
        <f>EXP(B9/(9.81*B8))</f>
        <v>9.1707344300217173</v>
      </c>
      <c r="C10" s="186"/>
      <c r="D10" s="185">
        <f t="shared" ref="D10" si="0">EXP(D9/(9.81*D8))</f>
        <v>27.771937276266932</v>
      </c>
      <c r="E10" s="186"/>
      <c r="F10" s="195">
        <f t="shared" ref="F10" si="1">EXP(F9/(9.81*F8))</f>
        <v>17.046621891249025</v>
      </c>
      <c r="G10" s="198"/>
      <c r="H10" s="185">
        <f t="shared" ref="H10" si="2">EXP(H9/(9.81*H8))</f>
        <v>9.4278125317170094</v>
      </c>
      <c r="I10" s="186"/>
      <c r="J10" s="173"/>
      <c r="K10" s="173"/>
      <c r="L10" s="173"/>
      <c r="M10" s="173"/>
      <c r="N10" s="172"/>
      <c r="O10" s="172"/>
      <c r="P10" s="172"/>
      <c r="Q10" s="172"/>
      <c r="R10" s="172"/>
      <c r="S10" s="3"/>
      <c r="T10" s="3"/>
      <c r="U10" s="3"/>
    </row>
    <row r="11" spans="1:21" ht="18" x14ac:dyDescent="0.25">
      <c r="A11" s="194" t="s">
        <v>176</v>
      </c>
      <c r="B11" s="168">
        <f>(PldDiffMF2*(B10-1))/(1-(1-B7)*B10)</f>
        <v>-28780.039677584762</v>
      </c>
      <c r="C11" s="169" t="s">
        <v>123</v>
      </c>
      <c r="D11" s="168">
        <f>(D5*(D10-1))/(1-(1-D7)*D10)</f>
        <v>-11477.134775582817</v>
      </c>
      <c r="E11" s="169" t="s">
        <v>123</v>
      </c>
      <c r="F11" s="170">
        <f>(F5*(F10-1))/(1-(1-F7)*F10)</f>
        <v>-45544.154742222854</v>
      </c>
      <c r="G11" s="199" t="s">
        <v>123</v>
      </c>
      <c r="H11" s="168">
        <f>(H5*(H10-1))/(1-(1-H7)*H10)</f>
        <v>171453.82196572141</v>
      </c>
      <c r="I11" s="169" t="s">
        <v>123</v>
      </c>
      <c r="J11" s="173"/>
      <c r="K11" s="173"/>
      <c r="L11" s="173"/>
      <c r="M11" s="173"/>
      <c r="N11" s="172"/>
      <c r="O11" s="172"/>
      <c r="P11" s="172"/>
      <c r="Q11" s="172"/>
      <c r="R11" s="172"/>
      <c r="S11" s="3"/>
      <c r="T11" s="3"/>
      <c r="U11" s="3"/>
    </row>
    <row r="12" spans="1:21" ht="18" x14ac:dyDescent="0.25">
      <c r="A12" s="191" t="s">
        <v>177</v>
      </c>
      <c r="B12" s="146">
        <f>B11*B7</f>
        <v>-24750.834122722896</v>
      </c>
      <c r="C12" s="147" t="s">
        <v>123</v>
      </c>
      <c r="D12" s="146">
        <f t="shared" ref="D12:H12" si="3">D11*D7</f>
        <v>-10099.878602512879</v>
      </c>
      <c r="E12" s="147" t="s">
        <v>123</v>
      </c>
      <c r="F12" s="150">
        <f t="shared" si="3"/>
        <v>-40989.739268000572</v>
      </c>
      <c r="G12" s="197" t="s">
        <v>123</v>
      </c>
      <c r="H12" s="146">
        <f t="shared" si="3"/>
        <v>157737.5162084637</v>
      </c>
      <c r="I12" s="147" t="s">
        <v>123</v>
      </c>
      <c r="J12" s="173"/>
      <c r="K12" s="173"/>
      <c r="L12" s="173"/>
      <c r="M12" s="173"/>
      <c r="N12" s="172"/>
      <c r="O12" s="172"/>
      <c r="P12" s="172"/>
      <c r="Q12" s="172"/>
      <c r="R12" s="172"/>
      <c r="S12" s="3"/>
      <c r="T12" s="3"/>
      <c r="U12" s="3"/>
    </row>
    <row r="13" spans="1:21" ht="18.75" thickBot="1" x14ac:dyDescent="0.3">
      <c r="A13" s="192" t="s">
        <v>178</v>
      </c>
      <c r="B13" s="155">
        <f>B11-B12</f>
        <v>-4029.2055548618664</v>
      </c>
      <c r="C13" s="152" t="s">
        <v>123</v>
      </c>
      <c r="D13" s="155">
        <f t="shared" ref="D13:H13" si="4">D11-D12</f>
        <v>-1377.2561730699381</v>
      </c>
      <c r="E13" s="152" t="s">
        <v>123</v>
      </c>
      <c r="F13" s="151">
        <f t="shared" si="4"/>
        <v>-4554.4154742222818</v>
      </c>
      <c r="G13" s="200" t="s">
        <v>123</v>
      </c>
      <c r="H13" s="155">
        <f t="shared" si="4"/>
        <v>13716.305757257709</v>
      </c>
      <c r="I13" s="152" t="s">
        <v>123</v>
      </c>
      <c r="J13" s="173"/>
      <c r="K13" s="173"/>
      <c r="L13" s="173"/>
      <c r="M13" s="173"/>
      <c r="N13" s="172"/>
      <c r="O13" s="172"/>
      <c r="P13" s="172"/>
      <c r="Q13" s="172"/>
      <c r="R13" s="172"/>
      <c r="S13" s="3"/>
      <c r="T13" s="3"/>
      <c r="U13" s="3"/>
    </row>
    <row r="14" spans="1:21" ht="19.5" thickBot="1" x14ac:dyDescent="0.35">
      <c r="A14" s="193" t="s">
        <v>179</v>
      </c>
      <c r="B14" s="149"/>
      <c r="C14" s="154"/>
      <c r="D14" s="149"/>
      <c r="E14" s="154"/>
      <c r="F14" s="153"/>
      <c r="G14" s="201"/>
      <c r="H14" s="149"/>
      <c r="I14" s="154"/>
      <c r="J14" s="173"/>
      <c r="K14" s="173"/>
      <c r="L14" s="173"/>
      <c r="M14" s="173"/>
      <c r="N14" s="172"/>
      <c r="O14" s="172"/>
      <c r="P14" s="172"/>
      <c r="Q14" s="172"/>
      <c r="R14" s="172"/>
      <c r="S14" s="3"/>
      <c r="T14" s="3"/>
      <c r="U14" s="3"/>
    </row>
    <row r="15" spans="1:21" ht="18" x14ac:dyDescent="0.25">
      <c r="A15" s="190" t="s">
        <v>173</v>
      </c>
      <c r="B15" s="156">
        <v>0.88</v>
      </c>
      <c r="C15" s="148"/>
      <c r="D15" s="156">
        <v>0.9</v>
      </c>
      <c r="E15" s="148"/>
      <c r="F15" s="158">
        <v>0.91</v>
      </c>
      <c r="G15" s="196"/>
      <c r="H15" s="156">
        <v>0.9</v>
      </c>
      <c r="I15" s="148"/>
      <c r="J15" s="173"/>
      <c r="K15" s="173"/>
      <c r="L15" s="173"/>
      <c r="M15" s="173"/>
      <c r="N15" s="172"/>
      <c r="O15" s="172"/>
      <c r="P15" s="172"/>
      <c r="Q15" s="172"/>
      <c r="R15" s="172"/>
      <c r="S15" s="3"/>
      <c r="T15" s="3"/>
      <c r="U15" s="3"/>
    </row>
    <row r="16" spans="1:21" ht="18" x14ac:dyDescent="0.25">
      <c r="A16" s="191" t="s">
        <v>174</v>
      </c>
      <c r="B16" s="160">
        <v>290</v>
      </c>
      <c r="C16" s="147" t="s">
        <v>34</v>
      </c>
      <c r="D16" s="160">
        <v>290</v>
      </c>
      <c r="E16" s="147" t="s">
        <v>34</v>
      </c>
      <c r="F16" s="161">
        <v>310</v>
      </c>
      <c r="G16" s="197" t="s">
        <v>34</v>
      </c>
      <c r="H16" s="160">
        <v>455</v>
      </c>
      <c r="I16" s="147" t="s">
        <v>34</v>
      </c>
      <c r="J16" s="173"/>
      <c r="K16" s="173"/>
      <c r="L16" s="173"/>
      <c r="M16" s="173"/>
      <c r="N16" s="172"/>
      <c r="O16" s="172"/>
      <c r="P16" s="172"/>
      <c r="Q16" s="172"/>
      <c r="R16" s="172"/>
      <c r="S16" s="3"/>
      <c r="T16" s="3"/>
      <c r="U16" s="3"/>
    </row>
    <row r="17" spans="1:21" ht="18" x14ac:dyDescent="0.25">
      <c r="A17" s="191" t="s">
        <v>125</v>
      </c>
      <c r="B17" s="162">
        <f>TotDelV2-B9</f>
        <v>5000</v>
      </c>
      <c r="C17" s="147" t="s">
        <v>117</v>
      </c>
      <c r="D17" s="162">
        <f>D4-D9</f>
        <v>2500</v>
      </c>
      <c r="E17" s="147" t="s">
        <v>117</v>
      </c>
      <c r="F17" s="163">
        <f>F4-F9</f>
        <v>3475</v>
      </c>
      <c r="G17" s="197" t="s">
        <v>117</v>
      </c>
      <c r="H17" s="162">
        <f>H4-H9</f>
        <v>5617</v>
      </c>
      <c r="I17" s="147" t="s">
        <v>117</v>
      </c>
      <c r="J17" s="173"/>
      <c r="K17" s="173"/>
      <c r="L17" s="173"/>
      <c r="M17" s="173"/>
      <c r="N17" s="172"/>
      <c r="O17" s="172"/>
      <c r="P17" s="172"/>
      <c r="Q17" s="172"/>
      <c r="R17" s="172"/>
      <c r="S17" s="3"/>
      <c r="T17" s="3"/>
      <c r="U17" s="3"/>
    </row>
    <row r="18" spans="1:21" ht="18" x14ac:dyDescent="0.25">
      <c r="A18" s="191" t="s">
        <v>175</v>
      </c>
      <c r="B18" s="185">
        <f>EXP(B17/(9.81*B16))</f>
        <v>5.7981043065120543</v>
      </c>
      <c r="C18" s="186"/>
      <c r="D18" s="185">
        <f t="shared" ref="D18:H18" si="5">EXP(D17/(9.81*D16))</f>
        <v>2.4079253116556698</v>
      </c>
      <c r="E18" s="186"/>
      <c r="F18" s="195">
        <f t="shared" si="5"/>
        <v>3.1351550670010786</v>
      </c>
      <c r="G18" s="198"/>
      <c r="H18" s="185">
        <f t="shared" si="5"/>
        <v>3.5198394819650929</v>
      </c>
      <c r="I18" s="186"/>
      <c r="J18" s="173"/>
      <c r="K18" s="173"/>
      <c r="L18" s="173"/>
      <c r="M18" s="173"/>
      <c r="N18" s="172"/>
      <c r="O18" s="172"/>
      <c r="P18" s="172"/>
      <c r="Q18" s="172"/>
      <c r="R18" s="172"/>
      <c r="S18" s="3"/>
      <c r="T18" s="3"/>
      <c r="U18" s="3"/>
    </row>
    <row r="19" spans="1:21" ht="18" x14ac:dyDescent="0.25">
      <c r="A19" s="194" t="s">
        <v>176</v>
      </c>
      <c r="B19" s="168">
        <f>((PldDiffMF2+B11)*(B18-1))/(1-(1-B15)*B18)</f>
        <v>-438131.12018002692</v>
      </c>
      <c r="C19" s="169" t="s">
        <v>123</v>
      </c>
      <c r="D19" s="168">
        <f>((D5+D11)*(D18-1))/(1-(1-D15)*D18)</f>
        <v>-19429.502276653417</v>
      </c>
      <c r="E19" s="169" t="s">
        <v>123</v>
      </c>
      <c r="F19" s="170">
        <f>((F5+F11)*(F18-1))/(1-(1-F15)*F18)</f>
        <v>-129519.16167647095</v>
      </c>
      <c r="G19" s="199" t="s">
        <v>123</v>
      </c>
      <c r="H19" s="168">
        <f>((H5+H11)*(H18-1))/(1-(1-H15)*H18)</f>
        <v>686148.60094190796</v>
      </c>
      <c r="I19" s="169" t="s">
        <v>123</v>
      </c>
      <c r="J19" s="173"/>
      <c r="K19" s="173"/>
      <c r="L19" s="173"/>
      <c r="M19" s="173"/>
      <c r="N19" s="172"/>
      <c r="O19" s="172"/>
      <c r="P19" s="172"/>
      <c r="Q19" s="172"/>
      <c r="R19" s="172"/>
      <c r="S19" s="3"/>
      <c r="T19" s="3"/>
      <c r="U19" s="3"/>
    </row>
    <row r="20" spans="1:21" ht="18" x14ac:dyDescent="0.25">
      <c r="A20" s="191" t="s">
        <v>177</v>
      </c>
      <c r="B20" s="146">
        <f>B19*B15</f>
        <v>-385555.38575842371</v>
      </c>
      <c r="C20" s="147" t="s">
        <v>123</v>
      </c>
      <c r="D20" s="146">
        <f t="shared" ref="D20:H20" si="6">D19*D15</f>
        <v>-17486.552048988076</v>
      </c>
      <c r="E20" s="147" t="s">
        <v>123</v>
      </c>
      <c r="F20" s="150">
        <f t="shared" si="6"/>
        <v>-117862.43712558856</v>
      </c>
      <c r="G20" s="197" t="s">
        <v>123</v>
      </c>
      <c r="H20" s="146">
        <f t="shared" si="6"/>
        <v>617533.74084771716</v>
      </c>
      <c r="I20" s="147" t="s">
        <v>123</v>
      </c>
      <c r="J20" s="173"/>
      <c r="K20" s="173"/>
      <c r="L20" s="173"/>
      <c r="M20" s="173"/>
      <c r="N20" s="172"/>
      <c r="O20" s="172"/>
      <c r="P20" s="172"/>
      <c r="Q20" s="172"/>
      <c r="R20" s="172"/>
      <c r="S20" s="3"/>
      <c r="T20" s="3"/>
      <c r="U20" s="3"/>
    </row>
    <row r="21" spans="1:21" ht="18.75" thickBot="1" x14ac:dyDescent="0.3">
      <c r="A21" s="192" t="s">
        <v>178</v>
      </c>
      <c r="B21" s="155">
        <f>B19-B20</f>
        <v>-52575.734421603207</v>
      </c>
      <c r="C21" s="152" t="s">
        <v>123</v>
      </c>
      <c r="D21" s="155">
        <f t="shared" ref="D21:H21" si="7">D19-D20</f>
        <v>-1942.9502276653402</v>
      </c>
      <c r="E21" s="152" t="s">
        <v>123</v>
      </c>
      <c r="F21" s="151">
        <f t="shared" si="7"/>
        <v>-11656.724550882383</v>
      </c>
      <c r="G21" s="200" t="s">
        <v>123</v>
      </c>
      <c r="H21" s="155">
        <f t="shared" si="7"/>
        <v>68614.860094190808</v>
      </c>
      <c r="I21" s="152" t="s">
        <v>123</v>
      </c>
      <c r="J21" s="173"/>
      <c r="K21" s="173"/>
      <c r="L21" s="173"/>
      <c r="M21" s="173"/>
      <c r="N21" s="172"/>
      <c r="O21" s="172"/>
      <c r="P21" s="172"/>
      <c r="Q21" s="172"/>
      <c r="R21" s="172"/>
      <c r="S21" s="3"/>
      <c r="T21" s="3"/>
      <c r="U21" s="3"/>
    </row>
    <row r="22" spans="1:21" ht="19.5" thickBot="1" x14ac:dyDescent="0.35">
      <c r="A22" s="193" t="s">
        <v>180</v>
      </c>
      <c r="B22" s="165">
        <f>B19+B11+PldDiffMF2</f>
        <v>-465911.1598576117</v>
      </c>
      <c r="C22" s="166" t="s">
        <v>123</v>
      </c>
      <c r="D22" s="165">
        <f>D19+D11+D5</f>
        <v>-29906.637052236234</v>
      </c>
      <c r="E22" s="166" t="s">
        <v>123</v>
      </c>
      <c r="F22" s="167">
        <f>F19+F11+F5</f>
        <v>-173063.31641869381</v>
      </c>
      <c r="G22" s="202" t="s">
        <v>123</v>
      </c>
      <c r="H22" s="165">
        <f>H19+H11+H5</f>
        <v>862602.4229076294</v>
      </c>
      <c r="I22" s="166" t="s">
        <v>123</v>
      </c>
      <c r="J22" s="173"/>
      <c r="K22" s="173"/>
      <c r="L22" s="173"/>
      <c r="M22" s="173"/>
      <c r="N22" s="172"/>
      <c r="O22" s="172"/>
      <c r="P22" s="172"/>
      <c r="Q22" s="172"/>
      <c r="R22" s="172"/>
      <c r="S22" s="3"/>
      <c r="T22" s="3"/>
      <c r="U22" s="3"/>
    </row>
    <row r="23" spans="1:21" x14ac:dyDescent="0.25">
      <c r="A23" s="172"/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3"/>
      <c r="T23" s="3"/>
      <c r="U23" s="3"/>
    </row>
    <row r="24" spans="1:21" x14ac:dyDescent="0.25">
      <c r="A24" s="172"/>
      <c r="B24" s="172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3"/>
      <c r="T24" s="3"/>
      <c r="U24" s="3"/>
    </row>
    <row r="25" spans="1:21" x14ac:dyDescent="0.25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3"/>
      <c r="T25" s="3"/>
      <c r="U25" s="3"/>
    </row>
    <row r="26" spans="1:21" ht="15.75" thickBot="1" x14ac:dyDescent="0.3">
      <c r="A26" s="172"/>
      <c r="B26" s="172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3"/>
      <c r="T26" s="3"/>
      <c r="U26" s="3"/>
    </row>
    <row r="27" spans="1:21" ht="35.25" customHeight="1" thickBot="1" x14ac:dyDescent="0.4">
      <c r="A27" s="676" t="s">
        <v>181</v>
      </c>
      <c r="B27" s="677"/>
      <c r="C27" s="677"/>
      <c r="D27" s="677"/>
      <c r="E27" s="677"/>
      <c r="F27" s="677"/>
      <c r="G27" s="677"/>
      <c r="H27" s="677"/>
      <c r="I27" s="678"/>
      <c r="J27" s="172"/>
      <c r="K27" s="172"/>
      <c r="L27" s="172"/>
      <c r="M27" s="172"/>
      <c r="N27" s="172"/>
      <c r="O27" s="172"/>
      <c r="P27" s="172"/>
      <c r="Q27" s="172"/>
      <c r="R27" s="172"/>
      <c r="S27" s="3"/>
      <c r="T27" s="3"/>
      <c r="U27" s="3"/>
    </row>
    <row r="28" spans="1:21" ht="18.75" thickBot="1" x14ac:dyDescent="0.3">
      <c r="A28" s="189"/>
      <c r="B28" s="673" t="s">
        <v>167</v>
      </c>
      <c r="C28" s="674"/>
      <c r="D28" s="673" t="s">
        <v>168</v>
      </c>
      <c r="E28" s="674"/>
      <c r="F28" s="673" t="s">
        <v>321</v>
      </c>
      <c r="G28" s="674"/>
      <c r="H28" s="675" t="s">
        <v>322</v>
      </c>
      <c r="I28" s="674"/>
      <c r="J28" s="172"/>
      <c r="K28" s="171" t="s">
        <v>80</v>
      </c>
      <c r="L28" s="172"/>
      <c r="M28" s="172"/>
      <c r="N28" s="172"/>
      <c r="O28" s="172"/>
      <c r="P28" s="172"/>
      <c r="Q28" s="172"/>
      <c r="R28" s="172"/>
      <c r="S28" s="3"/>
      <c r="T28" s="3"/>
      <c r="U28" s="3"/>
    </row>
    <row r="29" spans="1:21" ht="18" x14ac:dyDescent="0.25">
      <c r="A29" s="190" t="s">
        <v>169</v>
      </c>
      <c r="B29" s="178">
        <v>12800</v>
      </c>
      <c r="C29" s="179" t="s">
        <v>117</v>
      </c>
      <c r="D29" s="178">
        <v>15000</v>
      </c>
      <c r="E29" s="179" t="s">
        <v>117</v>
      </c>
      <c r="F29" s="178">
        <v>13000</v>
      </c>
      <c r="G29" s="179" t="s">
        <v>117</v>
      </c>
      <c r="H29" s="205">
        <v>14250</v>
      </c>
      <c r="I29" s="148" t="s">
        <v>117</v>
      </c>
      <c r="J29" s="172"/>
      <c r="K29" s="172"/>
      <c r="L29" s="172"/>
      <c r="M29" s="172"/>
      <c r="N29" s="172"/>
      <c r="O29" s="172"/>
      <c r="P29" s="172"/>
      <c r="Q29" s="172"/>
      <c r="R29" s="172"/>
      <c r="S29" s="3"/>
      <c r="T29" s="3"/>
      <c r="U29" s="3"/>
    </row>
    <row r="30" spans="1:21" ht="18" x14ac:dyDescent="0.25">
      <c r="A30" s="191" t="s">
        <v>170</v>
      </c>
      <c r="B30" s="174">
        <f>B35+B43+B51</f>
        <v>12800.011099999998</v>
      </c>
      <c r="C30" s="175" t="s">
        <v>117</v>
      </c>
      <c r="D30" s="174">
        <f>D35+D43+D51</f>
        <v>15000</v>
      </c>
      <c r="E30" s="175" t="s">
        <v>117</v>
      </c>
      <c r="F30" s="174">
        <f>F35+F43+F51</f>
        <v>13000</v>
      </c>
      <c r="G30" s="175" t="s">
        <v>117</v>
      </c>
      <c r="H30" s="206">
        <f>H35+H43+H51</f>
        <v>14250.012834677862</v>
      </c>
      <c r="I30" s="147" t="s">
        <v>117</v>
      </c>
      <c r="J30" s="172"/>
      <c r="K30" s="172"/>
      <c r="L30" s="172"/>
      <c r="M30" s="172"/>
      <c r="N30" s="172"/>
      <c r="O30" s="172"/>
      <c r="P30" s="172"/>
      <c r="Q30" s="172"/>
      <c r="R30" s="172"/>
      <c r="S30" s="3"/>
      <c r="T30" s="3"/>
      <c r="U30" s="3"/>
    </row>
    <row r="31" spans="1:21" ht="18.75" thickBot="1" x14ac:dyDescent="0.3">
      <c r="A31" s="192" t="s">
        <v>171</v>
      </c>
      <c r="B31" s="212">
        <v>2000</v>
      </c>
      <c r="C31" s="184" t="s">
        <v>123</v>
      </c>
      <c r="D31" s="212">
        <v>5000</v>
      </c>
      <c r="E31" s="184" t="s">
        <v>123</v>
      </c>
      <c r="F31" s="212">
        <v>5000</v>
      </c>
      <c r="G31" s="184" t="s">
        <v>123</v>
      </c>
      <c r="H31" s="213">
        <v>5000</v>
      </c>
      <c r="I31" s="152" t="s">
        <v>123</v>
      </c>
      <c r="J31" s="172"/>
      <c r="K31" s="3"/>
      <c r="L31" s="172"/>
      <c r="M31" s="172"/>
      <c r="N31" s="172"/>
      <c r="O31" s="172"/>
      <c r="P31" s="172"/>
      <c r="Q31" s="172"/>
      <c r="R31" s="172"/>
      <c r="S31" s="3"/>
      <c r="T31" s="3"/>
      <c r="U31" s="3"/>
    </row>
    <row r="32" spans="1:21" ht="19.5" thickBot="1" x14ac:dyDescent="0.35">
      <c r="A32" s="193" t="s">
        <v>182</v>
      </c>
      <c r="B32" s="176"/>
      <c r="C32" s="177"/>
      <c r="D32" s="176"/>
      <c r="E32" s="177"/>
      <c r="F32" s="176"/>
      <c r="G32" s="177"/>
      <c r="H32" s="214"/>
      <c r="I32" s="154"/>
      <c r="J32" s="172"/>
      <c r="K32" s="172"/>
      <c r="L32" s="172"/>
      <c r="M32" s="172"/>
      <c r="N32" s="172"/>
      <c r="O32" s="172"/>
      <c r="P32" s="172"/>
      <c r="Q32" s="172"/>
      <c r="R32" s="172"/>
      <c r="S32" s="3"/>
      <c r="T32" s="3"/>
      <c r="U32" s="3"/>
    </row>
    <row r="33" spans="1:21" ht="18" x14ac:dyDescent="0.25">
      <c r="A33" s="190" t="s">
        <v>173</v>
      </c>
      <c r="B33" s="178">
        <v>0.89</v>
      </c>
      <c r="C33" s="179"/>
      <c r="D33" s="178">
        <v>0.9</v>
      </c>
      <c r="E33" s="179"/>
      <c r="F33" s="178">
        <v>0.88</v>
      </c>
      <c r="G33" s="179"/>
      <c r="H33" s="205">
        <v>0.88</v>
      </c>
      <c r="I33" s="148"/>
      <c r="J33" s="172"/>
      <c r="K33" s="172"/>
      <c r="L33" s="172"/>
      <c r="M33" s="172"/>
      <c r="N33" s="172"/>
      <c r="O33" s="172"/>
      <c r="P33" s="172"/>
      <c r="Q33" s="172"/>
      <c r="R33" s="172"/>
      <c r="S33" s="3"/>
      <c r="T33" s="3"/>
      <c r="U33" s="3"/>
    </row>
    <row r="34" spans="1:21" ht="18" x14ac:dyDescent="0.25">
      <c r="A34" s="191" t="s">
        <v>174</v>
      </c>
      <c r="B34" s="180">
        <v>435</v>
      </c>
      <c r="C34" s="175" t="s">
        <v>34</v>
      </c>
      <c r="D34" s="180">
        <v>455</v>
      </c>
      <c r="E34" s="175" t="s">
        <v>34</v>
      </c>
      <c r="F34" s="180">
        <v>350</v>
      </c>
      <c r="G34" s="175" t="s">
        <v>34</v>
      </c>
      <c r="H34" s="207">
        <v>350</v>
      </c>
      <c r="I34" s="147" t="s">
        <v>34</v>
      </c>
      <c r="J34" s="172"/>
      <c r="K34" s="172"/>
      <c r="L34" s="172"/>
      <c r="M34" s="172"/>
      <c r="N34" s="172"/>
      <c r="O34" s="172"/>
      <c r="P34" s="172"/>
      <c r="Q34" s="172"/>
      <c r="R34" s="172"/>
      <c r="S34" s="3"/>
      <c r="T34" s="3"/>
      <c r="U34" s="3"/>
    </row>
    <row r="35" spans="1:21" ht="18" x14ac:dyDescent="0.25">
      <c r="A35" s="191" t="s">
        <v>125</v>
      </c>
      <c r="B35" s="180">
        <v>3350.8392390120089</v>
      </c>
      <c r="C35" s="175" t="s">
        <v>117</v>
      </c>
      <c r="D35" s="180">
        <v>5000</v>
      </c>
      <c r="E35" s="175" t="s">
        <v>117</v>
      </c>
      <c r="F35" s="180">
        <v>6000</v>
      </c>
      <c r="G35" s="175" t="s">
        <v>117</v>
      </c>
      <c r="H35" s="207">
        <v>3159.4061236380626</v>
      </c>
      <c r="I35" s="147" t="s">
        <v>117</v>
      </c>
      <c r="J35" s="172"/>
      <c r="K35" s="172"/>
      <c r="L35" s="172"/>
      <c r="M35" s="172"/>
      <c r="N35" s="172"/>
      <c r="O35" s="172"/>
      <c r="P35" s="172"/>
      <c r="Q35" s="172"/>
      <c r="R35" s="172"/>
      <c r="S35" s="3"/>
      <c r="T35" s="3"/>
      <c r="U35" s="3"/>
    </row>
    <row r="36" spans="1:21" ht="18" x14ac:dyDescent="0.25">
      <c r="A36" s="191" t="s">
        <v>175</v>
      </c>
      <c r="B36" s="185">
        <f>EXP(B35/(9.81*B34))</f>
        <v>2.192905084991934</v>
      </c>
      <c r="C36" s="186"/>
      <c r="D36" s="185">
        <f t="shared" ref="D36:H36" si="8">EXP(D35/(9.81*D34))</f>
        <v>3.0654200472925242</v>
      </c>
      <c r="E36" s="186"/>
      <c r="F36" s="185">
        <f t="shared" si="8"/>
        <v>5.7401651748291824</v>
      </c>
      <c r="G36" s="186"/>
      <c r="H36" s="195">
        <f t="shared" si="8"/>
        <v>2.5097187807776353</v>
      </c>
      <c r="I36" s="186"/>
      <c r="J36" s="172"/>
      <c r="L36" s="172"/>
      <c r="M36" s="172"/>
      <c r="N36" s="172"/>
      <c r="O36" s="172"/>
      <c r="P36" s="172"/>
      <c r="Q36" s="172"/>
      <c r="R36" s="172"/>
      <c r="S36" s="3"/>
      <c r="T36" s="3"/>
      <c r="U36" s="3"/>
    </row>
    <row r="37" spans="1:21" ht="18" x14ac:dyDescent="0.25">
      <c r="A37" s="203" t="s">
        <v>176</v>
      </c>
      <c r="B37" s="181">
        <f>((PldDiffMF3*(B36-1))/(1-(1-B33)*B36))</f>
        <v>3144.2694647443768</v>
      </c>
      <c r="C37" s="182" t="s">
        <v>123</v>
      </c>
      <c r="D37" s="181">
        <f>((D31*(D36-1))/(1-(1-D33)*D36))</f>
        <v>14892.178483616155</v>
      </c>
      <c r="E37" s="182" t="s">
        <v>123</v>
      </c>
      <c r="F37" s="181">
        <f>((F31*(F36-1))/(1-(1-F33)*F36))</f>
        <v>76164.317241377663</v>
      </c>
      <c r="G37" s="182" t="s">
        <v>123</v>
      </c>
      <c r="H37" s="208">
        <f>((H31*(H36-1))/(1-(1-H33)*H36))</f>
        <v>10801.702041125343</v>
      </c>
      <c r="I37" s="182" t="s">
        <v>123</v>
      </c>
      <c r="J37" s="172"/>
      <c r="K37" s="172"/>
      <c r="L37" s="172"/>
      <c r="M37" s="172"/>
      <c r="N37" s="172"/>
      <c r="O37" s="172"/>
      <c r="P37" s="172"/>
      <c r="Q37" s="172"/>
      <c r="R37" s="172"/>
      <c r="S37" s="3"/>
      <c r="T37" s="3"/>
      <c r="U37" s="3"/>
    </row>
    <row r="38" spans="1:21" ht="18" x14ac:dyDescent="0.25">
      <c r="A38" s="191" t="s">
        <v>177</v>
      </c>
      <c r="B38" s="174">
        <f>B37*B33</f>
        <v>2798.3998236224952</v>
      </c>
      <c r="C38" s="175" t="s">
        <v>123</v>
      </c>
      <c r="D38" s="174">
        <f t="shared" ref="D38:H38" si="9">D37*D33</f>
        <v>13402.96063525454</v>
      </c>
      <c r="E38" s="175" t="s">
        <v>123</v>
      </c>
      <c r="F38" s="174">
        <f t="shared" si="9"/>
        <v>67024.599172412345</v>
      </c>
      <c r="G38" s="175" t="s">
        <v>123</v>
      </c>
      <c r="H38" s="206">
        <f t="shared" si="9"/>
        <v>9505.4977961903023</v>
      </c>
      <c r="I38" s="175" t="s">
        <v>123</v>
      </c>
      <c r="J38" s="172"/>
      <c r="K38" s="172"/>
      <c r="L38" s="172"/>
      <c r="M38" s="172"/>
      <c r="N38" s="172"/>
      <c r="O38" s="172"/>
      <c r="P38" s="172"/>
      <c r="Q38" s="172"/>
      <c r="R38" s="172"/>
      <c r="S38" s="3"/>
      <c r="T38" s="3"/>
      <c r="U38" s="3"/>
    </row>
    <row r="39" spans="1:21" ht="18.75" thickBot="1" x14ac:dyDescent="0.3">
      <c r="A39" s="192" t="s">
        <v>178</v>
      </c>
      <c r="B39" s="183">
        <f>B37-B38</f>
        <v>345.86964112188161</v>
      </c>
      <c r="C39" s="184" t="s">
        <v>123</v>
      </c>
      <c r="D39" s="183">
        <f t="shared" ref="D39:H39" si="10">D37-D38</f>
        <v>1489.2178483616153</v>
      </c>
      <c r="E39" s="184" t="s">
        <v>123</v>
      </c>
      <c r="F39" s="183">
        <f t="shared" si="10"/>
        <v>9139.7180689653178</v>
      </c>
      <c r="G39" s="184" t="s">
        <v>123</v>
      </c>
      <c r="H39" s="215">
        <f t="shared" si="10"/>
        <v>1296.2042449350411</v>
      </c>
      <c r="I39" s="184" t="s">
        <v>123</v>
      </c>
      <c r="J39" s="172"/>
      <c r="K39" s="172"/>
      <c r="L39" s="172"/>
      <c r="M39" s="172"/>
      <c r="N39" s="172"/>
      <c r="O39" s="172"/>
      <c r="P39" s="172"/>
      <c r="Q39" s="172"/>
      <c r="R39" s="172"/>
      <c r="S39" s="3"/>
      <c r="T39" s="3"/>
      <c r="U39" s="3"/>
    </row>
    <row r="40" spans="1:21" ht="19.5" thickBot="1" x14ac:dyDescent="0.35">
      <c r="A40" s="193" t="s">
        <v>172</v>
      </c>
      <c r="B40" s="176"/>
      <c r="C40" s="177"/>
      <c r="D40" s="176"/>
      <c r="E40" s="177"/>
      <c r="F40" s="176"/>
      <c r="G40" s="177"/>
      <c r="H40" s="214"/>
      <c r="I40" s="154"/>
      <c r="J40" s="172"/>
      <c r="K40" s="172"/>
      <c r="L40" s="172"/>
      <c r="M40" s="172"/>
      <c r="N40" s="172"/>
      <c r="O40" s="172"/>
      <c r="P40" s="172"/>
      <c r="Q40" s="172"/>
      <c r="R40" s="172"/>
      <c r="S40" s="3"/>
      <c r="T40" s="3"/>
      <c r="U40" s="3"/>
    </row>
    <row r="41" spans="1:21" ht="18" x14ac:dyDescent="0.25">
      <c r="A41" s="190" t="s">
        <v>173</v>
      </c>
      <c r="B41" s="178">
        <v>0.9</v>
      </c>
      <c r="C41" s="179"/>
      <c r="D41" s="178">
        <v>0.9</v>
      </c>
      <c r="E41" s="179"/>
      <c r="F41" s="178">
        <v>0.91</v>
      </c>
      <c r="G41" s="179"/>
      <c r="H41" s="205">
        <v>0.91</v>
      </c>
      <c r="I41" s="148"/>
      <c r="J41" s="172"/>
      <c r="K41" s="172"/>
      <c r="L41" s="172"/>
      <c r="M41" s="172"/>
      <c r="N41" s="172"/>
      <c r="O41" s="172"/>
      <c r="P41" s="172"/>
      <c r="Q41" s="172"/>
      <c r="R41" s="172"/>
      <c r="S41" s="3"/>
      <c r="T41" s="3"/>
      <c r="U41" s="3"/>
    </row>
    <row r="42" spans="1:21" ht="18" x14ac:dyDescent="0.25">
      <c r="A42" s="191" t="s">
        <v>174</v>
      </c>
      <c r="B42" s="180">
        <v>390</v>
      </c>
      <c r="C42" s="175" t="s">
        <v>34</v>
      </c>
      <c r="D42" s="180">
        <v>455</v>
      </c>
      <c r="E42" s="175" t="s">
        <v>34</v>
      </c>
      <c r="F42" s="180">
        <v>455</v>
      </c>
      <c r="G42" s="175" t="s">
        <v>34</v>
      </c>
      <c r="H42" s="207">
        <v>455</v>
      </c>
      <c r="I42" s="147" t="s">
        <v>34</v>
      </c>
      <c r="J42" s="172"/>
      <c r="K42" s="172"/>
      <c r="L42" s="172"/>
      <c r="M42" s="172"/>
      <c r="N42" s="172"/>
      <c r="O42" s="172"/>
      <c r="P42" s="172"/>
      <c r="Q42" s="172"/>
      <c r="R42" s="172"/>
      <c r="S42" s="3"/>
      <c r="T42" s="3"/>
      <c r="U42" s="3"/>
    </row>
    <row r="43" spans="1:21" ht="18" x14ac:dyDescent="0.25">
      <c r="A43" s="191" t="s">
        <v>125</v>
      </c>
      <c r="B43" s="180">
        <v>5974.5534846850815</v>
      </c>
      <c r="C43" s="175" t="s">
        <v>117</v>
      </c>
      <c r="D43" s="180">
        <v>5000</v>
      </c>
      <c r="E43" s="175" t="s">
        <v>117</v>
      </c>
      <c r="F43" s="180">
        <v>3500</v>
      </c>
      <c r="G43" s="175" t="s">
        <v>117</v>
      </c>
      <c r="H43" s="207">
        <v>7305.4285386147603</v>
      </c>
      <c r="I43" s="147" t="s">
        <v>117</v>
      </c>
      <c r="J43" s="172"/>
      <c r="K43" s="172"/>
      <c r="L43" s="172"/>
      <c r="M43" s="172"/>
      <c r="N43" s="172"/>
      <c r="O43" s="172"/>
      <c r="P43" s="172"/>
      <c r="Q43" s="172"/>
      <c r="R43" s="172"/>
      <c r="S43" s="3"/>
      <c r="T43" s="3"/>
      <c r="U43" s="3"/>
    </row>
    <row r="44" spans="1:21" ht="18" x14ac:dyDescent="0.25">
      <c r="A44" s="191" t="s">
        <v>175</v>
      </c>
      <c r="B44" s="187">
        <f>EXP(B43/(9.81*B42))</f>
        <v>4.7664763928592793</v>
      </c>
      <c r="C44" s="188"/>
      <c r="D44" s="187">
        <f t="shared" ref="D44:H44" si="11">EXP(D43/(9.81*D42))</f>
        <v>3.0654200472925242</v>
      </c>
      <c r="E44" s="188"/>
      <c r="F44" s="187">
        <f t="shared" si="11"/>
        <v>2.1904986774299053</v>
      </c>
      <c r="G44" s="188"/>
      <c r="H44" s="209">
        <f t="shared" si="11"/>
        <v>5.1381121111932373</v>
      </c>
      <c r="I44" s="188"/>
      <c r="J44" s="172"/>
      <c r="K44" s="172"/>
      <c r="L44" s="172"/>
      <c r="M44" s="172"/>
      <c r="N44" s="172"/>
      <c r="O44" s="172"/>
      <c r="P44" s="172"/>
      <c r="Q44" s="172"/>
      <c r="R44" s="172"/>
      <c r="S44" s="3"/>
      <c r="T44" s="3"/>
      <c r="U44" s="3"/>
    </row>
    <row r="45" spans="1:21" ht="18" x14ac:dyDescent="0.25">
      <c r="A45" s="203" t="s">
        <v>176</v>
      </c>
      <c r="B45" s="181">
        <f>((PldDiffMF3+B37)*(B44-1))/(1-(1-B41)*B44)</f>
        <v>37022.417307967917</v>
      </c>
      <c r="C45" s="182" t="s">
        <v>123</v>
      </c>
      <c r="D45" s="181">
        <f>((D31+D37)*(D44-1))/(1-(1-D41)*D44)</f>
        <v>59247.574481192147</v>
      </c>
      <c r="E45" s="182" t="s">
        <v>123</v>
      </c>
      <c r="F45" s="181">
        <f>((F31+F37)*(F44-1))/(1-(1-F41)*F44)</f>
        <v>120352.98778059268</v>
      </c>
      <c r="G45" s="182" t="s">
        <v>123</v>
      </c>
      <c r="H45" s="208">
        <f>((H31+H37)*(H44-1))/(1-(1-H41)*H44)</f>
        <v>121638.53180462935</v>
      </c>
      <c r="I45" s="182" t="s">
        <v>123</v>
      </c>
      <c r="J45" s="172"/>
      <c r="K45" s="172"/>
      <c r="L45" s="172"/>
      <c r="M45" s="172"/>
      <c r="N45" s="172"/>
      <c r="O45" s="172"/>
      <c r="P45" s="172"/>
      <c r="Q45" s="172"/>
      <c r="R45" s="172"/>
      <c r="S45" s="3"/>
      <c r="T45" s="3"/>
      <c r="U45" s="3"/>
    </row>
    <row r="46" spans="1:21" ht="18" x14ac:dyDescent="0.25">
      <c r="A46" s="191" t="s">
        <v>177</v>
      </c>
      <c r="B46" s="174">
        <f>B45*B41</f>
        <v>33320.175577171125</v>
      </c>
      <c r="C46" s="175" t="s">
        <v>123</v>
      </c>
      <c r="D46" s="174">
        <f t="shared" ref="D46:H46" si="12">D45*D41</f>
        <v>53322.817033072934</v>
      </c>
      <c r="E46" s="175" t="s">
        <v>123</v>
      </c>
      <c r="F46" s="174">
        <f t="shared" si="12"/>
        <v>109521.21888033934</v>
      </c>
      <c r="G46" s="175" t="s">
        <v>123</v>
      </c>
      <c r="H46" s="206">
        <f t="shared" si="12"/>
        <v>110691.06394221271</v>
      </c>
      <c r="I46" s="175" t="s">
        <v>123</v>
      </c>
      <c r="J46" s="172"/>
      <c r="K46" s="172"/>
      <c r="L46" s="172"/>
      <c r="M46" s="172"/>
      <c r="N46" s="172"/>
      <c r="O46" s="172"/>
      <c r="P46" s="172"/>
      <c r="Q46" s="172"/>
      <c r="R46" s="172"/>
      <c r="S46" s="3"/>
      <c r="T46" s="3"/>
      <c r="U46" s="3"/>
    </row>
    <row r="47" spans="1:21" ht="18.75" thickBot="1" x14ac:dyDescent="0.3">
      <c r="A47" s="192" t="s">
        <v>178</v>
      </c>
      <c r="B47" s="183">
        <f>B45-B46</f>
        <v>3702.2417307967917</v>
      </c>
      <c r="C47" s="184" t="s">
        <v>123</v>
      </c>
      <c r="D47" s="183">
        <f t="shared" ref="D47:H47" si="13">D45-D46</f>
        <v>5924.7574481192132</v>
      </c>
      <c r="E47" s="184" t="s">
        <v>123</v>
      </c>
      <c r="F47" s="183">
        <f t="shared" si="13"/>
        <v>10831.768900253344</v>
      </c>
      <c r="G47" s="184" t="s">
        <v>123</v>
      </c>
      <c r="H47" s="215">
        <f t="shared" si="13"/>
        <v>10947.467862416641</v>
      </c>
      <c r="I47" s="184" t="s">
        <v>123</v>
      </c>
      <c r="J47" s="172"/>
      <c r="K47" s="172"/>
      <c r="L47" s="172"/>
      <c r="M47" s="172"/>
      <c r="N47" s="172"/>
      <c r="O47" s="172"/>
      <c r="P47" s="172"/>
      <c r="Q47" s="172"/>
      <c r="R47" s="172"/>
      <c r="S47" s="3"/>
      <c r="T47" s="3"/>
      <c r="U47" s="3"/>
    </row>
    <row r="48" spans="1:21" ht="19.5" thickBot="1" x14ac:dyDescent="0.35">
      <c r="A48" s="193" t="s">
        <v>179</v>
      </c>
      <c r="B48" s="176"/>
      <c r="C48" s="177"/>
      <c r="D48" s="176"/>
      <c r="E48" s="177"/>
      <c r="F48" s="176"/>
      <c r="G48" s="177"/>
      <c r="H48" s="214"/>
      <c r="I48" s="154"/>
      <c r="J48" s="172"/>
      <c r="K48" s="172"/>
      <c r="L48" s="172"/>
      <c r="M48" s="172"/>
      <c r="N48" s="172"/>
      <c r="O48" s="172"/>
      <c r="P48" s="172"/>
      <c r="Q48" s="172"/>
      <c r="R48" s="172"/>
      <c r="S48" s="3"/>
      <c r="T48" s="3"/>
      <c r="U48" s="3"/>
    </row>
    <row r="49" spans="1:21" ht="18" x14ac:dyDescent="0.25">
      <c r="A49" s="190" t="s">
        <v>173</v>
      </c>
      <c r="B49" s="178">
        <v>0.91</v>
      </c>
      <c r="C49" s="179"/>
      <c r="D49" s="178">
        <v>0.9</v>
      </c>
      <c r="E49" s="179"/>
      <c r="F49" s="178">
        <v>0.9</v>
      </c>
      <c r="G49" s="179"/>
      <c r="H49" s="205">
        <v>0.9</v>
      </c>
      <c r="I49" s="148"/>
      <c r="J49" s="172"/>
      <c r="K49" s="172"/>
      <c r="L49" s="172"/>
      <c r="M49" s="172"/>
      <c r="N49" s="172"/>
      <c r="O49" s="172"/>
      <c r="P49" s="172"/>
      <c r="Q49" s="172"/>
      <c r="R49" s="172"/>
      <c r="S49" s="3"/>
      <c r="T49" s="3"/>
      <c r="U49" s="3"/>
    </row>
    <row r="50" spans="1:21" ht="18" x14ac:dyDescent="0.25">
      <c r="A50" s="191" t="s">
        <v>174</v>
      </c>
      <c r="B50" s="180">
        <v>350</v>
      </c>
      <c r="C50" s="175" t="s">
        <v>34</v>
      </c>
      <c r="D50" s="180">
        <v>455</v>
      </c>
      <c r="E50" s="175" t="s">
        <v>34</v>
      </c>
      <c r="F50" s="180">
        <v>350</v>
      </c>
      <c r="G50" s="175" t="s">
        <v>34</v>
      </c>
      <c r="H50" s="207">
        <v>350</v>
      </c>
      <c r="I50" s="147" t="s">
        <v>34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8" x14ac:dyDescent="0.25">
      <c r="A51" s="191" t="s">
        <v>125</v>
      </c>
      <c r="B51" s="180">
        <v>3474.618376302908</v>
      </c>
      <c r="C51" s="175" t="s">
        <v>117</v>
      </c>
      <c r="D51" s="180">
        <v>5000</v>
      </c>
      <c r="E51" s="175" t="s">
        <v>117</v>
      </c>
      <c r="F51" s="180">
        <v>3500</v>
      </c>
      <c r="G51" s="175" t="s">
        <v>117</v>
      </c>
      <c r="H51" s="207">
        <v>3785.17817242504</v>
      </c>
      <c r="I51" s="147" t="s">
        <v>117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8" x14ac:dyDescent="0.25">
      <c r="A52" s="191" t="s">
        <v>175</v>
      </c>
      <c r="B52" s="187">
        <f>EXP(B51/(9.81*B50))</f>
        <v>2.7510307090980968</v>
      </c>
      <c r="C52" s="188"/>
      <c r="D52" s="187">
        <f t="shared" ref="D52:H52" si="14">EXP(D51/(9.81*D50))</f>
        <v>3.0654200472925242</v>
      </c>
      <c r="E52" s="188"/>
      <c r="F52" s="187">
        <f t="shared" si="14"/>
        <v>2.7714426359961282</v>
      </c>
      <c r="G52" s="188"/>
      <c r="H52" s="209">
        <f t="shared" si="14"/>
        <v>3.0114616639736993</v>
      </c>
      <c r="I52" s="18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8" x14ac:dyDescent="0.25">
      <c r="A53" s="203" t="s">
        <v>176</v>
      </c>
      <c r="B53" s="181">
        <f>((PldDiffMF3+B37+B45)*(B52-1))/(1-(1-B49)*(B52))</f>
        <v>98131.915656059762</v>
      </c>
      <c r="C53" s="182" t="s">
        <v>123</v>
      </c>
      <c r="D53" s="181">
        <f>((D31+D37+D45)*(D52-1))/(1-(1-D49)*(D52))</f>
        <v>235712.66526024323</v>
      </c>
      <c r="E53" s="182" t="s">
        <v>123</v>
      </c>
      <c r="F53" s="181">
        <f>((F31+F37+F45)*(F52-1))/(1-(1-F49)*(F52))</f>
        <v>493841.75573482207</v>
      </c>
      <c r="G53" s="182" t="s">
        <v>123</v>
      </c>
      <c r="H53" s="208">
        <f>((H31+H37+H45)*(H52-1))/(1-(1-H49)*(H52))</f>
        <v>395584.52451089997</v>
      </c>
      <c r="I53" s="182" t="s">
        <v>123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" x14ac:dyDescent="0.25">
      <c r="A54" s="191" t="s">
        <v>177</v>
      </c>
      <c r="B54" s="174">
        <f>B53*B49</f>
        <v>89300.043247014386</v>
      </c>
      <c r="C54" s="175" t="s">
        <v>123</v>
      </c>
      <c r="D54" s="174">
        <f t="shared" ref="D54:H54" si="15">D53*D49</f>
        <v>212141.39873421891</v>
      </c>
      <c r="E54" s="175" t="s">
        <v>123</v>
      </c>
      <c r="F54" s="174">
        <f t="shared" si="15"/>
        <v>444457.58016133989</v>
      </c>
      <c r="G54" s="175" t="s">
        <v>123</v>
      </c>
      <c r="H54" s="206">
        <f t="shared" si="15"/>
        <v>356026.07205980999</v>
      </c>
      <c r="I54" s="175" t="s">
        <v>123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.75" thickBot="1" x14ac:dyDescent="0.3">
      <c r="A55" s="192" t="s">
        <v>178</v>
      </c>
      <c r="B55" s="174">
        <f>B53-B54</f>
        <v>8831.8724090453761</v>
      </c>
      <c r="C55" s="175" t="s">
        <v>123</v>
      </c>
      <c r="D55" s="174">
        <f t="shared" ref="D55:H55" si="16">D53-D54</f>
        <v>23571.266526024323</v>
      </c>
      <c r="E55" s="175" t="s">
        <v>123</v>
      </c>
      <c r="F55" s="174">
        <f t="shared" si="16"/>
        <v>49384.175573482178</v>
      </c>
      <c r="G55" s="175" t="s">
        <v>123</v>
      </c>
      <c r="H55" s="206">
        <f t="shared" si="16"/>
        <v>39558.452451089979</v>
      </c>
      <c r="I55" s="175" t="s">
        <v>123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9.5" thickBot="1" x14ac:dyDescent="0.35">
      <c r="A56" s="193" t="s">
        <v>180</v>
      </c>
      <c r="B56" s="211">
        <f>B53+B45+B37+PldDiffMF3</f>
        <v>140298.60242877205</v>
      </c>
      <c r="C56" s="204" t="s">
        <v>123</v>
      </c>
      <c r="D56" s="211">
        <f>D53+D45+D37+D31</f>
        <v>314852.41822505154</v>
      </c>
      <c r="E56" s="204" t="s">
        <v>123</v>
      </c>
      <c r="F56" s="211">
        <f>F53+F45+F37+F31</f>
        <v>695359.06075679243</v>
      </c>
      <c r="G56" s="204" t="s">
        <v>123</v>
      </c>
      <c r="H56" s="210">
        <f>H53+H45+H37+H31</f>
        <v>533024.75835665467</v>
      </c>
      <c r="I56" s="204" t="s">
        <v>123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mergeCells count="10">
    <mergeCell ref="A1:I1"/>
    <mergeCell ref="B28:C28"/>
    <mergeCell ref="D28:E28"/>
    <mergeCell ref="F28:G28"/>
    <mergeCell ref="H28:I28"/>
    <mergeCell ref="A27:I27"/>
    <mergeCell ref="B2:C2"/>
    <mergeCell ref="D2:E2"/>
    <mergeCell ref="F2:G2"/>
    <mergeCell ref="H2:I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9B2F-C60F-4B28-95D7-633C390EC6A2}">
  <dimension ref="A1:W101"/>
  <sheetViews>
    <sheetView topLeftCell="A43" workbookViewId="0">
      <selection activeCell="C13" sqref="C13:F13"/>
    </sheetView>
  </sheetViews>
  <sheetFormatPr defaultRowHeight="15" x14ac:dyDescent="0.25"/>
  <cols>
    <col min="8" max="8" width="12.42578125" customWidth="1"/>
    <col min="10" max="10" width="11.140625" customWidth="1"/>
    <col min="13" max="13" width="17.85546875" customWidth="1"/>
    <col min="14" max="14" width="11" customWidth="1"/>
  </cols>
  <sheetData>
    <row r="1" spans="1:23" ht="15.75" customHeight="1" x14ac:dyDescent="0.25">
      <c r="A1" s="3"/>
      <c r="B1" s="3"/>
      <c r="C1" s="686" t="s">
        <v>318</v>
      </c>
      <c r="D1" s="687"/>
      <c r="E1" s="687"/>
      <c r="F1" s="687"/>
      <c r="G1" s="687"/>
      <c r="H1" s="687"/>
      <c r="I1" s="687"/>
      <c r="J1" s="687"/>
      <c r="K1" s="687"/>
      <c r="L1" s="687"/>
      <c r="M1" s="687"/>
      <c r="N1" s="687"/>
      <c r="O1" s="687"/>
      <c r="P1" s="687"/>
      <c r="Q1" s="687"/>
      <c r="R1" s="688"/>
      <c r="S1" s="3"/>
      <c r="T1" s="3"/>
      <c r="U1" s="3"/>
      <c r="V1" s="3"/>
      <c r="W1" s="3"/>
    </row>
    <row r="2" spans="1:23" ht="15.75" customHeight="1" thickBot="1" x14ac:dyDescent="0.3">
      <c r="A2" s="3"/>
      <c r="B2" s="3"/>
      <c r="C2" s="689"/>
      <c r="D2" s="690"/>
      <c r="E2" s="690"/>
      <c r="F2" s="690"/>
      <c r="G2" s="690"/>
      <c r="H2" s="690"/>
      <c r="I2" s="690"/>
      <c r="J2" s="690"/>
      <c r="K2" s="690"/>
      <c r="L2" s="690"/>
      <c r="M2" s="690"/>
      <c r="N2" s="690"/>
      <c r="O2" s="690"/>
      <c r="P2" s="690"/>
      <c r="Q2" s="690"/>
      <c r="R2" s="691"/>
      <c r="S2" s="3"/>
      <c r="T2" s="3"/>
      <c r="U2" s="3"/>
      <c r="V2" s="3"/>
      <c r="W2" s="3"/>
    </row>
    <row r="3" spans="1:23" ht="15.75" thickBot="1" x14ac:dyDescent="0.3">
      <c r="A3" s="3"/>
      <c r="B3" s="3"/>
      <c r="C3" s="692" t="s">
        <v>179</v>
      </c>
      <c r="D3" s="693"/>
      <c r="E3" s="693"/>
      <c r="F3" s="693"/>
      <c r="G3" s="693"/>
      <c r="H3" s="693"/>
      <c r="I3" s="693"/>
      <c r="J3" s="694"/>
      <c r="K3" s="692" t="s">
        <v>172</v>
      </c>
      <c r="L3" s="693"/>
      <c r="M3" s="693"/>
      <c r="N3" s="693"/>
      <c r="O3" s="693"/>
      <c r="P3" s="693"/>
      <c r="Q3" s="693"/>
      <c r="R3" s="694"/>
      <c r="S3" s="3"/>
      <c r="T3" s="3"/>
      <c r="U3" s="3"/>
      <c r="V3" s="3"/>
      <c r="W3" s="3"/>
    </row>
    <row r="4" spans="1:23" ht="15.75" thickBot="1" x14ac:dyDescent="0.3">
      <c r="A4" s="3"/>
      <c r="B4" s="3"/>
      <c r="C4" s="695" t="s">
        <v>211</v>
      </c>
      <c r="D4" s="696"/>
      <c r="E4" s="696"/>
      <c r="F4" s="696"/>
      <c r="G4" s="696"/>
      <c r="H4" s="696"/>
      <c r="I4" s="696"/>
      <c r="J4" s="697"/>
      <c r="K4" s="695" t="s">
        <v>212</v>
      </c>
      <c r="L4" s="696"/>
      <c r="M4" s="696"/>
      <c r="N4" s="696"/>
      <c r="O4" s="696"/>
      <c r="P4" s="696"/>
      <c r="Q4" s="696"/>
      <c r="R4" s="697"/>
      <c r="S4" s="3"/>
      <c r="T4" s="3"/>
      <c r="U4" s="3"/>
      <c r="V4" s="3"/>
      <c r="W4" s="3"/>
    </row>
    <row r="5" spans="1:23" x14ac:dyDescent="0.25">
      <c r="A5" s="3"/>
      <c r="B5" s="3"/>
      <c r="C5" s="698" t="s">
        <v>213</v>
      </c>
      <c r="D5" s="699"/>
      <c r="E5" s="699"/>
      <c r="F5" s="699"/>
      <c r="G5" s="700">
        <v>160843</v>
      </c>
      <c r="H5" s="700"/>
      <c r="I5" s="701" t="s">
        <v>123</v>
      </c>
      <c r="J5" s="702"/>
      <c r="K5" s="698" t="s">
        <v>213</v>
      </c>
      <c r="L5" s="699"/>
      <c r="M5" s="699"/>
      <c r="N5" s="699"/>
      <c r="O5" s="703">
        <v>14575.22</v>
      </c>
      <c r="P5" s="703"/>
      <c r="Q5" s="701" t="s">
        <v>123</v>
      </c>
      <c r="R5" s="702"/>
      <c r="S5" s="3"/>
      <c r="T5" s="3"/>
      <c r="U5" s="3"/>
      <c r="V5" s="3"/>
      <c r="W5" s="3"/>
    </row>
    <row r="6" spans="1:23" x14ac:dyDescent="0.25">
      <c r="A6" s="3"/>
      <c r="B6" s="3"/>
      <c r="C6" s="680" t="s">
        <v>214</v>
      </c>
      <c r="D6" s="681"/>
      <c r="E6" s="681"/>
      <c r="F6" s="681"/>
      <c r="G6" s="682">
        <v>0.82</v>
      </c>
      <c r="H6" s="682"/>
      <c r="I6" s="683" t="s">
        <v>215</v>
      </c>
      <c r="J6" s="684"/>
      <c r="K6" s="680" t="s">
        <v>214</v>
      </c>
      <c r="L6" s="681"/>
      <c r="M6" s="681"/>
      <c r="N6" s="681"/>
      <c r="O6" s="683">
        <v>7.0999999999999994E-2</v>
      </c>
      <c r="P6" s="683"/>
      <c r="Q6" s="683" t="s">
        <v>215</v>
      </c>
      <c r="R6" s="684"/>
      <c r="S6" s="3"/>
      <c r="T6" s="3"/>
      <c r="U6" s="3"/>
      <c r="V6" s="3"/>
      <c r="W6" s="3"/>
    </row>
    <row r="7" spans="1:23" x14ac:dyDescent="0.25">
      <c r="A7" s="3"/>
      <c r="B7" s="3"/>
      <c r="C7" s="680" t="s">
        <v>216</v>
      </c>
      <c r="D7" s="681"/>
      <c r="E7" s="681"/>
      <c r="F7" s="681"/>
      <c r="G7" s="685">
        <v>196150</v>
      </c>
      <c r="H7" s="685"/>
      <c r="I7" s="683" t="s">
        <v>217</v>
      </c>
      <c r="J7" s="684"/>
      <c r="K7" s="680" t="s">
        <v>216</v>
      </c>
      <c r="L7" s="681"/>
      <c r="M7" s="681"/>
      <c r="N7" s="681"/>
      <c r="O7" s="683">
        <v>205284.8</v>
      </c>
      <c r="P7" s="683"/>
      <c r="Q7" s="683" t="s">
        <v>217</v>
      </c>
      <c r="R7" s="684"/>
      <c r="S7" s="3"/>
      <c r="T7" s="3"/>
      <c r="U7" s="3"/>
      <c r="V7" s="3"/>
      <c r="W7" s="3"/>
    </row>
    <row r="8" spans="1:23" x14ac:dyDescent="0.25">
      <c r="A8" s="3"/>
      <c r="B8" s="3"/>
      <c r="C8" s="680" t="s">
        <v>218</v>
      </c>
      <c r="D8" s="681"/>
      <c r="E8" s="681"/>
      <c r="F8" s="681"/>
      <c r="G8" s="704">
        <f>100-((G9-G7)/(G7))*100</f>
        <v>96.5615447361713</v>
      </c>
      <c r="H8" s="704"/>
      <c r="I8" s="683" t="s">
        <v>210</v>
      </c>
      <c r="J8" s="684"/>
      <c r="K8" s="680" t="s">
        <v>218</v>
      </c>
      <c r="L8" s="681"/>
      <c r="M8" s="681"/>
      <c r="N8" s="681"/>
      <c r="O8" s="705">
        <f>100-((O9-O7)/(O7))*100</f>
        <v>96.382001979688695</v>
      </c>
      <c r="P8" s="705"/>
      <c r="Q8" s="683" t="s">
        <v>210</v>
      </c>
      <c r="R8" s="684"/>
      <c r="S8" s="3"/>
      <c r="T8" s="3"/>
      <c r="U8" s="3"/>
      <c r="V8" s="3"/>
      <c r="W8" s="3"/>
    </row>
    <row r="9" spans="1:23" x14ac:dyDescent="0.25">
      <c r="A9" s="3"/>
      <c r="B9" s="3"/>
      <c r="C9" s="680" t="s">
        <v>219</v>
      </c>
      <c r="D9" s="681"/>
      <c r="E9" s="681"/>
      <c r="F9" s="681"/>
      <c r="G9" s="685">
        <v>202894.53</v>
      </c>
      <c r="H9" s="685"/>
      <c r="I9" s="683" t="s">
        <v>217</v>
      </c>
      <c r="J9" s="684"/>
      <c r="K9" s="680" t="s">
        <v>219</v>
      </c>
      <c r="L9" s="681"/>
      <c r="M9" s="681"/>
      <c r="N9" s="681"/>
      <c r="O9" s="683">
        <v>212712</v>
      </c>
      <c r="P9" s="683"/>
      <c r="Q9" s="683" t="s">
        <v>217</v>
      </c>
      <c r="R9" s="684"/>
      <c r="S9" s="3"/>
      <c r="T9" s="3"/>
      <c r="U9" s="3"/>
      <c r="V9" s="3"/>
      <c r="W9" s="3"/>
    </row>
    <row r="10" spans="1:23" x14ac:dyDescent="0.25">
      <c r="A10" s="3"/>
      <c r="B10" s="3"/>
      <c r="C10" s="680" t="s">
        <v>220</v>
      </c>
      <c r="D10" s="681"/>
      <c r="E10" s="681"/>
      <c r="F10" s="681"/>
      <c r="G10" s="682">
        <v>5</v>
      </c>
      <c r="H10" s="682"/>
      <c r="I10" s="683" t="s">
        <v>221</v>
      </c>
      <c r="J10" s="684"/>
      <c r="K10" s="680" t="s">
        <v>220</v>
      </c>
      <c r="L10" s="681"/>
      <c r="M10" s="681"/>
      <c r="N10" s="681"/>
      <c r="O10" s="683">
        <v>5</v>
      </c>
      <c r="P10" s="683"/>
      <c r="Q10" s="683" t="s">
        <v>221</v>
      </c>
      <c r="R10" s="684"/>
      <c r="S10" s="3"/>
      <c r="T10" s="3"/>
      <c r="U10" s="3"/>
      <c r="V10" s="3"/>
      <c r="W10" s="3"/>
    </row>
    <row r="11" spans="1:23" x14ac:dyDescent="0.25">
      <c r="A11" s="3"/>
      <c r="B11" s="3"/>
      <c r="C11" s="680" t="s">
        <v>222</v>
      </c>
      <c r="D11" s="681"/>
      <c r="E11" s="681"/>
      <c r="F11" s="681"/>
      <c r="G11" s="682">
        <v>7</v>
      </c>
      <c r="H11" s="682"/>
      <c r="I11" s="683" t="s">
        <v>221</v>
      </c>
      <c r="J11" s="684"/>
      <c r="K11" s="680" t="s">
        <v>222</v>
      </c>
      <c r="L11" s="681"/>
      <c r="M11" s="681"/>
      <c r="N11" s="681"/>
      <c r="O11" s="683">
        <v>7.5</v>
      </c>
      <c r="P11" s="683"/>
      <c r="Q11" s="683" t="s">
        <v>221</v>
      </c>
      <c r="R11" s="684"/>
      <c r="S11" s="3"/>
      <c r="T11" s="3"/>
      <c r="U11" s="3"/>
      <c r="V11" s="3"/>
      <c r="W11" s="3"/>
    </row>
    <row r="12" spans="1:23" ht="17.25" x14ac:dyDescent="0.25">
      <c r="A12" s="3"/>
      <c r="B12" s="3"/>
      <c r="C12" s="680" t="s">
        <v>223</v>
      </c>
      <c r="D12" s="681"/>
      <c r="E12" s="681"/>
      <c r="F12" s="681"/>
      <c r="G12" s="704">
        <v>376.3</v>
      </c>
      <c r="H12" s="704"/>
      <c r="I12" s="683" t="s">
        <v>224</v>
      </c>
      <c r="J12" s="684"/>
      <c r="K12" s="680" t="s">
        <v>223</v>
      </c>
      <c r="L12" s="681"/>
      <c r="M12" s="681"/>
      <c r="N12" s="681"/>
      <c r="O12" s="705">
        <v>392.5</v>
      </c>
      <c r="P12" s="705"/>
      <c r="Q12" s="683" t="s">
        <v>224</v>
      </c>
      <c r="R12" s="684"/>
      <c r="S12" s="3"/>
      <c r="T12" s="3"/>
      <c r="U12" s="3"/>
      <c r="V12" s="3"/>
      <c r="W12" s="3"/>
    </row>
    <row r="13" spans="1:23" x14ac:dyDescent="0.25">
      <c r="A13" s="3"/>
      <c r="B13" s="3"/>
      <c r="C13" s="680" t="s">
        <v>225</v>
      </c>
      <c r="D13" s="681"/>
      <c r="E13" s="681"/>
      <c r="F13" s="681"/>
      <c r="G13" s="682">
        <v>5.0000000000000001E-3</v>
      </c>
      <c r="H13" s="682"/>
      <c r="I13" s="683" t="s">
        <v>221</v>
      </c>
      <c r="J13" s="684"/>
      <c r="K13" s="680" t="s">
        <v>225</v>
      </c>
      <c r="L13" s="681"/>
      <c r="M13" s="681"/>
      <c r="N13" s="681"/>
      <c r="O13" s="683">
        <v>2.5000000000000001E-3</v>
      </c>
      <c r="P13" s="683"/>
      <c r="Q13" s="683" t="s">
        <v>221</v>
      </c>
      <c r="R13" s="684"/>
      <c r="S13" s="3"/>
      <c r="T13" s="3"/>
      <c r="U13" s="3"/>
      <c r="V13" s="3"/>
      <c r="W13" s="3"/>
    </row>
    <row r="14" spans="1:23" ht="17.25" x14ac:dyDescent="0.25">
      <c r="A14" s="3"/>
      <c r="B14" s="3"/>
      <c r="C14" s="680" t="s">
        <v>226</v>
      </c>
      <c r="D14" s="681"/>
      <c r="E14" s="681"/>
      <c r="F14" s="681"/>
      <c r="G14" s="682">
        <v>2810</v>
      </c>
      <c r="H14" s="682"/>
      <c r="I14" s="683" t="s">
        <v>227</v>
      </c>
      <c r="J14" s="684"/>
      <c r="K14" s="680" t="s">
        <v>226</v>
      </c>
      <c r="L14" s="681"/>
      <c r="M14" s="681"/>
      <c r="N14" s="681"/>
      <c r="O14" s="683">
        <v>2810</v>
      </c>
      <c r="P14" s="683"/>
      <c r="Q14" s="683" t="s">
        <v>227</v>
      </c>
      <c r="R14" s="684"/>
      <c r="S14" s="3"/>
      <c r="T14" s="3"/>
      <c r="U14" s="3"/>
      <c r="V14" s="3"/>
      <c r="W14" s="3"/>
    </row>
    <row r="15" spans="1:23" x14ac:dyDescent="0.25">
      <c r="A15" s="3"/>
      <c r="B15" s="3"/>
      <c r="C15" s="680" t="s">
        <v>228</v>
      </c>
      <c r="D15" s="681"/>
      <c r="E15" s="681"/>
      <c r="F15" s="681"/>
      <c r="G15" s="704">
        <f>G14*(G13*G12)</f>
        <v>5287.0150000000003</v>
      </c>
      <c r="H15" s="704"/>
      <c r="I15" s="683" t="s">
        <v>123</v>
      </c>
      <c r="J15" s="684"/>
      <c r="K15" s="680" t="s">
        <v>228</v>
      </c>
      <c r="L15" s="681"/>
      <c r="M15" s="681"/>
      <c r="N15" s="681"/>
      <c r="O15" s="705">
        <f>O14*(O13*O12)</f>
        <v>2757.3125</v>
      </c>
      <c r="P15" s="705"/>
      <c r="Q15" s="683" t="s">
        <v>123</v>
      </c>
      <c r="R15" s="684"/>
      <c r="S15" s="3"/>
      <c r="T15" s="3"/>
      <c r="U15" s="3"/>
      <c r="V15" s="3"/>
      <c r="W15" s="3"/>
    </row>
    <row r="16" spans="1:23" x14ac:dyDescent="0.25">
      <c r="A16" s="3"/>
      <c r="B16" s="3"/>
      <c r="C16" s="680" t="s">
        <v>229</v>
      </c>
      <c r="D16" s="681"/>
      <c r="E16" s="681"/>
      <c r="F16" s="681"/>
      <c r="G16" s="706">
        <f>0.25*G15</f>
        <v>1321.7537500000001</v>
      </c>
      <c r="H16" s="706"/>
      <c r="I16" s="683" t="s">
        <v>230</v>
      </c>
      <c r="J16" s="684"/>
      <c r="K16" s="680" t="s">
        <v>229</v>
      </c>
      <c r="L16" s="681"/>
      <c r="M16" s="681"/>
      <c r="N16" s="681"/>
      <c r="O16" s="707">
        <f>0.25*O15</f>
        <v>689.328125</v>
      </c>
      <c r="P16" s="707"/>
      <c r="Q16" s="683" t="s">
        <v>230</v>
      </c>
      <c r="R16" s="684"/>
      <c r="S16" s="3"/>
      <c r="T16" s="3"/>
      <c r="U16" s="3"/>
      <c r="V16" s="3"/>
      <c r="W16" s="3"/>
    </row>
    <row r="17" spans="1:23" x14ac:dyDescent="0.25">
      <c r="A17" s="3"/>
      <c r="B17" s="3"/>
      <c r="C17" s="680" t="s">
        <v>231</v>
      </c>
      <c r="D17" s="681"/>
      <c r="E17" s="681"/>
      <c r="F17" s="681"/>
      <c r="G17" s="706">
        <f>0.25*G15</f>
        <v>1321.7537500000001</v>
      </c>
      <c r="H17" s="706"/>
      <c r="I17" s="683" t="s">
        <v>230</v>
      </c>
      <c r="J17" s="684"/>
      <c r="K17" s="680" t="s">
        <v>231</v>
      </c>
      <c r="L17" s="681"/>
      <c r="M17" s="681"/>
      <c r="N17" s="681"/>
      <c r="O17" s="707">
        <f>0.25*O15</f>
        <v>689.328125</v>
      </c>
      <c r="P17" s="707"/>
      <c r="Q17" s="683" t="s">
        <v>230</v>
      </c>
      <c r="R17" s="684"/>
      <c r="S17" s="3"/>
      <c r="T17" s="3"/>
      <c r="U17" s="3"/>
      <c r="V17" s="3"/>
      <c r="W17" s="3"/>
    </row>
    <row r="18" spans="1:23" ht="15.75" thickBot="1" x14ac:dyDescent="0.3">
      <c r="A18" s="3"/>
      <c r="B18" s="3"/>
      <c r="C18" s="708" t="s">
        <v>232</v>
      </c>
      <c r="D18" s="709"/>
      <c r="E18" s="709"/>
      <c r="F18" s="709"/>
      <c r="G18" s="710">
        <f>G15+G16+G17</f>
        <v>7930.5225</v>
      </c>
      <c r="H18" s="710"/>
      <c r="I18" s="711" t="s">
        <v>123</v>
      </c>
      <c r="J18" s="712"/>
      <c r="K18" s="708" t="s">
        <v>232</v>
      </c>
      <c r="L18" s="709"/>
      <c r="M18" s="709"/>
      <c r="N18" s="709"/>
      <c r="O18" s="713">
        <f>O15+O16+O17</f>
        <v>4135.96875</v>
      </c>
      <c r="P18" s="713"/>
      <c r="Q18" s="711" t="s">
        <v>123</v>
      </c>
      <c r="R18" s="712"/>
      <c r="S18" s="3"/>
      <c r="T18" s="3"/>
      <c r="U18" s="3"/>
      <c r="V18" s="3"/>
      <c r="W18" s="3"/>
    </row>
    <row r="19" spans="1:23" ht="15.75" thickBot="1" x14ac:dyDescent="0.3">
      <c r="A19" s="3"/>
      <c r="B19" s="3"/>
      <c r="C19" s="714"/>
      <c r="D19" s="715"/>
      <c r="E19" s="715"/>
      <c r="F19" s="715"/>
      <c r="G19" s="715"/>
      <c r="H19" s="715"/>
      <c r="I19" s="715"/>
      <c r="J19" s="715"/>
      <c r="K19" s="715"/>
      <c r="L19" s="715"/>
      <c r="M19" s="715"/>
      <c r="N19" s="715"/>
      <c r="O19" s="715"/>
      <c r="P19" s="715"/>
      <c r="Q19" s="715"/>
      <c r="R19" s="716"/>
      <c r="S19" s="3"/>
      <c r="T19" s="3"/>
      <c r="U19" s="3"/>
      <c r="V19" s="3"/>
      <c r="W19" s="3"/>
    </row>
    <row r="20" spans="1:23" x14ac:dyDescent="0.25">
      <c r="A20" s="3"/>
      <c r="B20" s="3"/>
      <c r="C20" s="717" t="s">
        <v>233</v>
      </c>
      <c r="D20" s="718"/>
      <c r="E20" s="718"/>
      <c r="F20" s="718"/>
      <c r="G20" s="703">
        <v>368330.57</v>
      </c>
      <c r="H20" s="703"/>
      <c r="I20" s="701" t="s">
        <v>123</v>
      </c>
      <c r="J20" s="702"/>
      <c r="K20" s="717" t="s">
        <v>233</v>
      </c>
      <c r="L20" s="718"/>
      <c r="M20" s="718"/>
      <c r="N20" s="718"/>
      <c r="O20" s="703">
        <v>72876.100000000006</v>
      </c>
      <c r="P20" s="703"/>
      <c r="Q20" s="701" t="s">
        <v>123</v>
      </c>
      <c r="R20" s="702"/>
      <c r="S20" s="3"/>
      <c r="T20" s="3"/>
      <c r="U20" s="3"/>
      <c r="V20" s="3"/>
      <c r="W20" s="3"/>
    </row>
    <row r="21" spans="1:23" x14ac:dyDescent="0.25">
      <c r="A21" s="3"/>
      <c r="B21" s="3"/>
      <c r="C21" s="719" t="s">
        <v>234</v>
      </c>
      <c r="D21" s="720"/>
      <c r="E21" s="720"/>
      <c r="F21" s="720"/>
      <c r="G21" s="683">
        <v>1.1399999999999999</v>
      </c>
      <c r="H21" s="683"/>
      <c r="I21" s="683" t="s">
        <v>215</v>
      </c>
      <c r="J21" s="684"/>
      <c r="K21" s="719" t="s">
        <v>234</v>
      </c>
      <c r="L21" s="720"/>
      <c r="M21" s="720"/>
      <c r="N21" s="720"/>
      <c r="O21" s="683">
        <v>1.1399999999999999</v>
      </c>
      <c r="P21" s="683"/>
      <c r="Q21" s="683" t="s">
        <v>215</v>
      </c>
      <c r="R21" s="684"/>
      <c r="S21" s="3"/>
      <c r="T21" s="3"/>
      <c r="U21" s="3"/>
      <c r="V21" s="3"/>
      <c r="W21" s="3"/>
    </row>
    <row r="22" spans="1:23" x14ac:dyDescent="0.25">
      <c r="A22" s="3"/>
      <c r="B22" s="3"/>
      <c r="C22" s="719" t="s">
        <v>235</v>
      </c>
      <c r="D22" s="720"/>
      <c r="E22" s="720"/>
      <c r="F22" s="720"/>
      <c r="G22" s="721">
        <v>323096.99</v>
      </c>
      <c r="H22" s="721"/>
      <c r="I22" s="683" t="s">
        <v>217</v>
      </c>
      <c r="J22" s="684"/>
      <c r="K22" s="719" t="s">
        <v>235</v>
      </c>
      <c r="L22" s="720"/>
      <c r="M22" s="720"/>
      <c r="N22" s="720"/>
      <c r="O22" s="683">
        <v>63926.400000000001</v>
      </c>
      <c r="P22" s="683"/>
      <c r="Q22" s="683" t="s">
        <v>217</v>
      </c>
      <c r="R22" s="684"/>
      <c r="S22" s="3"/>
      <c r="T22" s="3"/>
      <c r="U22" s="3"/>
      <c r="V22" s="3"/>
      <c r="W22" s="3"/>
    </row>
    <row r="23" spans="1:23" x14ac:dyDescent="0.25">
      <c r="A23" s="3"/>
      <c r="B23" s="3"/>
      <c r="C23" s="719" t="s">
        <v>236</v>
      </c>
      <c r="D23" s="720"/>
      <c r="E23" s="720"/>
      <c r="F23" s="720"/>
      <c r="G23" s="705">
        <f>100-((G24-G22)/(G22)*100)</f>
        <v>95.271166097833344</v>
      </c>
      <c r="H23" s="705"/>
      <c r="I23" s="683" t="s">
        <v>210</v>
      </c>
      <c r="J23" s="684"/>
      <c r="K23" s="719" t="s">
        <v>236</v>
      </c>
      <c r="L23" s="720"/>
      <c r="M23" s="720"/>
      <c r="N23" s="720"/>
      <c r="O23" s="705">
        <f>100-((O24-O22)/(O22))*100</f>
        <v>66.90193722781197</v>
      </c>
      <c r="P23" s="705"/>
      <c r="Q23" s="683" t="s">
        <v>210</v>
      </c>
      <c r="R23" s="684"/>
      <c r="S23" s="3"/>
      <c r="T23" s="3"/>
      <c r="U23" s="3"/>
      <c r="V23" s="3"/>
      <c r="W23" s="3"/>
    </row>
    <row r="24" spans="1:23" x14ac:dyDescent="0.25">
      <c r="A24" s="3"/>
      <c r="B24" s="3"/>
      <c r="C24" s="719" t="s">
        <v>237</v>
      </c>
      <c r="D24" s="720"/>
      <c r="E24" s="720"/>
      <c r="F24" s="720"/>
      <c r="G24" s="683">
        <v>338375.71</v>
      </c>
      <c r="H24" s="683"/>
      <c r="I24" s="683" t="s">
        <v>217</v>
      </c>
      <c r="J24" s="684"/>
      <c r="K24" s="719" t="s">
        <v>237</v>
      </c>
      <c r="L24" s="720"/>
      <c r="M24" s="720"/>
      <c r="N24" s="720"/>
      <c r="O24" s="683">
        <v>85084.800000000003</v>
      </c>
      <c r="P24" s="683"/>
      <c r="Q24" s="683" t="s">
        <v>217</v>
      </c>
      <c r="R24" s="684"/>
      <c r="S24" s="3"/>
      <c r="T24" s="3"/>
      <c r="U24" s="3"/>
      <c r="V24" s="3"/>
      <c r="W24" s="3"/>
    </row>
    <row r="25" spans="1:23" x14ac:dyDescent="0.25">
      <c r="A25" s="3"/>
      <c r="B25" s="3"/>
      <c r="C25" s="719" t="s">
        <v>220</v>
      </c>
      <c r="D25" s="720"/>
      <c r="E25" s="720"/>
      <c r="F25" s="720"/>
      <c r="G25" s="683">
        <v>5</v>
      </c>
      <c r="H25" s="683"/>
      <c r="I25" s="683" t="s">
        <v>221</v>
      </c>
      <c r="J25" s="684"/>
      <c r="K25" s="719" t="s">
        <v>220</v>
      </c>
      <c r="L25" s="720"/>
      <c r="M25" s="720"/>
      <c r="N25" s="720"/>
      <c r="O25" s="683">
        <v>5</v>
      </c>
      <c r="P25" s="683"/>
      <c r="Q25" s="683" t="s">
        <v>221</v>
      </c>
      <c r="R25" s="684"/>
      <c r="S25" s="3"/>
      <c r="T25" s="3"/>
      <c r="U25" s="3"/>
      <c r="V25" s="3"/>
      <c r="W25" s="3"/>
    </row>
    <row r="26" spans="1:23" x14ac:dyDescent="0.25">
      <c r="A26" s="3"/>
      <c r="B26" s="3"/>
      <c r="C26" s="719" t="s">
        <v>222</v>
      </c>
      <c r="D26" s="720"/>
      <c r="E26" s="720"/>
      <c r="F26" s="720"/>
      <c r="G26" s="683">
        <v>13.9</v>
      </c>
      <c r="H26" s="683"/>
      <c r="I26" s="683" t="s">
        <v>221</v>
      </c>
      <c r="J26" s="684"/>
      <c r="K26" s="719" t="s">
        <v>222</v>
      </c>
      <c r="L26" s="720"/>
      <c r="M26" s="720"/>
      <c r="N26" s="720"/>
      <c r="O26" s="683">
        <v>1</v>
      </c>
      <c r="P26" s="683"/>
      <c r="Q26" s="683" t="s">
        <v>221</v>
      </c>
      <c r="R26" s="684"/>
      <c r="S26" s="3"/>
      <c r="T26" s="3"/>
      <c r="U26" s="3"/>
      <c r="V26" s="3"/>
      <c r="W26" s="3"/>
    </row>
    <row r="27" spans="1:23" ht="17.25" x14ac:dyDescent="0.25">
      <c r="A27" s="3"/>
      <c r="B27" s="3"/>
      <c r="C27" s="719" t="s">
        <v>223</v>
      </c>
      <c r="D27" s="720"/>
      <c r="E27" s="720"/>
      <c r="F27" s="720"/>
      <c r="G27" s="705">
        <v>592.85</v>
      </c>
      <c r="H27" s="705"/>
      <c r="I27" s="683" t="s">
        <v>224</v>
      </c>
      <c r="J27" s="684"/>
      <c r="K27" s="719" t="s">
        <v>223</v>
      </c>
      <c r="L27" s="720"/>
      <c r="M27" s="720"/>
      <c r="N27" s="720"/>
      <c r="O27" s="705">
        <v>188.4</v>
      </c>
      <c r="P27" s="705"/>
      <c r="Q27" s="683" t="s">
        <v>224</v>
      </c>
      <c r="R27" s="684"/>
      <c r="S27" s="3"/>
      <c r="T27" s="3"/>
      <c r="U27" s="3"/>
      <c r="V27" s="3"/>
      <c r="W27" s="3"/>
    </row>
    <row r="28" spans="1:23" x14ac:dyDescent="0.25">
      <c r="A28" s="3"/>
      <c r="B28" s="3"/>
      <c r="C28" s="719" t="s">
        <v>238</v>
      </c>
      <c r="D28" s="720"/>
      <c r="E28" s="720"/>
      <c r="F28" s="720"/>
      <c r="G28" s="683">
        <v>5.0000000000000001E-3</v>
      </c>
      <c r="H28" s="683"/>
      <c r="I28" s="683" t="s">
        <v>221</v>
      </c>
      <c r="J28" s="684"/>
      <c r="K28" s="719" t="s">
        <v>238</v>
      </c>
      <c r="L28" s="720"/>
      <c r="M28" s="720"/>
      <c r="N28" s="720"/>
      <c r="O28" s="683">
        <v>2.5000000000000001E-3</v>
      </c>
      <c r="P28" s="683"/>
      <c r="Q28" s="683" t="s">
        <v>221</v>
      </c>
      <c r="R28" s="684"/>
      <c r="S28" s="3"/>
      <c r="T28" s="3"/>
      <c r="U28" s="3"/>
      <c r="V28" s="3"/>
      <c r="W28" s="3"/>
    </row>
    <row r="29" spans="1:23" ht="17.25" x14ac:dyDescent="0.25">
      <c r="A29" s="3"/>
      <c r="B29" s="3"/>
      <c r="C29" s="719" t="s">
        <v>226</v>
      </c>
      <c r="D29" s="720"/>
      <c r="E29" s="720"/>
      <c r="F29" s="720"/>
      <c r="G29" s="683">
        <v>2810</v>
      </c>
      <c r="H29" s="683"/>
      <c r="I29" s="683" t="s">
        <v>227</v>
      </c>
      <c r="J29" s="684"/>
      <c r="K29" s="719" t="s">
        <v>226</v>
      </c>
      <c r="L29" s="720"/>
      <c r="M29" s="720"/>
      <c r="N29" s="720"/>
      <c r="O29" s="683">
        <v>2810</v>
      </c>
      <c r="P29" s="683"/>
      <c r="Q29" s="683" t="s">
        <v>227</v>
      </c>
      <c r="R29" s="684"/>
      <c r="S29" s="3"/>
      <c r="T29" s="3"/>
      <c r="U29" s="3"/>
      <c r="V29" s="3"/>
      <c r="W29" s="3"/>
    </row>
    <row r="30" spans="1:23" x14ac:dyDescent="0.25">
      <c r="A30" s="3"/>
      <c r="B30" s="3"/>
      <c r="C30" s="722" t="s">
        <v>239</v>
      </c>
      <c r="D30" s="723"/>
      <c r="E30" s="723"/>
      <c r="F30" s="723"/>
      <c r="G30" s="724">
        <f>G29*(G28*G27)</f>
        <v>8329.5425000000014</v>
      </c>
      <c r="H30" s="724"/>
      <c r="I30" s="725" t="s">
        <v>123</v>
      </c>
      <c r="J30" s="726"/>
      <c r="K30" s="722" t="s">
        <v>239</v>
      </c>
      <c r="L30" s="723"/>
      <c r="M30" s="723"/>
      <c r="N30" s="723"/>
      <c r="O30" s="724">
        <f>O29*(O28*O27)</f>
        <v>1323.51</v>
      </c>
      <c r="P30" s="724"/>
      <c r="Q30" s="725" t="s">
        <v>123</v>
      </c>
      <c r="R30" s="726"/>
      <c r="S30" s="3"/>
      <c r="T30" s="3"/>
      <c r="U30" s="3"/>
      <c r="V30" s="3"/>
      <c r="W30" s="3"/>
    </row>
    <row r="31" spans="1:23" x14ac:dyDescent="0.25">
      <c r="A31" s="3"/>
      <c r="B31" s="3"/>
      <c r="C31" s="722" t="s">
        <v>240</v>
      </c>
      <c r="D31" s="723"/>
      <c r="E31" s="723"/>
      <c r="F31" s="723"/>
      <c r="G31" s="727">
        <f>0.25*G30</f>
        <v>2082.3856250000003</v>
      </c>
      <c r="H31" s="727"/>
      <c r="I31" s="725" t="s">
        <v>230</v>
      </c>
      <c r="J31" s="726"/>
      <c r="K31" s="722" t="s">
        <v>240</v>
      </c>
      <c r="L31" s="723"/>
      <c r="M31" s="723"/>
      <c r="N31" s="723"/>
      <c r="O31" s="727">
        <f>0.25*O30</f>
        <v>330.8775</v>
      </c>
      <c r="P31" s="727"/>
      <c r="Q31" s="725" t="s">
        <v>230</v>
      </c>
      <c r="R31" s="726"/>
      <c r="S31" s="3"/>
      <c r="T31" s="3"/>
      <c r="U31" s="3"/>
      <c r="V31" s="3"/>
      <c r="W31" s="3"/>
    </row>
    <row r="32" spans="1:23" x14ac:dyDescent="0.25">
      <c r="A32" s="3"/>
      <c r="B32" s="3"/>
      <c r="C32" s="722" t="s">
        <v>241</v>
      </c>
      <c r="D32" s="723"/>
      <c r="E32" s="723"/>
      <c r="F32" s="723"/>
      <c r="G32" s="727">
        <f>0.25*G30</f>
        <v>2082.3856250000003</v>
      </c>
      <c r="H32" s="727"/>
      <c r="I32" s="725" t="s">
        <v>230</v>
      </c>
      <c r="J32" s="726"/>
      <c r="K32" s="722" t="s">
        <v>241</v>
      </c>
      <c r="L32" s="723"/>
      <c r="M32" s="723"/>
      <c r="N32" s="723"/>
      <c r="O32" s="727">
        <f>0.25*O30</f>
        <v>330.8775</v>
      </c>
      <c r="P32" s="727"/>
      <c r="Q32" s="725" t="s">
        <v>230</v>
      </c>
      <c r="R32" s="726"/>
      <c r="S32" s="3"/>
      <c r="T32" s="3"/>
      <c r="U32" s="3"/>
      <c r="V32" s="3"/>
      <c r="W32" s="3"/>
    </row>
    <row r="33" spans="1:23" ht="15.75" thickBot="1" x14ac:dyDescent="0.3">
      <c r="A33" s="3"/>
      <c r="B33" s="3"/>
      <c r="C33" s="728" t="s">
        <v>242</v>
      </c>
      <c r="D33" s="729"/>
      <c r="E33" s="729"/>
      <c r="F33" s="729"/>
      <c r="G33" s="730">
        <f>G30+G31+G32</f>
        <v>12494.313750000003</v>
      </c>
      <c r="H33" s="730"/>
      <c r="I33" s="731" t="s">
        <v>123</v>
      </c>
      <c r="J33" s="732"/>
      <c r="K33" s="728" t="s">
        <v>242</v>
      </c>
      <c r="L33" s="729"/>
      <c r="M33" s="729"/>
      <c r="N33" s="729"/>
      <c r="O33" s="730">
        <f>O30+O31+O32</f>
        <v>1985.2650000000001</v>
      </c>
      <c r="P33" s="730"/>
      <c r="Q33" s="731" t="s">
        <v>123</v>
      </c>
      <c r="R33" s="732"/>
      <c r="S33" s="3"/>
      <c r="T33" s="3"/>
      <c r="U33" s="3"/>
      <c r="V33" s="3"/>
      <c r="W33" s="3"/>
    </row>
    <row r="34" spans="1:23" ht="15.75" thickBot="1" x14ac:dyDescent="0.3">
      <c r="A34" s="3"/>
      <c r="B34" s="3"/>
      <c r="C34" s="733"/>
      <c r="D34" s="734"/>
      <c r="E34" s="734"/>
      <c r="F34" s="734"/>
      <c r="G34" s="734"/>
      <c r="H34" s="734"/>
      <c r="I34" s="734"/>
      <c r="J34" s="734"/>
      <c r="K34" s="734"/>
      <c r="L34" s="734"/>
      <c r="M34" s="734"/>
      <c r="N34" s="734"/>
      <c r="O34" s="734"/>
      <c r="P34" s="734"/>
      <c r="Q34" s="734"/>
      <c r="R34" s="735"/>
      <c r="S34" s="3"/>
      <c r="T34" s="3"/>
      <c r="U34" s="3"/>
      <c r="V34" s="3"/>
      <c r="W34" s="3"/>
    </row>
    <row r="35" spans="1:23" ht="15.75" customHeight="1" x14ac:dyDescent="0.25">
      <c r="A35" s="3"/>
      <c r="B35" s="3"/>
      <c r="C35" s="736" t="s">
        <v>243</v>
      </c>
      <c r="D35" s="737"/>
      <c r="E35" s="737"/>
      <c r="F35" s="737"/>
      <c r="G35" s="738">
        <f>G37+G38+G39+G40+G41+G42+G43+G45+G46+G47+G48</f>
        <v>564328.40625</v>
      </c>
      <c r="H35" s="739"/>
      <c r="I35" s="739" t="s">
        <v>123</v>
      </c>
      <c r="J35" s="740"/>
      <c r="K35" s="741" t="s">
        <v>243</v>
      </c>
      <c r="L35" s="741"/>
      <c r="M35" s="741"/>
      <c r="N35" s="742"/>
      <c r="O35" s="738">
        <f>O37+O39+O38+O41+O40+O42+O43+O45+O46+O47+O48+O49</f>
        <v>104753.97041666668</v>
      </c>
      <c r="P35" s="739"/>
      <c r="Q35" s="739" t="s">
        <v>123</v>
      </c>
      <c r="R35" s="740"/>
      <c r="S35" s="3"/>
      <c r="T35" s="3"/>
      <c r="U35" s="3"/>
      <c r="V35" s="3"/>
      <c r="W35" s="3"/>
    </row>
    <row r="36" spans="1:23" ht="15.75" customHeight="1" x14ac:dyDescent="0.25">
      <c r="A36" s="3"/>
      <c r="B36" s="3"/>
      <c r="C36" s="743" t="s">
        <v>244</v>
      </c>
      <c r="D36" s="744"/>
      <c r="E36" s="744"/>
      <c r="F36" s="744"/>
      <c r="G36" s="725">
        <v>2.29</v>
      </c>
      <c r="H36" s="725"/>
      <c r="I36" s="725" t="s">
        <v>245</v>
      </c>
      <c r="J36" s="726"/>
      <c r="K36" s="745" t="s">
        <v>244</v>
      </c>
      <c r="L36" s="725"/>
      <c r="M36" s="725"/>
      <c r="N36" s="725"/>
      <c r="O36" s="725">
        <v>5</v>
      </c>
      <c r="P36" s="725"/>
      <c r="Q36" s="725" t="s">
        <v>246</v>
      </c>
      <c r="R36" s="726"/>
      <c r="S36" s="3"/>
      <c r="T36" s="3"/>
      <c r="U36" s="3"/>
      <c r="V36" s="3"/>
      <c r="W36" s="3"/>
    </row>
    <row r="37" spans="1:23" x14ac:dyDescent="0.25">
      <c r="A37" s="3"/>
      <c r="B37" s="3"/>
      <c r="C37" s="743" t="s">
        <v>247</v>
      </c>
      <c r="D37" s="744"/>
      <c r="E37" s="744"/>
      <c r="F37" s="744"/>
      <c r="G37" s="746">
        <f>0.99*G5</f>
        <v>159234.57</v>
      </c>
      <c r="H37" s="746"/>
      <c r="I37" s="725" t="s">
        <v>123</v>
      </c>
      <c r="J37" s="726"/>
      <c r="K37" s="745" t="s">
        <v>247</v>
      </c>
      <c r="L37" s="725"/>
      <c r="M37" s="725"/>
      <c r="N37" s="725"/>
      <c r="O37" s="746">
        <f>0.99*O5</f>
        <v>14429.467799999999</v>
      </c>
      <c r="P37" s="746"/>
      <c r="Q37" s="725" t="s">
        <v>123</v>
      </c>
      <c r="R37" s="726"/>
      <c r="S37" s="3"/>
      <c r="T37" s="3"/>
      <c r="U37" s="3"/>
      <c r="V37" s="3"/>
      <c r="W37" s="3"/>
    </row>
    <row r="38" spans="1:23" x14ac:dyDescent="0.25">
      <c r="A38" s="3"/>
      <c r="B38" s="3"/>
      <c r="C38" s="743" t="s">
        <v>248</v>
      </c>
      <c r="D38" s="744"/>
      <c r="E38" s="744"/>
      <c r="F38" s="744"/>
      <c r="G38" s="746">
        <f>0.01*G5</f>
        <v>1608.43</v>
      </c>
      <c r="H38" s="746"/>
      <c r="I38" s="725" t="s">
        <v>123</v>
      </c>
      <c r="J38" s="726"/>
      <c r="K38" s="745" t="s">
        <v>248</v>
      </c>
      <c r="L38" s="725"/>
      <c r="M38" s="725"/>
      <c r="N38" s="725"/>
      <c r="O38" s="746">
        <f>0.01*O5</f>
        <v>145.75219999999999</v>
      </c>
      <c r="P38" s="746"/>
      <c r="Q38" s="725" t="s">
        <v>123</v>
      </c>
      <c r="R38" s="726"/>
      <c r="S38" s="3"/>
      <c r="T38" s="3"/>
      <c r="U38" s="3"/>
      <c r="V38" s="3"/>
      <c r="W38" s="3"/>
    </row>
    <row r="39" spans="1:23" x14ac:dyDescent="0.25">
      <c r="A39" s="3"/>
      <c r="B39" s="3"/>
      <c r="C39" s="743" t="s">
        <v>249</v>
      </c>
      <c r="D39" s="744"/>
      <c r="E39" s="744"/>
      <c r="F39" s="744"/>
      <c r="G39" s="746">
        <f>G18</f>
        <v>7930.5225</v>
      </c>
      <c r="H39" s="746"/>
      <c r="I39" s="725" t="s">
        <v>123</v>
      </c>
      <c r="J39" s="726"/>
      <c r="K39" s="745" t="s">
        <v>249</v>
      </c>
      <c r="L39" s="725"/>
      <c r="M39" s="725"/>
      <c r="N39" s="725"/>
      <c r="O39" s="746">
        <f>O18</f>
        <v>4135.96875</v>
      </c>
      <c r="P39" s="746"/>
      <c r="Q39" s="725" t="s">
        <v>123</v>
      </c>
      <c r="R39" s="726"/>
      <c r="S39" s="3"/>
      <c r="T39" s="3"/>
      <c r="U39" s="3"/>
      <c r="V39" s="3"/>
      <c r="W39" s="3"/>
    </row>
    <row r="40" spans="1:23" x14ac:dyDescent="0.25">
      <c r="A40" s="3"/>
      <c r="B40" s="3"/>
      <c r="C40" s="743" t="s">
        <v>250</v>
      </c>
      <c r="D40" s="744"/>
      <c r="E40" s="744"/>
      <c r="F40" s="744"/>
      <c r="G40" s="746">
        <f>0.99*G20</f>
        <v>364647.26429999998</v>
      </c>
      <c r="H40" s="746"/>
      <c r="I40" s="725" t="s">
        <v>123</v>
      </c>
      <c r="J40" s="726"/>
      <c r="K40" s="745" t="s">
        <v>250</v>
      </c>
      <c r="L40" s="725"/>
      <c r="M40" s="725"/>
      <c r="N40" s="725"/>
      <c r="O40" s="746">
        <f>0.99*O20</f>
        <v>72147.339000000007</v>
      </c>
      <c r="P40" s="746"/>
      <c r="Q40" s="725" t="s">
        <v>123</v>
      </c>
      <c r="R40" s="726"/>
      <c r="S40" s="3"/>
      <c r="T40" s="3"/>
      <c r="U40" s="3"/>
      <c r="V40" s="3"/>
      <c r="W40" s="3"/>
    </row>
    <row r="41" spans="1:23" x14ac:dyDescent="0.25">
      <c r="A41" s="3"/>
      <c r="B41" s="3"/>
      <c r="C41" s="743" t="s">
        <v>251</v>
      </c>
      <c r="D41" s="744"/>
      <c r="E41" s="744"/>
      <c r="F41" s="744"/>
      <c r="G41" s="746">
        <f>0.01*G20</f>
        <v>3683.3057000000003</v>
      </c>
      <c r="H41" s="746"/>
      <c r="I41" s="725" t="s">
        <v>123</v>
      </c>
      <c r="J41" s="726"/>
      <c r="K41" s="745" t="s">
        <v>251</v>
      </c>
      <c r="L41" s="725"/>
      <c r="M41" s="725"/>
      <c r="N41" s="725"/>
      <c r="O41" s="746">
        <f>0.01*O20</f>
        <v>728.76100000000008</v>
      </c>
      <c r="P41" s="746"/>
      <c r="Q41" s="725" t="s">
        <v>123</v>
      </c>
      <c r="R41" s="726"/>
      <c r="S41" s="3"/>
      <c r="T41" s="3"/>
      <c r="U41" s="3"/>
      <c r="V41" s="3"/>
      <c r="W41" s="3"/>
    </row>
    <row r="42" spans="1:23" x14ac:dyDescent="0.25">
      <c r="A42" s="3"/>
      <c r="B42" s="3"/>
      <c r="C42" s="743" t="s">
        <v>252</v>
      </c>
      <c r="D42" s="744"/>
      <c r="E42" s="744"/>
      <c r="F42" s="744"/>
      <c r="G42" s="746">
        <f>G33</f>
        <v>12494.313750000003</v>
      </c>
      <c r="H42" s="746"/>
      <c r="I42" s="725" t="s">
        <v>123</v>
      </c>
      <c r="J42" s="726"/>
      <c r="K42" s="745" t="s">
        <v>252</v>
      </c>
      <c r="L42" s="725"/>
      <c r="M42" s="725"/>
      <c r="N42" s="725"/>
      <c r="O42" s="746">
        <f>O33</f>
        <v>1985.2650000000001</v>
      </c>
      <c r="P42" s="746"/>
      <c r="Q42" s="725" t="s">
        <v>123</v>
      </c>
      <c r="R42" s="726"/>
      <c r="S42" s="3"/>
      <c r="T42" s="3"/>
      <c r="U42" s="3"/>
      <c r="V42" s="3"/>
      <c r="W42" s="3"/>
    </row>
    <row r="43" spans="1:23" x14ac:dyDescent="0.25">
      <c r="A43" s="3"/>
      <c r="B43" s="3"/>
      <c r="C43" s="743" t="s">
        <v>315</v>
      </c>
      <c r="D43" s="744"/>
      <c r="E43" s="744"/>
      <c r="F43" s="744"/>
      <c r="G43" s="746">
        <v>9300</v>
      </c>
      <c r="H43" s="746"/>
      <c r="I43" s="725" t="s">
        <v>123</v>
      </c>
      <c r="J43" s="726"/>
      <c r="K43" s="745" t="s">
        <v>315</v>
      </c>
      <c r="L43" s="725"/>
      <c r="M43" s="725"/>
      <c r="N43" s="725"/>
      <c r="O43" s="746">
        <v>9531</v>
      </c>
      <c r="P43" s="746"/>
      <c r="Q43" s="725" t="s">
        <v>123</v>
      </c>
      <c r="R43" s="726"/>
      <c r="S43" s="3"/>
      <c r="T43" s="3"/>
      <c r="U43" s="3"/>
      <c r="V43" s="3"/>
      <c r="W43" s="3"/>
    </row>
    <row r="44" spans="1:23" x14ac:dyDescent="0.25">
      <c r="A44" s="3"/>
      <c r="B44" s="3"/>
      <c r="C44" s="743" t="s">
        <v>253</v>
      </c>
      <c r="D44" s="744"/>
      <c r="E44" s="744"/>
      <c r="F44" s="744"/>
      <c r="G44" s="725" t="s">
        <v>314</v>
      </c>
      <c r="H44" s="725"/>
      <c r="I44" s="747" t="s">
        <v>254</v>
      </c>
      <c r="J44" s="726"/>
      <c r="K44" s="745" t="s">
        <v>255</v>
      </c>
      <c r="L44" s="725"/>
      <c r="M44" s="725"/>
      <c r="N44" s="725"/>
      <c r="O44" s="725" t="s">
        <v>313</v>
      </c>
      <c r="P44" s="725"/>
      <c r="Q44" s="747" t="s">
        <v>254</v>
      </c>
      <c r="R44" s="726"/>
      <c r="S44" s="3"/>
      <c r="T44" s="3"/>
      <c r="U44" s="3"/>
      <c r="V44" s="3"/>
      <c r="W44" s="3"/>
    </row>
    <row r="45" spans="1:23" x14ac:dyDescent="0.25">
      <c r="A45" s="3"/>
      <c r="B45" s="3"/>
      <c r="C45" s="743" t="s">
        <v>256</v>
      </c>
      <c r="D45" s="744"/>
      <c r="E45" s="744"/>
      <c r="F45" s="744"/>
      <c r="G45" s="725">
        <v>3200</v>
      </c>
      <c r="H45" s="725"/>
      <c r="I45" s="725" t="s">
        <v>123</v>
      </c>
      <c r="J45" s="726"/>
      <c r="K45" s="745" t="s">
        <v>256</v>
      </c>
      <c r="L45" s="725"/>
      <c r="M45" s="725"/>
      <c r="N45" s="725"/>
      <c r="O45" s="725">
        <v>450</v>
      </c>
      <c r="P45" s="725"/>
      <c r="Q45" s="725" t="s">
        <v>123</v>
      </c>
      <c r="R45" s="726"/>
      <c r="S45" s="3"/>
      <c r="T45" s="3"/>
      <c r="U45" s="3"/>
      <c r="V45" s="3"/>
      <c r="W45" s="3"/>
    </row>
    <row r="46" spans="1:23" x14ac:dyDescent="0.25">
      <c r="A46" s="3"/>
      <c r="B46" s="3"/>
      <c r="C46" s="743" t="s">
        <v>257</v>
      </c>
      <c r="D46" s="744"/>
      <c r="E46" s="744"/>
      <c r="F46" s="744"/>
      <c r="G46" s="725">
        <v>900</v>
      </c>
      <c r="H46" s="725"/>
      <c r="I46" s="725" t="s">
        <v>123</v>
      </c>
      <c r="J46" s="726"/>
      <c r="K46" s="745" t="s">
        <v>258</v>
      </c>
      <c r="L46" s="725"/>
      <c r="M46" s="725"/>
      <c r="N46" s="725"/>
      <c r="O46" s="725">
        <v>250</v>
      </c>
      <c r="P46" s="725"/>
      <c r="Q46" s="725" t="s">
        <v>123</v>
      </c>
      <c r="R46" s="726"/>
      <c r="S46" s="3"/>
      <c r="T46" s="3"/>
      <c r="U46" s="3"/>
      <c r="V46" s="3"/>
      <c r="W46" s="3"/>
    </row>
    <row r="47" spans="1:23" x14ac:dyDescent="0.25">
      <c r="A47" s="3"/>
      <c r="B47" s="3"/>
      <c r="C47" s="743" t="s">
        <v>259</v>
      </c>
      <c r="D47" s="744"/>
      <c r="E47" s="744"/>
      <c r="F47" s="744"/>
      <c r="G47" s="725">
        <v>730</v>
      </c>
      <c r="H47" s="725"/>
      <c r="I47" s="725" t="s">
        <v>123</v>
      </c>
      <c r="J47" s="726"/>
      <c r="K47" s="745" t="s">
        <v>257</v>
      </c>
      <c r="L47" s="725"/>
      <c r="M47" s="725"/>
      <c r="N47" s="725"/>
      <c r="O47" s="725">
        <v>370</v>
      </c>
      <c r="P47" s="725"/>
      <c r="Q47" s="725" t="s">
        <v>123</v>
      </c>
      <c r="R47" s="726"/>
      <c r="S47" s="3"/>
      <c r="T47" s="3"/>
      <c r="U47" s="3"/>
      <c r="V47" s="3"/>
      <c r="W47" s="3"/>
    </row>
    <row r="48" spans="1:23" x14ac:dyDescent="0.25">
      <c r="A48" s="3"/>
      <c r="B48" s="3"/>
      <c r="C48" s="748" t="s">
        <v>260</v>
      </c>
      <c r="D48" s="749"/>
      <c r="E48" s="749"/>
      <c r="F48" s="750"/>
      <c r="G48" s="754">
        <v>600</v>
      </c>
      <c r="H48" s="755"/>
      <c r="I48" s="758" t="s">
        <v>123</v>
      </c>
      <c r="J48" s="759"/>
      <c r="K48" s="745" t="s">
        <v>261</v>
      </c>
      <c r="L48" s="725"/>
      <c r="M48" s="725"/>
      <c r="N48" s="725"/>
      <c r="O48" s="725">
        <v>240</v>
      </c>
      <c r="P48" s="725"/>
      <c r="Q48" s="725" t="s">
        <v>123</v>
      </c>
      <c r="R48" s="726"/>
      <c r="S48" s="3"/>
      <c r="T48" s="3"/>
      <c r="U48" s="3"/>
      <c r="V48" s="3"/>
      <c r="W48" s="3"/>
    </row>
    <row r="49" spans="1:23" ht="15.75" thickBot="1" x14ac:dyDescent="0.3">
      <c r="A49" s="3"/>
      <c r="B49" s="3"/>
      <c r="C49" s="751"/>
      <c r="D49" s="752"/>
      <c r="E49" s="752"/>
      <c r="F49" s="753"/>
      <c r="G49" s="756"/>
      <c r="H49" s="757"/>
      <c r="I49" s="760"/>
      <c r="J49" s="761"/>
      <c r="K49" s="762" t="s">
        <v>262</v>
      </c>
      <c r="L49" s="731"/>
      <c r="M49" s="731"/>
      <c r="N49" s="731"/>
      <c r="O49" s="730">
        <f>4085/12</f>
        <v>340.41666666666669</v>
      </c>
      <c r="P49" s="730"/>
      <c r="Q49" s="731" t="s">
        <v>263</v>
      </c>
      <c r="R49" s="732"/>
      <c r="S49" s="3"/>
      <c r="T49" s="3"/>
      <c r="U49" s="3"/>
      <c r="V49" s="3"/>
      <c r="W49" s="3"/>
    </row>
    <row r="50" spans="1:23" ht="15.75" thickBot="1" x14ac:dyDescent="0.3">
      <c r="A50" s="3"/>
      <c r="B50" s="3"/>
      <c r="C50" s="763"/>
      <c r="D50" s="764"/>
      <c r="E50" s="764"/>
      <c r="F50" s="764"/>
      <c r="G50" s="764"/>
      <c r="H50" s="764"/>
      <c r="I50" s="764"/>
      <c r="J50" s="764"/>
      <c r="K50" s="764"/>
      <c r="L50" s="764"/>
      <c r="M50" s="764"/>
      <c r="N50" s="764"/>
      <c r="O50" s="764"/>
      <c r="P50" s="764"/>
      <c r="Q50" s="764"/>
      <c r="R50" s="765"/>
      <c r="S50" s="3"/>
      <c r="T50" s="3"/>
      <c r="U50" s="3"/>
      <c r="V50" s="3"/>
      <c r="W50" s="3"/>
    </row>
    <row r="51" spans="1:23" x14ac:dyDescent="0.25">
      <c r="A51" s="3"/>
      <c r="B51" s="3"/>
      <c r="C51" s="736" t="s">
        <v>243</v>
      </c>
      <c r="D51" s="737"/>
      <c r="E51" s="737"/>
      <c r="F51" s="737"/>
      <c r="G51" s="738">
        <f>G35</f>
        <v>564328.40625</v>
      </c>
      <c r="H51" s="739"/>
      <c r="I51" s="739" t="s">
        <v>123</v>
      </c>
      <c r="J51" s="740"/>
      <c r="K51" s="766" t="s">
        <v>243</v>
      </c>
      <c r="L51" s="739"/>
      <c r="M51" s="739"/>
      <c r="N51" s="739"/>
      <c r="O51" s="738">
        <f>O35</f>
        <v>104753.97041666668</v>
      </c>
      <c r="P51" s="739"/>
      <c r="Q51" s="739" t="s">
        <v>123</v>
      </c>
      <c r="R51" s="740"/>
      <c r="S51" s="3"/>
      <c r="T51" s="3"/>
      <c r="U51" s="3"/>
      <c r="V51" s="3"/>
      <c r="W51" s="3"/>
    </row>
    <row r="52" spans="1:23" x14ac:dyDescent="0.25">
      <c r="A52" s="3"/>
      <c r="B52" s="3"/>
      <c r="C52" s="743" t="s">
        <v>220</v>
      </c>
      <c r="D52" s="744"/>
      <c r="E52" s="744"/>
      <c r="F52" s="744"/>
      <c r="G52" s="725">
        <v>5</v>
      </c>
      <c r="H52" s="725"/>
      <c r="I52" s="725" t="s">
        <v>221</v>
      </c>
      <c r="J52" s="726"/>
      <c r="K52" s="767" t="s">
        <v>220</v>
      </c>
      <c r="L52" s="725"/>
      <c r="M52" s="725"/>
      <c r="N52" s="725"/>
      <c r="O52" s="725">
        <v>5</v>
      </c>
      <c r="P52" s="725"/>
      <c r="Q52" s="725" t="s">
        <v>221</v>
      </c>
      <c r="R52" s="726"/>
      <c r="S52" s="3"/>
      <c r="T52" s="3"/>
      <c r="U52" s="3"/>
      <c r="V52" s="3"/>
      <c r="W52" s="3"/>
    </row>
    <row r="53" spans="1:23" x14ac:dyDescent="0.25">
      <c r="A53" s="3"/>
      <c r="B53" s="3"/>
      <c r="C53" s="743" t="s">
        <v>264</v>
      </c>
      <c r="D53" s="744"/>
      <c r="E53" s="744"/>
      <c r="F53" s="744"/>
      <c r="G53" s="725">
        <f>G11+G26+G60+10+1+4</f>
        <v>39.599999999999994</v>
      </c>
      <c r="H53" s="725"/>
      <c r="I53" s="725" t="s">
        <v>221</v>
      </c>
      <c r="J53" s="726"/>
      <c r="K53" s="767" t="s">
        <v>264</v>
      </c>
      <c r="L53" s="725"/>
      <c r="M53" s="725"/>
      <c r="N53" s="725"/>
      <c r="O53" s="725">
        <f>O11+G71+O26+1.1+1+O60</f>
        <v>35.6</v>
      </c>
      <c r="P53" s="725"/>
      <c r="Q53" s="725" t="s">
        <v>221</v>
      </c>
      <c r="R53" s="726"/>
      <c r="S53" s="3"/>
      <c r="T53" s="3"/>
      <c r="U53" s="3"/>
      <c r="V53" s="3"/>
      <c r="W53" s="3"/>
    </row>
    <row r="54" spans="1:23" x14ac:dyDescent="0.25">
      <c r="A54" s="3"/>
      <c r="B54" s="3"/>
      <c r="C54" s="743" t="s">
        <v>265</v>
      </c>
      <c r="D54" s="744"/>
      <c r="E54" s="744"/>
      <c r="F54" s="744"/>
      <c r="G54" s="746">
        <f>G38+G41+G39+G42+G43+G45+G46+G47+G48</f>
        <v>40446.571950000005</v>
      </c>
      <c r="H54" s="725"/>
      <c r="I54" s="725" t="s">
        <v>123</v>
      </c>
      <c r="J54" s="726"/>
      <c r="K54" s="767" t="s">
        <v>265</v>
      </c>
      <c r="L54" s="725"/>
      <c r="M54" s="725"/>
      <c r="N54" s="725"/>
      <c r="O54" s="746">
        <f>O38+O39+O41+O42+O43+O45+O46+O47+O48+O49</f>
        <v>18177.163616666669</v>
      </c>
      <c r="P54" s="725"/>
      <c r="Q54" s="725" t="s">
        <v>123</v>
      </c>
      <c r="R54" s="726"/>
      <c r="S54" s="3"/>
      <c r="T54" s="3"/>
      <c r="U54" s="3"/>
      <c r="V54" s="3"/>
      <c r="W54" s="3"/>
    </row>
    <row r="55" spans="1:23" x14ac:dyDescent="0.25">
      <c r="A55" s="3"/>
      <c r="B55" s="3"/>
      <c r="C55" s="743" t="s">
        <v>266</v>
      </c>
      <c r="D55" s="744"/>
      <c r="E55" s="744"/>
      <c r="F55" s="744"/>
      <c r="G55" s="724">
        <f>(G57+G58)/(G57+G58+G54)</f>
        <v>0.92899378204650929</v>
      </c>
      <c r="H55" s="724"/>
      <c r="I55" s="725"/>
      <c r="J55" s="726"/>
      <c r="K55" s="767" t="s">
        <v>266</v>
      </c>
      <c r="L55" s="725"/>
      <c r="M55" s="725"/>
      <c r="N55" s="725"/>
      <c r="O55" s="724">
        <f>(O57+O58)/(O57+O58+O54)</f>
        <v>0.82791418569793263</v>
      </c>
      <c r="P55" s="724"/>
      <c r="Q55" s="725"/>
      <c r="R55" s="726"/>
      <c r="S55" s="3"/>
      <c r="T55" s="3"/>
      <c r="U55" s="3"/>
      <c r="V55" s="3"/>
      <c r="W55" s="3"/>
    </row>
    <row r="56" spans="1:23" x14ac:dyDescent="0.25">
      <c r="A56" s="3"/>
      <c r="B56" s="3"/>
      <c r="C56" s="743" t="s">
        <v>267</v>
      </c>
      <c r="D56" s="744"/>
      <c r="E56" s="744"/>
      <c r="F56" s="744"/>
      <c r="G56" s="725" t="s">
        <v>317</v>
      </c>
      <c r="H56" s="725"/>
      <c r="I56" s="725"/>
      <c r="J56" s="726"/>
      <c r="K56" s="767" t="s">
        <v>268</v>
      </c>
      <c r="L56" s="725"/>
      <c r="M56" s="725"/>
      <c r="N56" s="725"/>
      <c r="O56" s="725" t="s">
        <v>316</v>
      </c>
      <c r="P56" s="725"/>
      <c r="Q56" s="725"/>
      <c r="R56" s="726"/>
      <c r="S56" s="3"/>
      <c r="T56" s="3"/>
      <c r="U56" s="3"/>
      <c r="V56" s="3"/>
      <c r="W56" s="3"/>
    </row>
    <row r="57" spans="1:23" x14ac:dyDescent="0.25">
      <c r="A57" s="3"/>
      <c r="B57" s="3"/>
      <c r="C57" s="743" t="s">
        <v>213</v>
      </c>
      <c r="D57" s="744"/>
      <c r="E57" s="744"/>
      <c r="F57" s="744"/>
      <c r="G57" s="746">
        <f>G37+G38</f>
        <v>160843</v>
      </c>
      <c r="H57" s="725"/>
      <c r="I57" s="725" t="s">
        <v>123</v>
      </c>
      <c r="J57" s="726"/>
      <c r="K57" s="767" t="s">
        <v>213</v>
      </c>
      <c r="L57" s="725"/>
      <c r="M57" s="725"/>
      <c r="N57" s="725"/>
      <c r="O57" s="746">
        <f>O37+O38</f>
        <v>14575.22</v>
      </c>
      <c r="P57" s="725"/>
      <c r="Q57" s="725" t="s">
        <v>123</v>
      </c>
      <c r="R57" s="726"/>
      <c r="S57" s="3"/>
      <c r="T57" s="3"/>
      <c r="U57" s="3"/>
      <c r="V57" s="3"/>
      <c r="W57" s="3"/>
    </row>
    <row r="58" spans="1:23" x14ac:dyDescent="0.25">
      <c r="A58" s="3"/>
      <c r="B58" s="3"/>
      <c r="C58" s="743" t="s">
        <v>233</v>
      </c>
      <c r="D58" s="744"/>
      <c r="E58" s="744"/>
      <c r="F58" s="744"/>
      <c r="G58" s="746">
        <f>G40+G41</f>
        <v>368330.57</v>
      </c>
      <c r="H58" s="725"/>
      <c r="I58" s="725" t="s">
        <v>123</v>
      </c>
      <c r="J58" s="726"/>
      <c r="K58" s="767" t="s">
        <v>233</v>
      </c>
      <c r="L58" s="725"/>
      <c r="M58" s="725"/>
      <c r="N58" s="725"/>
      <c r="O58" s="746">
        <f>O40+O41</f>
        <v>72876.100000000006</v>
      </c>
      <c r="P58" s="725"/>
      <c r="Q58" s="725" t="s">
        <v>123</v>
      </c>
      <c r="R58" s="726"/>
      <c r="S58" s="3"/>
      <c r="T58" s="3"/>
      <c r="U58" s="3"/>
      <c r="V58" s="3"/>
      <c r="W58" s="3"/>
    </row>
    <row r="59" spans="1:23" x14ac:dyDescent="0.25">
      <c r="A59" s="3"/>
      <c r="B59" s="3"/>
      <c r="C59" s="743" t="s">
        <v>269</v>
      </c>
      <c r="D59" s="744"/>
      <c r="E59" s="744"/>
      <c r="F59" s="744"/>
      <c r="G59" s="725">
        <v>5</v>
      </c>
      <c r="H59" s="725"/>
      <c r="I59" s="725" t="s">
        <v>314</v>
      </c>
      <c r="J59" s="726"/>
      <c r="K59" s="767" t="s">
        <v>269</v>
      </c>
      <c r="L59" s="725"/>
      <c r="M59" s="725"/>
      <c r="N59" s="725"/>
      <c r="O59" s="725">
        <v>1</v>
      </c>
      <c r="P59" s="725"/>
      <c r="Q59" s="725" t="s">
        <v>313</v>
      </c>
      <c r="R59" s="726"/>
      <c r="S59" s="3"/>
      <c r="T59" s="3"/>
      <c r="U59" s="3"/>
      <c r="V59" s="3"/>
      <c r="W59" s="3"/>
    </row>
    <row r="60" spans="1:23" x14ac:dyDescent="0.25">
      <c r="A60" s="3"/>
      <c r="B60" s="3"/>
      <c r="C60" s="743" t="s">
        <v>270</v>
      </c>
      <c r="D60" s="744"/>
      <c r="E60" s="744"/>
      <c r="F60" s="744"/>
      <c r="G60" s="725">
        <v>3.7</v>
      </c>
      <c r="H60" s="725"/>
      <c r="I60" s="725" t="s">
        <v>221</v>
      </c>
      <c r="J60" s="726"/>
      <c r="K60" s="767" t="s">
        <v>270</v>
      </c>
      <c r="L60" s="725"/>
      <c r="M60" s="725"/>
      <c r="N60" s="725"/>
      <c r="O60" s="725">
        <v>4.3</v>
      </c>
      <c r="P60" s="725"/>
      <c r="Q60" s="725" t="s">
        <v>221</v>
      </c>
      <c r="R60" s="726"/>
      <c r="S60" s="3"/>
      <c r="T60" s="3"/>
      <c r="U60" s="3"/>
      <c r="V60" s="3"/>
      <c r="W60" s="3"/>
    </row>
    <row r="61" spans="1:23" x14ac:dyDescent="0.25">
      <c r="A61" s="3"/>
      <c r="B61" s="3"/>
      <c r="C61" s="743" t="s">
        <v>271</v>
      </c>
      <c r="D61" s="744"/>
      <c r="E61" s="744"/>
      <c r="F61" s="744"/>
      <c r="G61" s="725">
        <v>1680</v>
      </c>
      <c r="H61" s="725"/>
      <c r="I61" s="725" t="s">
        <v>272</v>
      </c>
      <c r="J61" s="726"/>
      <c r="K61" s="767" t="s">
        <v>271</v>
      </c>
      <c r="L61" s="725"/>
      <c r="M61" s="725"/>
      <c r="N61" s="725"/>
      <c r="O61" s="725">
        <v>2279</v>
      </c>
      <c r="P61" s="725"/>
      <c r="Q61" s="725" t="s">
        <v>272</v>
      </c>
      <c r="R61" s="726"/>
      <c r="S61" s="3"/>
      <c r="T61" s="3"/>
      <c r="U61" s="3"/>
      <c r="V61" s="3"/>
      <c r="W61" s="3"/>
    </row>
    <row r="62" spans="1:23" x14ac:dyDescent="0.25">
      <c r="A62" s="3"/>
      <c r="B62" s="3"/>
      <c r="C62" s="743" t="s">
        <v>174</v>
      </c>
      <c r="D62" s="744"/>
      <c r="E62" s="744"/>
      <c r="F62" s="744"/>
      <c r="G62" s="725">
        <v>331</v>
      </c>
      <c r="H62" s="725"/>
      <c r="I62" s="725" t="s">
        <v>34</v>
      </c>
      <c r="J62" s="726"/>
      <c r="K62" s="767" t="s">
        <v>174</v>
      </c>
      <c r="L62" s="725"/>
      <c r="M62" s="725"/>
      <c r="N62" s="725"/>
      <c r="O62" s="725">
        <v>452</v>
      </c>
      <c r="P62" s="725"/>
      <c r="Q62" s="725" t="s">
        <v>34</v>
      </c>
      <c r="R62" s="726"/>
      <c r="S62" s="3"/>
      <c r="T62" s="3"/>
      <c r="U62" s="3"/>
      <c r="V62" s="3"/>
      <c r="W62" s="3"/>
    </row>
    <row r="63" spans="1:23" x14ac:dyDescent="0.25">
      <c r="A63" s="3"/>
      <c r="B63" s="3"/>
      <c r="C63" s="743" t="s">
        <v>273</v>
      </c>
      <c r="D63" s="744"/>
      <c r="E63" s="744"/>
      <c r="F63" s="744"/>
      <c r="G63" s="746">
        <f>(G61*G59*1000)/(9.81*G62)</f>
        <v>2586.9157496974231</v>
      </c>
      <c r="H63" s="746"/>
      <c r="I63" s="725" t="s">
        <v>274</v>
      </c>
      <c r="J63" s="726"/>
      <c r="K63" s="767" t="s">
        <v>273</v>
      </c>
      <c r="L63" s="725"/>
      <c r="M63" s="725"/>
      <c r="N63" s="725"/>
      <c r="O63" s="724">
        <f>(O61*O59*1000)/(9.81*O62)</f>
        <v>513.9689498705493</v>
      </c>
      <c r="P63" s="724"/>
      <c r="Q63" s="725" t="s">
        <v>274</v>
      </c>
      <c r="R63" s="726"/>
      <c r="S63" s="3"/>
      <c r="T63" s="3"/>
      <c r="U63" s="3"/>
      <c r="V63" s="3"/>
      <c r="W63" s="3"/>
    </row>
    <row r="64" spans="1:23" x14ac:dyDescent="0.25">
      <c r="A64" s="3"/>
      <c r="B64" s="3"/>
      <c r="C64" s="743" t="s">
        <v>275</v>
      </c>
      <c r="D64" s="744"/>
      <c r="E64" s="744"/>
      <c r="F64" s="744"/>
      <c r="G64" s="746">
        <f>(G37+G40)/G63</f>
        <v>202.51213606831823</v>
      </c>
      <c r="H64" s="746"/>
      <c r="I64" s="725" t="s">
        <v>34</v>
      </c>
      <c r="J64" s="726"/>
      <c r="K64" s="767" t="s">
        <v>275</v>
      </c>
      <c r="L64" s="725"/>
      <c r="M64" s="725"/>
      <c r="N64" s="725"/>
      <c r="O64" s="768">
        <f>(O40+O37)/O63</f>
        <v>168.44754303116105</v>
      </c>
      <c r="P64" s="768"/>
      <c r="Q64" s="725" t="s">
        <v>34</v>
      </c>
      <c r="R64" s="726"/>
      <c r="S64" s="3"/>
      <c r="T64" s="3"/>
      <c r="U64" s="3"/>
      <c r="V64" s="3"/>
      <c r="W64" s="3"/>
    </row>
    <row r="65" spans="1:23" ht="15.75" thickBot="1" x14ac:dyDescent="0.3">
      <c r="A65" s="3"/>
      <c r="B65" s="3"/>
      <c r="C65" s="743" t="s">
        <v>276</v>
      </c>
      <c r="D65" s="744"/>
      <c r="E65" s="744"/>
      <c r="F65" s="744"/>
      <c r="G65" s="746">
        <f>G35+O35</f>
        <v>669082.37666666671</v>
      </c>
      <c r="H65" s="725"/>
      <c r="I65" s="725" t="s">
        <v>123</v>
      </c>
      <c r="J65" s="726"/>
      <c r="K65" s="769" t="s">
        <v>277</v>
      </c>
      <c r="L65" s="770"/>
      <c r="M65" s="770"/>
      <c r="N65" s="770"/>
      <c r="O65" s="771">
        <f>(O61*O59*1000)/(9.81*O35)</f>
        <v>2.217710359019732</v>
      </c>
      <c r="P65" s="771"/>
      <c r="Q65" s="770" t="s">
        <v>278</v>
      </c>
      <c r="R65" s="772"/>
      <c r="S65" s="3"/>
      <c r="T65" s="3"/>
      <c r="U65" s="3"/>
      <c r="V65" s="3"/>
      <c r="W65" s="3"/>
    </row>
    <row r="66" spans="1:23" ht="15.75" thickBot="1" x14ac:dyDescent="0.3">
      <c r="A66" s="3"/>
      <c r="B66" s="3"/>
      <c r="C66" s="773" t="s">
        <v>279</v>
      </c>
      <c r="D66" s="774"/>
      <c r="E66" s="774"/>
      <c r="F66" s="774"/>
      <c r="G66" s="775">
        <f>(G61*G59*1000)/(9.81*(G35+O35))</f>
        <v>1.2797663531592849</v>
      </c>
      <c r="H66" s="775"/>
      <c r="I66" s="770" t="s">
        <v>278</v>
      </c>
      <c r="J66" s="772"/>
      <c r="K66" s="776"/>
      <c r="L66" s="777"/>
      <c r="M66" s="777"/>
      <c r="N66" s="777"/>
      <c r="O66" s="777"/>
      <c r="P66" s="777"/>
      <c r="Q66" s="777"/>
      <c r="R66" s="778"/>
      <c r="S66" s="3"/>
      <c r="T66" s="3"/>
      <c r="U66" s="3"/>
      <c r="V66" s="3"/>
      <c r="W66" s="3"/>
    </row>
    <row r="67" spans="1:23" x14ac:dyDescent="0.25">
      <c r="A67" s="3"/>
      <c r="B67" s="3"/>
      <c r="C67" s="763"/>
      <c r="D67" s="764"/>
      <c r="E67" s="764"/>
      <c r="F67" s="764"/>
      <c r="G67" s="764"/>
      <c r="H67" s="764"/>
      <c r="I67" s="764"/>
      <c r="J67" s="765"/>
      <c r="K67" s="776"/>
      <c r="L67" s="777"/>
      <c r="M67" s="777"/>
      <c r="N67" s="777"/>
      <c r="O67" s="777"/>
      <c r="P67" s="777"/>
      <c r="Q67" s="777"/>
      <c r="R67" s="778"/>
      <c r="S67" s="3"/>
      <c r="T67" s="3"/>
      <c r="U67" s="3"/>
      <c r="V67" s="3"/>
      <c r="W67" s="3"/>
    </row>
    <row r="68" spans="1:23" ht="15.75" thickBot="1" x14ac:dyDescent="0.3">
      <c r="A68" s="3"/>
      <c r="B68" s="3"/>
      <c r="C68" s="763"/>
      <c r="D68" s="764"/>
      <c r="E68" s="764"/>
      <c r="F68" s="764"/>
      <c r="G68" s="764"/>
      <c r="H68" s="764"/>
      <c r="I68" s="764"/>
      <c r="J68" s="765"/>
      <c r="K68" s="776"/>
      <c r="L68" s="777"/>
      <c r="M68" s="777"/>
      <c r="N68" s="777"/>
      <c r="O68" s="777"/>
      <c r="P68" s="777"/>
      <c r="Q68" s="777"/>
      <c r="R68" s="778"/>
      <c r="S68" s="3"/>
      <c r="T68" s="3"/>
      <c r="U68" s="3"/>
      <c r="V68" s="3"/>
      <c r="W68" s="3"/>
    </row>
    <row r="69" spans="1:23" ht="15.75" thickBot="1" x14ac:dyDescent="0.3">
      <c r="A69" s="3"/>
      <c r="B69" s="3"/>
      <c r="C69" s="779" t="s">
        <v>280</v>
      </c>
      <c r="D69" s="780"/>
      <c r="E69" s="780"/>
      <c r="F69" s="780"/>
      <c r="G69" s="780"/>
      <c r="H69" s="780"/>
      <c r="I69" s="780"/>
      <c r="J69" s="781"/>
      <c r="K69" s="776"/>
      <c r="L69" s="777"/>
      <c r="M69" s="777"/>
      <c r="N69" s="777"/>
      <c r="O69" s="777"/>
      <c r="P69" s="777"/>
      <c r="Q69" s="777"/>
      <c r="R69" s="778"/>
      <c r="S69" s="3"/>
      <c r="T69" s="3"/>
      <c r="U69" s="3"/>
      <c r="V69" s="3"/>
      <c r="W69" s="3"/>
    </row>
    <row r="70" spans="1:23" x14ac:dyDescent="0.25">
      <c r="A70" s="3"/>
      <c r="B70" s="3"/>
      <c r="C70" s="782" t="s">
        <v>220</v>
      </c>
      <c r="D70" s="783"/>
      <c r="E70" s="783"/>
      <c r="F70" s="784"/>
      <c r="G70" s="725">
        <v>5.4</v>
      </c>
      <c r="H70" s="725"/>
      <c r="I70" s="725" t="s">
        <v>221</v>
      </c>
      <c r="J70" s="726"/>
      <c r="K70" s="785" t="s">
        <v>281</v>
      </c>
      <c r="L70" s="741"/>
      <c r="M70" s="741"/>
      <c r="N70" s="741"/>
      <c r="O70" s="741"/>
      <c r="P70" s="741"/>
      <c r="Q70" s="741"/>
      <c r="R70" s="786"/>
      <c r="S70" s="3"/>
      <c r="T70" s="3"/>
      <c r="U70" s="3"/>
      <c r="V70" s="3"/>
      <c r="W70" s="3"/>
    </row>
    <row r="71" spans="1:23" x14ac:dyDescent="0.25">
      <c r="A71" s="3"/>
      <c r="B71" s="3"/>
      <c r="C71" s="782" t="s">
        <v>264</v>
      </c>
      <c r="D71" s="783"/>
      <c r="E71" s="783"/>
      <c r="F71" s="784"/>
      <c r="G71" s="725">
        <v>20.7</v>
      </c>
      <c r="H71" s="725"/>
      <c r="I71" s="725" t="s">
        <v>221</v>
      </c>
      <c r="J71" s="726"/>
      <c r="K71" s="767" t="s">
        <v>282</v>
      </c>
      <c r="L71" s="725"/>
      <c r="M71" s="725"/>
      <c r="N71" s="725"/>
      <c r="O71" s="725"/>
      <c r="P71" s="725"/>
      <c r="Q71" s="725"/>
      <c r="R71" s="726"/>
      <c r="S71" s="3"/>
      <c r="T71" s="3"/>
      <c r="U71" s="3"/>
      <c r="V71" s="3"/>
      <c r="W71" s="3"/>
    </row>
    <row r="72" spans="1:23" x14ac:dyDescent="0.25">
      <c r="A72" s="3"/>
      <c r="B72" s="3"/>
      <c r="C72" s="782" t="s">
        <v>283</v>
      </c>
      <c r="D72" s="783"/>
      <c r="E72" s="783"/>
      <c r="F72" s="784"/>
      <c r="G72" s="725">
        <v>4085</v>
      </c>
      <c r="H72" s="725"/>
      <c r="I72" s="725" t="s">
        <v>123</v>
      </c>
      <c r="J72" s="726"/>
      <c r="K72" s="767" t="s">
        <v>284</v>
      </c>
      <c r="L72" s="725"/>
      <c r="M72" s="725"/>
      <c r="N72" s="725"/>
      <c r="O72" s="725"/>
      <c r="P72" s="725"/>
      <c r="Q72" s="725"/>
      <c r="R72" s="726"/>
      <c r="S72" s="3"/>
      <c r="T72" s="3"/>
      <c r="U72" s="3"/>
      <c r="V72" s="3"/>
      <c r="W72" s="3"/>
    </row>
    <row r="73" spans="1:23" ht="15.75" thickBot="1" x14ac:dyDescent="0.3">
      <c r="A73" s="3"/>
      <c r="B73" s="3"/>
      <c r="C73" s="787" t="s">
        <v>285</v>
      </c>
      <c r="D73" s="788"/>
      <c r="E73" s="788"/>
      <c r="F73" s="789"/>
      <c r="G73" s="770"/>
      <c r="H73" s="770"/>
      <c r="I73" s="770"/>
      <c r="J73" s="772"/>
      <c r="K73" s="790" t="s">
        <v>286</v>
      </c>
      <c r="L73" s="731"/>
      <c r="M73" s="731"/>
      <c r="N73" s="731"/>
      <c r="O73" s="791" t="s">
        <v>311</v>
      </c>
      <c r="P73" s="792"/>
      <c r="Q73" s="792"/>
      <c r="R73" s="793"/>
      <c r="S73" s="3"/>
      <c r="T73" s="3"/>
      <c r="U73" s="3"/>
      <c r="V73" s="3"/>
      <c r="W73" s="3"/>
    </row>
    <row r="74" spans="1:2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</sheetData>
  <mergeCells count="380">
    <mergeCell ref="C72:F72"/>
    <mergeCell ref="G72:H72"/>
    <mergeCell ref="I72:J72"/>
    <mergeCell ref="K72:N72"/>
    <mergeCell ref="O72:P72"/>
    <mergeCell ref="Q72:R72"/>
    <mergeCell ref="C73:F73"/>
    <mergeCell ref="G73:H73"/>
    <mergeCell ref="I73:J73"/>
    <mergeCell ref="K73:N73"/>
    <mergeCell ref="O73:R73"/>
    <mergeCell ref="C70:F70"/>
    <mergeCell ref="G70:H70"/>
    <mergeCell ref="I70:J70"/>
    <mergeCell ref="K70:R70"/>
    <mergeCell ref="C71:F71"/>
    <mergeCell ref="G71:H71"/>
    <mergeCell ref="I71:J71"/>
    <mergeCell ref="K71:N71"/>
    <mergeCell ref="O71:P71"/>
    <mergeCell ref="Q71:R71"/>
    <mergeCell ref="C65:F65"/>
    <mergeCell ref="G65:H65"/>
    <mergeCell ref="I65:J65"/>
    <mergeCell ref="K65:N65"/>
    <mergeCell ref="O65:P65"/>
    <mergeCell ref="Q65:R65"/>
    <mergeCell ref="C66:F66"/>
    <mergeCell ref="G66:H66"/>
    <mergeCell ref="I66:J66"/>
    <mergeCell ref="K66:R69"/>
    <mergeCell ref="C67:J68"/>
    <mergeCell ref="C69:J69"/>
    <mergeCell ref="C63:F63"/>
    <mergeCell ref="G63:H63"/>
    <mergeCell ref="I63:J63"/>
    <mergeCell ref="K63:N63"/>
    <mergeCell ref="O63:P63"/>
    <mergeCell ref="Q63:R63"/>
    <mergeCell ref="C64:F64"/>
    <mergeCell ref="G64:H64"/>
    <mergeCell ref="I64:J64"/>
    <mergeCell ref="K64:N64"/>
    <mergeCell ref="O64:P64"/>
    <mergeCell ref="Q64:R64"/>
    <mergeCell ref="C61:F61"/>
    <mergeCell ref="G61:H61"/>
    <mergeCell ref="I61:J61"/>
    <mergeCell ref="K61:N61"/>
    <mergeCell ref="O61:P61"/>
    <mergeCell ref="Q61:R61"/>
    <mergeCell ref="C62:F62"/>
    <mergeCell ref="G62:H62"/>
    <mergeCell ref="I62:J62"/>
    <mergeCell ref="K62:N62"/>
    <mergeCell ref="O62:P62"/>
    <mergeCell ref="Q62:R62"/>
    <mergeCell ref="C59:F59"/>
    <mergeCell ref="G59:H59"/>
    <mergeCell ref="I59:J59"/>
    <mergeCell ref="K59:N59"/>
    <mergeCell ref="O59:P59"/>
    <mergeCell ref="Q59:R59"/>
    <mergeCell ref="C60:F60"/>
    <mergeCell ref="G60:H60"/>
    <mergeCell ref="I60:J60"/>
    <mergeCell ref="K60:N60"/>
    <mergeCell ref="O60:P60"/>
    <mergeCell ref="Q60:R60"/>
    <mergeCell ref="C57:F57"/>
    <mergeCell ref="G57:H57"/>
    <mergeCell ref="I57:J57"/>
    <mergeCell ref="K57:N57"/>
    <mergeCell ref="O57:P57"/>
    <mergeCell ref="Q57:R57"/>
    <mergeCell ref="C58:F58"/>
    <mergeCell ref="G58:H58"/>
    <mergeCell ref="I58:J58"/>
    <mergeCell ref="K58:N58"/>
    <mergeCell ref="O58:P58"/>
    <mergeCell ref="Q58:R58"/>
    <mergeCell ref="C55:F55"/>
    <mergeCell ref="G55:H55"/>
    <mergeCell ref="I55:J55"/>
    <mergeCell ref="K55:N55"/>
    <mergeCell ref="O55:P55"/>
    <mergeCell ref="Q55:R55"/>
    <mergeCell ref="C56:F56"/>
    <mergeCell ref="G56:H56"/>
    <mergeCell ref="I56:J56"/>
    <mergeCell ref="K56:N56"/>
    <mergeCell ref="O56:P56"/>
    <mergeCell ref="Q56:R56"/>
    <mergeCell ref="C53:F53"/>
    <mergeCell ref="G53:H53"/>
    <mergeCell ref="I53:J53"/>
    <mergeCell ref="K53:N53"/>
    <mergeCell ref="O53:P53"/>
    <mergeCell ref="Q53:R53"/>
    <mergeCell ref="C54:F54"/>
    <mergeCell ref="G54:H54"/>
    <mergeCell ref="I54:J54"/>
    <mergeCell ref="K54:N54"/>
    <mergeCell ref="O54:P54"/>
    <mergeCell ref="Q54:R54"/>
    <mergeCell ref="C50:R50"/>
    <mergeCell ref="C51:F51"/>
    <mergeCell ref="G51:H51"/>
    <mergeCell ref="I51:J51"/>
    <mergeCell ref="K51:N51"/>
    <mergeCell ref="O51:P51"/>
    <mergeCell ref="Q51:R51"/>
    <mergeCell ref="C52:F52"/>
    <mergeCell ref="G52:H52"/>
    <mergeCell ref="I52:J52"/>
    <mergeCell ref="K52:N52"/>
    <mergeCell ref="O52:P52"/>
    <mergeCell ref="Q52:R52"/>
    <mergeCell ref="C47:F47"/>
    <mergeCell ref="G47:H47"/>
    <mergeCell ref="I47:J47"/>
    <mergeCell ref="K47:N47"/>
    <mergeCell ref="O47:P47"/>
    <mergeCell ref="Q47:R47"/>
    <mergeCell ref="C48:F49"/>
    <mergeCell ref="G48:H49"/>
    <mergeCell ref="I48:J49"/>
    <mergeCell ref="K48:N48"/>
    <mergeCell ref="O48:P48"/>
    <mergeCell ref="Q48:R48"/>
    <mergeCell ref="K49:N49"/>
    <mergeCell ref="O49:P49"/>
    <mergeCell ref="Q49:R49"/>
    <mergeCell ref="C45:F45"/>
    <mergeCell ref="G45:H45"/>
    <mergeCell ref="I45:J45"/>
    <mergeCell ref="K45:N45"/>
    <mergeCell ref="O45:P45"/>
    <mergeCell ref="Q45:R45"/>
    <mergeCell ref="C46:F46"/>
    <mergeCell ref="G46:H46"/>
    <mergeCell ref="I46:J46"/>
    <mergeCell ref="K46:N46"/>
    <mergeCell ref="O46:P46"/>
    <mergeCell ref="Q46:R46"/>
    <mergeCell ref="C42:F42"/>
    <mergeCell ref="G42:H42"/>
    <mergeCell ref="I42:J42"/>
    <mergeCell ref="K42:N42"/>
    <mergeCell ref="O42:P42"/>
    <mergeCell ref="Q42:R42"/>
    <mergeCell ref="C44:F44"/>
    <mergeCell ref="G44:H44"/>
    <mergeCell ref="I44:J44"/>
    <mergeCell ref="K44:N44"/>
    <mergeCell ref="O44:P44"/>
    <mergeCell ref="Q44:R44"/>
    <mergeCell ref="C43:F43"/>
    <mergeCell ref="G43:H43"/>
    <mergeCell ref="I43:J43"/>
    <mergeCell ref="K43:N43"/>
    <mergeCell ref="O43:P43"/>
    <mergeCell ref="Q43:R43"/>
    <mergeCell ref="C40:F40"/>
    <mergeCell ref="G40:H40"/>
    <mergeCell ref="I40:J40"/>
    <mergeCell ref="K40:N40"/>
    <mergeCell ref="O40:P40"/>
    <mergeCell ref="Q40:R40"/>
    <mergeCell ref="C41:F41"/>
    <mergeCell ref="G41:H41"/>
    <mergeCell ref="I41:J41"/>
    <mergeCell ref="K41:N41"/>
    <mergeCell ref="O41:P41"/>
    <mergeCell ref="Q41:R41"/>
    <mergeCell ref="C38:F38"/>
    <mergeCell ref="G38:H38"/>
    <mergeCell ref="I38:J38"/>
    <mergeCell ref="K38:N38"/>
    <mergeCell ref="O38:P38"/>
    <mergeCell ref="Q38:R38"/>
    <mergeCell ref="C39:F39"/>
    <mergeCell ref="G39:H39"/>
    <mergeCell ref="I39:J39"/>
    <mergeCell ref="K39:N39"/>
    <mergeCell ref="O39:P39"/>
    <mergeCell ref="Q39:R39"/>
    <mergeCell ref="C36:F36"/>
    <mergeCell ref="G36:H36"/>
    <mergeCell ref="I36:J36"/>
    <mergeCell ref="K36:N36"/>
    <mergeCell ref="O36:P36"/>
    <mergeCell ref="Q36:R36"/>
    <mergeCell ref="C37:F37"/>
    <mergeCell ref="G37:H37"/>
    <mergeCell ref="I37:J37"/>
    <mergeCell ref="K37:N37"/>
    <mergeCell ref="O37:P37"/>
    <mergeCell ref="Q37:R37"/>
    <mergeCell ref="C33:F33"/>
    <mergeCell ref="G33:H33"/>
    <mergeCell ref="I33:J33"/>
    <mergeCell ref="K33:N33"/>
    <mergeCell ref="O33:P33"/>
    <mergeCell ref="Q33:R33"/>
    <mergeCell ref="C34:R34"/>
    <mergeCell ref="C35:F35"/>
    <mergeCell ref="G35:H35"/>
    <mergeCell ref="I35:J35"/>
    <mergeCell ref="K35:N35"/>
    <mergeCell ref="O35:P35"/>
    <mergeCell ref="Q35:R35"/>
    <mergeCell ref="C31:F31"/>
    <mergeCell ref="G31:H31"/>
    <mergeCell ref="I31:J31"/>
    <mergeCell ref="K31:N31"/>
    <mergeCell ref="O31:P31"/>
    <mergeCell ref="Q31:R31"/>
    <mergeCell ref="C32:F32"/>
    <mergeCell ref="G32:H32"/>
    <mergeCell ref="I32:J32"/>
    <mergeCell ref="K32:N32"/>
    <mergeCell ref="O32:P32"/>
    <mergeCell ref="Q32:R32"/>
    <mergeCell ref="C29:F29"/>
    <mergeCell ref="G29:H29"/>
    <mergeCell ref="I29:J29"/>
    <mergeCell ref="K29:N29"/>
    <mergeCell ref="O29:P29"/>
    <mergeCell ref="Q29:R29"/>
    <mergeCell ref="C30:F30"/>
    <mergeCell ref="G30:H30"/>
    <mergeCell ref="I30:J30"/>
    <mergeCell ref="K30:N30"/>
    <mergeCell ref="O30:P30"/>
    <mergeCell ref="Q30:R30"/>
    <mergeCell ref="C27:F27"/>
    <mergeCell ref="G27:H27"/>
    <mergeCell ref="I27:J27"/>
    <mergeCell ref="K27:N27"/>
    <mergeCell ref="O27:P27"/>
    <mergeCell ref="Q27:R27"/>
    <mergeCell ref="C28:F28"/>
    <mergeCell ref="G28:H28"/>
    <mergeCell ref="I28:J28"/>
    <mergeCell ref="K28:N28"/>
    <mergeCell ref="O28:P28"/>
    <mergeCell ref="Q28:R28"/>
    <mergeCell ref="C25:F25"/>
    <mergeCell ref="G25:H25"/>
    <mergeCell ref="I25:J25"/>
    <mergeCell ref="K25:N25"/>
    <mergeCell ref="O25:P25"/>
    <mergeCell ref="Q25:R25"/>
    <mergeCell ref="C26:F26"/>
    <mergeCell ref="G26:H26"/>
    <mergeCell ref="I26:J26"/>
    <mergeCell ref="K26:N26"/>
    <mergeCell ref="O26:P26"/>
    <mergeCell ref="Q26:R26"/>
    <mergeCell ref="C23:F23"/>
    <mergeCell ref="G23:H23"/>
    <mergeCell ref="I23:J23"/>
    <mergeCell ref="K23:N23"/>
    <mergeCell ref="O23:P23"/>
    <mergeCell ref="Q23:R23"/>
    <mergeCell ref="C24:F24"/>
    <mergeCell ref="G24:H24"/>
    <mergeCell ref="I24:J24"/>
    <mergeCell ref="K24:N24"/>
    <mergeCell ref="O24:P24"/>
    <mergeCell ref="Q24:R24"/>
    <mergeCell ref="C21:F21"/>
    <mergeCell ref="G21:H21"/>
    <mergeCell ref="I21:J21"/>
    <mergeCell ref="K21:N21"/>
    <mergeCell ref="O21:P21"/>
    <mergeCell ref="Q21:R21"/>
    <mergeCell ref="C22:F22"/>
    <mergeCell ref="G22:H22"/>
    <mergeCell ref="I22:J22"/>
    <mergeCell ref="K22:N22"/>
    <mergeCell ref="O22:P22"/>
    <mergeCell ref="Q22:R22"/>
    <mergeCell ref="C18:F18"/>
    <mergeCell ref="G18:H18"/>
    <mergeCell ref="I18:J18"/>
    <mergeCell ref="K18:N18"/>
    <mergeCell ref="O18:P18"/>
    <mergeCell ref="Q18:R18"/>
    <mergeCell ref="C19:R19"/>
    <mergeCell ref="C20:F20"/>
    <mergeCell ref="G20:H20"/>
    <mergeCell ref="I20:J20"/>
    <mergeCell ref="K20:N20"/>
    <mergeCell ref="O20:P20"/>
    <mergeCell ref="Q20:R20"/>
    <mergeCell ref="C16:F16"/>
    <mergeCell ref="G16:H16"/>
    <mergeCell ref="I16:J16"/>
    <mergeCell ref="K16:N16"/>
    <mergeCell ref="O16:P16"/>
    <mergeCell ref="Q16:R16"/>
    <mergeCell ref="C17:F17"/>
    <mergeCell ref="G17:H17"/>
    <mergeCell ref="I17:J17"/>
    <mergeCell ref="K17:N17"/>
    <mergeCell ref="O17:P17"/>
    <mergeCell ref="Q17:R17"/>
    <mergeCell ref="C14:F14"/>
    <mergeCell ref="G14:H14"/>
    <mergeCell ref="I14:J14"/>
    <mergeCell ref="K14:N14"/>
    <mergeCell ref="O14:P14"/>
    <mergeCell ref="Q14:R14"/>
    <mergeCell ref="C15:F15"/>
    <mergeCell ref="G15:H15"/>
    <mergeCell ref="I15:J15"/>
    <mergeCell ref="K15:N15"/>
    <mergeCell ref="O15:P15"/>
    <mergeCell ref="Q15:R15"/>
    <mergeCell ref="C12:F12"/>
    <mergeCell ref="G12:H12"/>
    <mergeCell ref="I12:J12"/>
    <mergeCell ref="K12:N12"/>
    <mergeCell ref="O12:P12"/>
    <mergeCell ref="Q12:R12"/>
    <mergeCell ref="C13:F13"/>
    <mergeCell ref="G13:H13"/>
    <mergeCell ref="I13:J13"/>
    <mergeCell ref="K13:N13"/>
    <mergeCell ref="O13:P13"/>
    <mergeCell ref="Q13:R13"/>
    <mergeCell ref="C10:F10"/>
    <mergeCell ref="G10:H10"/>
    <mergeCell ref="I10:J10"/>
    <mergeCell ref="K10:N10"/>
    <mergeCell ref="O10:P10"/>
    <mergeCell ref="Q10:R10"/>
    <mergeCell ref="C11:F11"/>
    <mergeCell ref="G11:H11"/>
    <mergeCell ref="I11:J11"/>
    <mergeCell ref="K11:N11"/>
    <mergeCell ref="O11:P11"/>
    <mergeCell ref="Q11:R11"/>
    <mergeCell ref="C8:F8"/>
    <mergeCell ref="G8:H8"/>
    <mergeCell ref="I8:J8"/>
    <mergeCell ref="K8:N8"/>
    <mergeCell ref="O8:P8"/>
    <mergeCell ref="Q8:R8"/>
    <mergeCell ref="C9:F9"/>
    <mergeCell ref="G9:H9"/>
    <mergeCell ref="I9:J9"/>
    <mergeCell ref="K9:N9"/>
    <mergeCell ref="O9:P9"/>
    <mergeCell ref="Q9:R9"/>
    <mergeCell ref="C1:R2"/>
    <mergeCell ref="C3:J3"/>
    <mergeCell ref="K3:R3"/>
    <mergeCell ref="C4:J4"/>
    <mergeCell ref="K4:R4"/>
    <mergeCell ref="C5:F5"/>
    <mergeCell ref="G5:H5"/>
    <mergeCell ref="I5:J5"/>
    <mergeCell ref="K5:N5"/>
    <mergeCell ref="O5:P5"/>
    <mergeCell ref="Q5:R5"/>
    <mergeCell ref="C6:F6"/>
    <mergeCell ref="G6:H6"/>
    <mergeCell ref="I6:J6"/>
    <mergeCell ref="K6:N6"/>
    <mergeCell ref="O6:P6"/>
    <mergeCell ref="Q6:R6"/>
    <mergeCell ref="C7:F7"/>
    <mergeCell ref="G7:H7"/>
    <mergeCell ref="I7:J7"/>
    <mergeCell ref="K7:N7"/>
    <mergeCell ref="O7:P7"/>
    <mergeCell ref="Q7:R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1F45-DA90-4C6F-8E00-884DB31C8444}">
  <dimension ref="A1:N21"/>
  <sheetViews>
    <sheetView workbookViewId="0">
      <selection activeCell="H24" sqref="H24"/>
    </sheetView>
  </sheetViews>
  <sheetFormatPr defaultRowHeight="15" x14ac:dyDescent="0.25"/>
  <cols>
    <col min="4" max="4" width="11.140625" customWidth="1"/>
    <col min="5" max="5" width="12.5703125" customWidth="1"/>
    <col min="6" max="6" width="7.140625" customWidth="1"/>
    <col min="12" max="13" width="11" customWidth="1"/>
  </cols>
  <sheetData>
    <row r="1" spans="1:14" ht="15" customHeight="1" x14ac:dyDescent="0.25">
      <c r="A1" s="822" t="s">
        <v>287</v>
      </c>
      <c r="B1" s="823"/>
      <c r="C1" s="824"/>
      <c r="D1" s="828" t="s">
        <v>312</v>
      </c>
      <c r="E1" s="829"/>
      <c r="F1" s="830"/>
      <c r="I1" s="822" t="s">
        <v>288</v>
      </c>
      <c r="J1" s="823"/>
      <c r="K1" s="824"/>
      <c r="L1" s="828" t="s">
        <v>312</v>
      </c>
      <c r="M1" s="829"/>
      <c r="N1" s="830"/>
    </row>
    <row r="2" spans="1:14" ht="15.75" customHeight="1" thickBot="1" x14ac:dyDescent="0.3">
      <c r="A2" s="825"/>
      <c r="B2" s="826"/>
      <c r="C2" s="827"/>
      <c r="D2" s="831"/>
      <c r="E2" s="832"/>
      <c r="F2" s="833"/>
      <c r="I2" s="825"/>
      <c r="J2" s="826"/>
      <c r="K2" s="827"/>
      <c r="L2" s="831"/>
      <c r="M2" s="832"/>
      <c r="N2" s="833"/>
    </row>
    <row r="3" spans="1:14" ht="19.5" x14ac:dyDescent="0.35">
      <c r="A3" s="834" t="s">
        <v>170</v>
      </c>
      <c r="B3" s="835"/>
      <c r="C3" s="836"/>
      <c r="D3" s="837">
        <v>13678</v>
      </c>
      <c r="E3" s="838"/>
      <c r="F3" s="118" t="s">
        <v>117</v>
      </c>
      <c r="I3" s="834" t="s">
        <v>170</v>
      </c>
      <c r="J3" s="835"/>
      <c r="K3" s="836"/>
      <c r="L3" s="837"/>
      <c r="M3" s="838"/>
      <c r="N3" s="118" t="s">
        <v>117</v>
      </c>
    </row>
    <row r="4" spans="1:14" ht="20.25" thickBot="1" x14ac:dyDescent="0.4">
      <c r="A4" s="814" t="s">
        <v>171</v>
      </c>
      <c r="B4" s="815"/>
      <c r="C4" s="816"/>
      <c r="D4" s="817">
        <v>7000</v>
      </c>
      <c r="E4" s="818"/>
      <c r="F4" s="119" t="s">
        <v>123</v>
      </c>
      <c r="I4" s="814" t="s">
        <v>171</v>
      </c>
      <c r="J4" s="815"/>
      <c r="K4" s="816"/>
      <c r="L4" s="817"/>
      <c r="M4" s="818"/>
      <c r="N4" s="119" t="s">
        <v>123</v>
      </c>
    </row>
    <row r="5" spans="1:14" ht="19.5" thickBot="1" x14ac:dyDescent="0.35">
      <c r="A5" s="819" t="s">
        <v>172</v>
      </c>
      <c r="B5" s="820"/>
      <c r="C5" s="820"/>
      <c r="D5" s="820"/>
      <c r="E5" s="820"/>
      <c r="F5" s="821"/>
      <c r="I5" s="819" t="s">
        <v>172</v>
      </c>
      <c r="J5" s="820"/>
      <c r="K5" s="820"/>
      <c r="L5" s="820"/>
      <c r="M5" s="820"/>
      <c r="N5" s="821"/>
    </row>
    <row r="6" spans="1:14" ht="15.75" x14ac:dyDescent="0.25">
      <c r="A6" s="808" t="s">
        <v>173</v>
      </c>
      <c r="B6" s="807"/>
      <c r="C6" s="809"/>
      <c r="D6" s="806">
        <v>0.92</v>
      </c>
      <c r="E6" s="807"/>
      <c r="F6" s="120"/>
      <c r="I6" s="808" t="s">
        <v>173</v>
      </c>
      <c r="J6" s="807"/>
      <c r="K6" s="809"/>
      <c r="L6" s="806"/>
      <c r="M6" s="807"/>
      <c r="N6" s="120"/>
    </row>
    <row r="7" spans="1:14" ht="15.75" x14ac:dyDescent="0.25">
      <c r="A7" s="794" t="s">
        <v>174</v>
      </c>
      <c r="B7" s="795"/>
      <c r="C7" s="796"/>
      <c r="D7" s="797">
        <v>455</v>
      </c>
      <c r="E7" s="795"/>
      <c r="F7" s="121" t="s">
        <v>34</v>
      </c>
      <c r="I7" s="794" t="s">
        <v>174</v>
      </c>
      <c r="J7" s="795"/>
      <c r="K7" s="796"/>
      <c r="L7" s="797"/>
      <c r="M7" s="795"/>
      <c r="N7" s="121" t="s">
        <v>34</v>
      </c>
    </row>
    <row r="8" spans="1:14" ht="15.75" x14ac:dyDescent="0.25">
      <c r="A8" s="794" t="s">
        <v>125</v>
      </c>
      <c r="B8" s="795"/>
      <c r="C8" s="796"/>
      <c r="D8" s="797">
        <v>8678</v>
      </c>
      <c r="E8" s="795"/>
      <c r="F8" s="121" t="s">
        <v>117</v>
      </c>
      <c r="I8" s="794" t="s">
        <v>125</v>
      </c>
      <c r="J8" s="795"/>
      <c r="K8" s="796"/>
      <c r="L8" s="797"/>
      <c r="M8" s="795"/>
      <c r="N8" s="121" t="s">
        <v>117</v>
      </c>
    </row>
    <row r="9" spans="1:14" ht="15.75" x14ac:dyDescent="0.25">
      <c r="A9" s="794" t="s">
        <v>175</v>
      </c>
      <c r="B9" s="795"/>
      <c r="C9" s="796"/>
      <c r="D9" s="797">
        <v>6.9880000000000004</v>
      </c>
      <c r="E9" s="795"/>
      <c r="F9" s="121"/>
      <c r="I9" s="794" t="s">
        <v>175</v>
      </c>
      <c r="J9" s="795"/>
      <c r="K9" s="796"/>
      <c r="L9" s="797"/>
      <c r="M9" s="795"/>
      <c r="N9" s="121"/>
    </row>
    <row r="10" spans="1:14" ht="15.75" x14ac:dyDescent="0.25">
      <c r="A10" s="794" t="s">
        <v>176</v>
      </c>
      <c r="B10" s="795"/>
      <c r="C10" s="796"/>
      <c r="D10" s="797">
        <v>95055.78</v>
      </c>
      <c r="E10" s="795"/>
      <c r="F10" s="121" t="s">
        <v>123</v>
      </c>
      <c r="I10" s="794" t="s">
        <v>176</v>
      </c>
      <c r="J10" s="795"/>
      <c r="K10" s="796"/>
      <c r="L10" s="797"/>
      <c r="M10" s="795"/>
      <c r="N10" s="121" t="s">
        <v>123</v>
      </c>
    </row>
    <row r="11" spans="1:14" ht="15.75" x14ac:dyDescent="0.25">
      <c r="A11" s="794" t="s">
        <v>289</v>
      </c>
      <c r="B11" s="795"/>
      <c r="C11" s="796"/>
      <c r="D11" s="797">
        <v>87451.32</v>
      </c>
      <c r="E11" s="795"/>
      <c r="F11" s="121" t="s">
        <v>123</v>
      </c>
      <c r="I11" s="794" t="s">
        <v>289</v>
      </c>
      <c r="J11" s="795"/>
      <c r="K11" s="796"/>
      <c r="L11" s="797"/>
      <c r="M11" s="795"/>
      <c r="N11" s="121" t="s">
        <v>123</v>
      </c>
    </row>
    <row r="12" spans="1:14" ht="16.5" thickBot="1" x14ac:dyDescent="0.3">
      <c r="A12" s="803" t="s">
        <v>178</v>
      </c>
      <c r="B12" s="804"/>
      <c r="C12" s="805"/>
      <c r="D12" s="810">
        <v>7604.46</v>
      </c>
      <c r="E12" s="804"/>
      <c r="F12" s="122" t="s">
        <v>123</v>
      </c>
      <c r="I12" s="803" t="s">
        <v>178</v>
      </c>
      <c r="J12" s="804"/>
      <c r="K12" s="805"/>
      <c r="L12" s="810"/>
      <c r="M12" s="804"/>
      <c r="N12" s="122" t="s">
        <v>123</v>
      </c>
    </row>
    <row r="13" spans="1:14" ht="19.5" thickBot="1" x14ac:dyDescent="0.35">
      <c r="A13" s="811" t="s">
        <v>179</v>
      </c>
      <c r="B13" s="812"/>
      <c r="C13" s="812"/>
      <c r="D13" s="812"/>
      <c r="E13" s="812"/>
      <c r="F13" s="813"/>
      <c r="I13" s="811" t="s">
        <v>179</v>
      </c>
      <c r="J13" s="812"/>
      <c r="K13" s="812"/>
      <c r="L13" s="812"/>
      <c r="M13" s="812"/>
      <c r="N13" s="813"/>
    </row>
    <row r="14" spans="1:14" ht="15.75" x14ac:dyDescent="0.25">
      <c r="A14" s="808" t="s">
        <v>173</v>
      </c>
      <c r="B14" s="807"/>
      <c r="C14" s="809"/>
      <c r="D14" s="806">
        <v>0.9</v>
      </c>
      <c r="E14" s="807"/>
      <c r="F14" s="120"/>
      <c r="I14" s="808" t="s">
        <v>173</v>
      </c>
      <c r="J14" s="807"/>
      <c r="K14" s="809"/>
      <c r="L14" s="806"/>
      <c r="M14" s="807"/>
      <c r="N14" s="120"/>
    </row>
    <row r="15" spans="1:14" ht="15.75" x14ac:dyDescent="0.25">
      <c r="A15" s="794" t="s">
        <v>174</v>
      </c>
      <c r="B15" s="795"/>
      <c r="C15" s="796"/>
      <c r="D15" s="797">
        <v>350</v>
      </c>
      <c r="E15" s="795"/>
      <c r="F15" s="121" t="s">
        <v>34</v>
      </c>
      <c r="I15" s="794" t="s">
        <v>174</v>
      </c>
      <c r="J15" s="795"/>
      <c r="K15" s="796"/>
      <c r="L15" s="797"/>
      <c r="M15" s="795"/>
      <c r="N15" s="121" t="s">
        <v>34</v>
      </c>
    </row>
    <row r="16" spans="1:14" ht="15.75" x14ac:dyDescent="0.25">
      <c r="A16" s="794" t="s">
        <v>125</v>
      </c>
      <c r="B16" s="795"/>
      <c r="C16" s="796"/>
      <c r="D16" s="797">
        <v>5000</v>
      </c>
      <c r="E16" s="795"/>
      <c r="F16" s="121" t="s">
        <v>117</v>
      </c>
      <c r="I16" s="794" t="s">
        <v>125</v>
      </c>
      <c r="J16" s="795"/>
      <c r="K16" s="796"/>
      <c r="L16" s="797"/>
      <c r="M16" s="795"/>
      <c r="N16" s="121" t="s">
        <v>117</v>
      </c>
    </row>
    <row r="17" spans="1:14" ht="15.75" x14ac:dyDescent="0.25">
      <c r="A17" s="794" t="s">
        <v>175</v>
      </c>
      <c r="B17" s="795"/>
      <c r="C17" s="796"/>
      <c r="D17" s="797">
        <v>4.2897999999999996</v>
      </c>
      <c r="E17" s="795"/>
      <c r="F17" s="121"/>
      <c r="I17" s="794" t="s">
        <v>175</v>
      </c>
      <c r="J17" s="795"/>
      <c r="K17" s="796"/>
      <c r="L17" s="797"/>
      <c r="M17" s="795"/>
      <c r="N17" s="121"/>
    </row>
    <row r="18" spans="1:14" ht="15.75" x14ac:dyDescent="0.25">
      <c r="A18" s="794" t="s">
        <v>176</v>
      </c>
      <c r="B18" s="795"/>
      <c r="C18" s="796"/>
      <c r="D18" s="797">
        <v>587970.68999999994</v>
      </c>
      <c r="E18" s="795"/>
      <c r="F18" s="121" t="s">
        <v>123</v>
      </c>
      <c r="I18" s="794" t="s">
        <v>176</v>
      </c>
      <c r="J18" s="795"/>
      <c r="K18" s="796"/>
      <c r="L18" s="797"/>
      <c r="M18" s="795"/>
      <c r="N18" s="121" t="s">
        <v>123</v>
      </c>
    </row>
    <row r="19" spans="1:14" ht="15.75" x14ac:dyDescent="0.25">
      <c r="A19" s="794" t="s">
        <v>289</v>
      </c>
      <c r="B19" s="795"/>
      <c r="C19" s="796"/>
      <c r="D19" s="797">
        <v>529173.62</v>
      </c>
      <c r="E19" s="795"/>
      <c r="F19" s="121" t="s">
        <v>123</v>
      </c>
      <c r="I19" s="794" t="s">
        <v>289</v>
      </c>
      <c r="J19" s="795"/>
      <c r="K19" s="796"/>
      <c r="L19" s="797"/>
      <c r="M19" s="795"/>
      <c r="N19" s="121" t="s">
        <v>123</v>
      </c>
    </row>
    <row r="20" spans="1:14" ht="16.5" thickBot="1" x14ac:dyDescent="0.3">
      <c r="A20" s="803" t="s">
        <v>178</v>
      </c>
      <c r="B20" s="804"/>
      <c r="C20" s="805"/>
      <c r="D20" s="797">
        <v>58797.07</v>
      </c>
      <c r="E20" s="795"/>
      <c r="F20" s="121" t="s">
        <v>123</v>
      </c>
      <c r="I20" s="803" t="s">
        <v>178</v>
      </c>
      <c r="J20" s="804"/>
      <c r="K20" s="805"/>
      <c r="L20" s="797"/>
      <c r="M20" s="795"/>
      <c r="N20" s="121" t="s">
        <v>123</v>
      </c>
    </row>
    <row r="21" spans="1:14" ht="19.5" thickBot="1" x14ac:dyDescent="0.35">
      <c r="A21" s="798" t="s">
        <v>180</v>
      </c>
      <c r="B21" s="799"/>
      <c r="C21" s="800"/>
      <c r="D21" s="801">
        <v>690026.47</v>
      </c>
      <c r="E21" s="802"/>
      <c r="F21" s="117" t="s">
        <v>123</v>
      </c>
      <c r="I21" s="798" t="s">
        <v>180</v>
      </c>
      <c r="J21" s="799"/>
      <c r="K21" s="800"/>
      <c r="L21" s="801"/>
      <c r="M21" s="802"/>
      <c r="N21" s="117" t="s">
        <v>123</v>
      </c>
    </row>
  </sheetData>
  <mergeCells count="76">
    <mergeCell ref="A1:C2"/>
    <mergeCell ref="D1:F2"/>
    <mergeCell ref="I1:K2"/>
    <mergeCell ref="L1:N2"/>
    <mergeCell ref="A3:C3"/>
    <mergeCell ref="D3:E3"/>
    <mergeCell ref="I3:K3"/>
    <mergeCell ref="L3:M3"/>
    <mergeCell ref="A4:C4"/>
    <mergeCell ref="D4:E4"/>
    <mergeCell ref="I4:K4"/>
    <mergeCell ref="L4:M4"/>
    <mergeCell ref="A5:F5"/>
    <mergeCell ref="I5:N5"/>
    <mergeCell ref="A6:C6"/>
    <mergeCell ref="D6:E6"/>
    <mergeCell ref="I6:K6"/>
    <mergeCell ref="L6:M6"/>
    <mergeCell ref="A7:C7"/>
    <mergeCell ref="D7:E7"/>
    <mergeCell ref="I7:K7"/>
    <mergeCell ref="L7:M7"/>
    <mergeCell ref="A8:C8"/>
    <mergeCell ref="D8:E8"/>
    <mergeCell ref="I8:K8"/>
    <mergeCell ref="L8:M8"/>
    <mergeCell ref="A9:C9"/>
    <mergeCell ref="D9:E9"/>
    <mergeCell ref="I9:K9"/>
    <mergeCell ref="L9:M9"/>
    <mergeCell ref="A10:C10"/>
    <mergeCell ref="D10:E10"/>
    <mergeCell ref="I10:K10"/>
    <mergeCell ref="L10:M10"/>
    <mergeCell ref="A11:C11"/>
    <mergeCell ref="D11:E11"/>
    <mergeCell ref="I11:K11"/>
    <mergeCell ref="L11:M11"/>
    <mergeCell ref="A12:C12"/>
    <mergeCell ref="D12:E12"/>
    <mergeCell ref="I12:K12"/>
    <mergeCell ref="L12:M12"/>
    <mergeCell ref="A13:F13"/>
    <mergeCell ref="I13:N13"/>
    <mergeCell ref="L14:M14"/>
    <mergeCell ref="A15:C15"/>
    <mergeCell ref="D15:E15"/>
    <mergeCell ref="I15:K15"/>
    <mergeCell ref="L15:M15"/>
    <mergeCell ref="A14:C14"/>
    <mergeCell ref="D14:E14"/>
    <mergeCell ref="I14:K14"/>
    <mergeCell ref="A21:C21"/>
    <mergeCell ref="D21:E21"/>
    <mergeCell ref="I21:K21"/>
    <mergeCell ref="L21:M21"/>
    <mergeCell ref="A18:C18"/>
    <mergeCell ref="D18:E18"/>
    <mergeCell ref="I18:K18"/>
    <mergeCell ref="L18:M18"/>
    <mergeCell ref="A19:C19"/>
    <mergeCell ref="D19:E19"/>
    <mergeCell ref="I19:K19"/>
    <mergeCell ref="L19:M19"/>
    <mergeCell ref="A20:C20"/>
    <mergeCell ref="D20:E20"/>
    <mergeCell ref="I20:K20"/>
    <mergeCell ref="L20:M20"/>
    <mergeCell ref="A16:C16"/>
    <mergeCell ref="D16:E16"/>
    <mergeCell ref="I16:K16"/>
    <mergeCell ref="L16:M16"/>
    <mergeCell ref="A17:C17"/>
    <mergeCell ref="D17:E17"/>
    <mergeCell ref="I17:K17"/>
    <mergeCell ref="L17:M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7795-88E3-4456-A746-930B965C6F5E}">
  <dimension ref="A1:M18"/>
  <sheetViews>
    <sheetView workbookViewId="0">
      <selection activeCell="G47" sqref="G47"/>
    </sheetView>
  </sheetViews>
  <sheetFormatPr defaultRowHeight="15" x14ac:dyDescent="0.25"/>
  <sheetData>
    <row r="1" spans="1:13" ht="27" thickBot="1" x14ac:dyDescent="0.6">
      <c r="A1" s="859" t="s">
        <v>290</v>
      </c>
      <c r="B1" s="860"/>
      <c r="C1" s="860"/>
      <c r="D1" s="860"/>
      <c r="E1" s="860"/>
      <c r="F1" s="861"/>
      <c r="H1" s="859" t="s">
        <v>291</v>
      </c>
      <c r="I1" s="860"/>
      <c r="J1" s="860"/>
      <c r="K1" s="860"/>
      <c r="L1" s="860"/>
      <c r="M1" s="861"/>
    </row>
    <row r="2" spans="1:13" ht="24" thickBot="1" x14ac:dyDescent="0.3">
      <c r="A2" s="876" t="s">
        <v>292</v>
      </c>
      <c r="B2" s="877"/>
      <c r="C2" s="878"/>
      <c r="D2" s="879" t="s">
        <v>293</v>
      </c>
      <c r="E2" s="880"/>
      <c r="F2" s="881"/>
      <c r="H2" s="876" t="s">
        <v>292</v>
      </c>
      <c r="I2" s="877"/>
      <c r="J2" s="878"/>
      <c r="K2" s="879" t="s">
        <v>293</v>
      </c>
      <c r="L2" s="880"/>
      <c r="M2" s="881"/>
    </row>
    <row r="3" spans="1:13" ht="21" x14ac:dyDescent="0.25">
      <c r="A3" s="862" t="s">
        <v>294</v>
      </c>
      <c r="B3" s="863"/>
      <c r="C3" s="863"/>
      <c r="D3" s="882" t="s">
        <v>295</v>
      </c>
      <c r="E3" s="883"/>
      <c r="F3" s="884"/>
      <c r="H3" s="862" t="s">
        <v>294</v>
      </c>
      <c r="I3" s="863"/>
      <c r="J3" s="863"/>
      <c r="K3" s="882" t="s">
        <v>295</v>
      </c>
      <c r="L3" s="883"/>
      <c r="M3" s="884"/>
    </row>
    <row r="4" spans="1:13" ht="21" x14ac:dyDescent="0.25">
      <c r="A4" s="849" t="s">
        <v>296</v>
      </c>
      <c r="B4" s="850"/>
      <c r="C4" s="850"/>
      <c r="D4" s="873" t="s">
        <v>295</v>
      </c>
      <c r="E4" s="874"/>
      <c r="F4" s="875"/>
      <c r="H4" s="849" t="s">
        <v>296</v>
      </c>
      <c r="I4" s="850"/>
      <c r="J4" s="850"/>
      <c r="K4" s="873" t="s">
        <v>295</v>
      </c>
      <c r="L4" s="874"/>
      <c r="M4" s="875"/>
    </row>
    <row r="5" spans="1:13" ht="21" x14ac:dyDescent="0.25">
      <c r="A5" s="849" t="s">
        <v>297</v>
      </c>
      <c r="B5" s="850"/>
      <c r="C5" s="850"/>
      <c r="D5" s="864" t="s">
        <v>295</v>
      </c>
      <c r="E5" s="865"/>
      <c r="F5" s="866"/>
      <c r="H5" s="849" t="s">
        <v>297</v>
      </c>
      <c r="I5" s="850"/>
      <c r="J5" s="850"/>
      <c r="K5" s="864" t="s">
        <v>295</v>
      </c>
      <c r="L5" s="865"/>
      <c r="M5" s="866"/>
    </row>
    <row r="6" spans="1:13" ht="21" x14ac:dyDescent="0.25">
      <c r="A6" s="849" t="s">
        <v>298</v>
      </c>
      <c r="B6" s="850"/>
      <c r="C6" s="850"/>
      <c r="D6" s="864" t="s">
        <v>295</v>
      </c>
      <c r="E6" s="865"/>
      <c r="F6" s="866"/>
      <c r="H6" s="849" t="s">
        <v>298</v>
      </c>
      <c r="I6" s="850"/>
      <c r="J6" s="850"/>
      <c r="K6" s="864" t="s">
        <v>295</v>
      </c>
      <c r="L6" s="865"/>
      <c r="M6" s="866"/>
    </row>
    <row r="7" spans="1:13" ht="21" x14ac:dyDescent="0.25">
      <c r="A7" s="872" t="s">
        <v>299</v>
      </c>
      <c r="B7" s="868"/>
      <c r="C7" s="868"/>
      <c r="D7" s="869" t="s">
        <v>295</v>
      </c>
      <c r="E7" s="870"/>
      <c r="F7" s="871"/>
      <c r="H7" s="872" t="s">
        <v>299</v>
      </c>
      <c r="I7" s="868"/>
      <c r="J7" s="868"/>
      <c r="K7" s="869" t="s">
        <v>295</v>
      </c>
      <c r="L7" s="870"/>
      <c r="M7" s="871"/>
    </row>
    <row r="8" spans="1:13" ht="21" x14ac:dyDescent="0.25">
      <c r="A8" s="872" t="s">
        <v>300</v>
      </c>
      <c r="B8" s="868"/>
      <c r="C8" s="868"/>
      <c r="D8" s="869" t="s">
        <v>295</v>
      </c>
      <c r="E8" s="870"/>
      <c r="F8" s="871"/>
      <c r="H8" s="872" t="s">
        <v>300</v>
      </c>
      <c r="I8" s="868"/>
      <c r="J8" s="868"/>
      <c r="K8" s="869" t="s">
        <v>295</v>
      </c>
      <c r="L8" s="870"/>
      <c r="M8" s="871"/>
    </row>
    <row r="9" spans="1:13" ht="21" x14ac:dyDescent="0.25">
      <c r="A9" s="849" t="s">
        <v>301</v>
      </c>
      <c r="B9" s="850"/>
      <c r="C9" s="850"/>
      <c r="D9" s="873" t="s">
        <v>295</v>
      </c>
      <c r="E9" s="874"/>
      <c r="F9" s="875"/>
      <c r="H9" s="849" t="s">
        <v>301</v>
      </c>
      <c r="I9" s="850"/>
      <c r="J9" s="850"/>
      <c r="K9" s="873" t="s">
        <v>295</v>
      </c>
      <c r="L9" s="874"/>
      <c r="M9" s="875"/>
    </row>
    <row r="10" spans="1:13" ht="21" x14ac:dyDescent="0.25">
      <c r="A10" s="849" t="s">
        <v>302</v>
      </c>
      <c r="B10" s="850"/>
      <c r="C10" s="850"/>
      <c r="D10" s="864" t="s">
        <v>295</v>
      </c>
      <c r="E10" s="865"/>
      <c r="F10" s="866"/>
      <c r="H10" s="849" t="s">
        <v>302</v>
      </c>
      <c r="I10" s="850"/>
      <c r="J10" s="850"/>
      <c r="K10" s="864" t="s">
        <v>295</v>
      </c>
      <c r="L10" s="865"/>
      <c r="M10" s="866"/>
    </row>
    <row r="11" spans="1:13" ht="21" x14ac:dyDescent="0.25">
      <c r="A11" s="867" t="s">
        <v>303</v>
      </c>
      <c r="B11" s="868"/>
      <c r="C11" s="868"/>
      <c r="D11" s="869" t="s">
        <v>295</v>
      </c>
      <c r="E11" s="870"/>
      <c r="F11" s="871"/>
      <c r="H11" s="867" t="s">
        <v>303</v>
      </c>
      <c r="I11" s="868"/>
      <c r="J11" s="868"/>
      <c r="K11" s="869" t="s">
        <v>295</v>
      </c>
      <c r="L11" s="870"/>
      <c r="M11" s="871"/>
    </row>
    <row r="12" spans="1:13" ht="21.75" thickBot="1" x14ac:dyDescent="0.3">
      <c r="A12" s="843" t="s">
        <v>304</v>
      </c>
      <c r="B12" s="844"/>
      <c r="C12" s="844"/>
      <c r="D12" s="839" t="s">
        <v>295</v>
      </c>
      <c r="E12" s="840"/>
      <c r="F12" s="841"/>
      <c r="H12" s="843" t="s">
        <v>304</v>
      </c>
      <c r="I12" s="844"/>
      <c r="J12" s="844"/>
      <c r="K12" s="839" t="s">
        <v>295</v>
      </c>
      <c r="L12" s="840"/>
      <c r="M12" s="841"/>
    </row>
    <row r="13" spans="1:13" ht="15.75" thickBot="1" x14ac:dyDescent="0.3">
      <c r="A13" s="842"/>
      <c r="B13" s="842"/>
      <c r="C13" s="842"/>
    </row>
    <row r="14" spans="1:13" ht="27" thickBot="1" x14ac:dyDescent="0.6">
      <c r="A14" s="859" t="s">
        <v>305</v>
      </c>
      <c r="B14" s="860"/>
      <c r="C14" s="860"/>
      <c r="D14" s="860"/>
      <c r="E14" s="860"/>
      <c r="F14" s="861"/>
      <c r="H14" s="859" t="s">
        <v>305</v>
      </c>
      <c r="I14" s="860"/>
      <c r="J14" s="860"/>
      <c r="K14" s="860"/>
      <c r="L14" s="860"/>
      <c r="M14" s="861"/>
    </row>
    <row r="15" spans="1:13" ht="21" x14ac:dyDescent="0.25">
      <c r="A15" s="862" t="s">
        <v>306</v>
      </c>
      <c r="B15" s="863"/>
      <c r="C15" s="863"/>
      <c r="D15" s="857" t="s">
        <v>295</v>
      </c>
      <c r="E15" s="858"/>
      <c r="F15" s="113" t="s">
        <v>117</v>
      </c>
      <c r="H15" s="862" t="s">
        <v>306</v>
      </c>
      <c r="I15" s="863"/>
      <c r="J15" s="863"/>
      <c r="K15" s="857" t="s">
        <v>295</v>
      </c>
      <c r="L15" s="858"/>
      <c r="M15" s="113" t="s">
        <v>117</v>
      </c>
    </row>
    <row r="16" spans="1:13" ht="21" x14ac:dyDescent="0.25">
      <c r="A16" s="849" t="s">
        <v>307</v>
      </c>
      <c r="B16" s="850"/>
      <c r="C16" s="850"/>
      <c r="D16" s="853" t="s">
        <v>295</v>
      </c>
      <c r="E16" s="854"/>
      <c r="F16" s="114" t="s">
        <v>117</v>
      </c>
      <c r="H16" s="849" t="s">
        <v>307</v>
      </c>
      <c r="I16" s="850"/>
      <c r="J16" s="850"/>
      <c r="K16" s="853" t="s">
        <v>295</v>
      </c>
      <c r="L16" s="854"/>
      <c r="M16" s="114" t="s">
        <v>117</v>
      </c>
    </row>
    <row r="17" spans="1:13" ht="21.75" thickBot="1" x14ac:dyDescent="0.3">
      <c r="A17" s="851" t="s">
        <v>308</v>
      </c>
      <c r="B17" s="852"/>
      <c r="C17" s="852"/>
      <c r="D17" s="855" t="s">
        <v>295</v>
      </c>
      <c r="E17" s="856"/>
      <c r="F17" s="115" t="s">
        <v>117</v>
      </c>
      <c r="H17" s="851" t="s">
        <v>308</v>
      </c>
      <c r="I17" s="852"/>
      <c r="J17" s="852"/>
      <c r="K17" s="855" t="s">
        <v>295</v>
      </c>
      <c r="L17" s="856"/>
      <c r="M17" s="115" t="s">
        <v>117</v>
      </c>
    </row>
    <row r="18" spans="1:13" ht="21.75" thickBot="1" x14ac:dyDescent="0.3">
      <c r="A18" s="845" t="s">
        <v>309</v>
      </c>
      <c r="B18" s="846"/>
      <c r="C18" s="846"/>
      <c r="D18" s="847" t="s">
        <v>295</v>
      </c>
      <c r="E18" s="848"/>
      <c r="F18" s="116" t="s">
        <v>117</v>
      </c>
      <c r="H18" s="845" t="s">
        <v>310</v>
      </c>
      <c r="I18" s="846"/>
      <c r="J18" s="846"/>
      <c r="K18" s="847" t="s">
        <v>295</v>
      </c>
      <c r="L18" s="848"/>
      <c r="M18" s="116" t="s">
        <v>117</v>
      </c>
    </row>
  </sheetData>
  <mergeCells count="65">
    <mergeCell ref="A7:C7"/>
    <mergeCell ref="A8:C8"/>
    <mergeCell ref="A9:C9"/>
    <mergeCell ref="A10:C10"/>
    <mergeCell ref="A11:C11"/>
    <mergeCell ref="A4:C4"/>
    <mergeCell ref="A6:C6"/>
    <mergeCell ref="A5:C5"/>
    <mergeCell ref="A3:C3"/>
    <mergeCell ref="A1:F1"/>
    <mergeCell ref="D2:F2"/>
    <mergeCell ref="D3:F3"/>
    <mergeCell ref="D4:F4"/>
    <mergeCell ref="D5:F5"/>
    <mergeCell ref="A2:C2"/>
    <mergeCell ref="D7:F7"/>
    <mergeCell ref="D8:F8"/>
    <mergeCell ref="D9:F9"/>
    <mergeCell ref="D10:F10"/>
    <mergeCell ref="D11:F11"/>
    <mergeCell ref="H4:J4"/>
    <mergeCell ref="K4:M4"/>
    <mergeCell ref="H5:J5"/>
    <mergeCell ref="K5:M5"/>
    <mergeCell ref="D6:F6"/>
    <mergeCell ref="H6:J6"/>
    <mergeCell ref="K6:M6"/>
    <mergeCell ref="H1:M1"/>
    <mergeCell ref="H2:J2"/>
    <mergeCell ref="K2:M2"/>
    <mergeCell ref="H3:J3"/>
    <mergeCell ref="K3:M3"/>
    <mergeCell ref="H7:J7"/>
    <mergeCell ref="K7:M7"/>
    <mergeCell ref="H8:J8"/>
    <mergeCell ref="K8:M8"/>
    <mergeCell ref="H9:J9"/>
    <mergeCell ref="K9:M9"/>
    <mergeCell ref="H10:J10"/>
    <mergeCell ref="K10:M10"/>
    <mergeCell ref="H11:J11"/>
    <mergeCell ref="K11:M11"/>
    <mergeCell ref="H12:J12"/>
    <mergeCell ref="K12:M12"/>
    <mergeCell ref="A14:F14"/>
    <mergeCell ref="A15:C15"/>
    <mergeCell ref="D15:E15"/>
    <mergeCell ref="H14:M14"/>
    <mergeCell ref="H15:J15"/>
    <mergeCell ref="D12:F12"/>
    <mergeCell ref="A13:C13"/>
    <mergeCell ref="A12:C12"/>
    <mergeCell ref="H18:J18"/>
    <mergeCell ref="K18:L18"/>
    <mergeCell ref="A16:C16"/>
    <mergeCell ref="A17:C17"/>
    <mergeCell ref="A18:C18"/>
    <mergeCell ref="D16:E16"/>
    <mergeCell ref="D17:E17"/>
    <mergeCell ref="D18:E18"/>
    <mergeCell ref="K15:L15"/>
    <mergeCell ref="H16:J16"/>
    <mergeCell ref="K16:L16"/>
    <mergeCell ref="H17:J17"/>
    <mergeCell ref="K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98</vt:i4>
      </vt:variant>
    </vt:vector>
  </HeadingPairs>
  <TitlesOfParts>
    <vt:vector size="106" baseType="lpstr">
      <vt:lpstr>OrbitXferFixed</vt:lpstr>
      <vt:lpstr>Orbit Transfer</vt:lpstr>
      <vt:lpstr>Azimuth</vt:lpstr>
      <vt:lpstr>VacuumIIP</vt:lpstr>
      <vt:lpstr>RocketDesign</vt:lpstr>
      <vt:lpstr>VehicleDesignDetails</vt:lpstr>
      <vt:lpstr>PreDesign</vt:lpstr>
      <vt:lpstr>MissionEvents</vt:lpstr>
      <vt:lpstr>Alt1C</vt:lpstr>
      <vt:lpstr>Alt2C</vt:lpstr>
      <vt:lpstr>Alt3C</vt:lpstr>
      <vt:lpstr>Alt4C</vt:lpstr>
      <vt:lpstr>Alt5C</vt:lpstr>
      <vt:lpstr>Ang1C</vt:lpstr>
      <vt:lpstr>Ang2C</vt:lpstr>
      <vt:lpstr>Ang3C</vt:lpstr>
      <vt:lpstr>Ang4C</vt:lpstr>
      <vt:lpstr>Ang5C</vt:lpstr>
      <vt:lpstr>DeltaAzi</vt:lpstr>
      <vt:lpstr>deltaV</vt:lpstr>
      <vt:lpstr>DelVSav</vt:lpstr>
      <vt:lpstr>DgRd</vt:lpstr>
      <vt:lpstr>DgRdL</vt:lpstr>
      <vt:lpstr>dincl1</vt:lpstr>
      <vt:lpstr>dincl2</vt:lpstr>
      <vt:lpstr>DR1C</vt:lpstr>
      <vt:lpstr>DR2C</vt:lpstr>
      <vt:lpstr>DR3C</vt:lpstr>
      <vt:lpstr>DR4C</vt:lpstr>
      <vt:lpstr>DR5C</vt:lpstr>
      <vt:lpstr>EC1C</vt:lpstr>
      <vt:lpstr>EC2C</vt:lpstr>
      <vt:lpstr>Ener1</vt:lpstr>
      <vt:lpstr>Ener2</vt:lpstr>
      <vt:lpstr>EnerT</vt:lpstr>
      <vt:lpstr>EVel</vt:lpstr>
      <vt:lpstr>fiEner1</vt:lpstr>
      <vt:lpstr>fih</vt:lpstr>
      <vt:lpstr>fiT</vt:lpstr>
      <vt:lpstr>go</vt:lpstr>
      <vt:lpstr>hOrb1</vt:lpstr>
      <vt:lpstr>hOrb2</vt:lpstr>
      <vt:lpstr>hOrbT</vt:lpstr>
      <vt:lpstr>ideltaV</vt:lpstr>
      <vt:lpstr>imf</vt:lpstr>
      <vt:lpstr>imi</vt:lpstr>
      <vt:lpstr>Incl1</vt:lpstr>
      <vt:lpstr>Incl2</vt:lpstr>
      <vt:lpstr>inEner1</vt:lpstr>
      <vt:lpstr>InertAz</vt:lpstr>
      <vt:lpstr>inh</vt:lpstr>
      <vt:lpstr>InjInerVel</vt:lpstr>
      <vt:lpstr>inT</vt:lpstr>
      <vt:lpstr>Isp</vt:lpstr>
      <vt:lpstr>J</vt:lpstr>
      <vt:lpstr>lsLAT</vt:lpstr>
      <vt:lpstr>mf</vt:lpstr>
      <vt:lpstr>mi</vt:lpstr>
      <vt:lpstr>mp1r</vt:lpstr>
      <vt:lpstr>mp2r</vt:lpstr>
      <vt:lpstr>mpr</vt:lpstr>
      <vt:lpstr>Mu</vt:lpstr>
      <vt:lpstr>Orb1a</vt:lpstr>
      <vt:lpstr>Orb1p</vt:lpstr>
      <vt:lpstr>Orb2a</vt:lpstr>
      <vt:lpstr>Orb2p</vt:lpstr>
      <vt:lpstr>orbINCL</vt:lpstr>
      <vt:lpstr>OrbRad</vt:lpstr>
      <vt:lpstr>PER1t</vt:lpstr>
      <vt:lpstr>Per2t</vt:lpstr>
      <vt:lpstr>PerT</vt:lpstr>
      <vt:lpstr>PldDiffMF2</vt:lpstr>
      <vt:lpstr>PldDiffMF3</vt:lpstr>
      <vt:lpstr>RadIn1</vt:lpstr>
      <vt:lpstr>Re_m</vt:lpstr>
      <vt:lpstr>RelAzi</vt:lpstr>
      <vt:lpstr>ROrb1</vt:lpstr>
      <vt:lpstr>SM1A</vt:lpstr>
      <vt:lpstr>SM2A</vt:lpstr>
      <vt:lpstr>SMAT</vt:lpstr>
      <vt:lpstr>TAn1I</vt:lpstr>
      <vt:lpstr>TAOrb1</vt:lpstr>
      <vt:lpstr>TotDelV2</vt:lpstr>
      <vt:lpstr>TotDelVDiff3</vt:lpstr>
      <vt:lpstr>Vcirc1</vt:lpstr>
      <vt:lpstr>Vcirc2</vt:lpstr>
      <vt:lpstr>vel_1</vt:lpstr>
      <vt:lpstr>vel_2</vt:lpstr>
      <vt:lpstr>vel_orb1a</vt:lpstr>
      <vt:lpstr>vel_orb1p</vt:lpstr>
      <vt:lpstr>vel_orb2a</vt:lpstr>
      <vt:lpstr>vel_orb2p</vt:lpstr>
      <vt:lpstr>Vel1C</vt:lpstr>
      <vt:lpstr>Vel2C</vt:lpstr>
      <vt:lpstr>Vel3C</vt:lpstr>
      <vt:lpstr>Vel4C</vt:lpstr>
      <vt:lpstr>Vel5C</vt:lpstr>
      <vt:lpstr>Vel5Ca</vt:lpstr>
      <vt:lpstr>Vhoh1</vt:lpstr>
      <vt:lpstr>Vhoh2</vt:lpstr>
      <vt:lpstr>VidDiffMF</vt:lpstr>
      <vt:lpstr>VidDiffMF3</vt:lpstr>
      <vt:lpstr>VOrb1</vt:lpstr>
      <vt:lpstr>VRel</vt:lpstr>
      <vt:lpstr>VxRel</vt:lpstr>
      <vt:lpstr>VyRel</vt:lpstr>
    </vt:vector>
  </TitlesOfParts>
  <Manager/>
  <Company>Colorado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Alaina Bentley</dc:creator>
  <cp:keywords/>
  <dc:description/>
  <cp:lastModifiedBy>Bentley,Alaina</cp:lastModifiedBy>
  <cp:revision/>
  <dcterms:created xsi:type="dcterms:W3CDTF">2024-01-30T18:32:59Z</dcterms:created>
  <dcterms:modified xsi:type="dcterms:W3CDTF">2024-04-25T18:21:56Z</dcterms:modified>
  <cp:category/>
  <cp:contentStatus/>
</cp:coreProperties>
</file>