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6/"/>
    </mc:Choice>
  </mc:AlternateContent>
  <xr:revisionPtr revIDLastSave="0" documentId="13_ncr:1_{BD8756AE-EF27-B84E-8BB2-A8D242DEBE64}" xr6:coauthVersionLast="47" xr6:coauthVersionMax="47" xr10:uidLastSave="{00000000-0000-0000-0000-000000000000}"/>
  <bookViews>
    <workbookView xWindow="0" yWindow="500" windowWidth="25600" windowHeight="14720" tabRatio="500" activeTab="1" xr2:uid="{00000000-000D-0000-FFFF-FFFF00000000}"/>
  </bookViews>
  <sheets>
    <sheet name="Data" sheetId="1" r:id="rId1"/>
    <sheet name="Sheet1" sheetId="2" r:id="rId2"/>
  </sheets>
  <definedNames>
    <definedName name="_xlchart.v1.0" hidden="1">Data!$C$11:$C$18</definedName>
    <definedName name="_xlchart.v1.1" hidden="1">Data!$D$11:$D$18</definedName>
    <definedName name="_xlchart.v1.10" hidden="1">Data!$J$11:$J$18</definedName>
    <definedName name="_xlchart.v1.11" hidden="1">Data!$J$22:$J$29</definedName>
    <definedName name="_xlchart.v1.2" hidden="1">Data!$J$11:$J$18</definedName>
    <definedName name="_xlchart.v1.3" hidden="1">Data!$J$22:$J$29</definedName>
    <definedName name="_xlchart.v1.4" hidden="1">Data!$C$11:$C$18</definedName>
    <definedName name="_xlchart.v1.5" hidden="1">Data!$D$11:$D$18</definedName>
    <definedName name="_xlchart.v1.6" hidden="1">Data!$J$11:$J$18</definedName>
    <definedName name="_xlchart.v1.7" hidden="1">Data!$J$22:$J$29</definedName>
    <definedName name="_xlchart.v1.8" hidden="1">Data!$C$11:$C$18</definedName>
    <definedName name="_xlchart.v1.9" hidden="1">Data!$D$11:$D$18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V16" i="2"/>
  <c r="U16" i="2"/>
  <c r="T16" i="2"/>
  <c r="S16" i="2"/>
  <c r="R16" i="2"/>
  <c r="Q16" i="2"/>
  <c r="P16" i="2"/>
  <c r="O16" i="2"/>
  <c r="V15" i="2"/>
  <c r="U15" i="2"/>
  <c r="T15" i="2"/>
  <c r="S15" i="2"/>
  <c r="S17" i="2" s="1"/>
  <c r="R15" i="2"/>
  <c r="Q15" i="2"/>
  <c r="P15" i="2"/>
  <c r="P17" i="2" s="1"/>
  <c r="O15" i="2"/>
  <c r="O17" i="2" s="1"/>
  <c r="V9" i="2"/>
  <c r="V10" i="2" s="1"/>
  <c r="V11" i="2" s="1"/>
  <c r="U9" i="2"/>
  <c r="U10" i="2" s="1"/>
  <c r="U11" i="2" s="1"/>
  <c r="T9" i="2"/>
  <c r="T10" i="2" s="1"/>
  <c r="T11" i="2" s="1"/>
  <c r="S9" i="2"/>
  <c r="S10" i="2" s="1"/>
  <c r="S11" i="2" s="1"/>
  <c r="R9" i="2"/>
  <c r="R10" i="2" s="1"/>
  <c r="R11" i="2" s="1"/>
  <c r="Q9" i="2"/>
  <c r="Q10" i="2" s="1"/>
  <c r="Q11" i="2" s="1"/>
  <c r="P9" i="2"/>
  <c r="P10" i="2" s="1"/>
  <c r="P11" i="2" s="1"/>
  <c r="O9" i="2"/>
  <c r="O10" i="2" s="1"/>
  <c r="O11" i="2" s="1"/>
  <c r="B5" i="2"/>
  <c r="B9" i="2"/>
  <c r="C9" i="2" s="1"/>
  <c r="D9" i="2" s="1"/>
  <c r="H9" i="2"/>
  <c r="J9" i="2" s="1"/>
  <c r="I9" i="2"/>
  <c r="B10" i="2"/>
  <c r="C10" i="2" s="1"/>
  <c r="D10" i="2" s="1"/>
  <c r="H10" i="2"/>
  <c r="J10" i="2" s="1"/>
  <c r="K10" i="2" s="1"/>
  <c r="I10" i="2"/>
  <c r="B11" i="2"/>
  <c r="C11" i="2" s="1"/>
  <c r="D11" i="2" s="1"/>
  <c r="H11" i="2"/>
  <c r="J11" i="2" s="1"/>
  <c r="I11" i="2"/>
  <c r="B12" i="2"/>
  <c r="C12" i="2"/>
  <c r="D12" i="2" s="1"/>
  <c r="H12" i="2"/>
  <c r="J12" i="2" s="1"/>
  <c r="I12" i="2"/>
  <c r="B13" i="2"/>
  <c r="C13" i="2" s="1"/>
  <c r="D13" i="2" s="1"/>
  <c r="H13" i="2"/>
  <c r="J13" i="2" s="1"/>
  <c r="I13" i="2"/>
  <c r="B14" i="2"/>
  <c r="C14" i="2" s="1"/>
  <c r="D14" i="2" s="1"/>
  <c r="H14" i="2"/>
  <c r="J14" i="2" s="1"/>
  <c r="I14" i="2"/>
  <c r="B15" i="2"/>
  <c r="C15" i="2" s="1"/>
  <c r="D15" i="2" s="1"/>
  <c r="H15" i="2"/>
  <c r="J15" i="2" s="1"/>
  <c r="I15" i="2"/>
  <c r="B16" i="2"/>
  <c r="C16" i="2" s="1"/>
  <c r="D16" i="2" s="1"/>
  <c r="H16" i="2"/>
  <c r="J16" i="2" s="1"/>
  <c r="I16" i="2"/>
  <c r="I23" i="1"/>
  <c r="I24" i="1"/>
  <c r="I25" i="1"/>
  <c r="I26" i="1"/>
  <c r="I27" i="1"/>
  <c r="I28" i="1"/>
  <c r="I29" i="1"/>
  <c r="I22" i="1"/>
  <c r="H12" i="1"/>
  <c r="H13" i="1"/>
  <c r="H14" i="1"/>
  <c r="H15" i="1"/>
  <c r="H16" i="1"/>
  <c r="H17" i="1"/>
  <c r="H18" i="1"/>
  <c r="H11" i="1"/>
  <c r="B12" i="1"/>
  <c r="C12" i="1" s="1"/>
  <c r="B13" i="1"/>
  <c r="B14" i="1"/>
  <c r="B15" i="1"/>
  <c r="B16" i="1"/>
  <c r="B17" i="1"/>
  <c r="B18" i="1"/>
  <c r="B11" i="1"/>
  <c r="C11" i="1" s="1"/>
  <c r="D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1" i="1"/>
  <c r="M11" i="1" s="1"/>
  <c r="T17" i="2" l="1"/>
  <c r="T18" i="2" s="1"/>
  <c r="Q17" i="2"/>
  <c r="Q18" i="2" s="1"/>
  <c r="U17" i="2"/>
  <c r="U18" i="2" s="1"/>
  <c r="K15" i="2"/>
  <c r="K9" i="2"/>
  <c r="R17" i="2"/>
  <c r="R18" i="2" s="1"/>
  <c r="V17" i="2"/>
  <c r="V18" i="2" s="1"/>
  <c r="O18" i="2"/>
  <c r="S18" i="2"/>
  <c r="P18" i="2"/>
  <c r="K13" i="2"/>
  <c r="K14" i="2"/>
  <c r="K12" i="2"/>
  <c r="K16" i="2"/>
  <c r="K11" i="2"/>
  <c r="I35" i="1"/>
  <c r="H29" i="1"/>
  <c r="H28" i="1"/>
  <c r="H27" i="1"/>
  <c r="H26" i="1"/>
  <c r="H25" i="1"/>
  <c r="H24" i="1"/>
  <c r="H23" i="1"/>
  <c r="H22" i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B5" i="1"/>
  <c r="J27" i="1" l="1"/>
  <c r="K27" i="1" s="1"/>
  <c r="J14" i="1"/>
  <c r="K14" i="1" s="1"/>
  <c r="J16" i="1"/>
  <c r="K16" i="1" s="1"/>
  <c r="N15" i="1"/>
  <c r="J11" i="1"/>
  <c r="K11" i="1" s="1"/>
  <c r="J15" i="1"/>
  <c r="K15" i="1" s="1"/>
  <c r="J18" i="1"/>
  <c r="K18" i="1" s="1"/>
  <c r="J13" i="1"/>
  <c r="K13" i="1" s="1"/>
  <c r="J17" i="1"/>
  <c r="K17" i="1" s="1"/>
  <c r="J12" i="1"/>
  <c r="D12" i="1"/>
  <c r="I42" i="1" s="1"/>
  <c r="J35" i="1"/>
  <c r="J22" i="1"/>
  <c r="K22" i="1" s="1"/>
  <c r="J26" i="1"/>
  <c r="K26" i="1" s="1"/>
  <c r="J25" i="1"/>
  <c r="K25" i="1" s="1"/>
  <c r="J29" i="1"/>
  <c r="K29" i="1" s="1"/>
  <c r="J24" i="1"/>
  <c r="K24" i="1" s="1"/>
  <c r="J28" i="1"/>
  <c r="K28" i="1" s="1"/>
  <c r="J23" i="1"/>
  <c r="I45" i="1" l="1"/>
  <c r="I44" i="1"/>
  <c r="K23" i="1"/>
  <c r="K12" i="1"/>
  <c r="I37" i="1"/>
  <c r="J37" i="1" s="1"/>
  <c r="I38" i="1"/>
  <c r="J38" i="1" s="1"/>
</calcChain>
</file>

<file path=xl/sharedStrings.xml><?xml version="1.0" encoding="utf-8"?>
<sst xmlns="http://schemas.openxmlformats.org/spreadsheetml/2006/main" count="94" uniqueCount="58">
  <si>
    <t>g</t>
  </si>
  <si>
    <t>m/s^2</t>
  </si>
  <si>
    <t>X_1</t>
  </si>
  <si>
    <t>m</t>
  </si>
  <si>
    <t>X_2</t>
  </si>
  <si>
    <r>
      <rPr>
        <sz val="10"/>
        <rFont val="Arial"/>
        <family val="2"/>
      </rPr>
      <t>Δ</t>
    </r>
    <r>
      <rPr>
        <sz val="10"/>
        <rFont val="Arial"/>
        <family val="2"/>
        <charset val="1"/>
      </rPr>
      <t>X</t>
    </r>
  </si>
  <si>
    <t>M</t>
  </si>
  <si>
    <t>DATA: Accelerating System of mass M</t>
  </si>
  <si>
    <t>Measurement #</t>
  </si>
  <si>
    <t>m(g)</t>
  </si>
  <si>
    <t>F_{net} (N)</t>
  </si>
  <si>
    <t>a(predicted) (m/s^2)</t>
  </si>
  <si>
    <t>T_{1} (s)</t>
  </si>
  <si>
    <t>T_{2} (s)</t>
  </si>
  <si>
    <t>T _{3} (s)</t>
  </si>
  <si>
    <t>ΔT _{avg} (s)</t>
  </si>
  <si>
    <t>a(measured) (m/s^2)</t>
  </si>
  <si>
    <t>%err (acceleration)</t>
  </si>
  <si>
    <t>Old time data (Measured without waiting for the air system to start up)</t>
  </si>
  <si>
    <t>Data for questions</t>
  </si>
  <si>
    <t>fractional discrepency</t>
  </si>
  <si>
    <t>M / measured</t>
  </si>
  <si>
    <t>new data</t>
  </si>
  <si>
    <t>old data</t>
  </si>
  <si>
    <t>Y intercept</t>
  </si>
  <si>
    <t>ideal</t>
  </si>
  <si>
    <t xml:space="preserve"> </t>
  </si>
  <si>
    <t>std deviation</t>
  </si>
  <si>
    <t>kg</t>
  </si>
  <si>
    <t>Slope = M(kg)</t>
  </si>
  <si>
    <t>T _{avg} (s)</t>
  </si>
  <si>
    <t>Percent Error (%)</t>
  </si>
  <si>
    <t>T_{std}</t>
  </si>
  <si>
    <t>T1 (s)</t>
  </si>
  <si>
    <t>T_std</t>
  </si>
  <si>
    <t>Percent Error (m/s²)</t>
  </si>
  <si>
    <t>g (m/s²)</t>
  </si>
  <si>
    <t>X_1 (m)</t>
  </si>
  <si>
    <t>X_2 (m)</t>
  </si>
  <si>
    <t>M (kg)</t>
  </si>
  <si>
    <t>ΔX (m)</t>
  </si>
  <si>
    <t>Slope (Mass)</t>
  </si>
  <si>
    <t>Fractional Discrepency</t>
  </si>
  <si>
    <t>Expected</t>
  </si>
  <si>
    <t>Measured (New)</t>
  </si>
  <si>
    <t>Measured (Old)</t>
  </si>
  <si>
    <t>\Delta{x} (m)</t>
  </si>
  <si>
    <t>x\textsubscript{1} (m)</t>
  </si>
  <si>
    <t>g (m/s\textsuperscript{2})</t>
  </si>
  <si>
    <t>x\textsubscript{2} (m)</t>
  </si>
  <si>
    <t>F\textsubscript{net} (N)</t>
  </si>
  <si>
    <t>a(predicted) (m/s\textsuperscript{2})</t>
  </si>
  <si>
    <t>T\textsubscript{1} (s)</t>
  </si>
  <si>
    <t>T\textsubscript{2} (s)</t>
  </si>
  <si>
    <t>T\textsubscript{3} (s)</t>
  </si>
  <si>
    <t>T\textsubscript{avg} (s)</t>
  </si>
  <si>
    <t>T\textsubscript{std} (s)</t>
  </si>
  <si>
    <t>a(measured)(m/s\textsuperscript{2})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</si>
</sst>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"/>
      <family val="2"/>
      <charset val="1"/>
    </font>
    <font>
      <sz val="12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b/>
      <sz val="12"/>
      <color theme="1"/>
      <name val="Arial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4" xfId="0" applyNumberFormat="1" applyBorder="1"/>
    <xf numFmtId="0" fontId="0" fillId="0" borderId="13" xfId="0" applyBorder="1"/>
    <xf numFmtId="164" fontId="0" fillId="0" borderId="1" xfId="0" applyNumberFormat="1" applyBorder="1"/>
    <xf numFmtId="164" fontId="0" fillId="0" borderId="13" xfId="0" applyNumberFormat="1" applyBorder="1"/>
    <xf numFmtId="10" fontId="0" fillId="0" borderId="3" xfId="0" applyNumberFormat="1" applyBorder="1"/>
    <xf numFmtId="0" fontId="0" fillId="0" borderId="14" xfId="0" applyBorder="1"/>
    <xf numFmtId="164" fontId="0" fillId="0" borderId="14" xfId="0" applyNumberFormat="1" applyBorder="1"/>
    <xf numFmtId="10" fontId="0" fillId="0" borderId="5" xfId="0" applyNumberFormat="1" applyBorder="1"/>
    <xf numFmtId="164" fontId="0" fillId="0" borderId="6" xfId="0" applyNumberFormat="1" applyBorder="1"/>
    <xf numFmtId="0" fontId="0" fillId="0" borderId="15" xfId="0" applyBorder="1"/>
    <xf numFmtId="164" fontId="0" fillId="0" borderId="15" xfId="0" applyNumberFormat="1" applyBorder="1"/>
    <xf numFmtId="10" fontId="0" fillId="0" borderId="8" xfId="0" applyNumberFormat="1" applyBorder="1"/>
    <xf numFmtId="164" fontId="0" fillId="0" borderId="0" xfId="0" applyNumberFormat="1"/>
    <xf numFmtId="10" fontId="0" fillId="0" borderId="0" xfId="0" applyNumberFormat="1"/>
    <xf numFmtId="0" fontId="0" fillId="0" borderId="0" xfId="0"/>
    <xf numFmtId="12" fontId="0" fillId="0" borderId="10" xfId="0" applyNumberFormat="1" applyBorder="1"/>
    <xf numFmtId="0" fontId="0" fillId="0" borderId="0" xfId="0" applyFill="1" applyBorder="1"/>
    <xf numFmtId="0" fontId="1" fillId="0" borderId="0" xfId="1"/>
    <xf numFmtId="0" fontId="4" fillId="0" borderId="0" xfId="1" applyFont="1"/>
    <xf numFmtId="164" fontId="4" fillId="0" borderId="6" xfId="1" applyNumberFormat="1" applyFont="1" applyBorder="1"/>
    <xf numFmtId="0" fontId="4" fillId="0" borderId="6" xfId="1" applyFont="1" applyBorder="1"/>
    <xf numFmtId="164" fontId="4" fillId="0" borderId="4" xfId="1" applyNumberFormat="1" applyFont="1" applyBorder="1"/>
    <xf numFmtId="0" fontId="4" fillId="0" borderId="4" xfId="1" applyFont="1" applyBorder="1"/>
    <xf numFmtId="0" fontId="4" fillId="0" borderId="1" xfId="1" applyFont="1" applyBorder="1"/>
    <xf numFmtId="0" fontId="4" fillId="0" borderId="12" xfId="1" applyFont="1" applyBorder="1"/>
    <xf numFmtId="0" fontId="4" fillId="0" borderId="9" xfId="1" applyFont="1" applyBorder="1"/>
    <xf numFmtId="10" fontId="1" fillId="0" borderId="0" xfId="1" applyNumberFormat="1"/>
    <xf numFmtId="164" fontId="1" fillId="0" borderId="0" xfId="1" applyNumberFormat="1"/>
    <xf numFmtId="0" fontId="1" fillId="0" borderId="7" xfId="1" applyBorder="1"/>
    <xf numFmtId="0" fontId="1" fillId="0" borderId="8" xfId="1" applyBorder="1"/>
    <xf numFmtId="0" fontId="1" fillId="0" borderId="5" xfId="1" applyBorder="1"/>
    <xf numFmtId="0" fontId="1" fillId="0" borderId="3" xfId="1" applyBorder="1"/>
    <xf numFmtId="0" fontId="1" fillId="0" borderId="2" xfId="1" applyBorder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16" xfId="1" applyBorder="1" applyAlignment="1">
      <alignment horizontal="center"/>
    </xf>
    <xf numFmtId="0" fontId="1" fillId="0" borderId="16" xfId="1" applyBorder="1"/>
    <xf numFmtId="0" fontId="5" fillId="0" borderId="16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10" fontId="5" fillId="0" borderId="0" xfId="1" applyNumberFormat="1" applyFont="1" applyAlignment="1">
      <alignment horizontal="center"/>
    </xf>
    <xf numFmtId="0" fontId="5" fillId="0" borderId="1" xfId="1" applyFont="1" applyBorder="1"/>
    <xf numFmtId="0" fontId="5" fillId="0" borderId="4" xfId="1" applyFont="1" applyBorder="1"/>
    <xf numFmtId="0" fontId="6" fillId="0" borderId="4" xfId="1" applyFont="1" applyBorder="1"/>
    <xf numFmtId="0" fontId="5" fillId="0" borderId="6" xfId="1" applyFont="1" applyBorder="1"/>
    <xf numFmtId="0" fontId="6" fillId="0" borderId="0" xfId="1" applyFont="1" applyBorder="1"/>
    <xf numFmtId="0" fontId="5" fillId="0" borderId="16" xfId="1" applyFont="1" applyBorder="1"/>
    <xf numFmtId="0" fontId="6" fillId="0" borderId="16" xfId="1" applyFont="1" applyBorder="1"/>
    <xf numFmtId="0" fontId="1" fillId="0" borderId="17" xfId="1" applyBorder="1"/>
    <xf numFmtId="0" fontId="4" fillId="0" borderId="0" xfId="1" applyFont="1" applyBorder="1"/>
    <xf numFmtId="10" fontId="4" fillId="0" borderId="0" xfId="1" applyNumberFormat="1" applyFont="1" applyBorder="1"/>
    <xf numFmtId="164" fontId="4" fillId="0" borderId="0" xfId="1" applyNumberFormat="1" applyFont="1" applyBorder="1"/>
    <xf numFmtId="0" fontId="5" fillId="0" borderId="0" xfId="1" applyFont="1"/>
    <xf numFmtId="0" fontId="4" fillId="0" borderId="16" xfId="1" applyFont="1" applyBorder="1"/>
    <xf numFmtId="10" fontId="4" fillId="0" borderId="16" xfId="1" applyNumberFormat="1" applyFont="1" applyBorder="1"/>
    <xf numFmtId="164" fontId="4" fillId="0" borderId="16" xfId="1" applyNumberFormat="1" applyFont="1" applyBorder="1"/>
  </cellXfs>
  <cellStyles count="2">
    <cellStyle name="Normal" xfId="0" builtinId="0"/>
    <cellStyle name="Normal 2" xfId="1" xr:uid="{5BE66BCE-6AE3-9646-B2A8-BA408EF503AA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Measured (NEW)</c:v>
          </c:tx>
          <c:spPr>
            <a:ln w="28800">
              <a:solidFill>
                <a:schemeClr val="tx1">
                  <a:lumMod val="50000"/>
                  <a:lumOff val="50000"/>
                </a:schemeClr>
              </a:solidFill>
              <a:round/>
            </a:ln>
          </c:spPr>
          <c:marker>
            <c:symbol val="square"/>
            <c:size val="8"/>
            <c:spPr>
              <a:solidFill>
                <a:schemeClr val="tx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3.3988641136228473E-2"/>
                  <c:y val="0.36641349860833139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MEASURED (NEW)</a:t>
                    </a:r>
                  </a:p>
                  <a:p>
                    <a:pPr>
                      <a:defRPr sz="1400"/>
                    </a:pPr>
                    <a:r>
                      <a:rPr lang="en-US" baseline="0"/>
                      <a:t>y = 0.308x + 0.0058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Data!$J$11:$J$18</c:f>
              <c:numCache>
                <c:formatCode>General</c:formatCode>
                <c:ptCount val="8"/>
                <c:pt idx="0">
                  <c:v>0.31559999999999999</c:v>
                </c:pt>
                <c:pt idx="1">
                  <c:v>0.4506</c:v>
                </c:pt>
                <c:pt idx="2">
                  <c:v>0.61080000000000001</c:v>
                </c:pt>
                <c:pt idx="3">
                  <c:v>0.78680000000000005</c:v>
                </c:pt>
                <c:pt idx="4">
                  <c:v>0.90329999999999999</c:v>
                </c:pt>
                <c:pt idx="5">
                  <c:v>1.105</c:v>
                </c:pt>
                <c:pt idx="6">
                  <c:v>1.276</c:v>
                </c:pt>
                <c:pt idx="7">
                  <c:v>1.403</c:v>
                </c:pt>
              </c:numCache>
            </c:numRef>
          </c:xVal>
          <c:yVal>
            <c:numRef>
              <c:f>Data!$C$11:$C$18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0.14699999999999999</c:v>
                </c:pt>
                <c:pt idx="2">
                  <c:v>0.19600000000000001</c:v>
                </c:pt>
                <c:pt idx="3">
                  <c:v>0.24500000000000002</c:v>
                </c:pt>
                <c:pt idx="4">
                  <c:v>0.29399999999999998</c:v>
                </c:pt>
                <c:pt idx="5">
                  <c:v>0.34300000000000008</c:v>
                </c:pt>
                <c:pt idx="6">
                  <c:v>0.39200000000000002</c:v>
                </c:pt>
                <c:pt idx="7">
                  <c:v>0.441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E-D945-8999-D6D2E52953AB}"/>
            </c:ext>
          </c:extLst>
        </c:ser>
        <c:ser>
          <c:idx val="2"/>
          <c:order val="1"/>
          <c:tx>
            <c:v>Expected</c:v>
          </c:tx>
          <c:spPr>
            <a:ln w="28800">
              <a:solidFill>
                <a:schemeClr val="tx1"/>
              </a:solidFill>
              <a:round/>
            </a:ln>
          </c:spPr>
          <c:marker>
            <c:symbol val="diamond"/>
            <c:size val="8"/>
            <c:spPr>
              <a:solidFill>
                <a:schemeClr val="tx2">
                  <a:lumMod val="50000"/>
                  <a:lumOff val="50000"/>
                </a:schemeClr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2.3249589199856781E-3"/>
                  <c:y val="-4.8630338846824911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200" baseline="0"/>
                      <a:t>EXPECTED</a:t>
                    </a:r>
                  </a:p>
                  <a:p>
                    <a:pPr>
                      <a:defRPr sz="1400"/>
                    </a:pPr>
                    <a:r>
                      <a:rPr lang="en-US" sz="1200" baseline="0"/>
                      <a:t>y = 0.3409x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Data!$D$11:$D$18</c:f>
              <c:numCache>
                <c:formatCode>0.0000</c:formatCode>
                <c:ptCount val="8"/>
                <c:pt idx="0">
                  <c:v>0.28744229156034234</c:v>
                </c:pt>
                <c:pt idx="1">
                  <c:v>0.43116343734051349</c:v>
                </c:pt>
                <c:pt idx="2">
                  <c:v>0.57488458312068469</c:v>
                </c:pt>
                <c:pt idx="3">
                  <c:v>0.71860572890085594</c:v>
                </c:pt>
                <c:pt idx="4">
                  <c:v>0.86232687468102698</c:v>
                </c:pt>
                <c:pt idx="5">
                  <c:v>1.0060480204611983</c:v>
                </c:pt>
                <c:pt idx="6">
                  <c:v>1.1497691662413694</c:v>
                </c:pt>
                <c:pt idx="7">
                  <c:v>1.2934903120215404</c:v>
                </c:pt>
              </c:numCache>
            </c:numRef>
          </c:xVal>
          <c:yVal>
            <c:numRef>
              <c:f>Data!$C$11:$C$18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0.14699999999999999</c:v>
                </c:pt>
                <c:pt idx="2">
                  <c:v>0.19600000000000001</c:v>
                </c:pt>
                <c:pt idx="3">
                  <c:v>0.24500000000000002</c:v>
                </c:pt>
                <c:pt idx="4">
                  <c:v>0.29399999999999998</c:v>
                </c:pt>
                <c:pt idx="5">
                  <c:v>0.34300000000000008</c:v>
                </c:pt>
                <c:pt idx="6">
                  <c:v>0.39200000000000002</c:v>
                </c:pt>
                <c:pt idx="7">
                  <c:v>0.441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E-D945-8999-D6D2E52953AB}"/>
            </c:ext>
          </c:extLst>
        </c:ser>
        <c:ser>
          <c:idx val="1"/>
          <c:order val="2"/>
          <c:tx>
            <c:v>Measured (OLD)</c:v>
          </c:tx>
          <c:spPr>
            <a:ln w="34925">
              <a:solidFill>
                <a:schemeClr val="tx2"/>
              </a:solidFill>
              <a:prstDash val="sysDot"/>
              <a:round/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2"/>
                </a:solidFill>
                <a:prstDash val="sysDot"/>
              </a:ln>
              <a:scene3d>
                <a:camera prst="orthographicFront"/>
                <a:lightRig rig="threePt" dir="t"/>
              </a:scene3d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9.1244360260125848E-2"/>
                  <c:y val="8.7954357393838362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MEASURED (OLD)</a:t>
                    </a:r>
                  </a:p>
                  <a:p>
                    <a:pPr>
                      <a:defRPr sz="1400"/>
                    </a:pPr>
                    <a:r>
                      <a:rPr lang="en-US" sz="1400" baseline="0"/>
                      <a:t>y = 0.4936x - 0.0032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Data!$J$22:$J$29</c:f>
              <c:numCache>
                <c:formatCode>0.0000</c:formatCode>
                <c:ptCount val="8"/>
                <c:pt idx="0">
                  <c:v>0.19999022107274608</c:v>
                </c:pt>
                <c:pt idx="1">
                  <c:v>0.34107347487925782</c:v>
                </c:pt>
                <c:pt idx="2">
                  <c:v>0.44422897015324159</c:v>
                </c:pt>
                <c:pt idx="3">
                  <c:v>0.49609946349145961</c:v>
                </c:pt>
                <c:pt idx="4">
                  <c:v>0.54077558349435106</c:v>
                </c:pt>
                <c:pt idx="5">
                  <c:v>0.67100415184571216</c:v>
                </c:pt>
                <c:pt idx="6">
                  <c:v>0.78377781229660293</c:v>
                </c:pt>
                <c:pt idx="7">
                  <c:v>0.94289305863294859</c:v>
                </c:pt>
              </c:numCache>
            </c:numRef>
          </c:xVal>
          <c:yVal>
            <c:numRef>
              <c:f>Data!$C$11:$C$18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0.14699999999999999</c:v>
                </c:pt>
                <c:pt idx="2">
                  <c:v>0.19600000000000001</c:v>
                </c:pt>
                <c:pt idx="3">
                  <c:v>0.24500000000000002</c:v>
                </c:pt>
                <c:pt idx="4">
                  <c:v>0.29399999999999998</c:v>
                </c:pt>
                <c:pt idx="5">
                  <c:v>0.34300000000000008</c:v>
                </c:pt>
                <c:pt idx="6">
                  <c:v>0.39200000000000002</c:v>
                </c:pt>
                <c:pt idx="7">
                  <c:v>0.441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7-0C44-871F-10076C60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9748"/>
        <c:axId val="50531693"/>
      </c:scatterChart>
      <c:valAx>
        <c:axId val="321797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/>
                </a:pPr>
                <a:r>
                  <a:rPr lang="en-US" sz="2000"/>
                  <a:t>Acceleration (m/s²)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crossAx val="50531693"/>
        <c:crosses val="autoZero"/>
        <c:crossBetween val="midCat"/>
      </c:valAx>
      <c:valAx>
        <c:axId val="505316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2000"/>
                </a:pPr>
                <a:r>
                  <a:rPr lang="en-US" sz="2000"/>
                  <a:t>Force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crossAx val="321797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txPr>
    <a:bodyPr/>
    <a:lstStyle/>
    <a:p>
      <a:pPr>
        <a:defRPr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260906</xdr:colOff>
      <xdr:row>32</xdr:row>
      <xdr:rowOff>123922</xdr:rowOff>
    </xdr:from>
    <xdr:to>
      <xdr:col>19</xdr:col>
      <xdr:colOff>406400</xdr:colOff>
      <xdr:row>60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0.42528</cdr:x>
      <cdr:y>0.47879</cdr:y>
    </cdr:from>
    <cdr:to>
      <cdr:x>0.50947</cdr:x>
      <cdr:y>0.47879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DDE9176-79EB-2CE9-EB99-F96550A681A0}"/>
            </a:ext>
          </a:extLst>
        </cdr:cNvPr>
        <cdr:cNvCxnSpPr/>
      </cdr:nvCxnSpPr>
      <cdr:spPr>
        <a:xfrm xmlns:a="http://schemas.openxmlformats.org/drawingml/2006/main" flipH="1">
          <a:off x="3679829" y="2238651"/>
          <a:ext cx="728382" cy="0"/>
        </a:xfrm>
        <a:prstGeom xmlns:a="http://schemas.openxmlformats.org/drawingml/2006/main" prst="straightConnector1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0.56882</cdr:x>
      <cdr:y>0.11929</cdr:y>
    </cdr:from>
    <cdr:to>
      <cdr:x>0.56882</cdr:x>
      <cdr:y>0.20317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0D79473A-4023-4F67-FD18-40A0344562A1}"/>
            </a:ext>
          </a:extLst>
        </cdr:cNvPr>
        <cdr:cNvCxnSpPr/>
      </cdr:nvCxnSpPr>
      <cdr:spPr>
        <a:xfrm xmlns:a="http://schemas.openxmlformats.org/drawingml/2006/main">
          <a:off x="4921814" y="557769"/>
          <a:ext cx="0" cy="392206"/>
        </a:xfrm>
        <a:prstGeom xmlns:a="http://schemas.openxmlformats.org/drawingml/2006/main" prst="straightConnector1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5"/>
  <sheetViews>
    <sheetView topLeftCell="H1" zoomScaleNormal="398" workbookViewId="0">
      <selection activeCell="H33" sqref="H33:J45"/>
    </sheetView>
  </sheetViews>
  <sheetFormatPr baseColWidth="10" defaultColWidth="11.5" defaultRowHeight="13" x14ac:dyDescent="0.15"/>
  <cols>
    <col min="1" max="1" width="14" customWidth="1"/>
    <col min="3" max="3" width="19" customWidth="1"/>
    <col min="4" max="4" width="17.33203125" customWidth="1"/>
    <col min="5" max="6" width="8.33203125" customWidth="1"/>
    <col min="7" max="7" width="8.83203125" customWidth="1"/>
    <col min="8" max="8" width="12.5" customWidth="1"/>
    <col min="9" max="9" width="18" customWidth="1"/>
    <col min="10" max="10" width="19" customWidth="1"/>
    <col min="11" max="11" width="19.5" customWidth="1"/>
  </cols>
  <sheetData>
    <row r="2" spans="1:14" x14ac:dyDescent="0.15">
      <c r="A2" s="1" t="s">
        <v>0</v>
      </c>
      <c r="B2" s="2">
        <v>9.8000000000000007</v>
      </c>
      <c r="C2" s="3" t="s">
        <v>1</v>
      </c>
    </row>
    <row r="3" spans="1:14" x14ac:dyDescent="0.15">
      <c r="A3" s="4" t="s">
        <v>2</v>
      </c>
      <c r="B3">
        <v>1.169</v>
      </c>
      <c r="C3" s="5" t="s">
        <v>3</v>
      </c>
    </row>
    <row r="4" spans="1:14" x14ac:dyDescent="0.15">
      <c r="A4" s="4" t="s">
        <v>4</v>
      </c>
      <c r="B4">
        <v>0.5</v>
      </c>
      <c r="C4" s="5" t="s">
        <v>3</v>
      </c>
    </row>
    <row r="5" spans="1:14" x14ac:dyDescent="0.15">
      <c r="A5" s="6" t="s">
        <v>5</v>
      </c>
      <c r="B5">
        <f>B3-B4</f>
        <v>0.66900000000000004</v>
      </c>
      <c r="C5" s="5" t="s">
        <v>3</v>
      </c>
    </row>
    <row r="6" spans="1:14" x14ac:dyDescent="0.15">
      <c r="A6" s="7" t="s">
        <v>6</v>
      </c>
      <c r="B6" s="8">
        <v>0.34093800000000002</v>
      </c>
      <c r="C6" s="9" t="s">
        <v>28</v>
      </c>
    </row>
    <row r="9" spans="1:14" x14ac:dyDescent="0.15">
      <c r="B9" t="s">
        <v>7</v>
      </c>
    </row>
    <row r="10" spans="1:14" x14ac:dyDescent="0.15">
      <c r="A10" s="8" t="s">
        <v>8</v>
      </c>
      <c r="B10" s="8" t="s">
        <v>9</v>
      </c>
      <c r="C10" s="8" t="s">
        <v>10</v>
      </c>
      <c r="D10" s="8" t="s">
        <v>11</v>
      </c>
      <c r="E10" s="8" t="s">
        <v>12</v>
      </c>
      <c r="F10" s="8" t="s">
        <v>13</v>
      </c>
      <c r="G10" s="8" t="s">
        <v>14</v>
      </c>
      <c r="H10" s="8" t="s">
        <v>30</v>
      </c>
      <c r="I10" s="30" t="s">
        <v>34</v>
      </c>
      <c r="J10" s="8" t="s">
        <v>16</v>
      </c>
      <c r="K10" s="8" t="s">
        <v>17</v>
      </c>
      <c r="L10" s="8" t="s">
        <v>27</v>
      </c>
    </row>
    <row r="11" spans="1:14" x14ac:dyDescent="0.15">
      <c r="A11">
        <v>1</v>
      </c>
      <c r="B11">
        <f>(A11+1)*5 / 1000</f>
        <v>0.01</v>
      </c>
      <c r="C11">
        <f>B11*$B$2</f>
        <v>9.8000000000000004E-2</v>
      </c>
      <c r="D11" s="26">
        <f>C11/$B$6</f>
        <v>0.28744229156034234</v>
      </c>
      <c r="E11">
        <v>2.0430000000000001</v>
      </c>
      <c r="F11">
        <v>2.0670000000000002</v>
      </c>
      <c r="G11">
        <v>2.0670000000000002</v>
      </c>
      <c r="H11">
        <f>TRUNC(AVERAGE(E11:G11), 4 - (1 + INT(LOG10(AVERAGE(E11:G11)))))</f>
        <v>2.0590000000000002</v>
      </c>
      <c r="I11">
        <f>TRUNC(_xlfn.STDEV.P(E11:G11), 4 - (1 + INT(LOG10(ABS(_xlfn.STDEV.P(E11:G11))))))</f>
        <v>1.1310000000000001E-2</v>
      </c>
      <c r="J11">
        <f>TRUNC((2*$B$5)/( H11^2), 4 - (1 + INT(LOG10(ABS((2*$B$5)/( H11^2))))))</f>
        <v>0.31559999999999999</v>
      </c>
      <c r="K11" s="27">
        <f>ABS(J11-D11)/D11</f>
        <v>9.7959518367346926E-2</v>
      </c>
      <c r="M11">
        <f>I11*100</f>
        <v>1.131</v>
      </c>
    </row>
    <row r="12" spans="1:14" x14ac:dyDescent="0.15">
      <c r="A12">
        <v>2</v>
      </c>
      <c r="B12">
        <f t="shared" ref="B12:B18" si="0">(A12+1)*5 / 1000</f>
        <v>1.4999999999999999E-2</v>
      </c>
      <c r="C12">
        <f>B12*$B$2</f>
        <v>0.14699999999999999</v>
      </c>
      <c r="D12" s="26">
        <f t="shared" ref="D12:D18" si="1">C12/$B$6</f>
        <v>0.43116343734051349</v>
      </c>
      <c r="E12">
        <v>1.698</v>
      </c>
      <c r="F12">
        <v>1.732</v>
      </c>
      <c r="G12">
        <v>1.7390000000000001</v>
      </c>
      <c r="H12">
        <f t="shared" ref="H12:H18" si="2">TRUNC(AVERAGE(E12:G12), 4 - (1 + INT(LOG10(AVERAGE(E12:G12)))))</f>
        <v>1.7230000000000001</v>
      </c>
      <c r="I12">
        <f>TRUNC(_xlfn.STDEV.P(E12:G12), 4 - (1 + INT(LOG10(ABS(_xlfn.STDEV.P(E12:G12))))))</f>
        <v>1.7899999999999999E-2</v>
      </c>
      <c r="J12">
        <f>TRUNC((2*$B$5)/( H12^2), 4 - (1 + INT(LOG10(ABS((2*$B$5)/( H12^2))))))</f>
        <v>0.4506</v>
      </c>
      <c r="K12" s="27">
        <f>ABS(J12-D12)/D12</f>
        <v>4.5079338775510291E-2</v>
      </c>
      <c r="M12">
        <f>I12*100</f>
        <v>1.79</v>
      </c>
    </row>
    <row r="13" spans="1:14" x14ac:dyDescent="0.15">
      <c r="A13">
        <v>3</v>
      </c>
      <c r="B13">
        <f t="shared" si="0"/>
        <v>0.02</v>
      </c>
      <c r="C13">
        <f t="shared" ref="C13:C18" si="3">B13*$B$2</f>
        <v>0.19600000000000001</v>
      </c>
      <c r="D13" s="26">
        <f t="shared" si="1"/>
        <v>0.57488458312068469</v>
      </c>
      <c r="E13">
        <v>1.5149999999999999</v>
      </c>
      <c r="F13">
        <v>1.4350000000000001</v>
      </c>
      <c r="G13">
        <v>1.4910000000000001</v>
      </c>
      <c r="H13">
        <f t="shared" si="2"/>
        <v>1.48</v>
      </c>
      <c r="I13">
        <f>TRUNC(_xlfn.STDEV.P(E13:G13), 4 - (1 + INT(LOG10(ABS(_xlfn.STDEV.P(E13:G13))))))</f>
        <v>3.3509999999999998E-2</v>
      </c>
      <c r="J13">
        <f>TRUNC((2*$B$5)/( H13^2), 4 - (1 + INT(LOG10(ABS((2*$B$5)/( H13^2))))))</f>
        <v>0.61080000000000001</v>
      </c>
      <c r="K13" s="27">
        <f>ABS(J13-D13)/D13</f>
        <v>6.2474134693877588E-2</v>
      </c>
      <c r="M13">
        <f>I13*100</f>
        <v>3.351</v>
      </c>
    </row>
    <row r="14" spans="1:14" x14ac:dyDescent="0.15">
      <c r="A14">
        <v>4</v>
      </c>
      <c r="B14">
        <f t="shared" si="0"/>
        <v>2.5000000000000001E-2</v>
      </c>
      <c r="C14">
        <f t="shared" si="3"/>
        <v>0.24500000000000002</v>
      </c>
      <c r="D14" s="26">
        <f t="shared" si="1"/>
        <v>0.71860572890085594</v>
      </c>
      <c r="E14">
        <v>1.298</v>
      </c>
      <c r="F14">
        <v>1.3160000000000001</v>
      </c>
      <c r="G14">
        <v>1.298</v>
      </c>
      <c r="H14">
        <f t="shared" si="2"/>
        <v>1.304</v>
      </c>
      <c r="I14">
        <f>TRUNC(_xlfn.STDEV.P(E14:G14), 4 - (1 + INT(LOG10(ABS(_xlfn.STDEV.P(E14:G14))))))</f>
        <v>8.4849999999999995E-3</v>
      </c>
      <c r="J14">
        <f>TRUNC((2*$B$5)/( H14^2), 4 - (1 + INT(LOG10(ABS((2*$B$5)/( H14^2))))))</f>
        <v>0.78680000000000005</v>
      </c>
      <c r="K14" s="27">
        <f>ABS(J14-D14)/D14</f>
        <v>9.489803428571425E-2</v>
      </c>
      <c r="M14">
        <f>I14*100</f>
        <v>0.84849999999999992</v>
      </c>
    </row>
    <row r="15" spans="1:14" x14ac:dyDescent="0.15">
      <c r="A15">
        <v>5</v>
      </c>
      <c r="B15">
        <f t="shared" si="0"/>
        <v>0.03</v>
      </c>
      <c r="C15">
        <f t="shared" si="3"/>
        <v>0.29399999999999998</v>
      </c>
      <c r="D15" s="26">
        <f t="shared" si="1"/>
        <v>0.86232687468102698</v>
      </c>
      <c r="E15">
        <v>1.2230000000000001</v>
      </c>
      <c r="F15">
        <v>1.2230000000000001</v>
      </c>
      <c r="G15">
        <v>1.2070000000000001</v>
      </c>
      <c r="H15">
        <f t="shared" si="2"/>
        <v>1.2170000000000001</v>
      </c>
      <c r="I15">
        <f>TRUNC(_xlfn.STDEV.P(E15:G15), 4 - (1 + INT(LOG10(ABS(_xlfn.STDEV.P(E15:G15))))))</f>
        <v>7.5420000000000001E-3</v>
      </c>
      <c r="J15">
        <f>TRUNC((2*$B$5)/( H15^2), 4 - (1 + INT(LOG10(ABS((2*$B$5)/( H15^2))))))</f>
        <v>0.90329999999999999</v>
      </c>
      <c r="K15" s="27">
        <f>ABS(J15-D15)/D15</f>
        <v>4.7514610204081709E-2</v>
      </c>
      <c r="M15">
        <f>I15*100</f>
        <v>0.75419999999999998</v>
      </c>
      <c r="N15">
        <f>TRUNC((2*$B$5)/( H11^2), 4 - (1 + INT(LOG10(ABS((2*$B$5)/( H11^2))))))</f>
        <v>0.31559999999999999</v>
      </c>
    </row>
    <row r="16" spans="1:14" x14ac:dyDescent="0.15">
      <c r="A16">
        <v>6</v>
      </c>
      <c r="B16">
        <f t="shared" si="0"/>
        <v>3.5000000000000003E-2</v>
      </c>
      <c r="C16">
        <f t="shared" si="3"/>
        <v>0.34300000000000008</v>
      </c>
      <c r="D16" s="26">
        <f t="shared" si="1"/>
        <v>1.0060480204611983</v>
      </c>
      <c r="E16">
        <v>1.083</v>
      </c>
      <c r="F16">
        <v>1.075</v>
      </c>
      <c r="G16">
        <v>1.143</v>
      </c>
      <c r="H16">
        <f t="shared" si="2"/>
        <v>1.1000000000000001</v>
      </c>
      <c r="I16">
        <f>TRUNC(_xlfn.STDEV.P(E16:G16), 4 - (1 + INT(LOG10(ABS(_xlfn.STDEV.P(E16:G16))))))</f>
        <v>3.0339999999999999E-2</v>
      </c>
      <c r="J16">
        <f>TRUNC((2*$B$5)/( H16^2), 4 - (1 + INT(LOG10(ABS((2*$B$5)/( H16^2))))))</f>
        <v>1.105</v>
      </c>
      <c r="K16" s="27">
        <f>ABS(J16-D16)/D16</f>
        <v>9.8357113702623761E-2</v>
      </c>
      <c r="M16">
        <f>I16*100</f>
        <v>3.0339999999999998</v>
      </c>
    </row>
    <row r="17" spans="1:13" x14ac:dyDescent="0.15">
      <c r="A17">
        <v>7</v>
      </c>
      <c r="B17">
        <f t="shared" si="0"/>
        <v>0.04</v>
      </c>
      <c r="C17">
        <f t="shared" si="3"/>
        <v>0.39200000000000002</v>
      </c>
      <c r="D17" s="26">
        <f t="shared" si="1"/>
        <v>1.1497691662413694</v>
      </c>
      <c r="E17">
        <v>0.99139999999999995</v>
      </c>
      <c r="F17">
        <v>1.0449999999999999</v>
      </c>
      <c r="G17">
        <v>1.0369999999999999</v>
      </c>
      <c r="H17">
        <f t="shared" si="2"/>
        <v>1.024</v>
      </c>
      <c r="I17">
        <f>TRUNC(_xlfn.STDEV.P(E17:G17), 4 - (1 + INT(LOG10(ABS(_xlfn.STDEV.P(E17:G17))))))</f>
        <v>2.3599999999999999E-2</v>
      </c>
      <c r="J17">
        <f>TRUNC((2*$B$5)/( H17^2), 4 - (1 + INT(LOG10(ABS((2*$B$5)/( H17^2))))))</f>
        <v>1.276</v>
      </c>
      <c r="K17" s="27">
        <f>ABS(J17-D17)/D17</f>
        <v>0.10978797959183677</v>
      </c>
      <c r="M17">
        <f>I17*100</f>
        <v>2.36</v>
      </c>
    </row>
    <row r="18" spans="1:13" x14ac:dyDescent="0.15">
      <c r="A18">
        <v>8</v>
      </c>
      <c r="B18">
        <f t="shared" si="0"/>
        <v>4.4999999999999998E-2</v>
      </c>
      <c r="C18">
        <f t="shared" si="3"/>
        <v>0.441</v>
      </c>
      <c r="D18" s="26">
        <f t="shared" si="1"/>
        <v>1.2934903120215404</v>
      </c>
      <c r="E18">
        <v>0.9405</v>
      </c>
      <c r="F18">
        <v>0.98109999999999997</v>
      </c>
      <c r="G18">
        <v>1.008</v>
      </c>
      <c r="H18">
        <f t="shared" si="2"/>
        <v>0.97650000000000003</v>
      </c>
      <c r="I18">
        <f>TRUNC(_xlfn.STDEV.P(E18:G18), 4 - (1 + INT(LOG10(ABS(_xlfn.STDEV.P(E18:G18))))))</f>
        <v>2.7740000000000001E-2</v>
      </c>
      <c r="J18">
        <f>TRUNC((2*$B$5)/( H18^2), 4 - (1 + INT(LOG10(ABS((2*$B$5)/( H18^2))))))</f>
        <v>1.403</v>
      </c>
      <c r="K18" s="27">
        <f>ABS(J18-D18)/D18</f>
        <v>8.4662163265306276E-2</v>
      </c>
      <c r="M18">
        <f>I18*100</f>
        <v>2.774</v>
      </c>
    </row>
    <row r="20" spans="1:13" x14ac:dyDescent="0.15">
      <c r="E20" s="28" t="s">
        <v>18</v>
      </c>
      <c r="F20" s="28"/>
      <c r="G20" s="28"/>
      <c r="H20" s="28"/>
      <c r="I20" s="28"/>
    </row>
    <row r="21" spans="1:13" x14ac:dyDescent="0.15">
      <c r="A21" s="15"/>
      <c r="B21" s="2"/>
      <c r="C21" s="2"/>
      <c r="D21" s="3"/>
      <c r="E21" s="29" t="s">
        <v>33</v>
      </c>
      <c r="F21" s="12" t="s">
        <v>13</v>
      </c>
      <c r="G21" s="13" t="s">
        <v>14</v>
      </c>
      <c r="H21" s="10" t="s">
        <v>15</v>
      </c>
      <c r="I21" s="11" t="s">
        <v>32</v>
      </c>
      <c r="J21" s="11" t="s">
        <v>16</v>
      </c>
      <c r="K21" s="13" t="s">
        <v>31</v>
      </c>
    </row>
    <row r="22" spans="1:13" x14ac:dyDescent="0.15">
      <c r="A22" s="19"/>
      <c r="D22" s="5"/>
      <c r="E22" s="15">
        <v>2.6274000000000002</v>
      </c>
      <c r="F22" s="2">
        <v>2.5015000000000001</v>
      </c>
      <c r="G22" s="3">
        <v>2.6307999999999998</v>
      </c>
      <c r="H22" s="16">
        <f t="shared" ref="H22:H29" si="4">AVERAGE(E22:G22)</f>
        <v>2.5865666666666667</v>
      </c>
      <c r="I22">
        <f>TRUNC(_xlfn.STDEV.P(E22:G22), 4 - (1 + INT(LOG10(ABS(_xlfn.STDEV.P(E22:G22))))))</f>
        <v>6.0159999999999998E-2</v>
      </c>
      <c r="J22" s="17">
        <f>(2*$B$5)/( H22^2)</f>
        <v>0.19999022107274608</v>
      </c>
      <c r="K22" s="18">
        <f>ABS(J22-D11)/D11</f>
        <v>0.30424218375408257</v>
      </c>
    </row>
    <row r="23" spans="1:13" x14ac:dyDescent="0.15">
      <c r="A23" s="19"/>
      <c r="D23" s="5"/>
      <c r="E23" s="19">
        <v>1.9705999999999999</v>
      </c>
      <c r="F23">
        <v>1.9904999999999999</v>
      </c>
      <c r="G23" s="5">
        <v>1.9807999999999999</v>
      </c>
      <c r="H23" s="14">
        <f t="shared" si="4"/>
        <v>1.9806333333333335</v>
      </c>
      <c r="I23">
        <f t="shared" ref="I23:I29" si="5">TRUNC(_xlfn.STDEV.P(E23:G23), 4 - (1 + INT(LOG10(ABS(_xlfn.STDEV.P(E23:G23))))))</f>
        <v>8.1239999999999993E-3</v>
      </c>
      <c r="J23" s="20">
        <f>(2*$B$5)/( H23^2)</f>
        <v>0.34107347487925782</v>
      </c>
      <c r="K23" s="21">
        <f>ABS(J23-D12)/D12</f>
        <v>0.20894620150758902</v>
      </c>
    </row>
    <row r="24" spans="1:13" x14ac:dyDescent="0.15">
      <c r="A24" s="19"/>
      <c r="D24" s="5"/>
      <c r="E24" s="19">
        <v>1.7746999999999999</v>
      </c>
      <c r="F24">
        <v>1.7044999999999999</v>
      </c>
      <c r="G24" s="5">
        <v>1.7273000000000001</v>
      </c>
      <c r="H24" s="14">
        <f t="shared" si="4"/>
        <v>1.7355</v>
      </c>
      <c r="I24">
        <f t="shared" si="5"/>
        <v>2.9229999999999999E-2</v>
      </c>
      <c r="J24" s="20">
        <f>(2*$B$5)/( H24^2)</f>
        <v>0.44422897015324159</v>
      </c>
      <c r="K24" s="21">
        <f>ABS(J24-D13)/D13</f>
        <v>0.22727277231578633</v>
      </c>
    </row>
    <row r="25" spans="1:13" x14ac:dyDescent="0.15">
      <c r="A25" s="19"/>
      <c r="D25" s="5"/>
      <c r="E25" s="19">
        <v>1.6649</v>
      </c>
      <c r="F25">
        <v>1.5626</v>
      </c>
      <c r="G25" s="5">
        <v>1.6993</v>
      </c>
      <c r="H25" s="14">
        <f t="shared" si="4"/>
        <v>1.6422666666666668</v>
      </c>
      <c r="I25">
        <f t="shared" si="5"/>
        <v>5.8049999999999997E-2</v>
      </c>
      <c r="J25" s="20">
        <f>(2*$B$5)/( H25^2)</f>
        <v>0.49609946349145961</v>
      </c>
      <c r="K25" s="21">
        <f>ABS(J25-D14)/D14</f>
        <v>0.3096360861883623</v>
      </c>
    </row>
    <row r="26" spans="1:13" x14ac:dyDescent="0.15">
      <c r="A26" s="19"/>
      <c r="D26" s="5"/>
      <c r="E26" s="19">
        <v>1.5999000000000001</v>
      </c>
      <c r="F26">
        <v>1.5805</v>
      </c>
      <c r="G26" s="5">
        <v>1.5385</v>
      </c>
      <c r="H26" s="14">
        <f t="shared" si="4"/>
        <v>1.5729666666666666</v>
      </c>
      <c r="I26">
        <f t="shared" si="5"/>
        <v>2.562E-2</v>
      </c>
      <c r="J26" s="20">
        <f>(2*$B$5)/( H26^2)</f>
        <v>0.54077558349435106</v>
      </c>
      <c r="K26" s="21">
        <f>ABS(J26-D15)/D15</f>
        <v>0.37288793916531604</v>
      </c>
    </row>
    <row r="27" spans="1:13" x14ac:dyDescent="0.15">
      <c r="A27" s="19"/>
      <c r="D27" s="5"/>
      <c r="E27" s="19">
        <v>1.4631000000000001</v>
      </c>
      <c r="F27">
        <v>1.4365000000000001</v>
      </c>
      <c r="G27" s="5">
        <v>1.3367</v>
      </c>
      <c r="H27" s="14">
        <f t="shared" si="4"/>
        <v>1.4120999999999999</v>
      </c>
      <c r="I27">
        <f t="shared" si="5"/>
        <v>5.441E-2</v>
      </c>
      <c r="J27" s="20">
        <f>(2*$B$5)/( H27^2)</f>
        <v>0.67100415184571216</v>
      </c>
      <c r="K27" s="21">
        <f>ABS(J27-D16)/D16</f>
        <v>0.3330296981866665</v>
      </c>
    </row>
    <row r="28" spans="1:13" x14ac:dyDescent="0.15">
      <c r="A28" s="19"/>
      <c r="D28" s="5"/>
      <c r="E28" s="19">
        <v>1.2659</v>
      </c>
      <c r="F28">
        <v>1.3551</v>
      </c>
      <c r="G28" s="5">
        <v>1.2987</v>
      </c>
      <c r="H28" s="14">
        <f t="shared" si="4"/>
        <v>1.3065666666666667</v>
      </c>
      <c r="I28">
        <f t="shared" si="5"/>
        <v>3.6830000000000002E-2</v>
      </c>
      <c r="J28" s="20">
        <f>(2*$B$5)/( H28^2)</f>
        <v>0.78377781229660293</v>
      </c>
      <c r="K28" s="21">
        <f>ABS(J28-D17)/D17</f>
        <v>0.31831724548780815</v>
      </c>
    </row>
    <row r="29" spans="1:13" x14ac:dyDescent="0.15">
      <c r="A29" s="23"/>
      <c r="B29" s="8"/>
      <c r="C29" s="8"/>
      <c r="D29" s="9"/>
      <c r="E29" s="23">
        <v>1.1726000000000001</v>
      </c>
      <c r="F29" s="8">
        <v>1.2488999999999999</v>
      </c>
      <c r="G29" s="9">
        <v>1.1521999999999999</v>
      </c>
      <c r="H29" s="22">
        <f t="shared" si="4"/>
        <v>1.1912333333333331</v>
      </c>
      <c r="I29">
        <f t="shared" si="5"/>
        <v>4.1610000000000001E-2</v>
      </c>
      <c r="J29" s="24">
        <f>(2*$B$5)/( H29^2)</f>
        <v>0.94289305863294859</v>
      </c>
      <c r="K29" s="25">
        <f>ABS(J29-D18)/D18</f>
        <v>0.27104745209931913</v>
      </c>
    </row>
    <row r="33" spans="8:12" x14ac:dyDescent="0.15">
      <c r="H33" t="s">
        <v>19</v>
      </c>
    </row>
    <row r="34" spans="8:12" x14ac:dyDescent="0.15">
      <c r="H34" s="10"/>
      <c r="I34" s="2" t="s">
        <v>29</v>
      </c>
      <c r="J34" s="3" t="s">
        <v>20</v>
      </c>
    </row>
    <row r="35" spans="8:12" x14ac:dyDescent="0.15">
      <c r="H35" s="19" t="s">
        <v>21</v>
      </c>
      <c r="I35" s="15">
        <f>B6</f>
        <v>0.34093800000000002</v>
      </c>
      <c r="J35" s="18">
        <f>ABS($I$35-I35)/AVERAGE($I$35,I35)</f>
        <v>0</v>
      </c>
    </row>
    <row r="36" spans="8:12" x14ac:dyDescent="0.15">
      <c r="H36" s="19"/>
      <c r="I36" s="19"/>
      <c r="J36" s="5"/>
    </row>
    <row r="37" spans="8:12" x14ac:dyDescent="0.15">
      <c r="H37" s="19" t="s">
        <v>22</v>
      </c>
      <c r="I37" s="20">
        <f>SLOPE(C11:C18,J11:J18)</f>
        <v>0.30795072339191504</v>
      </c>
      <c r="J37" s="21">
        <f>ABS($I$35-I37)/AVERAGE($I$35,I37)</f>
        <v>0.10167313876453779</v>
      </c>
    </row>
    <row r="38" spans="8:12" x14ac:dyDescent="0.15">
      <c r="H38" s="23" t="s">
        <v>23</v>
      </c>
      <c r="I38" s="24">
        <f>SLOPE(C11:C18,J22:J29)</f>
        <v>0.49363589035928496</v>
      </c>
      <c r="J38" s="25">
        <f>ABS($I$35-I38)/AVERAGE($I$35,I38)</f>
        <v>0.36593018814319322</v>
      </c>
    </row>
    <row r="40" spans="8:12" x14ac:dyDescent="0.15">
      <c r="L40" t="s">
        <v>26</v>
      </c>
    </row>
    <row r="41" spans="8:12" x14ac:dyDescent="0.15">
      <c r="H41" s="10"/>
      <c r="I41" s="13" t="s">
        <v>24</v>
      </c>
    </row>
    <row r="42" spans="8:12" x14ac:dyDescent="0.15">
      <c r="H42" s="1" t="s">
        <v>25</v>
      </c>
      <c r="I42" s="4">
        <f>INTERCEPT(C11:C18,D11:D18)</f>
        <v>-5.5511151231257827E-17</v>
      </c>
    </row>
    <row r="43" spans="8:12" x14ac:dyDescent="0.15">
      <c r="H43" s="4"/>
      <c r="I43" s="4"/>
    </row>
    <row r="44" spans="8:12" x14ac:dyDescent="0.15">
      <c r="H44" s="4" t="s">
        <v>22</v>
      </c>
      <c r="I44" s="14">
        <f>INTERCEPT(C10:C18,J10:J18)</f>
        <v>5.7748498712063001E-3</v>
      </c>
    </row>
    <row r="45" spans="8:12" x14ac:dyDescent="0.15">
      <c r="H45" s="7" t="s">
        <v>23</v>
      </c>
      <c r="I45" s="22">
        <f>INTERCEPT(C10:C18,J21:J29)</f>
        <v>-3.2241255209236597E-3</v>
      </c>
    </row>
  </sheetData>
  <mergeCells count="1">
    <mergeCell ref="E20:I20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1B1F-01D2-8A4B-A786-733BD38D6E0A}">
  <dimension ref="A1:V32"/>
  <sheetViews>
    <sheetView tabSelected="1" topLeftCell="J3" zoomScale="125" workbookViewId="0">
      <selection activeCell="Q23" sqref="Q23"/>
    </sheetView>
  </sheetViews>
  <sheetFormatPr baseColWidth="10" defaultRowHeight="16" x14ac:dyDescent="0.2"/>
  <cols>
    <col min="1" max="16384" width="10.83203125" style="31"/>
  </cols>
  <sheetData>
    <row r="1" spans="1:22" ht="17" thickBot="1" x14ac:dyDescent="0.25">
      <c r="N1" s="50"/>
      <c r="O1" s="50"/>
      <c r="P1" s="50"/>
      <c r="Q1" s="50"/>
      <c r="R1" s="50"/>
    </row>
    <row r="2" spans="1:22" ht="17" thickBot="1" x14ac:dyDescent="0.25">
      <c r="A2" s="54" t="s">
        <v>36</v>
      </c>
      <c r="B2" s="46">
        <v>9.8000000000000007</v>
      </c>
      <c r="C2" s="45" t="s">
        <v>1</v>
      </c>
      <c r="N2" s="59" t="s">
        <v>48</v>
      </c>
      <c r="O2" s="59" t="s">
        <v>47</v>
      </c>
      <c r="P2" s="59" t="s">
        <v>49</v>
      </c>
      <c r="Q2" s="60" t="s">
        <v>46</v>
      </c>
      <c r="R2" s="59" t="s">
        <v>39</v>
      </c>
    </row>
    <row r="3" spans="1:22" ht="17" thickBot="1" x14ac:dyDescent="0.25">
      <c r="A3" s="55" t="s">
        <v>37</v>
      </c>
      <c r="B3" s="31">
        <v>1.169</v>
      </c>
      <c r="C3" s="44" t="s">
        <v>3</v>
      </c>
      <c r="N3" s="61">
        <v>9.8000000000000007</v>
      </c>
      <c r="O3" s="61">
        <v>1.169</v>
      </c>
      <c r="P3" s="61">
        <v>0.5</v>
      </c>
      <c r="Q3" s="61">
        <f>O3-P3</f>
        <v>0.66900000000000004</v>
      </c>
      <c r="R3" s="61">
        <v>0.34093800000000002</v>
      </c>
    </row>
    <row r="4" spans="1:22" x14ac:dyDescent="0.2">
      <c r="A4" s="55" t="s">
        <v>38</v>
      </c>
      <c r="B4" s="31">
        <v>0.5</v>
      </c>
      <c r="C4" s="44" t="s">
        <v>3</v>
      </c>
    </row>
    <row r="5" spans="1:22" x14ac:dyDescent="0.2">
      <c r="A5" s="56" t="s">
        <v>40</v>
      </c>
      <c r="B5" s="31">
        <f>B3-B4</f>
        <v>0.66900000000000004</v>
      </c>
      <c r="C5" s="44" t="s">
        <v>3</v>
      </c>
    </row>
    <row r="6" spans="1:22" x14ac:dyDescent="0.2">
      <c r="A6" s="57" t="s">
        <v>39</v>
      </c>
      <c r="B6" s="42">
        <v>0.34093800000000002</v>
      </c>
      <c r="C6" s="43" t="s">
        <v>28</v>
      </c>
    </row>
    <row r="7" spans="1:22" ht="17" thickBot="1" x14ac:dyDescent="0.25">
      <c r="N7" s="50"/>
      <c r="O7" s="50"/>
      <c r="P7" s="50"/>
      <c r="Q7" s="50"/>
      <c r="R7" s="50"/>
      <c r="S7" s="50"/>
      <c r="T7" s="50"/>
      <c r="U7" s="50"/>
      <c r="V7" s="50"/>
    </row>
    <row r="8" spans="1:22" ht="17" thickBot="1" x14ac:dyDescent="0.25">
      <c r="A8" s="42" t="s">
        <v>8</v>
      </c>
      <c r="B8" s="42" t="s">
        <v>9</v>
      </c>
      <c r="C8" s="42" t="s">
        <v>10</v>
      </c>
      <c r="D8" s="42" t="s">
        <v>11</v>
      </c>
      <c r="E8" s="42" t="s">
        <v>12</v>
      </c>
      <c r="F8" s="42" t="s">
        <v>13</v>
      </c>
      <c r="G8" s="42" t="s">
        <v>14</v>
      </c>
      <c r="H8" s="42" t="s">
        <v>30</v>
      </c>
      <c r="I8" s="31" t="s">
        <v>34</v>
      </c>
      <c r="J8" s="42" t="s">
        <v>16</v>
      </c>
      <c r="K8" s="42" t="s">
        <v>17</v>
      </c>
      <c r="N8" s="51" t="s">
        <v>8</v>
      </c>
      <c r="O8" s="51">
        <v>1</v>
      </c>
      <c r="P8" s="51">
        <v>2</v>
      </c>
      <c r="Q8" s="51">
        <v>3</v>
      </c>
      <c r="R8" s="51">
        <v>4</v>
      </c>
      <c r="S8" s="51">
        <v>5</v>
      </c>
      <c r="T8" s="51">
        <v>6</v>
      </c>
      <c r="U8" s="51">
        <v>7</v>
      </c>
      <c r="V8" s="51">
        <v>8</v>
      </c>
    </row>
    <row r="9" spans="1:22" x14ac:dyDescent="0.2">
      <c r="A9" s="31">
        <v>1</v>
      </c>
      <c r="B9" s="31">
        <f>(A9+1)*5 / 1000</f>
        <v>0.01</v>
      </c>
      <c r="C9" s="31">
        <f>B9*$B$2</f>
        <v>9.8000000000000004E-2</v>
      </c>
      <c r="D9" s="41">
        <f>C9/$B$6</f>
        <v>0.28744229156034234</v>
      </c>
      <c r="E9" s="31">
        <v>2.0430000000000001</v>
      </c>
      <c r="F9" s="31">
        <v>2.0670000000000002</v>
      </c>
      <c r="G9" s="31">
        <v>2.0670000000000002</v>
      </c>
      <c r="H9" s="31">
        <f>TRUNC(AVERAGE(E9:G9), 4 - (1 + INT(LOG10(AVERAGE(E9:G9)))))</f>
        <v>2.0590000000000002</v>
      </c>
      <c r="I9" s="31">
        <f>TRUNC(_xlfn.STDEV.P(E9:G9), 4 - (1 + INT(LOG10(ABS(_xlfn.STDEV.P(E9:G9))))))</f>
        <v>1.1310000000000001E-2</v>
      </c>
      <c r="J9" s="31">
        <f>TRUNC((2*$B$5)/( H9^2), 4 - (1 + INT(LOG10(ABS((2*$B$5)/( H9^2))))))</f>
        <v>0.31559999999999999</v>
      </c>
      <c r="K9" s="40">
        <f>ABS(J9-D9)/D9</f>
        <v>9.7959518367346926E-2</v>
      </c>
      <c r="M9" s="42"/>
      <c r="N9" s="52" t="s">
        <v>9</v>
      </c>
      <c r="O9" s="47">
        <f>(O8+1)*5 / 1000</f>
        <v>0.01</v>
      </c>
      <c r="P9" s="47">
        <f>(P8+1)*5 / 1000</f>
        <v>1.4999999999999999E-2</v>
      </c>
      <c r="Q9" s="47">
        <f>(Q8+1)*5 / 1000</f>
        <v>0.02</v>
      </c>
      <c r="R9" s="47">
        <f>(R8+1)*5 / 1000</f>
        <v>2.5000000000000001E-2</v>
      </c>
      <c r="S9" s="47">
        <f>(S8+1)*5 / 1000</f>
        <v>0.03</v>
      </c>
      <c r="T9" s="47">
        <f>(T8+1)*5 / 1000</f>
        <v>3.5000000000000003E-2</v>
      </c>
      <c r="U9" s="47">
        <f>(U8+1)*5 / 1000</f>
        <v>0.04</v>
      </c>
      <c r="V9" s="47">
        <f>(V8+1)*5 / 1000</f>
        <v>4.4999999999999998E-2</v>
      </c>
    </row>
    <row r="10" spans="1:22" x14ac:dyDescent="0.2">
      <c r="A10" s="31">
        <v>2</v>
      </c>
      <c r="B10" s="31">
        <f>(A10+1)*5 / 1000</f>
        <v>1.4999999999999999E-2</v>
      </c>
      <c r="C10" s="31">
        <f>B10*$B$2</f>
        <v>0.14699999999999999</v>
      </c>
      <c r="D10" s="41">
        <f>C10/$B$6</f>
        <v>0.43116343734051349</v>
      </c>
      <c r="E10" s="31">
        <v>1.698</v>
      </c>
      <c r="F10" s="31">
        <v>1.732</v>
      </c>
      <c r="G10" s="31">
        <v>1.7390000000000001</v>
      </c>
      <c r="H10" s="31">
        <f>TRUNC(AVERAGE(E10:G10), 4 - (1 + INT(LOG10(AVERAGE(E10:G10)))))</f>
        <v>1.7230000000000001</v>
      </c>
      <c r="I10" s="31">
        <f>TRUNC(_xlfn.STDEV.P(E10:G10), 4 - (1 + INT(LOG10(ABS(_xlfn.STDEV.P(E10:G10))))))</f>
        <v>1.7899999999999999E-2</v>
      </c>
      <c r="J10" s="31">
        <f>TRUNC((2*$B$5)/( H10^2), 4 - (1 + INT(LOG10(ABS((2*$B$5)/( H10^2))))))</f>
        <v>0.4506</v>
      </c>
      <c r="K10" s="40">
        <f>ABS(J10-D10)/D10</f>
        <v>4.5079338775510291E-2</v>
      </c>
      <c r="N10" s="52" t="s">
        <v>50</v>
      </c>
      <c r="O10" s="47">
        <f>O9*$B$2</f>
        <v>9.8000000000000004E-2</v>
      </c>
      <c r="P10" s="47">
        <f>P9*$B$2</f>
        <v>0.14699999999999999</v>
      </c>
      <c r="Q10" s="47">
        <f>Q9*$B$2</f>
        <v>0.19600000000000001</v>
      </c>
      <c r="R10" s="47">
        <f>R9*$B$2</f>
        <v>0.24500000000000002</v>
      </c>
      <c r="S10" s="47">
        <f>S9*$B$2</f>
        <v>0.29399999999999998</v>
      </c>
      <c r="T10" s="47">
        <f>T9*$B$2</f>
        <v>0.34300000000000008</v>
      </c>
      <c r="U10" s="47">
        <f>U9*$B$2</f>
        <v>0.39200000000000002</v>
      </c>
      <c r="V10" s="47">
        <f>V9*$B$2</f>
        <v>0.441</v>
      </c>
    </row>
    <row r="11" spans="1:22" x14ac:dyDescent="0.2">
      <c r="A11" s="31">
        <v>3</v>
      </c>
      <c r="B11" s="31">
        <f>(A11+1)*5 / 1000</f>
        <v>0.02</v>
      </c>
      <c r="C11" s="31">
        <f>B11*$B$2</f>
        <v>0.19600000000000001</v>
      </c>
      <c r="D11" s="41">
        <f>C11/$B$6</f>
        <v>0.57488458312068469</v>
      </c>
      <c r="E11" s="31">
        <v>1.5149999999999999</v>
      </c>
      <c r="F11" s="31">
        <v>1.4350000000000001</v>
      </c>
      <c r="G11" s="31">
        <v>1.4910000000000001</v>
      </c>
      <c r="H11" s="31">
        <f>TRUNC(AVERAGE(E11:G11), 4 - (1 + INT(LOG10(AVERAGE(E11:G11)))))</f>
        <v>1.48</v>
      </c>
      <c r="I11" s="31">
        <f>TRUNC(_xlfn.STDEV.P(E11:G11), 4 - (1 + INT(LOG10(ABS(_xlfn.STDEV.P(E11:G11))))))</f>
        <v>3.3509999999999998E-2</v>
      </c>
      <c r="J11" s="31">
        <f>TRUNC((2*$B$5)/( H11^2), 4 - (1 + INT(LOG10(ABS((2*$B$5)/( H11^2))))))</f>
        <v>0.61080000000000001</v>
      </c>
      <c r="K11" s="40">
        <f>ABS(J11-D11)/D11</f>
        <v>6.2474134693877588E-2</v>
      </c>
      <c r="N11" s="52" t="s">
        <v>51</v>
      </c>
      <c r="O11" s="48">
        <f>O10/$B$6</f>
        <v>0.28744229156034234</v>
      </c>
      <c r="P11" s="48">
        <f>P10/$B$6</f>
        <v>0.43116343734051349</v>
      </c>
      <c r="Q11" s="48">
        <f>Q10/$B$6</f>
        <v>0.57488458312068469</v>
      </c>
      <c r="R11" s="48">
        <f>R10/$B$6</f>
        <v>0.71860572890085594</v>
      </c>
      <c r="S11" s="48">
        <f>S10/$B$6</f>
        <v>0.86232687468102698</v>
      </c>
      <c r="T11" s="48">
        <f>T10/$B$6</f>
        <v>1.0060480204611983</v>
      </c>
      <c r="U11" s="48">
        <f>U10/$B$6</f>
        <v>1.1497691662413694</v>
      </c>
      <c r="V11" s="48">
        <f>V10/$B$6</f>
        <v>1.2934903120215404</v>
      </c>
    </row>
    <row r="12" spans="1:22" x14ac:dyDescent="0.2">
      <c r="A12" s="31">
        <v>4</v>
      </c>
      <c r="B12" s="31">
        <f>(A12+1)*5 / 1000</f>
        <v>2.5000000000000001E-2</v>
      </c>
      <c r="C12" s="31">
        <f>B12*$B$2</f>
        <v>0.24500000000000002</v>
      </c>
      <c r="D12" s="41">
        <f>C12/$B$6</f>
        <v>0.71860572890085594</v>
      </c>
      <c r="E12" s="31">
        <v>1.298</v>
      </c>
      <c r="F12" s="31">
        <v>1.3160000000000001</v>
      </c>
      <c r="G12" s="31">
        <v>1.298</v>
      </c>
      <c r="H12" s="31">
        <f>TRUNC(AVERAGE(E12:G12), 4 - (1 + INT(LOG10(AVERAGE(E12:G12)))))</f>
        <v>1.304</v>
      </c>
      <c r="I12" s="31">
        <f>TRUNC(_xlfn.STDEV.P(E12:G12), 4 - (1 + INT(LOG10(ABS(_xlfn.STDEV.P(E12:G12))))))</f>
        <v>8.4849999999999995E-3</v>
      </c>
      <c r="J12" s="31">
        <f>TRUNC((2*$B$5)/( H12^2), 4 - (1 + INT(LOG10(ABS((2*$B$5)/( H12^2))))))</f>
        <v>0.78680000000000005</v>
      </c>
      <c r="K12" s="40">
        <f>ABS(J12-D12)/D12</f>
        <v>9.489803428571425E-2</v>
      </c>
      <c r="N12" s="52" t="s">
        <v>52</v>
      </c>
      <c r="O12" s="47">
        <v>2.0430000000000001</v>
      </c>
      <c r="P12" s="47">
        <v>1.698</v>
      </c>
      <c r="Q12" s="47">
        <v>1.5149999999999999</v>
      </c>
      <c r="R12" s="47">
        <v>1.298</v>
      </c>
      <c r="S12" s="47">
        <v>1.2230000000000001</v>
      </c>
      <c r="T12" s="47">
        <v>1.083</v>
      </c>
      <c r="U12" s="47">
        <v>0.99139999999999995</v>
      </c>
      <c r="V12" s="47">
        <v>0.9405</v>
      </c>
    </row>
    <row r="13" spans="1:22" x14ac:dyDescent="0.2">
      <c r="A13" s="31">
        <v>5</v>
      </c>
      <c r="B13" s="31">
        <f>(A13+1)*5 / 1000</f>
        <v>0.03</v>
      </c>
      <c r="C13" s="31">
        <f>B13*$B$2</f>
        <v>0.29399999999999998</v>
      </c>
      <c r="D13" s="41">
        <f>C13/$B$6</f>
        <v>0.86232687468102698</v>
      </c>
      <c r="E13" s="31">
        <v>1.2230000000000001</v>
      </c>
      <c r="F13" s="31">
        <v>1.2230000000000001</v>
      </c>
      <c r="G13" s="31">
        <v>1.2070000000000001</v>
      </c>
      <c r="H13" s="31">
        <f>TRUNC(AVERAGE(E13:G13), 4 - (1 + INT(LOG10(AVERAGE(E13:G13)))))</f>
        <v>1.2170000000000001</v>
      </c>
      <c r="I13" s="31">
        <f>TRUNC(_xlfn.STDEV.P(E13:G13), 4 - (1 + INT(LOG10(ABS(_xlfn.STDEV.P(E13:G13))))))</f>
        <v>7.5420000000000001E-3</v>
      </c>
      <c r="J13" s="31">
        <f>TRUNC((2*$B$5)/( H13^2), 4 - (1 + INT(LOG10(ABS((2*$B$5)/( H13^2))))))</f>
        <v>0.90329999999999999</v>
      </c>
      <c r="K13" s="40">
        <f>ABS(J13-D13)/D13</f>
        <v>4.7514610204081709E-2</v>
      </c>
      <c r="N13" s="52" t="s">
        <v>53</v>
      </c>
      <c r="O13" s="47">
        <v>2.0670000000000002</v>
      </c>
      <c r="P13" s="47">
        <v>1.732</v>
      </c>
      <c r="Q13" s="47">
        <v>1.4350000000000001</v>
      </c>
      <c r="R13" s="47">
        <v>1.3160000000000001</v>
      </c>
      <c r="S13" s="47">
        <v>1.2230000000000001</v>
      </c>
      <c r="T13" s="47">
        <v>1.075</v>
      </c>
      <c r="U13" s="47">
        <v>1.0449999999999999</v>
      </c>
      <c r="V13" s="47">
        <v>0.98109999999999997</v>
      </c>
    </row>
    <row r="14" spans="1:22" x14ac:dyDescent="0.2">
      <c r="A14" s="31">
        <v>6</v>
      </c>
      <c r="B14" s="31">
        <f>(A14+1)*5 / 1000</f>
        <v>3.5000000000000003E-2</v>
      </c>
      <c r="C14" s="31">
        <f>B14*$B$2</f>
        <v>0.34300000000000008</v>
      </c>
      <c r="D14" s="41">
        <f>C14/$B$6</f>
        <v>1.0060480204611983</v>
      </c>
      <c r="E14" s="31">
        <v>1.083</v>
      </c>
      <c r="F14" s="31">
        <v>1.075</v>
      </c>
      <c r="G14" s="31">
        <v>1.143</v>
      </c>
      <c r="H14" s="31">
        <f>TRUNC(AVERAGE(E14:G14), 4 - (1 + INT(LOG10(AVERAGE(E14:G14)))))</f>
        <v>1.1000000000000001</v>
      </c>
      <c r="I14" s="31">
        <f>TRUNC(_xlfn.STDEV.P(E14:G14), 4 - (1 + INT(LOG10(ABS(_xlfn.STDEV.P(E14:G14))))))</f>
        <v>3.0339999999999999E-2</v>
      </c>
      <c r="J14" s="31">
        <f>TRUNC((2*$B$5)/( H14^2), 4 - (1 + INT(LOG10(ABS((2*$B$5)/( H14^2))))))</f>
        <v>1.105</v>
      </c>
      <c r="K14" s="40">
        <f>ABS(J14-D14)/D14</f>
        <v>9.8357113702623761E-2</v>
      </c>
      <c r="N14" s="52" t="s">
        <v>54</v>
      </c>
      <c r="O14" s="47">
        <v>2.0670000000000002</v>
      </c>
      <c r="P14" s="47">
        <v>1.7390000000000001</v>
      </c>
      <c r="Q14" s="47">
        <v>1.4910000000000001</v>
      </c>
      <c r="R14" s="47">
        <v>1.298</v>
      </c>
      <c r="S14" s="47">
        <v>1.2070000000000001</v>
      </c>
      <c r="T14" s="47">
        <v>1.143</v>
      </c>
      <c r="U14" s="47">
        <v>1.0369999999999999</v>
      </c>
      <c r="V14" s="47">
        <v>1.008</v>
      </c>
    </row>
    <row r="15" spans="1:22" x14ac:dyDescent="0.2">
      <c r="A15" s="31">
        <v>7</v>
      </c>
      <c r="B15" s="31">
        <f>(A15+1)*5 / 1000</f>
        <v>0.04</v>
      </c>
      <c r="C15" s="31">
        <f>B15*$B$2</f>
        <v>0.39200000000000002</v>
      </c>
      <c r="D15" s="41">
        <f>C15/$B$6</f>
        <v>1.1497691662413694</v>
      </c>
      <c r="E15" s="31">
        <v>0.99139999999999995</v>
      </c>
      <c r="F15" s="31">
        <v>1.0449999999999999</v>
      </c>
      <c r="G15" s="31">
        <v>1.0369999999999999</v>
      </c>
      <c r="H15" s="31">
        <f>TRUNC(AVERAGE(E15:G15), 4 - (1 + INT(LOG10(AVERAGE(E15:G15)))))</f>
        <v>1.024</v>
      </c>
      <c r="I15" s="31">
        <f>TRUNC(_xlfn.STDEV.P(E15:G15), 4 - (1 + INT(LOG10(ABS(_xlfn.STDEV.P(E15:G15))))))</f>
        <v>2.3599999999999999E-2</v>
      </c>
      <c r="J15" s="31">
        <f>TRUNC((2*$B$5)/( H15^2), 4 - (1 + INT(LOG10(ABS((2*$B$5)/( H15^2))))))</f>
        <v>1.276</v>
      </c>
      <c r="K15" s="40">
        <f>ABS(J15-D15)/D15</f>
        <v>0.10978797959183677</v>
      </c>
      <c r="N15" s="52" t="s">
        <v>55</v>
      </c>
      <c r="O15" s="47">
        <f>TRUNC(AVERAGE(O12:O14), 4 - (1 + INT(LOG10(AVERAGE(O12:O14)))))</f>
        <v>2.0590000000000002</v>
      </c>
      <c r="P15" s="47">
        <f>TRUNC(AVERAGE(P12:P14), 4 - (1 + INT(LOG10(AVERAGE(P12:P14)))))</f>
        <v>1.7230000000000001</v>
      </c>
      <c r="Q15" s="47">
        <f>TRUNC(AVERAGE(Q12:Q14), 4 - (1 + INT(LOG10(AVERAGE(Q12:Q14)))))</f>
        <v>1.48</v>
      </c>
      <c r="R15" s="47">
        <f>TRUNC(AVERAGE(R12:R14), 4 - (1 + INT(LOG10(AVERAGE(R12:R14)))))</f>
        <v>1.304</v>
      </c>
      <c r="S15" s="47">
        <f>TRUNC(AVERAGE(S12:S14), 4 - (1 + INT(LOG10(AVERAGE(S12:S14)))))</f>
        <v>1.2170000000000001</v>
      </c>
      <c r="T15" s="47">
        <f>TRUNC(AVERAGE(T12:T14), 4 - (1 + INT(LOG10(AVERAGE(T12:T14)))))</f>
        <v>1.1000000000000001</v>
      </c>
      <c r="U15" s="47">
        <f>TRUNC(AVERAGE(U12:U14), 4 - (1 + INT(LOG10(AVERAGE(U12:U14)))))</f>
        <v>1.024</v>
      </c>
      <c r="V15" s="47">
        <f>TRUNC(AVERAGE(V12:V14), 4 - (1 + INT(LOG10(AVERAGE(V12:V14)))))</f>
        <v>0.97650000000000003</v>
      </c>
    </row>
    <row r="16" spans="1:22" x14ac:dyDescent="0.2">
      <c r="A16" s="31">
        <v>8</v>
      </c>
      <c r="B16" s="31">
        <f>(A16+1)*5 / 1000</f>
        <v>4.4999999999999998E-2</v>
      </c>
      <c r="C16" s="31">
        <f>B16*$B$2</f>
        <v>0.441</v>
      </c>
      <c r="D16" s="41">
        <f>C16/$B$6</f>
        <v>1.2934903120215404</v>
      </c>
      <c r="E16" s="31">
        <v>0.9405</v>
      </c>
      <c r="F16" s="31">
        <v>0.98109999999999997</v>
      </c>
      <c r="G16" s="31">
        <v>1.008</v>
      </c>
      <c r="H16" s="31">
        <f>TRUNC(AVERAGE(E16:G16), 4 - (1 + INT(LOG10(AVERAGE(E16:G16)))))</f>
        <v>0.97650000000000003</v>
      </c>
      <c r="I16" s="31">
        <f>TRUNC(_xlfn.STDEV.P(E16:G16), 4 - (1 + INT(LOG10(ABS(_xlfn.STDEV.P(E16:G16))))))</f>
        <v>2.7740000000000001E-2</v>
      </c>
      <c r="J16" s="31">
        <f>TRUNC((2*$B$5)/( H16^2), 4 - (1 + INT(LOG10(ABS((2*$B$5)/( H16^2))))))</f>
        <v>1.403</v>
      </c>
      <c r="K16" s="40">
        <f>ABS(J16-D16)/D16</f>
        <v>8.4662163265306276E-2</v>
      </c>
      <c r="N16" s="52" t="s">
        <v>56</v>
      </c>
      <c r="O16" s="47">
        <f>TRUNC(_xlfn.STDEV.P(O12:O14), 4 - (1 + INT(LOG10(ABS(_xlfn.STDEV.P(O12:O14))))))</f>
        <v>1.1310000000000001E-2</v>
      </c>
      <c r="P16" s="47">
        <f>TRUNC(_xlfn.STDEV.P(P12:P14), 4 - (1 + INT(LOG10(ABS(_xlfn.STDEV.P(P12:P14))))))</f>
        <v>1.7899999999999999E-2</v>
      </c>
      <c r="Q16" s="47">
        <f>TRUNC(_xlfn.STDEV.P(Q12:Q14), 4 - (1 + INT(LOG10(ABS(_xlfn.STDEV.P(Q12:Q14))))))</f>
        <v>3.3509999999999998E-2</v>
      </c>
      <c r="R16" s="47">
        <f>TRUNC(_xlfn.STDEV.P(R12:R14), 4 - (1 + INT(LOG10(ABS(_xlfn.STDEV.P(R12:R14))))))</f>
        <v>8.4849999999999995E-3</v>
      </c>
      <c r="S16" s="47">
        <f>TRUNC(_xlfn.STDEV.P(S12:S14), 4 - (1 + INT(LOG10(ABS(_xlfn.STDEV.P(S12:S14))))))</f>
        <v>7.5420000000000001E-3</v>
      </c>
      <c r="T16" s="47">
        <f>TRUNC(_xlfn.STDEV.P(T12:T14), 4 - (1 + INT(LOG10(ABS(_xlfn.STDEV.P(T12:T14))))))</f>
        <v>3.0339999999999999E-2</v>
      </c>
      <c r="U16" s="47">
        <f>TRUNC(_xlfn.STDEV.P(U12:U14), 4 - (1 + INT(LOG10(ABS(_xlfn.STDEV.P(U12:U14))))))</f>
        <v>2.3599999999999999E-2</v>
      </c>
      <c r="V16" s="47">
        <f>TRUNC(_xlfn.STDEV.P(V12:V14), 4 - (1 + INT(LOG10(ABS(_xlfn.STDEV.P(V12:V14))))))</f>
        <v>2.7740000000000001E-2</v>
      </c>
    </row>
    <row r="17" spans="1:22" ht="17" thickBot="1" x14ac:dyDescent="0.25">
      <c r="N17" s="51" t="s">
        <v>57</v>
      </c>
      <c r="O17" s="49">
        <f>TRUNC((2*$B$5)/( O15^2), 4 - (1 + INT(LOG10(ABS((2*$B$5)/( O15^2))))))</f>
        <v>0.31559999999999999</v>
      </c>
      <c r="P17" s="49">
        <f>TRUNC((2*$B$5)/( P15^2), 4 - (1 + INT(LOG10(ABS((2*$B$5)/( P15^2))))))</f>
        <v>0.4506</v>
      </c>
      <c r="Q17" s="49">
        <f>TRUNC((2*$B$5)/( Q15^2), 4 - (1 + INT(LOG10(ABS((2*$B$5)/( Q15^2))))))</f>
        <v>0.61080000000000001</v>
      </c>
      <c r="R17" s="49">
        <f>TRUNC((2*$B$5)/( R15^2), 4 - (1 + INT(LOG10(ABS((2*$B$5)/( R15^2))))))</f>
        <v>0.78680000000000005</v>
      </c>
      <c r="S17" s="49">
        <f>TRUNC((2*$B$5)/( S15^2), 4 - (1 + INT(LOG10(ABS((2*$B$5)/( S15^2))))))</f>
        <v>0.90329999999999999</v>
      </c>
      <c r="T17" s="49">
        <f>TRUNC((2*$B$5)/( T15^2), 4 - (1 + INT(LOG10(ABS((2*$B$5)/( T15^2))))))</f>
        <v>1.105</v>
      </c>
      <c r="U17" s="49">
        <f>TRUNC((2*$B$5)/( U15^2), 4 - (1 + INT(LOG10(ABS((2*$B$5)/( U15^2))))))</f>
        <v>1.276</v>
      </c>
      <c r="V17" s="49">
        <f>TRUNC((2*$B$5)/( V15^2), 4 - (1 + INT(LOG10(ABS((2*$B$5)/( V15^2))))))</f>
        <v>1.403</v>
      </c>
    </row>
    <row r="18" spans="1:22" x14ac:dyDescent="0.2">
      <c r="N18" s="52" t="s">
        <v>35</v>
      </c>
      <c r="O18" s="53">
        <f>ABS(O17-O11)/O11</f>
        <v>9.7959518367346926E-2</v>
      </c>
      <c r="P18" s="53">
        <f>ABS(P17-P11)/P11</f>
        <v>4.5079338775510291E-2</v>
      </c>
      <c r="Q18" s="53">
        <f>ABS(Q17-Q11)/Q11</f>
        <v>6.2474134693877588E-2</v>
      </c>
      <c r="R18" s="53">
        <f>ABS(R17-R11)/R11</f>
        <v>9.489803428571425E-2</v>
      </c>
      <c r="S18" s="53">
        <f>ABS(S17-S11)/S11</f>
        <v>4.7514610204081709E-2</v>
      </c>
      <c r="T18" s="53">
        <f>ABS(T17-T11)/T11</f>
        <v>9.8357113702623761E-2</v>
      </c>
      <c r="U18" s="53">
        <f>ABS(U17-U11)/U11</f>
        <v>0.10978797959183677</v>
      </c>
      <c r="V18" s="53">
        <f>ABS(V17-V11)/V11</f>
        <v>8.4662163265306276E-2</v>
      </c>
    </row>
    <row r="20" spans="1:22" x14ac:dyDescent="0.2">
      <c r="A20" s="32" t="s">
        <v>19</v>
      </c>
      <c r="B20" s="32"/>
      <c r="C20" s="32"/>
    </row>
    <row r="21" spans="1:22" ht="17" thickBot="1" x14ac:dyDescent="0.25">
      <c r="A21" s="62"/>
      <c r="B21" s="62" t="s">
        <v>41</v>
      </c>
      <c r="C21" s="62" t="s">
        <v>42</v>
      </c>
      <c r="N21" s="66"/>
      <c r="O21" s="60" t="s">
        <v>41</v>
      </c>
      <c r="P21" s="60" t="s">
        <v>42</v>
      </c>
      <c r="Q21" s="65"/>
    </row>
    <row r="22" spans="1:22" ht="17" thickBot="1" x14ac:dyDescent="0.25">
      <c r="A22" s="62" t="s">
        <v>43</v>
      </c>
      <c r="B22" s="62">
        <v>0.34093800000000002</v>
      </c>
      <c r="C22" s="63"/>
      <c r="N22" s="60" t="s">
        <v>43</v>
      </c>
      <c r="O22" s="66">
        <v>0.34093800000000002</v>
      </c>
      <c r="P22" s="67"/>
    </row>
    <row r="23" spans="1:22" x14ac:dyDescent="0.2">
      <c r="A23" s="62" t="s">
        <v>44</v>
      </c>
      <c r="B23" s="64">
        <v>0.30795072339191504</v>
      </c>
      <c r="C23" s="63">
        <v>0.101673138764538</v>
      </c>
      <c r="N23" s="58" t="s">
        <v>44</v>
      </c>
      <c r="O23" s="64">
        <v>0.30795072339191504</v>
      </c>
      <c r="P23" s="63">
        <v>0.101673138764538</v>
      </c>
    </row>
    <row r="24" spans="1:22" ht="17" thickBot="1" x14ac:dyDescent="0.25">
      <c r="A24" s="62" t="s">
        <v>45</v>
      </c>
      <c r="B24" s="64">
        <v>0.49363589035928496</v>
      </c>
      <c r="C24" s="63">
        <v>0.36593018814319322</v>
      </c>
      <c r="N24" s="60" t="s">
        <v>45</v>
      </c>
      <c r="O24" s="68">
        <v>0.49363589035928496</v>
      </c>
      <c r="P24" s="67">
        <v>0.36593018814319322</v>
      </c>
    </row>
    <row r="26" spans="1:22" x14ac:dyDescent="0.2">
      <c r="A26" s="32"/>
      <c r="B26" s="32"/>
      <c r="C26" s="32"/>
    </row>
    <row r="27" spans="1:22" x14ac:dyDescent="0.2">
      <c r="A27" s="32"/>
      <c r="B27" s="32"/>
      <c r="C27" s="32"/>
    </row>
    <row r="28" spans="1:22" x14ac:dyDescent="0.2">
      <c r="A28" s="39"/>
      <c r="B28" s="38" t="s">
        <v>24</v>
      </c>
      <c r="C28" s="32"/>
    </row>
    <row r="29" spans="1:22" x14ac:dyDescent="0.2">
      <c r="A29" s="37" t="s">
        <v>25</v>
      </c>
      <c r="B29" s="36">
        <v>-5.5511151231257827E-17</v>
      </c>
      <c r="C29" s="32"/>
    </row>
    <row r="30" spans="1:22" x14ac:dyDescent="0.2">
      <c r="A30" s="36"/>
      <c r="B30" s="36"/>
      <c r="C30" s="32"/>
    </row>
    <row r="31" spans="1:22" x14ac:dyDescent="0.2">
      <c r="A31" s="36" t="s">
        <v>22</v>
      </c>
      <c r="B31" s="35">
        <v>5.7748498712063001E-3</v>
      </c>
      <c r="C31" s="32"/>
    </row>
    <row r="32" spans="1:22" x14ac:dyDescent="0.2">
      <c r="A32" s="34" t="s">
        <v>23</v>
      </c>
      <c r="B32" s="33">
        <v>-3.2241255209236597E-3</v>
      </c>
      <c r="C3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Abereni Opuiyo</cp:lastModifiedBy>
  <cp:revision>65</cp:revision>
  <dcterms:created xsi:type="dcterms:W3CDTF">2024-10-10T18:55:59Z</dcterms:created>
  <dcterms:modified xsi:type="dcterms:W3CDTF">2024-10-27T00:36:17Z</dcterms:modified>
  <dc:language>en-US</dc:language>
</cp:coreProperties>
</file>