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26274" documentId="11_0B1D56BE9CDCCE836B02CE7A5FB0D4A9BBFD1C62" xr6:coauthVersionLast="47" xr6:coauthVersionMax="47" xr10:uidLastSave="{D998192C-6BDF-440C-9B53-F2754DEE6754}"/>
  <bookViews>
    <workbookView xWindow="240" yWindow="105" windowWidth="14805" windowHeight="8010" firstSheet="3" activeTab="3" xr2:uid="{00000000-000D-0000-FFFF-FFFF00000000}"/>
  </bookViews>
  <sheets>
    <sheet name="Blue Jays 9-17" sheetId="2" r:id="rId1"/>
    <sheet name="MLB 9-17" sheetId="3" r:id="rId2"/>
    <sheet name="Team Ratings" sheetId="15" r:id="rId3"/>
    <sheet name="American Association 9-18" sheetId="12" r:id="rId4"/>
    <sheet name="World Baseball Classic 2026" sheetId="4" r:id="rId5"/>
    <sheet name="Blue Jays Spring Training 2025" sheetId="5" r:id="rId6"/>
    <sheet name="MLB Spring Training 2025" sheetId="7" r:id="rId7"/>
    <sheet name="MJBL 2025" sheetId="8" r:id="rId8"/>
    <sheet name="57s 2025" sheetId="9" r:id="rId9"/>
    <sheet name="WCBL Run Diff 2025" sheetId="14" r:id="rId10"/>
    <sheet name="WCBL 2025" sheetId="10" r:id="rId11"/>
    <sheet name="Goldeyes 2025" sheetId="11" r:id="rId12"/>
    <sheet name="AA Run Diff 2025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2" i="2" l="1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AJ105" i="13"/>
  <c r="AI105" i="13"/>
  <c r="AJ106" i="13"/>
  <c r="AJ104" i="13"/>
  <c r="AI104" i="13"/>
  <c r="AI106" i="13"/>
  <c r="H101" i="11"/>
  <c r="G101" i="11"/>
  <c r="H100" i="11"/>
  <c r="G100" i="11"/>
  <c r="H99" i="11"/>
  <c r="G99" i="11"/>
  <c r="H98" i="11"/>
  <c r="G98" i="11"/>
  <c r="H139" i="2"/>
  <c r="G139" i="2"/>
  <c r="H138" i="2"/>
  <c r="G138" i="2"/>
  <c r="H137" i="2"/>
  <c r="G137" i="2"/>
  <c r="H136" i="2"/>
  <c r="G136" i="2"/>
  <c r="H97" i="11"/>
  <c r="G97" i="11"/>
  <c r="H135" i="2"/>
  <c r="G135" i="2"/>
  <c r="H134" i="2"/>
  <c r="G134" i="2"/>
  <c r="H133" i="2"/>
  <c r="G133" i="2"/>
  <c r="S32" i="3"/>
  <c r="H132" i="2"/>
  <c r="G132" i="2"/>
  <c r="H131" i="2"/>
  <c r="G131" i="2"/>
  <c r="H130" i="2"/>
  <c r="G130" i="2"/>
  <c r="F12" i="15"/>
  <c r="E12" i="15"/>
  <c r="M12" i="15"/>
  <c r="F11" i="15"/>
  <c r="E11" i="15"/>
  <c r="M11" i="15"/>
  <c r="F6" i="15"/>
  <c r="E6" i="15"/>
  <c r="M6" i="15"/>
  <c r="F4" i="15"/>
  <c r="E4" i="15"/>
  <c r="M4" i="15"/>
  <c r="F3" i="15"/>
  <c r="E3" i="15"/>
  <c r="M3" i="15"/>
  <c r="F2" i="15"/>
  <c r="E2" i="15"/>
  <c r="F10" i="15"/>
  <c r="E10" i="15"/>
  <c r="M10" i="15"/>
  <c r="F7" i="15"/>
  <c r="E7" i="15"/>
  <c r="M7" i="15"/>
  <c r="F5" i="15"/>
  <c r="E5" i="15"/>
  <c r="M5" i="15"/>
  <c r="F13" i="15"/>
  <c r="E13" i="15"/>
  <c r="M13" i="15"/>
  <c r="F9" i="15"/>
  <c r="E9" i="15"/>
  <c r="M9" i="15"/>
  <c r="F8" i="15"/>
  <c r="E8" i="15"/>
  <c r="M8" i="15"/>
  <c r="G12" i="15"/>
  <c r="H12" i="15"/>
  <c r="G11" i="15"/>
  <c r="H11" i="15"/>
  <c r="G6" i="15"/>
  <c r="H6" i="15"/>
  <c r="G4" i="15"/>
  <c r="H4" i="15"/>
  <c r="G3" i="15"/>
  <c r="H3" i="15"/>
  <c r="G10" i="15"/>
  <c r="H10" i="15"/>
  <c r="G7" i="15"/>
  <c r="H7" i="15"/>
  <c r="G5" i="15"/>
  <c r="H5" i="15"/>
  <c r="G13" i="15"/>
  <c r="H13" i="15"/>
  <c r="G9" i="15"/>
  <c r="H9" i="15"/>
  <c r="G8" i="15"/>
  <c r="H8" i="15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G17" i="12"/>
  <c r="G16" i="12"/>
  <c r="G14" i="12"/>
  <c r="G15" i="12"/>
  <c r="G13" i="12"/>
  <c r="G12" i="12"/>
  <c r="G4" i="12"/>
  <c r="G8" i="12"/>
  <c r="G6" i="12"/>
  <c r="G5" i="12"/>
  <c r="G7" i="12"/>
  <c r="G3" i="12"/>
  <c r="F3" i="3"/>
  <c r="F5" i="3"/>
  <c r="F4" i="3"/>
  <c r="F6" i="3"/>
  <c r="F7" i="3"/>
  <c r="H122" i="2"/>
  <c r="G122" i="2"/>
  <c r="F43" i="3"/>
  <c r="F44" i="3"/>
  <c r="F46" i="3"/>
  <c r="F45" i="3"/>
  <c r="F47" i="3"/>
  <c r="F35" i="3"/>
  <c r="F36" i="3"/>
  <c r="F37" i="3"/>
  <c r="F38" i="3"/>
  <c r="F39" i="3"/>
  <c r="F27" i="3"/>
  <c r="F28" i="3"/>
  <c r="F29" i="3"/>
  <c r="F30" i="3"/>
  <c r="F31" i="3"/>
  <c r="F20" i="3"/>
  <c r="F19" i="3"/>
  <c r="F21" i="3"/>
  <c r="F23" i="3"/>
  <c r="F22" i="3"/>
  <c r="F11" i="3"/>
  <c r="F12" i="3"/>
  <c r="F13" i="3"/>
  <c r="F14" i="3"/>
  <c r="F15" i="3"/>
  <c r="H121" i="2"/>
  <c r="G121" i="2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H6" i="2"/>
  <c r="G6" i="2"/>
  <c r="H5" i="2"/>
  <c r="G5" i="2"/>
  <c r="H4" i="2"/>
  <c r="G4" i="2"/>
  <c r="H120" i="2"/>
  <c r="G120" i="2"/>
  <c r="H3" i="2"/>
  <c r="G3" i="2"/>
  <c r="H119" i="2"/>
  <c r="G119" i="2"/>
  <c r="H118" i="2"/>
  <c r="G118" i="2"/>
  <c r="F3" i="10"/>
  <c r="W62" i="14"/>
  <c r="T62" i="14"/>
  <c r="Q62" i="14"/>
  <c r="N62" i="14"/>
  <c r="K62" i="14"/>
  <c r="H62" i="14"/>
  <c r="E62" i="14"/>
  <c r="B62" i="14"/>
  <c r="U62" i="14"/>
  <c r="R62" i="14"/>
  <c r="O62" i="14"/>
  <c r="L62" i="14"/>
  <c r="I62" i="14"/>
  <c r="F62" i="14"/>
  <c r="C62" i="14"/>
  <c r="F4" i="10"/>
  <c r="F12" i="10"/>
  <c r="F13" i="10"/>
  <c r="F14" i="10"/>
  <c r="F17" i="10"/>
  <c r="F16" i="10"/>
  <c r="F15" i="10"/>
  <c r="AG61" i="14"/>
  <c r="AF61" i="14"/>
  <c r="AG62" i="14"/>
  <c r="AG60" i="14"/>
  <c r="AF60" i="14"/>
  <c r="AF62" i="14"/>
  <c r="AD61" i="14"/>
  <c r="AC61" i="14"/>
  <c r="AD62" i="14"/>
  <c r="AD60" i="14"/>
  <c r="AC60" i="14"/>
  <c r="AC62" i="14"/>
  <c r="AA61" i="14"/>
  <c r="Z61" i="14"/>
  <c r="AA62" i="14"/>
  <c r="AA60" i="14"/>
  <c r="Z60" i="14"/>
  <c r="Z62" i="14"/>
  <c r="X61" i="14"/>
  <c r="W61" i="14"/>
  <c r="X62" i="14"/>
  <c r="X60" i="14"/>
  <c r="W60" i="14"/>
  <c r="U61" i="14"/>
  <c r="T61" i="14"/>
  <c r="U60" i="14"/>
  <c r="T60" i="14"/>
  <c r="R61" i="14"/>
  <c r="Q61" i="14"/>
  <c r="R60" i="14"/>
  <c r="Q60" i="14"/>
  <c r="O61" i="14"/>
  <c r="N61" i="14"/>
  <c r="O60" i="14"/>
  <c r="N60" i="14"/>
  <c r="L61" i="14"/>
  <c r="K61" i="14"/>
  <c r="L60" i="14"/>
  <c r="K60" i="14"/>
  <c r="I61" i="14"/>
  <c r="H61" i="14"/>
  <c r="I60" i="14"/>
  <c r="H60" i="14"/>
  <c r="F61" i="14"/>
  <c r="E61" i="14"/>
  <c r="F60" i="14"/>
  <c r="E60" i="14"/>
  <c r="C61" i="14"/>
  <c r="B61" i="14"/>
  <c r="C60" i="14"/>
  <c r="B60" i="14"/>
  <c r="F8" i="10"/>
  <c r="F5" i="10"/>
  <c r="F6" i="10"/>
  <c r="F7" i="10"/>
  <c r="J7" i="10"/>
  <c r="I7" i="10"/>
  <c r="J13" i="10"/>
  <c r="I13" i="10"/>
  <c r="J3" i="10"/>
  <c r="I3" i="10"/>
  <c r="J5" i="10"/>
  <c r="I5" i="10"/>
  <c r="J12" i="10"/>
  <c r="I12" i="10"/>
  <c r="J6" i="10"/>
  <c r="I6" i="10"/>
  <c r="Q24" i="3"/>
  <c r="J4" i="10"/>
  <c r="I4" i="10"/>
  <c r="J14" i="10"/>
  <c r="I14" i="10"/>
  <c r="I17" i="10"/>
  <c r="J17" i="10"/>
  <c r="J16" i="10"/>
  <c r="I16" i="10"/>
  <c r="J15" i="10"/>
  <c r="I15" i="10"/>
  <c r="J8" i="10" a="1"/>
  <c r="J8" i="10"/>
  <c r="I8" i="10" a="1"/>
  <c r="I8" i="10"/>
  <c r="AA105" i="13"/>
  <c r="Z105" i="13"/>
  <c r="AA106" i="13"/>
  <c r="U105" i="13"/>
  <c r="T105" i="13"/>
  <c r="U106" i="13"/>
  <c r="O105" i="13"/>
  <c r="N105" i="13"/>
  <c r="O106" i="13"/>
  <c r="L105" i="13"/>
  <c r="K105" i="13"/>
  <c r="L106" i="13"/>
  <c r="F105" i="13"/>
  <c r="E105" i="13"/>
  <c r="F106" i="13"/>
  <c r="C105" i="13"/>
  <c r="B105" i="13"/>
  <c r="C106" i="13"/>
  <c r="AG105" i="13"/>
  <c r="AF105" i="13"/>
  <c r="AG106" i="13"/>
  <c r="AD105" i="13"/>
  <c r="AC105" i="13"/>
  <c r="AD106" i="13"/>
  <c r="X105" i="13"/>
  <c r="W105" i="13"/>
  <c r="X106" i="13"/>
  <c r="R105" i="13"/>
  <c r="Q105" i="13"/>
  <c r="R106" i="13"/>
  <c r="I105" i="13"/>
  <c r="H105" i="13"/>
  <c r="I106" i="13"/>
  <c r="AA104" i="13"/>
  <c r="Z104" i="13"/>
  <c r="Z106" i="13"/>
  <c r="U104" i="13"/>
  <c r="T104" i="13"/>
  <c r="T106" i="13"/>
  <c r="O104" i="13"/>
  <c r="N104" i="13"/>
  <c r="N106" i="13"/>
  <c r="L104" i="13"/>
  <c r="K104" i="13"/>
  <c r="K106" i="13"/>
  <c r="F104" i="13"/>
  <c r="E104" i="13"/>
  <c r="E106" i="13"/>
  <c r="C104" i="13"/>
  <c r="B104" i="13"/>
  <c r="B106" i="13"/>
  <c r="AG104" i="13"/>
  <c r="AF104" i="13"/>
  <c r="AF106" i="13"/>
  <c r="AD104" i="13"/>
  <c r="AC104" i="13"/>
  <c r="AC106" i="13"/>
  <c r="X104" i="13"/>
  <c r="W104" i="13"/>
  <c r="W106" i="13"/>
  <c r="R104" i="13"/>
  <c r="Q104" i="13"/>
  <c r="Q106" i="13"/>
  <c r="I104" i="13"/>
  <c r="H104" i="13"/>
  <c r="H106" i="13"/>
  <c r="I6" i="12"/>
  <c r="H6" i="12"/>
  <c r="I3" i="12"/>
  <c r="H3" i="12"/>
  <c r="I5" i="12"/>
  <c r="H5" i="12"/>
  <c r="I8" i="12"/>
  <c r="H8" i="12"/>
  <c r="I7" i="12"/>
  <c r="H7" i="12"/>
  <c r="I4" i="12"/>
  <c r="H4" i="12"/>
  <c r="I14" i="12"/>
  <c r="H14" i="12"/>
  <c r="I12" i="12"/>
  <c r="H12" i="12"/>
  <c r="I16" i="12"/>
  <c r="H16" i="12"/>
  <c r="I13" i="12"/>
  <c r="H13" i="12"/>
  <c r="I17" i="12" a="1"/>
  <c r="I17" i="12"/>
  <c r="H17" i="12" a="1"/>
  <c r="H17" i="12"/>
  <c r="I15" i="12"/>
  <c r="H15" i="12"/>
  <c r="J9" i="8"/>
  <c r="J6" i="8"/>
  <c r="J5" i="8"/>
  <c r="J8" i="8"/>
  <c r="J7" i="8"/>
  <c r="J4" i="8"/>
  <c r="J3" i="8"/>
  <c r="K13" i="10"/>
  <c r="V5" i="10"/>
  <c r="K16" i="10"/>
  <c r="V11" i="10"/>
  <c r="K15" i="10"/>
  <c r="V10" i="10"/>
  <c r="K12" i="10"/>
  <c r="V4" i="10"/>
  <c r="K14" i="10"/>
  <c r="V7" i="10"/>
  <c r="K17" i="10"/>
  <c r="V12" i="10"/>
  <c r="K4" i="10"/>
  <c r="V6" i="10"/>
  <c r="K3" i="10"/>
  <c r="V3" i="10"/>
  <c r="K5" i="10"/>
  <c r="V8" i="10"/>
  <c r="K7" i="10"/>
  <c r="V13" i="10"/>
  <c r="K6" i="10"/>
  <c r="V9" i="10"/>
  <c r="K8" i="10"/>
  <c r="V14" i="10"/>
  <c r="W6" i="10"/>
  <c r="W3" i="10"/>
  <c r="W5" i="10"/>
  <c r="W8" i="10"/>
  <c r="W10" i="10"/>
  <c r="W11" i="10"/>
  <c r="W4" i="10"/>
  <c r="W13" i="10"/>
  <c r="W9" i="10"/>
  <c r="W7" i="10"/>
  <c r="W12" i="10"/>
  <c r="W14" i="10"/>
  <c r="W4" i="12"/>
  <c r="W3" i="12"/>
  <c r="W6" i="12"/>
  <c r="W11" i="12"/>
  <c r="W7" i="12"/>
  <c r="W8" i="12"/>
  <c r="W13" i="12"/>
  <c r="W10" i="12"/>
  <c r="W9" i="12"/>
  <c r="W5" i="12"/>
  <c r="W12" i="12"/>
  <c r="W14" i="12"/>
  <c r="J13" i="12"/>
  <c r="V4" i="12"/>
  <c r="J12" i="12"/>
  <c r="V3" i="12"/>
  <c r="J15" i="12"/>
  <c r="V6" i="12"/>
  <c r="J17" i="12"/>
  <c r="V13" i="12"/>
  <c r="J14" i="12"/>
  <c r="V5" i="12"/>
  <c r="J16" i="12"/>
  <c r="V12" i="12"/>
  <c r="J7" i="12"/>
  <c r="V11" i="12"/>
  <c r="J3" i="12"/>
  <c r="V7" i="12"/>
  <c r="J4" i="12"/>
  <c r="V8" i="12"/>
  <c r="J6" i="12"/>
  <c r="V10" i="12"/>
  <c r="J5" i="12"/>
  <c r="V9" i="12"/>
  <c r="J8" i="12"/>
  <c r="V14" i="12"/>
  <c r="I20" i="11"/>
  <c r="K44" i="3"/>
  <c r="K45" i="3"/>
  <c r="K46" i="3"/>
  <c r="K47" i="3"/>
  <c r="K43" i="3"/>
  <c r="K35" i="3"/>
  <c r="K38" i="3"/>
  <c r="K37" i="3"/>
  <c r="K39" i="3"/>
  <c r="K36" i="3"/>
  <c r="K27" i="3"/>
  <c r="K28" i="3"/>
  <c r="K30" i="3"/>
  <c r="K31" i="3"/>
  <c r="K29" i="3"/>
  <c r="K20" i="3"/>
  <c r="K19" i="3"/>
  <c r="K21" i="3"/>
  <c r="K22" i="3"/>
  <c r="K23" i="3"/>
  <c r="K15" i="3"/>
  <c r="K14" i="3"/>
  <c r="K11" i="3"/>
  <c r="K13" i="3"/>
  <c r="K12" i="3"/>
  <c r="K4" i="3"/>
  <c r="K7" i="3"/>
  <c r="K5" i="3"/>
  <c r="K6" i="3"/>
  <c r="K3" i="3"/>
  <c r="B25" i="7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2" i="2"/>
  <c r="N2" i="2"/>
  <c r="I3" i="2"/>
  <c r="N3" i="2"/>
  <c r="I4" i="2"/>
  <c r="N4" i="2"/>
  <c r="I5" i="2"/>
  <c r="N5" i="2"/>
  <c r="I6" i="2"/>
  <c r="N6" i="2"/>
  <c r="I7" i="2"/>
  <c r="N7" i="2"/>
  <c r="I8" i="2"/>
  <c r="N8" i="2"/>
  <c r="I9" i="2"/>
  <c r="N9" i="2"/>
  <c r="I10" i="2"/>
  <c r="N10" i="2"/>
  <c r="I11" i="2"/>
  <c r="N11" i="2"/>
  <c r="I12" i="2"/>
  <c r="N12" i="2"/>
  <c r="I13" i="2"/>
  <c r="N13" i="2"/>
  <c r="I14" i="2"/>
  <c r="N14" i="2"/>
  <c r="I15" i="2"/>
  <c r="N15" i="2"/>
  <c r="I109" i="2"/>
  <c r="N109" i="2"/>
  <c r="I16" i="2"/>
  <c r="N16" i="2"/>
  <c r="I17" i="2"/>
  <c r="N17" i="2"/>
  <c r="I18" i="2"/>
  <c r="N18" i="2"/>
  <c r="I19" i="2"/>
  <c r="N19" i="2"/>
  <c r="I20" i="2"/>
  <c r="N20" i="2"/>
  <c r="I21" i="2"/>
  <c r="N21" i="2"/>
  <c r="I22" i="2"/>
  <c r="N22" i="2"/>
  <c r="I23" i="2"/>
  <c r="N23" i="2"/>
  <c r="I24" i="2"/>
  <c r="N24" i="2"/>
  <c r="I25" i="2"/>
  <c r="N25" i="2"/>
  <c r="I26" i="2"/>
  <c r="N26" i="2"/>
  <c r="I27" i="2"/>
  <c r="N27" i="2"/>
  <c r="I28" i="2"/>
  <c r="N28" i="2"/>
  <c r="I29" i="2"/>
  <c r="N29" i="2"/>
  <c r="I30" i="2"/>
  <c r="N30" i="2"/>
  <c r="I31" i="2"/>
  <c r="N31" i="2"/>
  <c r="I32" i="2"/>
  <c r="N32" i="2"/>
  <c r="I33" i="2"/>
  <c r="N33" i="2"/>
  <c r="I34" i="2"/>
  <c r="N34" i="2"/>
  <c r="I35" i="2"/>
  <c r="N35" i="2"/>
  <c r="I36" i="2"/>
  <c r="N36" i="2"/>
  <c r="I37" i="2"/>
  <c r="N37" i="2"/>
  <c r="I38" i="2"/>
  <c r="N38" i="2"/>
  <c r="I39" i="2"/>
  <c r="N39" i="2"/>
  <c r="I40" i="2"/>
  <c r="N40" i="2"/>
  <c r="I41" i="2"/>
  <c r="N41" i="2"/>
  <c r="I42" i="2"/>
  <c r="N42" i="2"/>
  <c r="I43" i="2"/>
  <c r="N43" i="2"/>
  <c r="I44" i="2"/>
  <c r="N44" i="2"/>
  <c r="I45" i="2"/>
  <c r="N45" i="2"/>
  <c r="I46" i="2"/>
  <c r="N46" i="2"/>
  <c r="I47" i="2"/>
  <c r="N47" i="2"/>
  <c r="I48" i="2"/>
  <c r="N48" i="2"/>
  <c r="I49" i="2"/>
  <c r="N49" i="2"/>
  <c r="I50" i="2"/>
  <c r="N50" i="2"/>
  <c r="I51" i="2"/>
  <c r="N51" i="2"/>
  <c r="I52" i="2"/>
  <c r="N52" i="2"/>
  <c r="I53" i="2"/>
  <c r="N53" i="2"/>
  <c r="I54" i="2"/>
  <c r="N54" i="2"/>
  <c r="I55" i="2"/>
  <c r="N55" i="2"/>
  <c r="I56" i="2"/>
  <c r="N56" i="2"/>
  <c r="I57" i="2"/>
  <c r="N57" i="2"/>
  <c r="I58" i="2"/>
  <c r="N58" i="2"/>
  <c r="I59" i="2"/>
  <c r="N59" i="2"/>
  <c r="I60" i="2"/>
  <c r="N60" i="2"/>
  <c r="I61" i="2"/>
  <c r="N61" i="2"/>
  <c r="I62" i="2"/>
  <c r="N62" i="2"/>
  <c r="I63" i="2"/>
  <c r="N63" i="2"/>
  <c r="I64" i="2"/>
  <c r="N64" i="2"/>
  <c r="I65" i="2"/>
  <c r="N65" i="2"/>
  <c r="I66" i="2"/>
  <c r="N66" i="2"/>
  <c r="I67" i="2"/>
  <c r="N67" i="2"/>
  <c r="I68" i="2"/>
  <c r="N68" i="2"/>
  <c r="I69" i="2"/>
  <c r="N69" i="2"/>
  <c r="I70" i="2"/>
  <c r="N70" i="2"/>
  <c r="I71" i="2"/>
  <c r="N71" i="2"/>
  <c r="I72" i="2"/>
  <c r="N72" i="2"/>
  <c r="I73" i="2"/>
  <c r="N73" i="2"/>
  <c r="I74" i="2"/>
  <c r="N74" i="2"/>
  <c r="I75" i="2"/>
  <c r="N75" i="2"/>
  <c r="I76" i="2"/>
  <c r="N76" i="2"/>
  <c r="I77" i="2"/>
  <c r="N77" i="2"/>
  <c r="I78" i="2"/>
  <c r="N78" i="2"/>
  <c r="I79" i="2"/>
  <c r="N79" i="2"/>
  <c r="I80" i="2"/>
  <c r="N80" i="2"/>
  <c r="I81" i="2"/>
  <c r="N81" i="2"/>
  <c r="I82" i="2"/>
  <c r="N82" i="2"/>
  <c r="I83" i="2"/>
  <c r="N83" i="2"/>
  <c r="I84" i="2"/>
  <c r="N84" i="2"/>
  <c r="I85" i="2"/>
  <c r="N85" i="2"/>
  <c r="I86" i="2"/>
  <c r="N86" i="2"/>
  <c r="I87" i="2"/>
  <c r="N87" i="2"/>
  <c r="I88" i="2"/>
  <c r="N88" i="2"/>
  <c r="I89" i="2"/>
  <c r="N89" i="2"/>
  <c r="I90" i="2"/>
  <c r="N90" i="2"/>
  <c r="I91" i="2"/>
  <c r="N91" i="2"/>
  <c r="I92" i="2"/>
  <c r="N92" i="2"/>
  <c r="I93" i="2"/>
  <c r="N93" i="2"/>
  <c r="I94" i="2"/>
  <c r="N94" i="2"/>
  <c r="I95" i="2"/>
  <c r="N95" i="2"/>
  <c r="I96" i="2"/>
  <c r="N96" i="2"/>
  <c r="I97" i="2"/>
  <c r="N97" i="2"/>
  <c r="I98" i="2"/>
  <c r="N98" i="2"/>
  <c r="I99" i="2"/>
  <c r="N99" i="2"/>
  <c r="I100" i="2"/>
  <c r="N100" i="2"/>
  <c r="I101" i="2"/>
  <c r="N101" i="2"/>
  <c r="I102" i="2"/>
  <c r="N102" i="2"/>
  <c r="I103" i="2"/>
  <c r="N103" i="2"/>
  <c r="I104" i="2"/>
  <c r="N104" i="2"/>
  <c r="I105" i="2"/>
  <c r="N105" i="2"/>
  <c r="I106" i="2"/>
  <c r="N106" i="2"/>
  <c r="I107" i="2"/>
  <c r="N107" i="2"/>
  <c r="I108" i="2"/>
  <c r="N108" i="2"/>
  <c r="I110" i="2"/>
  <c r="N110" i="2"/>
  <c r="I111" i="2"/>
  <c r="N111" i="2"/>
  <c r="I112" i="2"/>
  <c r="N112" i="2"/>
  <c r="I113" i="2"/>
  <c r="N113" i="2"/>
  <c r="I114" i="2"/>
  <c r="N114" i="2"/>
  <c r="I115" i="2"/>
  <c r="N115" i="2"/>
  <c r="I116" i="2"/>
  <c r="N116" i="2"/>
  <c r="I117" i="2"/>
  <c r="N117" i="2"/>
  <c r="I118" i="2"/>
  <c r="N118" i="2"/>
  <c r="I119" i="2"/>
  <c r="N119" i="2"/>
  <c r="I120" i="2"/>
  <c r="N120" i="2"/>
  <c r="I121" i="2"/>
  <c r="N121" i="2"/>
  <c r="I122" i="2"/>
  <c r="N122" i="2"/>
  <c r="I123" i="2"/>
  <c r="N123" i="2"/>
  <c r="I124" i="2"/>
  <c r="N124" i="2"/>
  <c r="I125" i="2"/>
  <c r="N125" i="2"/>
  <c r="I126" i="2"/>
  <c r="N126" i="2"/>
  <c r="I127" i="2"/>
  <c r="N127" i="2"/>
  <c r="I128" i="2"/>
  <c r="N128" i="2"/>
  <c r="I129" i="2"/>
  <c r="N129" i="2"/>
  <c r="I130" i="2"/>
  <c r="N130" i="2"/>
  <c r="I131" i="2"/>
  <c r="N131" i="2"/>
  <c r="I132" i="2"/>
  <c r="N132" i="2"/>
  <c r="I133" i="2"/>
  <c r="N133" i="2"/>
  <c r="I134" i="2"/>
  <c r="N134" i="2"/>
  <c r="I135" i="2"/>
  <c r="N135" i="2"/>
  <c r="I136" i="2"/>
  <c r="N136" i="2"/>
  <c r="I137" i="2"/>
  <c r="N137" i="2"/>
  <c r="I138" i="2"/>
  <c r="N138" i="2"/>
  <c r="I139" i="2"/>
  <c r="N139" i="2"/>
  <c r="I140" i="2"/>
  <c r="N140" i="2"/>
  <c r="I141" i="2"/>
  <c r="N141" i="2"/>
  <c r="I142" i="2"/>
  <c r="N142" i="2"/>
  <c r="I143" i="2"/>
  <c r="N143" i="2"/>
  <c r="I144" i="2"/>
  <c r="N144" i="2"/>
  <c r="I145" i="2"/>
  <c r="N145" i="2"/>
  <c r="I146" i="2"/>
  <c r="N146" i="2"/>
  <c r="I147" i="2"/>
  <c r="N147" i="2"/>
  <c r="I148" i="2"/>
  <c r="N148" i="2"/>
  <c r="I149" i="2"/>
  <c r="N149" i="2"/>
  <c r="I150" i="2"/>
  <c r="N150" i="2"/>
  <c r="I151" i="2"/>
  <c r="N151" i="2"/>
  <c r="I152" i="2"/>
  <c r="N152" i="2"/>
  <c r="I153" i="2"/>
  <c r="N153" i="2"/>
  <c r="I154" i="2"/>
  <c r="N154" i="2"/>
  <c r="I155" i="2"/>
  <c r="N155" i="2"/>
  <c r="I156" i="2"/>
  <c r="N156" i="2"/>
  <c r="I157" i="2"/>
  <c r="N157" i="2"/>
  <c r="I158" i="2"/>
  <c r="N158" i="2"/>
  <c r="I159" i="2"/>
  <c r="N159" i="2"/>
  <c r="I160" i="2"/>
  <c r="N160" i="2"/>
  <c r="I161" i="2"/>
  <c r="N161" i="2"/>
  <c r="I162" i="2"/>
  <c r="N162" i="2"/>
  <c r="I163" i="2"/>
  <c r="N163" i="2"/>
  <c r="E31" i="4"/>
  <c r="E30" i="4"/>
  <c r="E29" i="4"/>
  <c r="E28" i="4"/>
  <c r="E27" i="4"/>
  <c r="E23" i="4"/>
  <c r="E22" i="4"/>
  <c r="E21" i="4"/>
  <c r="E20" i="4"/>
  <c r="E19" i="4"/>
  <c r="E15" i="4"/>
  <c r="E14" i="4"/>
  <c r="E13" i="4"/>
  <c r="E12" i="4"/>
  <c r="E11" i="4"/>
  <c r="E3" i="4"/>
  <c r="B16" i="12"/>
  <c r="M16" i="12"/>
  <c r="K16" i="12"/>
  <c r="B13" i="12"/>
  <c r="M13" i="12"/>
  <c r="B12" i="12"/>
  <c r="M12" i="12"/>
  <c r="K12" i="12"/>
  <c r="S14" i="12"/>
  <c r="R14" i="12"/>
  <c r="Q14" i="12"/>
  <c r="B15" i="12"/>
  <c r="M15" i="12"/>
  <c r="K15" i="12"/>
  <c r="S12" i="12"/>
  <c r="R12" i="12"/>
  <c r="Q12" i="12"/>
  <c r="B14" i="12"/>
  <c r="M14" i="12"/>
  <c r="K14" i="12"/>
  <c r="S4" i="12"/>
  <c r="R4" i="12"/>
  <c r="Q4" i="12"/>
  <c r="B17" i="12"/>
  <c r="M17" i="12"/>
  <c r="K17" i="12"/>
  <c r="S10" i="12"/>
  <c r="R10" i="12"/>
  <c r="Q10" i="12"/>
  <c r="S3" i="12"/>
  <c r="R3" i="12"/>
  <c r="Q3" i="12"/>
  <c r="S7" i="12"/>
  <c r="R7" i="12"/>
  <c r="Q7" i="12"/>
  <c r="S6" i="12"/>
  <c r="R6" i="12"/>
  <c r="Q6" i="12"/>
  <c r="B8" i="12"/>
  <c r="M8" i="12"/>
  <c r="K8" i="12"/>
  <c r="S8" i="12"/>
  <c r="R8" i="12"/>
  <c r="Q8" i="12"/>
  <c r="B6" i="12"/>
  <c r="M6" i="12"/>
  <c r="K6" i="12"/>
  <c r="S9" i="12"/>
  <c r="R9" i="12"/>
  <c r="Q9" i="12"/>
  <c r="B3" i="12"/>
  <c r="M3" i="12"/>
  <c r="K3" i="12"/>
  <c r="S5" i="12"/>
  <c r="R5" i="12"/>
  <c r="Q5" i="12"/>
  <c r="B4" i="12"/>
  <c r="M4" i="12"/>
  <c r="K4" i="12"/>
  <c r="S13" i="12"/>
  <c r="R13" i="12"/>
  <c r="Q13" i="12"/>
  <c r="B5" i="12"/>
  <c r="M5" i="12"/>
  <c r="K5" i="12"/>
  <c r="S11" i="12"/>
  <c r="R11" i="12"/>
  <c r="Q11" i="12"/>
  <c r="U11" i="12"/>
  <c r="B7" i="12"/>
  <c r="M7" i="12"/>
  <c r="K7" i="12"/>
  <c r="I101" i="11"/>
  <c r="N101" i="11"/>
  <c r="I100" i="11"/>
  <c r="N100" i="11"/>
  <c r="I99" i="11"/>
  <c r="N99" i="11"/>
  <c r="I98" i="11"/>
  <c r="N98" i="11"/>
  <c r="I97" i="11"/>
  <c r="N97" i="11"/>
  <c r="I96" i="11"/>
  <c r="N96" i="11"/>
  <c r="I95" i="11"/>
  <c r="N95" i="11"/>
  <c r="I94" i="11"/>
  <c r="N94" i="11"/>
  <c r="I93" i="11"/>
  <c r="N93" i="11"/>
  <c r="I92" i="11"/>
  <c r="N92" i="11"/>
  <c r="I91" i="11"/>
  <c r="N91" i="11"/>
  <c r="I90" i="11"/>
  <c r="N90" i="11"/>
  <c r="I89" i="11"/>
  <c r="N89" i="11"/>
  <c r="I88" i="11"/>
  <c r="N88" i="11"/>
  <c r="I87" i="11"/>
  <c r="N87" i="11"/>
  <c r="I86" i="11"/>
  <c r="N86" i="11"/>
  <c r="I85" i="11"/>
  <c r="N85" i="11"/>
  <c r="I84" i="11"/>
  <c r="N84" i="11"/>
  <c r="I83" i="11"/>
  <c r="N83" i="11"/>
  <c r="I82" i="11"/>
  <c r="N82" i="11"/>
  <c r="I81" i="11"/>
  <c r="N81" i="11"/>
  <c r="I80" i="11"/>
  <c r="N80" i="11"/>
  <c r="I79" i="11"/>
  <c r="N79" i="11"/>
  <c r="I78" i="11"/>
  <c r="N78" i="11"/>
  <c r="I77" i="11"/>
  <c r="N77" i="11"/>
  <c r="I76" i="11"/>
  <c r="N76" i="11"/>
  <c r="I75" i="11"/>
  <c r="N75" i="11"/>
  <c r="I74" i="11"/>
  <c r="N74" i="11"/>
  <c r="I73" i="11"/>
  <c r="N73" i="11"/>
  <c r="I72" i="11"/>
  <c r="N72" i="11"/>
  <c r="I71" i="11"/>
  <c r="N71" i="11"/>
  <c r="I70" i="11"/>
  <c r="N70" i="11"/>
  <c r="N69" i="11"/>
  <c r="I68" i="11"/>
  <c r="N68" i="11"/>
  <c r="I67" i="11"/>
  <c r="N67" i="11"/>
  <c r="I66" i="11"/>
  <c r="N66" i="11"/>
  <c r="I65" i="11"/>
  <c r="N65" i="11"/>
  <c r="I64" i="11"/>
  <c r="N64" i="11"/>
  <c r="I63" i="11"/>
  <c r="N63" i="11"/>
  <c r="I62" i="11"/>
  <c r="N62" i="11"/>
  <c r="I61" i="11"/>
  <c r="N61" i="11"/>
  <c r="I60" i="11"/>
  <c r="N60" i="11"/>
  <c r="I59" i="11"/>
  <c r="N59" i="11"/>
  <c r="I58" i="11"/>
  <c r="N58" i="11"/>
  <c r="I57" i="11"/>
  <c r="N57" i="11"/>
  <c r="I55" i="11"/>
  <c r="N55" i="11"/>
  <c r="I54" i="11"/>
  <c r="N54" i="11"/>
  <c r="I53" i="11"/>
  <c r="N53" i="11"/>
  <c r="I52" i="11"/>
  <c r="N52" i="11"/>
  <c r="I51" i="11"/>
  <c r="N51" i="11"/>
  <c r="I50" i="11"/>
  <c r="N50" i="11"/>
  <c r="I49" i="11"/>
  <c r="N49" i="11"/>
  <c r="I48" i="11"/>
  <c r="N48" i="11"/>
  <c r="I47" i="11"/>
  <c r="N47" i="11"/>
  <c r="I46" i="11"/>
  <c r="N46" i="11"/>
  <c r="I45" i="11"/>
  <c r="N45" i="11"/>
  <c r="I44" i="11"/>
  <c r="N44" i="11"/>
  <c r="I43" i="11"/>
  <c r="N43" i="11"/>
  <c r="I42" i="11"/>
  <c r="N42" i="11"/>
  <c r="I41" i="11"/>
  <c r="N41" i="11"/>
  <c r="I40" i="11"/>
  <c r="N40" i="11"/>
  <c r="I39" i="11"/>
  <c r="N39" i="11"/>
  <c r="I38" i="11"/>
  <c r="N38" i="11"/>
  <c r="I37" i="11"/>
  <c r="N37" i="11"/>
  <c r="I36" i="11"/>
  <c r="N36" i="11"/>
  <c r="I35" i="11"/>
  <c r="N35" i="11"/>
  <c r="I34" i="11"/>
  <c r="I33" i="11"/>
  <c r="N33" i="11"/>
  <c r="I32" i="11"/>
  <c r="N32" i="11"/>
  <c r="I31" i="11"/>
  <c r="N31" i="11"/>
  <c r="I30" i="11"/>
  <c r="N30" i="11"/>
  <c r="I29" i="11"/>
  <c r="N29" i="11"/>
  <c r="I56" i="11"/>
  <c r="N56" i="11"/>
  <c r="I28" i="11"/>
  <c r="N28" i="11"/>
  <c r="I27" i="11"/>
  <c r="N27" i="11"/>
  <c r="I26" i="11"/>
  <c r="N26" i="11"/>
  <c r="I25" i="11"/>
  <c r="N25" i="11"/>
  <c r="I24" i="11"/>
  <c r="N24" i="11"/>
  <c r="I23" i="11"/>
  <c r="N23" i="11"/>
  <c r="I22" i="11"/>
  <c r="N22" i="11"/>
  <c r="I21" i="11"/>
  <c r="N21" i="11"/>
  <c r="N20" i="11"/>
  <c r="I19" i="11"/>
  <c r="N19" i="11"/>
  <c r="I18" i="11"/>
  <c r="N18" i="11"/>
  <c r="I17" i="11"/>
  <c r="N17" i="11"/>
  <c r="I16" i="11"/>
  <c r="N16" i="11"/>
  <c r="I15" i="11"/>
  <c r="N15" i="11"/>
  <c r="I14" i="11"/>
  <c r="N14" i="11"/>
  <c r="I13" i="11"/>
  <c r="N13" i="11"/>
  <c r="I12" i="11"/>
  <c r="N12" i="11"/>
  <c r="I11" i="11"/>
  <c r="N11" i="11"/>
  <c r="I10" i="11"/>
  <c r="N10" i="11"/>
  <c r="I9" i="11"/>
  <c r="N9" i="11"/>
  <c r="I8" i="11"/>
  <c r="N8" i="11"/>
  <c r="I7" i="11"/>
  <c r="N7" i="11"/>
  <c r="I6" i="11"/>
  <c r="N6" i="11"/>
  <c r="I5" i="11"/>
  <c r="N5" i="11"/>
  <c r="I4" i="11"/>
  <c r="N4" i="11"/>
  <c r="I3" i="11"/>
  <c r="N3" i="11"/>
  <c r="I2" i="11"/>
  <c r="N2" i="11"/>
  <c r="B16" i="10"/>
  <c r="G16" i="10"/>
  <c r="L16" i="10"/>
  <c r="B17" i="10"/>
  <c r="G17" i="10"/>
  <c r="L17" i="10"/>
  <c r="B15" i="10"/>
  <c r="G15" i="10"/>
  <c r="L15" i="10"/>
  <c r="S11" i="10"/>
  <c r="R11" i="10"/>
  <c r="Q11" i="10"/>
  <c r="B14" i="10"/>
  <c r="G14" i="10"/>
  <c r="L14" i="10"/>
  <c r="S14" i="10"/>
  <c r="R14" i="10"/>
  <c r="Q14" i="10"/>
  <c r="B12" i="10"/>
  <c r="G12" i="10"/>
  <c r="L12" i="10"/>
  <c r="S13" i="10"/>
  <c r="R13" i="10"/>
  <c r="Q13" i="10"/>
  <c r="B13" i="10"/>
  <c r="G13" i="10"/>
  <c r="L13" i="10"/>
  <c r="S12" i="10"/>
  <c r="R12" i="10"/>
  <c r="Q12" i="10"/>
  <c r="S10" i="10"/>
  <c r="R10" i="10"/>
  <c r="Q10" i="10"/>
  <c r="S9" i="10"/>
  <c r="R9" i="10"/>
  <c r="Q9" i="10"/>
  <c r="S3" i="10"/>
  <c r="R3" i="10"/>
  <c r="Q3" i="10"/>
  <c r="B8" i="10"/>
  <c r="G8" i="10"/>
  <c r="L8" i="10"/>
  <c r="S6" i="10"/>
  <c r="R6" i="10"/>
  <c r="Q6" i="10"/>
  <c r="B7" i="10"/>
  <c r="G7" i="10"/>
  <c r="L7" i="10"/>
  <c r="S7" i="10"/>
  <c r="R7" i="10"/>
  <c r="Q7" i="10"/>
  <c r="B6" i="10"/>
  <c r="G6" i="10"/>
  <c r="L6" i="10"/>
  <c r="S8" i="10"/>
  <c r="R8" i="10"/>
  <c r="Q8" i="10"/>
  <c r="B3" i="10"/>
  <c r="G3" i="10"/>
  <c r="L3" i="10"/>
  <c r="S4" i="10"/>
  <c r="R4" i="10"/>
  <c r="Q4" i="10"/>
  <c r="B4" i="10"/>
  <c r="G4" i="10"/>
  <c r="L4" i="10"/>
  <c r="S5" i="10"/>
  <c r="R5" i="10"/>
  <c r="Q5" i="10"/>
  <c r="B5" i="10"/>
  <c r="G5" i="10"/>
  <c r="L5" i="10"/>
  <c r="N57" i="9"/>
  <c r="I57" i="9"/>
  <c r="N56" i="9"/>
  <c r="I56" i="9"/>
  <c r="N55" i="9"/>
  <c r="I55" i="9"/>
  <c r="N54" i="9"/>
  <c r="I54" i="9"/>
  <c r="N53" i="9"/>
  <c r="I53" i="9"/>
  <c r="N52" i="9"/>
  <c r="I52" i="9"/>
  <c r="N51" i="9"/>
  <c r="I51" i="9"/>
  <c r="N49" i="9"/>
  <c r="I49" i="9"/>
  <c r="N48" i="9"/>
  <c r="I48" i="9"/>
  <c r="N47" i="9"/>
  <c r="I47" i="9"/>
  <c r="N46" i="9"/>
  <c r="I46" i="9"/>
  <c r="N45" i="9"/>
  <c r="I45" i="9"/>
  <c r="N44" i="9"/>
  <c r="I44" i="9"/>
  <c r="N43" i="9"/>
  <c r="I43" i="9"/>
  <c r="N42" i="9"/>
  <c r="I42" i="9"/>
  <c r="N41" i="9"/>
  <c r="I41" i="9"/>
  <c r="N40" i="9"/>
  <c r="I40" i="9"/>
  <c r="N38" i="9"/>
  <c r="I38" i="9"/>
  <c r="N37" i="9"/>
  <c r="I37" i="9"/>
  <c r="N36" i="9"/>
  <c r="I36" i="9"/>
  <c r="N35" i="9"/>
  <c r="I35" i="9"/>
  <c r="N50" i="9"/>
  <c r="I50" i="9"/>
  <c r="N34" i="9"/>
  <c r="I34" i="9"/>
  <c r="N33" i="9"/>
  <c r="I33" i="9"/>
  <c r="N32" i="9"/>
  <c r="I32" i="9"/>
  <c r="N31" i="9"/>
  <c r="I31" i="9"/>
  <c r="N30" i="9"/>
  <c r="I30" i="9"/>
  <c r="N28" i="9"/>
  <c r="I28" i="9"/>
  <c r="N27" i="9"/>
  <c r="I27" i="9"/>
  <c r="N26" i="9"/>
  <c r="I26" i="9"/>
  <c r="N25" i="9"/>
  <c r="I25" i="9"/>
  <c r="N24" i="9"/>
  <c r="I24" i="9"/>
  <c r="N23" i="9"/>
  <c r="I23" i="9"/>
  <c r="N22" i="9"/>
  <c r="I22" i="9"/>
  <c r="N39" i="9"/>
  <c r="I39" i="9"/>
  <c r="N21" i="9"/>
  <c r="I21" i="9"/>
  <c r="N20" i="9"/>
  <c r="I20" i="9"/>
  <c r="N19" i="9"/>
  <c r="I19" i="9"/>
  <c r="N18" i="9"/>
  <c r="I18" i="9"/>
  <c r="N17" i="9"/>
  <c r="I17" i="9"/>
  <c r="N16" i="9"/>
  <c r="I16" i="9"/>
  <c r="N15" i="9"/>
  <c r="I15" i="9"/>
  <c r="N14" i="9"/>
  <c r="I14" i="9"/>
  <c r="N13" i="9"/>
  <c r="I13" i="9"/>
  <c r="N12" i="9"/>
  <c r="I12" i="9"/>
  <c r="N29" i="9"/>
  <c r="I29" i="9"/>
  <c r="N11" i="9"/>
  <c r="I11" i="9"/>
  <c r="N10" i="9"/>
  <c r="I10" i="9"/>
  <c r="N9" i="9"/>
  <c r="I9" i="9"/>
  <c r="N8" i="9"/>
  <c r="I8" i="9"/>
  <c r="N7" i="9"/>
  <c r="I7" i="9"/>
  <c r="N6" i="9"/>
  <c r="I6" i="9"/>
  <c r="N5" i="9"/>
  <c r="I5" i="9"/>
  <c r="N4" i="9"/>
  <c r="I4" i="9"/>
  <c r="N3" i="9"/>
  <c r="I3" i="9"/>
  <c r="N2" i="9"/>
  <c r="I2" i="9"/>
  <c r="F9" i="8"/>
  <c r="B9" i="8"/>
  <c r="F8" i="8"/>
  <c r="B8" i="8"/>
  <c r="F7" i="8"/>
  <c r="B7" i="8"/>
  <c r="F5" i="8"/>
  <c r="B5" i="8"/>
  <c r="F6" i="8"/>
  <c r="B6" i="8"/>
  <c r="F4" i="8"/>
  <c r="B4" i="8"/>
  <c r="F3" i="8"/>
  <c r="B3" i="8"/>
  <c r="B35" i="7"/>
  <c r="B29" i="7"/>
  <c r="B30" i="7"/>
  <c r="L32" i="7"/>
  <c r="K32" i="7"/>
  <c r="J32" i="7"/>
  <c r="B31" i="7"/>
  <c r="L25" i="7"/>
  <c r="K25" i="7"/>
  <c r="J25" i="7"/>
  <c r="B32" i="7"/>
  <c r="L13" i="7"/>
  <c r="K13" i="7"/>
  <c r="J13" i="7"/>
  <c r="B22" i="7"/>
  <c r="L21" i="7"/>
  <c r="K21" i="7"/>
  <c r="J21" i="7"/>
  <c r="B27" i="7"/>
  <c r="L22" i="7"/>
  <c r="K22" i="7"/>
  <c r="J22" i="7"/>
  <c r="B24" i="7"/>
  <c r="L26" i="7"/>
  <c r="K26" i="7"/>
  <c r="J26" i="7"/>
  <c r="B33" i="7"/>
  <c r="L4" i="7"/>
  <c r="K4" i="7"/>
  <c r="J4" i="7"/>
  <c r="B28" i="7"/>
  <c r="L17" i="7"/>
  <c r="K17" i="7"/>
  <c r="J17" i="7"/>
  <c r="E25" i="7"/>
  <c r="L18" i="7"/>
  <c r="K18" i="7"/>
  <c r="J18" i="7"/>
  <c r="B34" i="7"/>
  <c r="L27" i="7"/>
  <c r="K27" i="7"/>
  <c r="J27" i="7"/>
  <c r="B21" i="7"/>
  <c r="L29" i="7"/>
  <c r="K29" i="7"/>
  <c r="J29" i="7"/>
  <c r="B26" i="7"/>
  <c r="L14" i="7"/>
  <c r="K14" i="7"/>
  <c r="J14" i="7"/>
  <c r="B23" i="7"/>
  <c r="F23" i="7"/>
  <c r="L9" i="7"/>
  <c r="K9" i="7"/>
  <c r="J9" i="7"/>
  <c r="L28" i="7"/>
  <c r="K28" i="7"/>
  <c r="J28" i="7"/>
  <c r="L5" i="7"/>
  <c r="K5" i="7"/>
  <c r="J5" i="7"/>
  <c r="L11" i="7"/>
  <c r="K11" i="7"/>
  <c r="J11" i="7"/>
  <c r="B16" i="7"/>
  <c r="E16" i="7"/>
  <c r="L7" i="7"/>
  <c r="K7" i="7"/>
  <c r="J7" i="7"/>
  <c r="B6" i="7"/>
  <c r="E6" i="7"/>
  <c r="L30" i="7"/>
  <c r="K30" i="7"/>
  <c r="J30" i="7"/>
  <c r="B12" i="7"/>
  <c r="E12" i="7"/>
  <c r="L15" i="7"/>
  <c r="K15" i="7"/>
  <c r="J15" i="7"/>
  <c r="B3" i="7"/>
  <c r="L8" i="7"/>
  <c r="K8" i="7"/>
  <c r="J8" i="7"/>
  <c r="B9" i="7"/>
  <c r="E9" i="7"/>
  <c r="L16" i="7"/>
  <c r="K16" i="7"/>
  <c r="J16" i="7"/>
  <c r="B10" i="7"/>
  <c r="E10" i="7"/>
  <c r="L24" i="7"/>
  <c r="K24" i="7"/>
  <c r="J24" i="7"/>
  <c r="B17" i="7"/>
  <c r="E17" i="7"/>
  <c r="L31" i="7"/>
  <c r="K31" i="7"/>
  <c r="J31" i="7"/>
  <c r="B7" i="7"/>
  <c r="E7" i="7"/>
  <c r="L3" i="7"/>
  <c r="K3" i="7"/>
  <c r="J3" i="7"/>
  <c r="N3" i="7"/>
  <c r="B4" i="7"/>
  <c r="E4" i="7"/>
  <c r="L23" i="7"/>
  <c r="K23" i="7"/>
  <c r="J23" i="7"/>
  <c r="N23" i="7"/>
  <c r="B8" i="7"/>
  <c r="E8" i="7"/>
  <c r="L10" i="7"/>
  <c r="K10" i="7"/>
  <c r="J10" i="7"/>
  <c r="N10" i="7"/>
  <c r="B15" i="7"/>
  <c r="E15" i="7"/>
  <c r="L12" i="7"/>
  <c r="K12" i="7"/>
  <c r="J12" i="7"/>
  <c r="N12" i="7"/>
  <c r="B14" i="7"/>
  <c r="E14" i="7"/>
  <c r="L6" i="7"/>
  <c r="K6" i="7"/>
  <c r="J6" i="7"/>
  <c r="N6" i="7"/>
  <c r="B5" i="7"/>
  <c r="L20" i="7"/>
  <c r="K20" i="7"/>
  <c r="J20" i="7"/>
  <c r="N20" i="7"/>
  <c r="B13" i="7"/>
  <c r="E13" i="7"/>
  <c r="L19" i="7"/>
  <c r="K19" i="7"/>
  <c r="J19" i="7"/>
  <c r="N19" i="7"/>
  <c r="B11" i="7"/>
  <c r="B31" i="4"/>
  <c r="B30" i="4"/>
  <c r="B29" i="4"/>
  <c r="B28" i="4"/>
  <c r="B27" i="4"/>
  <c r="B23" i="4"/>
  <c r="B22" i="4"/>
  <c r="B21" i="4"/>
  <c r="B20" i="4"/>
  <c r="B19" i="4"/>
  <c r="B15" i="4"/>
  <c r="B14" i="4"/>
  <c r="B13" i="4"/>
  <c r="B12" i="4"/>
  <c r="B11" i="4"/>
  <c r="B7" i="4"/>
  <c r="E7" i="4"/>
  <c r="B6" i="4"/>
  <c r="E6" i="4"/>
  <c r="B5" i="4"/>
  <c r="E5" i="4"/>
  <c r="B4" i="4"/>
  <c r="E4" i="4"/>
  <c r="B3" i="4"/>
  <c r="B47" i="3"/>
  <c r="L47" i="3"/>
  <c r="B46" i="3"/>
  <c r="L46" i="3"/>
  <c r="B45" i="3"/>
  <c r="L45" i="3"/>
  <c r="B44" i="3"/>
  <c r="L44" i="3"/>
  <c r="B43" i="3"/>
  <c r="L43" i="3"/>
  <c r="T37" i="3"/>
  <c r="V37" i="3" s="1"/>
  <c r="S37" i="3"/>
  <c r="R37" i="3"/>
  <c r="W41" i="3"/>
  <c r="T41" i="3"/>
  <c r="V41" i="3" s="1"/>
  <c r="S41" i="3"/>
  <c r="R41" i="3"/>
  <c r="T40" i="3"/>
  <c r="V40" i="3" s="1"/>
  <c r="S40" i="3"/>
  <c r="R40" i="3"/>
  <c r="B39" i="3"/>
  <c r="L39" i="3"/>
  <c r="W39" i="3"/>
  <c r="T39" i="3"/>
  <c r="V39" i="3" s="1"/>
  <c r="S39" i="3"/>
  <c r="R39" i="3"/>
  <c r="B37" i="3"/>
  <c r="L37" i="3"/>
  <c r="W34" i="3"/>
  <c r="T34" i="3"/>
  <c r="V34" i="3" s="1"/>
  <c r="S34" i="3"/>
  <c r="R34" i="3"/>
  <c r="B38" i="3"/>
  <c r="L38" i="3"/>
  <c r="W31" i="3"/>
  <c r="T31" i="3"/>
  <c r="S31" i="3"/>
  <c r="R31" i="3"/>
  <c r="B36" i="3"/>
  <c r="AD31" i="3"/>
  <c r="AC31" i="3"/>
  <c r="AB31" i="3"/>
  <c r="W30" i="3"/>
  <c r="T30" i="3"/>
  <c r="S30" i="3"/>
  <c r="R30" i="3"/>
  <c r="B35" i="3"/>
  <c r="AF35" i="3"/>
  <c r="AD35" i="3"/>
  <c r="AC35" i="3"/>
  <c r="AB35" i="3"/>
  <c r="W36" i="3"/>
  <c r="T36" i="3"/>
  <c r="V36" i="3" s="1"/>
  <c r="S36" i="3"/>
  <c r="R36" i="3"/>
  <c r="AD34" i="3"/>
  <c r="AC34" i="3"/>
  <c r="AB34" i="3"/>
  <c r="T38" i="3"/>
  <c r="V38" i="3" s="1"/>
  <c r="S38" i="3"/>
  <c r="R38" i="3"/>
  <c r="AM31" i="3"/>
  <c r="AL31" i="3"/>
  <c r="AK31" i="3"/>
  <c r="AF33" i="3"/>
  <c r="AD33" i="3"/>
  <c r="AC33" i="3"/>
  <c r="AB33" i="3"/>
  <c r="W33" i="3"/>
  <c r="T33" i="3"/>
  <c r="V33" i="3" s="1"/>
  <c r="S33" i="3"/>
  <c r="R33" i="3"/>
  <c r="AM25" i="3"/>
  <c r="AL25" i="3"/>
  <c r="AK25" i="3"/>
  <c r="AF28" i="3"/>
  <c r="AD28" i="3"/>
  <c r="AC28" i="3"/>
  <c r="AB28" i="3"/>
  <c r="T32" i="3"/>
  <c r="R32" i="3"/>
  <c r="B29" i="3"/>
  <c r="L29" i="3"/>
  <c r="AO32" i="3"/>
  <c r="AM32" i="3"/>
  <c r="AL32" i="3"/>
  <c r="AK32" i="3"/>
  <c r="AF29" i="3"/>
  <c r="AD29" i="3"/>
  <c r="AC29" i="3"/>
  <c r="AB29" i="3"/>
  <c r="W35" i="3"/>
  <c r="T35" i="3"/>
  <c r="S35" i="3"/>
  <c r="R35" i="3"/>
  <c r="X35" i="3"/>
  <c r="B31" i="3"/>
  <c r="L31" i="3"/>
  <c r="AM26" i="3"/>
  <c r="AL26" i="3"/>
  <c r="AK26" i="3"/>
  <c r="AF30" i="3"/>
  <c r="AD30" i="3"/>
  <c r="AC30" i="3"/>
  <c r="AB30" i="3"/>
  <c r="W38" i="3"/>
  <c r="B30" i="3"/>
  <c r="L30" i="3"/>
  <c r="AM23" i="3"/>
  <c r="AL23" i="3"/>
  <c r="AK23" i="3"/>
  <c r="AF23" i="3"/>
  <c r="AD23" i="3"/>
  <c r="C4" i="15"/>
  <c r="AC23" i="3"/>
  <c r="B4" i="15"/>
  <c r="D4" i="15"/>
  <c r="AB23" i="3"/>
  <c r="W32" i="3"/>
  <c r="B28" i="3"/>
  <c r="L28" i="3"/>
  <c r="AO30" i="3"/>
  <c r="AM30" i="3"/>
  <c r="AL30" i="3"/>
  <c r="AK30" i="3"/>
  <c r="AF32" i="3"/>
  <c r="AD32" i="3"/>
  <c r="AC32" i="3"/>
  <c r="AB32" i="3"/>
  <c r="B27" i="3"/>
  <c r="L27" i="3"/>
  <c r="AM5" i="3"/>
  <c r="AL5" i="3"/>
  <c r="AK5" i="3"/>
  <c r="AF27" i="3"/>
  <c r="AD27" i="3"/>
  <c r="AC27" i="3"/>
  <c r="AB27" i="3"/>
  <c r="Q26" i="3"/>
  <c r="AO29" i="3"/>
  <c r="AM29" i="3"/>
  <c r="AL29" i="3"/>
  <c r="AK29" i="3"/>
  <c r="AF26" i="3"/>
  <c r="AD26" i="3"/>
  <c r="C12" i="15"/>
  <c r="AC26" i="3"/>
  <c r="B12" i="15"/>
  <c r="D12" i="15"/>
  <c r="AB26" i="3"/>
  <c r="Q25" i="3"/>
  <c r="AM15" i="3"/>
  <c r="AL15" i="3"/>
  <c r="AK15" i="3"/>
  <c r="AF21" i="3"/>
  <c r="AD21" i="3"/>
  <c r="C2" i="15"/>
  <c r="AC21" i="3"/>
  <c r="B2" i="15"/>
  <c r="D2" i="15"/>
  <c r="AB21" i="3"/>
  <c r="AO18" i="3"/>
  <c r="AM18" i="3"/>
  <c r="AL18" i="3"/>
  <c r="AK18" i="3"/>
  <c r="AF25" i="3"/>
  <c r="AD25" i="3"/>
  <c r="C11" i="15"/>
  <c r="AC25" i="3"/>
  <c r="B11" i="15"/>
  <c r="D11" i="15"/>
  <c r="AB25" i="3"/>
  <c r="AO26" i="3"/>
  <c r="B23" i="3"/>
  <c r="L23" i="3"/>
  <c r="AO19" i="3"/>
  <c r="AM19" i="3"/>
  <c r="AL19" i="3"/>
  <c r="AK19" i="3"/>
  <c r="AF22" i="3"/>
  <c r="AD22" i="3"/>
  <c r="C3" i="15"/>
  <c r="AC22" i="3"/>
  <c r="B3" i="15"/>
  <c r="D3" i="15"/>
  <c r="AB22" i="3"/>
  <c r="AO23" i="3"/>
  <c r="B22" i="3"/>
  <c r="L22" i="3"/>
  <c r="AM12" i="3"/>
  <c r="AL12" i="3"/>
  <c r="AK12" i="3"/>
  <c r="AF24" i="3"/>
  <c r="AD24" i="3"/>
  <c r="C6" i="15"/>
  <c r="AC24" i="3"/>
  <c r="B6" i="15"/>
  <c r="D6" i="15"/>
  <c r="AB24" i="3"/>
  <c r="AG24" i="3"/>
  <c r="AO15" i="3"/>
  <c r="B21" i="3"/>
  <c r="L21" i="3"/>
  <c r="AM22" i="3"/>
  <c r="AL22" i="3"/>
  <c r="AK22" i="3"/>
  <c r="T12" i="3"/>
  <c r="S12" i="3"/>
  <c r="R12" i="3"/>
  <c r="B19" i="3"/>
  <c r="L19" i="3"/>
  <c r="AO21" i="3"/>
  <c r="AM21" i="3"/>
  <c r="AL21" i="3"/>
  <c r="AK21" i="3"/>
  <c r="W13" i="3"/>
  <c r="T13" i="3"/>
  <c r="S13" i="3"/>
  <c r="R13" i="3"/>
  <c r="B20" i="3"/>
  <c r="L20" i="3"/>
  <c r="AO6" i="3"/>
  <c r="AM6" i="3"/>
  <c r="AL6" i="3"/>
  <c r="AK6" i="3"/>
  <c r="W16" i="3"/>
  <c r="T16" i="3"/>
  <c r="S16" i="3"/>
  <c r="R16" i="3"/>
  <c r="AO10" i="3"/>
  <c r="AM10" i="3"/>
  <c r="AL10" i="3"/>
  <c r="AK10" i="3"/>
  <c r="AD17" i="3"/>
  <c r="AC17" i="3"/>
  <c r="AB17" i="3"/>
  <c r="T9" i="3"/>
  <c r="S9" i="3"/>
  <c r="R9" i="3"/>
  <c r="AM28" i="3"/>
  <c r="AL28" i="3"/>
  <c r="AK28" i="3"/>
  <c r="AF15" i="3"/>
  <c r="AD15" i="3"/>
  <c r="AC15" i="3"/>
  <c r="AB15" i="3"/>
  <c r="W18" i="3"/>
  <c r="T18" i="3"/>
  <c r="S18" i="3"/>
  <c r="R18" i="3"/>
  <c r="AM7" i="3"/>
  <c r="AL7" i="3"/>
  <c r="AK7" i="3"/>
  <c r="AF13" i="3"/>
  <c r="AD13" i="3"/>
  <c r="AC13" i="3"/>
  <c r="AB13" i="3"/>
  <c r="T11" i="3"/>
  <c r="S11" i="3"/>
  <c r="R11" i="3"/>
  <c r="B15" i="3"/>
  <c r="L15" i="3"/>
  <c r="AM20" i="3"/>
  <c r="AL20" i="3"/>
  <c r="AK20" i="3"/>
  <c r="AD3" i="3"/>
  <c r="C9" i="15"/>
  <c r="AC3" i="3"/>
  <c r="B9" i="15"/>
  <c r="D9" i="15"/>
  <c r="AB3" i="3"/>
  <c r="T15" i="3"/>
  <c r="S15" i="3"/>
  <c r="R15" i="3"/>
  <c r="AO28" i="3"/>
  <c r="B14" i="3"/>
  <c r="L14" i="3"/>
  <c r="AO27" i="3"/>
  <c r="AM27" i="3"/>
  <c r="AL27" i="3"/>
  <c r="AK27" i="3"/>
  <c r="AF10" i="3"/>
  <c r="AD10" i="3"/>
  <c r="AC10" i="3"/>
  <c r="AB10" i="3"/>
  <c r="W10" i="3"/>
  <c r="T10" i="3"/>
  <c r="S10" i="3"/>
  <c r="R10" i="3"/>
  <c r="AO7" i="3"/>
  <c r="B11" i="3"/>
  <c r="L11" i="3"/>
  <c r="AO11" i="3"/>
  <c r="AM11" i="3"/>
  <c r="AL11" i="3"/>
  <c r="AK11" i="3"/>
  <c r="AD8" i="3"/>
  <c r="C7" i="15"/>
  <c r="AC8" i="3"/>
  <c r="B7" i="15"/>
  <c r="D7" i="15"/>
  <c r="AB8" i="3"/>
  <c r="W19" i="3"/>
  <c r="T19" i="3"/>
  <c r="V19" i="3" s="1"/>
  <c r="S19" i="3"/>
  <c r="R19" i="3"/>
  <c r="AO20" i="3"/>
  <c r="B13" i="3"/>
  <c r="L13" i="3"/>
  <c r="AM24" i="3"/>
  <c r="AL24" i="3"/>
  <c r="AK24" i="3"/>
  <c r="AD12" i="3"/>
  <c r="AC12" i="3"/>
  <c r="AB12" i="3"/>
  <c r="W20" i="3"/>
  <c r="T20" i="3"/>
  <c r="V20" i="3" s="1"/>
  <c r="S20" i="3"/>
  <c r="R20" i="3"/>
  <c r="B12" i="3"/>
  <c r="L12" i="3"/>
  <c r="AO17" i="3"/>
  <c r="AM17" i="3"/>
  <c r="AL17" i="3"/>
  <c r="AK17" i="3"/>
  <c r="AF6" i="3"/>
  <c r="AD6" i="3"/>
  <c r="C10" i="15"/>
  <c r="AC6" i="3"/>
  <c r="B10" i="15"/>
  <c r="D10" i="15"/>
  <c r="AB6" i="3"/>
  <c r="W14" i="3"/>
  <c r="T14" i="3"/>
  <c r="V14" i="3" s="1"/>
  <c r="S14" i="3"/>
  <c r="R14" i="3"/>
  <c r="AO16" i="3"/>
  <c r="AM16" i="3"/>
  <c r="AL16" i="3"/>
  <c r="AK16" i="3"/>
  <c r="AF16" i="3"/>
  <c r="AD16" i="3"/>
  <c r="AC16" i="3"/>
  <c r="AB16" i="3"/>
  <c r="T17" i="3"/>
  <c r="V17" i="3" s="1"/>
  <c r="S17" i="3"/>
  <c r="R17" i="3"/>
  <c r="X17" i="3"/>
  <c r="AO3" i="3"/>
  <c r="AM3" i="3"/>
  <c r="AL3" i="3"/>
  <c r="AK3" i="3"/>
  <c r="AF4" i="3"/>
  <c r="AD4" i="3"/>
  <c r="C8" i="15"/>
  <c r="AC4" i="3"/>
  <c r="B8" i="15"/>
  <c r="D8" i="15"/>
  <c r="AB4" i="3"/>
  <c r="AO14" i="3"/>
  <c r="AM14" i="3"/>
  <c r="AL14" i="3"/>
  <c r="AK14" i="3"/>
  <c r="AF11" i="3"/>
  <c r="AD11" i="3"/>
  <c r="AC11" i="3"/>
  <c r="AB11" i="3"/>
  <c r="B3" i="3"/>
  <c r="L3" i="3"/>
  <c r="AO13" i="3"/>
  <c r="AM13" i="3"/>
  <c r="AL13" i="3"/>
  <c r="AK13" i="3"/>
  <c r="AF7" i="3"/>
  <c r="AD7" i="3"/>
  <c r="C13" i="15"/>
  <c r="AC7" i="3"/>
  <c r="B13" i="15"/>
  <c r="D13" i="15"/>
  <c r="AB7" i="3"/>
  <c r="B6" i="3"/>
  <c r="L6" i="3"/>
  <c r="AM8" i="3"/>
  <c r="AL8" i="3"/>
  <c r="AK8" i="3"/>
  <c r="AD14" i="3"/>
  <c r="AC14" i="3"/>
  <c r="AB14" i="3"/>
  <c r="Q5" i="3"/>
  <c r="B5" i="3"/>
  <c r="L5" i="3"/>
  <c r="AO4" i="3"/>
  <c r="AM4" i="3"/>
  <c r="AL4" i="3"/>
  <c r="AK4" i="3"/>
  <c r="AF9" i="3"/>
  <c r="AD9" i="3"/>
  <c r="AC9" i="3"/>
  <c r="AB9" i="3"/>
  <c r="Q4" i="3"/>
  <c r="B7" i="3"/>
  <c r="L7" i="3"/>
  <c r="AO9" i="3"/>
  <c r="AM9" i="3"/>
  <c r="AL9" i="3"/>
  <c r="AK9" i="3"/>
  <c r="AP9" i="3"/>
  <c r="AD5" i="3"/>
  <c r="C5" i="15"/>
  <c r="AC5" i="3"/>
  <c r="B5" i="15"/>
  <c r="D5" i="15"/>
  <c r="AB5" i="3"/>
  <c r="AG5" i="3"/>
  <c r="Q3" i="3"/>
  <c r="O47" i="3"/>
  <c r="B4" i="3"/>
  <c r="L4" i="3"/>
  <c r="E13" i="12"/>
  <c r="L13" i="12"/>
  <c r="K13" i="12"/>
  <c r="G35" i="3"/>
  <c r="L35" i="3"/>
  <c r="G36" i="3"/>
  <c r="L36" i="3"/>
  <c r="U13" i="12"/>
  <c r="U5" i="12"/>
  <c r="U9" i="12"/>
  <c r="U8" i="12"/>
  <c r="U6" i="12"/>
  <c r="U7" i="12"/>
  <c r="U3" i="12"/>
  <c r="U10" i="12"/>
  <c r="U4" i="12"/>
  <c r="U12" i="12"/>
  <c r="U14" i="12"/>
  <c r="F16" i="12"/>
  <c r="F17" i="12"/>
  <c r="F14" i="12"/>
  <c r="F15" i="12"/>
  <c r="F12" i="12"/>
  <c r="F13" i="12"/>
  <c r="F7" i="12"/>
  <c r="F5" i="12"/>
  <c r="F4" i="12"/>
  <c r="F3" i="12"/>
  <c r="F8" i="12"/>
  <c r="F6" i="12"/>
  <c r="X32" i="3"/>
  <c r="X33" i="3"/>
  <c r="AQ13" i="3"/>
  <c r="AQ16" i="3"/>
  <c r="AQ9" i="3"/>
  <c r="AQ19" i="3"/>
  <c r="AQ8" i="3"/>
  <c r="AQ7" i="3"/>
  <c r="AQ17" i="3"/>
  <c r="AQ14" i="3"/>
  <c r="AQ15" i="3"/>
  <c r="AQ6" i="3"/>
  <c r="AQ4" i="3"/>
  <c r="AQ12" i="3"/>
  <c r="AQ10" i="3"/>
  <c r="AQ26" i="3"/>
  <c r="AQ3" i="3"/>
  <c r="AQ5" i="3"/>
  <c r="AQ11" i="3"/>
  <c r="AQ18" i="3"/>
  <c r="AQ23" i="3"/>
  <c r="AQ25" i="3"/>
  <c r="AQ24" i="3"/>
  <c r="AQ22" i="3"/>
  <c r="AQ27" i="3"/>
  <c r="AQ30" i="3"/>
  <c r="AQ21" i="3"/>
  <c r="AQ20" i="3"/>
  <c r="AQ29" i="3"/>
  <c r="AQ28" i="3"/>
  <c r="AQ31" i="3"/>
  <c r="AQ32" i="3"/>
  <c r="AH25" i="3"/>
  <c r="AH26" i="3"/>
  <c r="AH24" i="3"/>
  <c r="AH29" i="3"/>
  <c r="AH27" i="3"/>
  <c r="AH23" i="3"/>
  <c r="AH22" i="3"/>
  <c r="AH21" i="3"/>
  <c r="AH28" i="3"/>
  <c r="AH31" i="3"/>
  <c r="AH32" i="3"/>
  <c r="AH34" i="3"/>
  <c r="AH30" i="3"/>
  <c r="AH33" i="3"/>
  <c r="AH35" i="3"/>
  <c r="AH5" i="3"/>
  <c r="AH4" i="3"/>
  <c r="AH9" i="3"/>
  <c r="AH10" i="3"/>
  <c r="AH8" i="3"/>
  <c r="AH6" i="3"/>
  <c r="AH15" i="3"/>
  <c r="AH3" i="3"/>
  <c r="AH7" i="3"/>
  <c r="AH13" i="3"/>
  <c r="AH14" i="3"/>
  <c r="AH12" i="3"/>
  <c r="AH11" i="3"/>
  <c r="AH16" i="3"/>
  <c r="AH17" i="3"/>
  <c r="O43" i="3"/>
  <c r="O46" i="3"/>
  <c r="O45" i="3"/>
  <c r="O44" i="3"/>
  <c r="O36" i="3"/>
  <c r="O35" i="3"/>
  <c r="O37" i="3"/>
  <c r="O38" i="3"/>
  <c r="O39" i="3"/>
  <c r="O28" i="3"/>
  <c r="O19" i="3"/>
  <c r="O23" i="3"/>
  <c r="O20" i="3"/>
  <c r="O22" i="3"/>
  <c r="O21" i="3"/>
  <c r="O12" i="3"/>
  <c r="O13" i="3"/>
  <c r="O14" i="3"/>
  <c r="O15" i="3"/>
  <c r="O11" i="3"/>
  <c r="O6" i="3"/>
  <c r="O7" i="3"/>
  <c r="O3" i="3"/>
  <c r="O5" i="3"/>
  <c r="O4" i="3"/>
  <c r="G38" i="3"/>
  <c r="X38" i="3"/>
  <c r="X36" i="3"/>
  <c r="X30" i="3"/>
  <c r="X31" i="3"/>
  <c r="X34" i="3"/>
  <c r="X39" i="3"/>
  <c r="X40" i="3"/>
  <c r="G37" i="3"/>
  <c r="G39" i="3"/>
  <c r="G43" i="3"/>
  <c r="G44" i="3"/>
  <c r="G45" i="3"/>
  <c r="G46" i="3"/>
  <c r="G47" i="3"/>
  <c r="G27" i="3"/>
  <c r="G28" i="3"/>
  <c r="G30" i="3"/>
  <c r="G31" i="3"/>
  <c r="G29" i="3"/>
  <c r="X14" i="3"/>
  <c r="X20" i="3"/>
  <c r="G20" i="3"/>
  <c r="G19" i="3"/>
  <c r="G21" i="3"/>
  <c r="G22" i="3"/>
  <c r="G23" i="3"/>
  <c r="G12" i="3"/>
  <c r="G13" i="3"/>
  <c r="G11" i="3"/>
  <c r="G14" i="3"/>
  <c r="G15" i="3"/>
  <c r="AG9" i="3"/>
  <c r="AP4" i="3"/>
  <c r="AG14" i="3"/>
  <c r="AP8" i="3"/>
  <c r="AG7" i="3"/>
  <c r="AP13" i="3"/>
  <c r="AG11" i="3"/>
  <c r="AP14" i="3"/>
  <c r="AG4" i="3"/>
  <c r="AP3" i="3"/>
  <c r="AG16" i="3"/>
  <c r="AP16" i="3"/>
  <c r="AG6" i="3"/>
  <c r="AP17" i="3"/>
  <c r="AG12" i="3"/>
  <c r="AP24" i="3"/>
  <c r="X19" i="3"/>
  <c r="AG8" i="3"/>
  <c r="AP11" i="3"/>
  <c r="X10" i="3"/>
  <c r="AG10" i="3"/>
  <c r="AP27" i="3"/>
  <c r="X15" i="3"/>
  <c r="AG3" i="3"/>
  <c r="AP20" i="3"/>
  <c r="X11" i="3"/>
  <c r="AG13" i="3"/>
  <c r="AP7" i="3"/>
  <c r="X18" i="3"/>
  <c r="AG15" i="3"/>
  <c r="AP28" i="3"/>
  <c r="X9" i="3"/>
  <c r="H4" i="3"/>
  <c r="AG17" i="3"/>
  <c r="AP10" i="3"/>
  <c r="X16" i="3"/>
  <c r="AP6" i="3"/>
  <c r="X13" i="3"/>
  <c r="AP21" i="3"/>
  <c r="X12" i="3"/>
  <c r="AP22" i="3"/>
  <c r="AP12" i="3"/>
  <c r="AP19" i="3"/>
  <c r="AP18" i="3"/>
  <c r="AP15" i="3"/>
  <c r="AP29" i="3"/>
  <c r="AP5" i="3"/>
  <c r="AP30" i="3"/>
  <c r="AP23" i="3"/>
  <c r="AP26" i="3"/>
  <c r="AP32" i="3"/>
  <c r="AP25" i="3"/>
  <c r="AP31" i="3"/>
  <c r="X41" i="3"/>
  <c r="X37" i="3"/>
  <c r="AG22" i="3"/>
  <c r="AG25" i="3"/>
  <c r="AG21" i="3"/>
  <c r="AG26" i="3"/>
  <c r="AG27" i="3"/>
  <c r="AG32" i="3"/>
  <c r="AG23" i="3"/>
  <c r="AG30" i="3"/>
  <c r="AG29" i="3"/>
  <c r="AG28" i="3"/>
  <c r="AG33" i="3"/>
  <c r="AG34" i="3"/>
  <c r="AG35" i="3"/>
  <c r="AG31" i="3"/>
  <c r="G4" i="3"/>
  <c r="G7" i="3"/>
  <c r="G5" i="3"/>
  <c r="G6" i="3"/>
  <c r="G3" i="3"/>
  <c r="E21" i="7"/>
  <c r="F21" i="7"/>
  <c r="E34" i="7"/>
  <c r="F34" i="7"/>
  <c r="E32" i="7"/>
  <c r="F32" i="7"/>
  <c r="F25" i="7"/>
  <c r="E35" i="7"/>
  <c r="F35" i="7"/>
  <c r="E31" i="7"/>
  <c r="F31" i="7"/>
  <c r="E33" i="7"/>
  <c r="F33" i="7"/>
  <c r="E30" i="7"/>
  <c r="F30" i="7"/>
  <c r="E29" i="7"/>
  <c r="F29" i="7"/>
  <c r="E27" i="7"/>
  <c r="F27" i="7"/>
  <c r="E26" i="7"/>
  <c r="F26" i="7"/>
  <c r="E24" i="7"/>
  <c r="F24" i="7"/>
  <c r="E28" i="7"/>
  <c r="F28" i="7"/>
  <c r="E22" i="7"/>
  <c r="F22" i="7"/>
  <c r="E5" i="7"/>
  <c r="F5" i="7"/>
  <c r="F10" i="7"/>
  <c r="F4" i="7"/>
  <c r="F12" i="7"/>
  <c r="F14" i="7"/>
  <c r="F11" i="7"/>
  <c r="F7" i="7"/>
  <c r="F13" i="7"/>
  <c r="F6" i="7"/>
  <c r="F15" i="7"/>
  <c r="F9" i="7"/>
  <c r="F8" i="7"/>
  <c r="F16" i="7"/>
  <c r="F17" i="7"/>
  <c r="N31" i="7"/>
  <c r="N24" i="7"/>
  <c r="N16" i="7"/>
  <c r="N8" i="7"/>
  <c r="E3" i="7"/>
  <c r="F3" i="7"/>
  <c r="N15" i="7"/>
  <c r="N30" i="7"/>
  <c r="N7" i="7"/>
  <c r="N11" i="7"/>
  <c r="N5" i="7"/>
  <c r="N28" i="7"/>
  <c r="N9" i="7"/>
  <c r="N14" i="7"/>
  <c r="N29" i="7"/>
  <c r="N27" i="7"/>
  <c r="N18" i="7"/>
  <c r="N17" i="7"/>
  <c r="N4" i="7"/>
  <c r="N26" i="7"/>
  <c r="N22" i="7"/>
  <c r="N21" i="7"/>
  <c r="N13" i="7"/>
  <c r="N25" i="7"/>
  <c r="N32" i="7"/>
  <c r="E7" i="12"/>
  <c r="L7" i="12"/>
  <c r="T11" i="12"/>
  <c r="E5" i="12"/>
  <c r="L5" i="12"/>
  <c r="T13" i="12"/>
  <c r="E4" i="12"/>
  <c r="L4" i="12"/>
  <c r="T5" i="12"/>
  <c r="E3" i="12"/>
  <c r="L3" i="12"/>
  <c r="T9" i="12"/>
  <c r="E6" i="12"/>
  <c r="L6" i="12"/>
  <c r="T8" i="12"/>
  <c r="E8" i="12"/>
  <c r="L8" i="12"/>
  <c r="T6" i="12"/>
  <c r="T7" i="12"/>
  <c r="T3" i="12"/>
  <c r="T10" i="12"/>
  <c r="E17" i="12"/>
  <c r="L17" i="12"/>
  <c r="T4" i="12"/>
  <c r="E14" i="12"/>
  <c r="L14" i="12"/>
  <c r="T12" i="12"/>
  <c r="E15" i="12"/>
  <c r="L15" i="12"/>
  <c r="T14" i="12"/>
  <c r="E12" i="12"/>
  <c r="L12" i="12"/>
  <c r="E16" i="12"/>
  <c r="L16" i="12"/>
  <c r="N34" i="11"/>
  <c r="H8" i="10"/>
  <c r="H7" i="10"/>
  <c r="H6" i="10"/>
  <c r="H3" i="10"/>
  <c r="H4" i="10"/>
  <c r="H5" i="10"/>
  <c r="E5" i="10"/>
  <c r="M5" i="10"/>
  <c r="U11" i="10"/>
  <c r="U14" i="10"/>
  <c r="U13" i="10"/>
  <c r="U12" i="10"/>
  <c r="U10" i="10"/>
  <c r="U9" i="10"/>
  <c r="U3" i="10"/>
  <c r="U6" i="10"/>
  <c r="U7" i="10"/>
  <c r="U8" i="10"/>
  <c r="U4" i="10"/>
  <c r="U5" i="10"/>
  <c r="T5" i="10"/>
  <c r="E4" i="10"/>
  <c r="M4" i="10"/>
  <c r="T4" i="10"/>
  <c r="E3" i="10"/>
  <c r="M3" i="10"/>
  <c r="T8" i="10"/>
  <c r="E6" i="10"/>
  <c r="M6" i="10"/>
  <c r="T7" i="10"/>
  <c r="E7" i="10"/>
  <c r="M7" i="10"/>
  <c r="T6" i="10"/>
  <c r="E8" i="10"/>
  <c r="M8" i="10"/>
  <c r="T3" i="10"/>
  <c r="T9" i="10"/>
  <c r="T10" i="10"/>
  <c r="T12" i="10"/>
  <c r="H16" i="10"/>
  <c r="H17" i="10"/>
  <c r="H15" i="10"/>
  <c r="H14" i="10"/>
  <c r="H12" i="10"/>
  <c r="H13" i="10"/>
  <c r="E13" i="10"/>
  <c r="M13" i="10"/>
  <c r="T13" i="10"/>
  <c r="E12" i="10"/>
  <c r="M12" i="10"/>
  <c r="T14" i="10"/>
  <c r="E14" i="10"/>
  <c r="M14" i="10"/>
  <c r="T11" i="10"/>
  <c r="E15" i="10"/>
  <c r="M15" i="10"/>
  <c r="E17" i="10"/>
  <c r="M17" i="10"/>
  <c r="E16" i="10"/>
  <c r="M16" i="10"/>
  <c r="G9" i="8"/>
  <c r="G8" i="8"/>
  <c r="G7" i="8"/>
  <c r="G5" i="8"/>
  <c r="G6" i="8"/>
  <c r="G4" i="8"/>
  <c r="G3" i="8"/>
  <c r="M3" i="8"/>
  <c r="E3" i="8"/>
  <c r="K3" i="8"/>
  <c r="L3" i="8"/>
  <c r="M4" i="8"/>
  <c r="E4" i="8"/>
  <c r="K4" i="8"/>
  <c r="L4" i="8"/>
  <c r="M6" i="8"/>
  <c r="E6" i="8"/>
  <c r="K6" i="8"/>
  <c r="L6" i="8"/>
  <c r="M5" i="8"/>
  <c r="E5" i="8"/>
  <c r="K5" i="8"/>
  <c r="L5" i="8"/>
  <c r="M7" i="8"/>
  <c r="E7" i="8"/>
  <c r="K7" i="8"/>
  <c r="L7" i="8"/>
  <c r="M8" i="8"/>
  <c r="E8" i="8"/>
  <c r="K8" i="8"/>
  <c r="L8" i="8"/>
  <c r="M9" i="8"/>
  <c r="E9" i="8"/>
  <c r="K9" i="8"/>
  <c r="L9" i="8"/>
  <c r="E11" i="7"/>
  <c r="M19" i="7"/>
  <c r="M20" i="7"/>
  <c r="M6" i="7"/>
  <c r="M12" i="7"/>
  <c r="M10" i="7"/>
  <c r="M23" i="7"/>
  <c r="M3" i="7"/>
  <c r="M31" i="7"/>
  <c r="M24" i="7"/>
  <c r="M16" i="7"/>
  <c r="M8" i="7"/>
  <c r="M15" i="7"/>
  <c r="M30" i="7"/>
  <c r="M7" i="7"/>
  <c r="M11" i="7"/>
  <c r="M5" i="7"/>
  <c r="M28" i="7"/>
  <c r="M9" i="7"/>
  <c r="E23" i="7"/>
  <c r="M14" i="7"/>
  <c r="M29" i="7"/>
  <c r="M27" i="7"/>
  <c r="M18" i="7"/>
  <c r="M17" i="7"/>
  <c r="M4" i="7"/>
  <c r="M26" i="7"/>
  <c r="M22" i="7"/>
  <c r="M21" i="7"/>
  <c r="M13" i="7"/>
  <c r="M25" i="7"/>
  <c r="M32" i="7"/>
  <c r="N4" i="3"/>
  <c r="E4" i="3"/>
  <c r="M4" i="3"/>
  <c r="AO8" i="3"/>
  <c r="AF5" i="3"/>
  <c r="H43" i="3"/>
  <c r="H35" i="3"/>
  <c r="H28" i="3"/>
  <c r="H27" i="3"/>
  <c r="H20" i="3"/>
  <c r="H12" i="3"/>
  <c r="W3" i="3"/>
  <c r="T3" i="3"/>
  <c r="S3" i="3"/>
  <c r="AE5" i="3"/>
  <c r="AN9" i="3"/>
  <c r="N7" i="3"/>
  <c r="E7" i="3"/>
  <c r="M7" i="3"/>
  <c r="AO24" i="3"/>
  <c r="W17" i="3"/>
  <c r="AF14" i="3"/>
  <c r="W4" i="3"/>
  <c r="T4" i="3"/>
  <c r="S4" i="3"/>
  <c r="AE9" i="3"/>
  <c r="AN4" i="3"/>
  <c r="N5" i="3"/>
  <c r="E5" i="3"/>
  <c r="M5" i="3"/>
  <c r="AO12" i="3"/>
  <c r="W11" i="3"/>
  <c r="AF8" i="3"/>
  <c r="W5" i="3"/>
  <c r="T5" i="3"/>
  <c r="S5" i="3"/>
  <c r="AE14" i="3"/>
  <c r="AN8" i="3"/>
  <c r="N6" i="3"/>
  <c r="E6" i="3"/>
  <c r="M6" i="3"/>
  <c r="AO22" i="3"/>
  <c r="W15" i="3"/>
  <c r="AF12" i="3"/>
  <c r="AE7" i="3"/>
  <c r="AN13" i="3"/>
  <c r="N3" i="3"/>
  <c r="E3" i="3"/>
  <c r="M3" i="3"/>
  <c r="AO5" i="3"/>
  <c r="W9" i="3"/>
  <c r="AF3" i="3"/>
  <c r="AE11" i="3"/>
  <c r="AN14" i="3"/>
  <c r="AE4" i="3"/>
  <c r="AN3" i="3"/>
  <c r="H7" i="3"/>
  <c r="U17" i="3"/>
  <c r="AE16" i="3"/>
  <c r="AN16" i="3"/>
  <c r="H13" i="3"/>
  <c r="U14" i="3"/>
  <c r="AE6" i="3"/>
  <c r="AN17" i="3"/>
  <c r="N12" i="3"/>
  <c r="E12" i="3"/>
  <c r="M12" i="3"/>
  <c r="H15" i="3"/>
  <c r="H23" i="3"/>
  <c r="H22" i="3"/>
  <c r="H3" i="3"/>
  <c r="H21" i="3"/>
  <c r="H5" i="3"/>
  <c r="H6" i="3"/>
  <c r="H19" i="3"/>
  <c r="H14" i="3"/>
  <c r="H11" i="3"/>
  <c r="U20" i="3"/>
  <c r="AE12" i="3"/>
  <c r="AN24" i="3"/>
  <c r="N13" i="3"/>
  <c r="E13" i="3"/>
  <c r="M13" i="3"/>
  <c r="U19" i="3"/>
  <c r="AE8" i="3"/>
  <c r="AN11" i="3"/>
  <c r="N11" i="3"/>
  <c r="E11" i="3"/>
  <c r="M11" i="3"/>
  <c r="U10" i="3"/>
  <c r="AE10" i="3"/>
  <c r="AN27" i="3"/>
  <c r="N14" i="3"/>
  <c r="E14" i="3"/>
  <c r="M14" i="3"/>
  <c r="U15" i="3"/>
  <c r="AE3" i="3"/>
  <c r="AN20" i="3"/>
  <c r="N15" i="3"/>
  <c r="E15" i="3"/>
  <c r="M15" i="3"/>
  <c r="AO31" i="3"/>
  <c r="W12" i="3"/>
  <c r="AF17" i="3"/>
  <c r="U11" i="3"/>
  <c r="AE13" i="3"/>
  <c r="AN7" i="3"/>
  <c r="U18" i="3"/>
  <c r="AE15" i="3"/>
  <c r="AN28" i="3"/>
  <c r="U9" i="3"/>
  <c r="AE17" i="3"/>
  <c r="AN10" i="3"/>
  <c r="U16" i="3"/>
  <c r="AN6" i="3"/>
  <c r="N20" i="3"/>
  <c r="E20" i="3"/>
  <c r="M20" i="3"/>
  <c r="U13" i="3"/>
  <c r="AN21" i="3"/>
  <c r="N19" i="3"/>
  <c r="E19" i="3"/>
  <c r="M19" i="3"/>
  <c r="U12" i="3"/>
  <c r="AN22" i="3"/>
  <c r="N21" i="3"/>
  <c r="E21" i="3"/>
  <c r="M21" i="3"/>
  <c r="AE24" i="3"/>
  <c r="AN12" i="3"/>
  <c r="N22" i="3"/>
  <c r="E22" i="3"/>
  <c r="M22" i="3"/>
  <c r="AE22" i="3"/>
  <c r="AN19" i="3"/>
  <c r="N23" i="3"/>
  <c r="E23" i="3"/>
  <c r="M23" i="3"/>
  <c r="AE25" i="3"/>
  <c r="AN18" i="3"/>
  <c r="W24" i="3"/>
  <c r="T24" i="3"/>
  <c r="S24" i="3"/>
  <c r="AE21" i="3"/>
  <c r="AN15" i="3"/>
  <c r="W25" i="3"/>
  <c r="T25" i="3"/>
  <c r="S25" i="3"/>
  <c r="AE26" i="3"/>
  <c r="AN29" i="3"/>
  <c r="W26" i="3"/>
  <c r="T26" i="3"/>
  <c r="S26" i="3"/>
  <c r="AE27" i="3"/>
  <c r="AN5" i="3"/>
  <c r="N27" i="3"/>
  <c r="E27" i="3"/>
  <c r="M27" i="3"/>
  <c r="AE32" i="3"/>
  <c r="AN30" i="3"/>
  <c r="N28" i="3"/>
  <c r="E28" i="3"/>
  <c r="M28" i="3"/>
  <c r="AE23" i="3"/>
  <c r="AN23" i="3"/>
  <c r="N30" i="3"/>
  <c r="E30" i="3"/>
  <c r="M30" i="3"/>
  <c r="AE30" i="3"/>
  <c r="AN26" i="3"/>
  <c r="N31" i="3"/>
  <c r="E31" i="3"/>
  <c r="M31" i="3"/>
  <c r="W40" i="3"/>
  <c r="AF34" i="3"/>
  <c r="H44" i="3"/>
  <c r="U35" i="3"/>
  <c r="AE29" i="3"/>
  <c r="AN32" i="3"/>
  <c r="N29" i="3"/>
  <c r="E29" i="3"/>
  <c r="M29" i="3"/>
  <c r="W37" i="3"/>
  <c r="AF31" i="3"/>
  <c r="AO25" i="3"/>
  <c r="U32" i="3"/>
  <c r="AE28" i="3"/>
  <c r="AN25" i="3"/>
  <c r="H29" i="3"/>
  <c r="H47" i="3"/>
  <c r="H31" i="3"/>
  <c r="H39" i="3"/>
  <c r="H37" i="3"/>
  <c r="H46" i="3"/>
  <c r="H38" i="3"/>
  <c r="H36" i="3"/>
  <c r="H30" i="3"/>
  <c r="H45" i="3"/>
  <c r="U33" i="3"/>
  <c r="AE33" i="3"/>
  <c r="AN31" i="3"/>
  <c r="U38" i="3"/>
  <c r="AE34" i="3"/>
  <c r="U36" i="3"/>
  <c r="AE35" i="3"/>
  <c r="N35" i="3"/>
  <c r="E35" i="3"/>
  <c r="M35" i="3"/>
  <c r="U30" i="3"/>
  <c r="AE31" i="3"/>
  <c r="N36" i="3"/>
  <c r="E36" i="3"/>
  <c r="M36" i="3"/>
  <c r="U31" i="3"/>
  <c r="N38" i="3"/>
  <c r="E38" i="3"/>
  <c r="M38" i="3"/>
  <c r="U34" i="3"/>
  <c r="N37" i="3"/>
  <c r="E37" i="3"/>
  <c r="M37" i="3"/>
  <c r="U39" i="3"/>
  <c r="N39" i="3"/>
  <c r="E39" i="3"/>
  <c r="M39" i="3"/>
  <c r="U40" i="3"/>
  <c r="U41" i="3"/>
  <c r="U37" i="3"/>
  <c r="N43" i="3"/>
  <c r="E43" i="3"/>
  <c r="M43" i="3"/>
  <c r="N44" i="3"/>
  <c r="E44" i="3"/>
  <c r="M44" i="3"/>
  <c r="N45" i="3"/>
  <c r="E45" i="3"/>
  <c r="M45" i="3"/>
  <c r="N46" i="3"/>
  <c r="E46" i="3"/>
  <c r="M46" i="3"/>
  <c r="N47" i="3"/>
  <c r="E47" i="3"/>
  <c r="M47" i="3"/>
  <c r="R26" i="3"/>
  <c r="U26" i="3"/>
  <c r="R25" i="3"/>
  <c r="U25" i="3"/>
  <c r="R24" i="3"/>
  <c r="U24" i="3"/>
  <c r="R5" i="3"/>
  <c r="U5" i="3"/>
  <c r="R4" i="3"/>
  <c r="U4" i="3"/>
  <c r="R3" i="3"/>
  <c r="U3" i="3"/>
  <c r="O31" i="3"/>
  <c r="O30" i="3"/>
  <c r="O29" i="3"/>
  <c r="M2" i="15"/>
  <c r="G2" i="15"/>
  <c r="H2" i="15"/>
  <c r="J8" i="15"/>
  <c r="J9" i="15"/>
  <c r="J13" i="15"/>
  <c r="J5" i="15"/>
  <c r="J7" i="15"/>
  <c r="J10" i="15"/>
  <c r="J2" i="15"/>
  <c r="J3" i="15"/>
  <c r="J4" i="15"/>
  <c r="J6" i="15"/>
  <c r="J11" i="15"/>
  <c r="J12" i="15"/>
  <c r="N12" i="15"/>
  <c r="N11" i="15"/>
  <c r="N6" i="15"/>
  <c r="N4" i="15"/>
  <c r="N3" i="15"/>
  <c r="N10" i="15"/>
  <c r="N7" i="15"/>
  <c r="N5" i="15"/>
  <c r="N13" i="15"/>
  <c r="N9" i="15"/>
  <c r="N8" i="15"/>
  <c r="N2" i="15"/>
  <c r="O27" i="3" l="1"/>
  <c r="V15" i="3"/>
  <c r="V18" i="3"/>
  <c r="V16" i="3"/>
  <c r="V13" i="3"/>
  <c r="V5" i="3"/>
  <c r="V4" i="3"/>
  <c r="V3" i="3"/>
  <c r="V9" i="3"/>
  <c r="V11" i="3"/>
  <c r="V10" i="3"/>
  <c r="V12" i="3"/>
  <c r="V26" i="3"/>
  <c r="V25" i="3"/>
  <c r="V24" i="3"/>
  <c r="V30" i="3"/>
  <c r="V31" i="3"/>
  <c r="V32" i="3"/>
  <c r="V3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<sst xmlns="http://schemas.openxmlformats.org/spreadsheetml/2006/main" count="4845" uniqueCount="1769">
  <si>
    <t>Game</t>
  </si>
  <si>
    <t>Date</t>
  </si>
  <si>
    <t>Time</t>
  </si>
  <si>
    <t>Result</t>
  </si>
  <si>
    <t>Score</t>
  </si>
  <si>
    <t>RF</t>
  </si>
  <si>
    <t>RA</t>
  </si>
  <si>
    <t>Diff</t>
  </si>
  <si>
    <t>Hits</t>
  </si>
  <si>
    <t>WP</t>
  </si>
  <si>
    <t>LP</t>
  </si>
  <si>
    <t>Save</t>
  </si>
  <si>
    <t>Exp Record</t>
  </si>
  <si>
    <t>Record</t>
  </si>
  <si>
    <t>Baltimore Orioles @ BLUE JAYS</t>
  </si>
  <si>
    <t>3/27/25</t>
  </si>
  <si>
    <t>2:07 PM</t>
  </si>
  <si>
    <t>L</t>
  </si>
  <si>
    <t>2-12</t>
  </si>
  <si>
    <t>2</t>
  </si>
  <si>
    <t>12</t>
  </si>
  <si>
    <t>4-14</t>
  </si>
  <si>
    <t>(Eflin)</t>
  </si>
  <si>
    <t>Berrios</t>
  </si>
  <si>
    <t>-</t>
  </si>
  <si>
    <t>0-1</t>
  </si>
  <si>
    <t>3/28/25</t>
  </si>
  <si>
    <t>6:07 PM</t>
  </si>
  <si>
    <t>W</t>
  </si>
  <si>
    <t>8-2</t>
  </si>
  <si>
    <t>14-3</t>
  </si>
  <si>
    <t>Gausman</t>
  </si>
  <si>
    <t>(Morton)</t>
  </si>
  <si>
    <t>1-1</t>
  </si>
  <si>
    <t>3/29/25</t>
  </si>
  <si>
    <t>5-9</t>
  </si>
  <si>
    <t>8-12</t>
  </si>
  <si>
    <t>(Kremer)</t>
  </si>
  <si>
    <t>Lovelady</t>
  </si>
  <si>
    <t>1-2</t>
  </si>
  <si>
    <t>3/30/25</t>
  </si>
  <si>
    <t>12:37 PM</t>
  </si>
  <si>
    <t>3-1</t>
  </si>
  <si>
    <t>7-9</t>
  </si>
  <si>
    <t>Bassitt</t>
  </si>
  <si>
    <t>(Sugano)</t>
  </si>
  <si>
    <t>Hoffman</t>
  </si>
  <si>
    <t>2-2</t>
  </si>
  <si>
    <t>Washington Nationals @ BLUE JAYS</t>
  </si>
  <si>
    <t>3/31/25</t>
  </si>
  <si>
    <t>5-2</t>
  </si>
  <si>
    <t>10-5</t>
  </si>
  <si>
    <t>Francis</t>
  </si>
  <si>
    <t>(Soroka)</t>
  </si>
  <si>
    <t>Garcia</t>
  </si>
  <si>
    <t>3-2</t>
  </si>
  <si>
    <t>4/1/25</t>
  </si>
  <si>
    <t>5-3</t>
  </si>
  <si>
    <t>28</t>
  </si>
  <si>
    <t>29</t>
  </si>
  <si>
    <t>12-6</t>
  </si>
  <si>
    <t>Green</t>
  </si>
  <si>
    <t>(Ferrer)</t>
  </si>
  <si>
    <t>4-2</t>
  </si>
  <si>
    <t>4/2/25</t>
  </si>
  <si>
    <t>32</t>
  </si>
  <si>
    <t>31</t>
  </si>
  <si>
    <t>Lucas</t>
  </si>
  <si>
    <t>(Gore)</t>
  </si>
  <si>
    <t>BLUE JAYS @ New York Mets</t>
  </si>
  <si>
    <t>4/4/25</t>
  </si>
  <si>
    <t>2:10 PM</t>
  </si>
  <si>
    <t>0-5</t>
  </si>
  <si>
    <t>36</t>
  </si>
  <si>
    <t>4-4</t>
  </si>
  <si>
    <t>(Megill)</t>
  </si>
  <si>
    <t>4/5/25</t>
  </si>
  <si>
    <t>6:10 PM</t>
  </si>
  <si>
    <t>2-3</t>
  </si>
  <si>
    <t>34</t>
  </si>
  <si>
    <t>39</t>
  </si>
  <si>
    <t>10-8</t>
  </si>
  <si>
    <t>(Diaz)</t>
  </si>
  <si>
    <t>Sandlin</t>
  </si>
  <si>
    <t>5-4</t>
  </si>
  <si>
    <t>4/6/25</t>
  </si>
  <si>
    <t>12:40 PM</t>
  </si>
  <si>
    <t>35</t>
  </si>
  <si>
    <t>41</t>
  </si>
  <si>
    <t>4-7</t>
  </si>
  <si>
    <t>(Kranick)</t>
  </si>
  <si>
    <t>5-5</t>
  </si>
  <si>
    <t>BLUE JAYS @ Boston Red Sox</t>
  </si>
  <si>
    <t>4/7/25</t>
  </si>
  <si>
    <t>5:45 PM</t>
  </si>
  <si>
    <t>6-2</t>
  </si>
  <si>
    <t>43</t>
  </si>
  <si>
    <t>13-5</t>
  </si>
  <si>
    <t>(Fitts)</t>
  </si>
  <si>
    <t>6-5</t>
  </si>
  <si>
    <t>4/8/25</t>
  </si>
  <si>
    <t>6-1</t>
  </si>
  <si>
    <t>47</t>
  </si>
  <si>
    <t>44</t>
  </si>
  <si>
    <t>9-8</t>
  </si>
  <si>
    <t>(Crochet)</t>
  </si>
  <si>
    <t>7-5</t>
  </si>
  <si>
    <t>4/9/25</t>
  </si>
  <si>
    <t>W/11</t>
  </si>
  <si>
    <t>2-1</t>
  </si>
  <si>
    <t>49</t>
  </si>
  <si>
    <t>45</t>
  </si>
  <si>
    <t>6-4</t>
  </si>
  <si>
    <t>(Winckowski)</t>
  </si>
  <si>
    <t>8-5</t>
  </si>
  <si>
    <t>4/10/25</t>
  </si>
  <si>
    <t>3:10 PM</t>
  </si>
  <si>
    <t>3-4</t>
  </si>
  <si>
    <t>52</t>
  </si>
  <si>
    <t>8-8</t>
  </si>
  <si>
    <t>(Bernardino)</t>
  </si>
  <si>
    <t>8-6</t>
  </si>
  <si>
    <t>BLUE JAYS @ Baltimore Orioles</t>
  </si>
  <si>
    <t>4/12/25</t>
  </si>
  <si>
    <t>3:05 PM</t>
  </si>
  <si>
    <t>4-5</t>
  </si>
  <si>
    <t>56</t>
  </si>
  <si>
    <t>54</t>
  </si>
  <si>
    <t>(Baker)</t>
  </si>
  <si>
    <t>(Bautista)</t>
  </si>
  <si>
    <t>8-7</t>
  </si>
  <si>
    <t>4/13/25</t>
  </si>
  <si>
    <t>12:35 PM</t>
  </si>
  <si>
    <t>W/10</t>
  </si>
  <si>
    <t>7-6</t>
  </si>
  <si>
    <t>63</t>
  </si>
  <si>
    <t>60</t>
  </si>
  <si>
    <t>16-9</t>
  </si>
  <si>
    <t>(Bowman)</t>
  </si>
  <si>
    <t>9-7</t>
  </si>
  <si>
    <t>Atlanta Braves @ BLUE JAYS</t>
  </si>
  <si>
    <t>4/14/25</t>
  </si>
  <si>
    <t>4-8</t>
  </si>
  <si>
    <t>67</t>
  </si>
  <si>
    <t>68</t>
  </si>
  <si>
    <t>5-6</t>
  </si>
  <si>
    <t>(Holmes)</t>
  </si>
  <si>
    <t>4/15/25</t>
  </si>
  <si>
    <t>6-3</t>
  </si>
  <si>
    <t>73</t>
  </si>
  <si>
    <t>71</t>
  </si>
  <si>
    <t>6-8</t>
  </si>
  <si>
    <t>(Schwellenbach)</t>
  </si>
  <si>
    <t>4/16/25</t>
  </si>
  <si>
    <t>12:07 PM</t>
  </si>
  <si>
    <t>76</t>
  </si>
  <si>
    <t>72</t>
  </si>
  <si>
    <t>(Strider)</t>
  </si>
  <si>
    <t>11-8</t>
  </si>
  <si>
    <t>Seattle Mariners @ BLUE JAYS</t>
  </si>
  <si>
    <t>4/18/25</t>
  </si>
  <si>
    <t>79</t>
  </si>
  <si>
    <t>(Woo)</t>
  </si>
  <si>
    <t>12-8</t>
  </si>
  <si>
    <t>4/19/25</t>
  </si>
  <si>
    <t>L/12</t>
  </si>
  <si>
    <t>83</t>
  </si>
  <si>
    <t>81</t>
  </si>
  <si>
    <t>12-10</t>
  </si>
  <si>
    <t>(Munoz)</t>
  </si>
  <si>
    <t>Barnes</t>
  </si>
  <si>
    <t>12-9</t>
  </si>
  <si>
    <t>4/20/25</t>
  </si>
  <si>
    <t>3-8</t>
  </si>
  <si>
    <t>86</t>
  </si>
  <si>
    <t>89</t>
  </si>
  <si>
    <t>11-12</t>
  </si>
  <si>
    <t>(Castillo)</t>
  </si>
  <si>
    <t>BLUE JAYS @ Houston Astros</t>
  </si>
  <si>
    <t>4/21/25</t>
  </si>
  <si>
    <t>7:10 PM</t>
  </si>
  <si>
    <t>0-7</t>
  </si>
  <si>
    <t>96</t>
  </si>
  <si>
    <t>2-10</t>
  </si>
  <si>
    <t>(Brown)</t>
  </si>
  <si>
    <t>12-11</t>
  </si>
  <si>
    <t>4/22/25</t>
  </si>
  <si>
    <t>1-5</t>
  </si>
  <si>
    <t>87</t>
  </si>
  <si>
    <t>101</t>
  </si>
  <si>
    <t>(Blanco)</t>
  </si>
  <si>
    <t>12-12</t>
  </si>
  <si>
    <t>4/23/25</t>
  </si>
  <si>
    <t>6:40 PM</t>
  </si>
  <si>
    <t>1-3</t>
  </si>
  <si>
    <t>88</t>
  </si>
  <si>
    <t>104</t>
  </si>
  <si>
    <t>5-13</t>
  </si>
  <si>
    <t>(Gusto)</t>
  </si>
  <si>
    <t>(Hader)</t>
  </si>
  <si>
    <t>12-13</t>
  </si>
  <si>
    <t>BLUE JAYS @ New York Yankees</t>
  </si>
  <si>
    <t>4/25/25</t>
  </si>
  <si>
    <t>6:05 PM</t>
  </si>
  <si>
    <t>92</t>
  </si>
  <si>
    <t>106</t>
  </si>
  <si>
    <t>9-10</t>
  </si>
  <si>
    <t>Fluharty</t>
  </si>
  <si>
    <t>(Williams)</t>
  </si>
  <si>
    <t>13-13</t>
  </si>
  <si>
    <t>4/27/25</t>
  </si>
  <si>
    <t>12:05 PM</t>
  </si>
  <si>
    <t>93</t>
  </si>
  <si>
    <t>111</t>
  </si>
  <si>
    <t>3-9</t>
  </si>
  <si>
    <t>(Hill)</t>
  </si>
  <si>
    <t>13-14</t>
  </si>
  <si>
    <t>3:35 PM</t>
  </si>
  <si>
    <t>2-11</t>
  </si>
  <si>
    <t>95</t>
  </si>
  <si>
    <t>122</t>
  </si>
  <si>
    <t>(Fried)</t>
  </si>
  <si>
    <t>13-15</t>
  </si>
  <si>
    <t>Boston Red Sox @ BLUE JAYS</t>
  </si>
  <si>
    <t>4/29/25</t>
  </si>
  <si>
    <t>97</t>
  </si>
  <si>
    <t>132</t>
  </si>
  <si>
    <t>13-16</t>
  </si>
  <si>
    <t>4/30/25</t>
  </si>
  <si>
    <t>138</t>
  </si>
  <si>
    <t>10-7</t>
  </si>
  <si>
    <t>(Slaten)</t>
  </si>
  <si>
    <t>14-16</t>
  </si>
  <si>
    <t>5/1/25</t>
  </si>
  <si>
    <t>108</t>
  </si>
  <si>
    <t>140</t>
  </si>
  <si>
    <t>7-7</t>
  </si>
  <si>
    <t>15-16</t>
  </si>
  <si>
    <t>Cleveland Guardians @ BLUE JAYS</t>
  </si>
  <si>
    <t>5/2/25</t>
  </si>
  <si>
    <t>113</t>
  </si>
  <si>
    <t>143</t>
  </si>
  <si>
    <t>9-9</t>
  </si>
  <si>
    <t>Little</t>
  </si>
  <si>
    <t>(Junis)</t>
  </si>
  <si>
    <t>16-16</t>
  </si>
  <si>
    <t>5/3/25</t>
  </si>
  <si>
    <t>3-5</t>
  </si>
  <si>
    <t>116</t>
  </si>
  <si>
    <t>148</t>
  </si>
  <si>
    <t>8-4</t>
  </si>
  <si>
    <t>(Allard)</t>
  </si>
  <si>
    <t>(Clase)</t>
  </si>
  <si>
    <t>16-17</t>
  </si>
  <si>
    <t>5/4/25</t>
  </si>
  <si>
    <t>120</t>
  </si>
  <si>
    <t>153</t>
  </si>
  <si>
    <t>7-10</t>
  </si>
  <si>
    <t>(Bibee)</t>
  </si>
  <si>
    <t>16-18</t>
  </si>
  <si>
    <t>BLUE JAYS @ Los Angeles Angels</t>
  </si>
  <si>
    <t>5/6/25</t>
  </si>
  <si>
    <t>8:38 PM</t>
  </si>
  <si>
    <t>123</t>
  </si>
  <si>
    <t>161</t>
  </si>
  <si>
    <t>(Neris)</t>
  </si>
  <si>
    <t>16-19</t>
  </si>
  <si>
    <t>5/7/25</t>
  </si>
  <si>
    <t>127</t>
  </si>
  <si>
    <t>166</t>
  </si>
  <si>
    <t>(Burke)</t>
  </si>
  <si>
    <t>16-20</t>
  </si>
  <si>
    <t>5/8/25</t>
  </si>
  <si>
    <t>135</t>
  </si>
  <si>
    <t>171</t>
  </si>
  <si>
    <t>14-9</t>
  </si>
  <si>
    <t>(Johnson)</t>
  </si>
  <si>
    <t>17-20</t>
  </si>
  <si>
    <t>BLUE JAYS @ Seattle Mariners</t>
  </si>
  <si>
    <t>5/9/25</t>
  </si>
  <si>
    <t>8:40 PM</t>
  </si>
  <si>
    <t>141</t>
  </si>
  <si>
    <t>174</t>
  </si>
  <si>
    <t>10-9</t>
  </si>
  <si>
    <t>18-20</t>
  </si>
  <si>
    <t>5/10/25</t>
  </si>
  <si>
    <t>147</t>
  </si>
  <si>
    <t>177</t>
  </si>
  <si>
    <t>10-6</t>
  </si>
  <si>
    <t>(Vargas)</t>
  </si>
  <si>
    <t>19-20</t>
  </si>
  <si>
    <t>5/11/25</t>
  </si>
  <si>
    <t>9-1</t>
  </si>
  <si>
    <t>156</t>
  </si>
  <si>
    <t>178</t>
  </si>
  <si>
    <t>15-4</t>
  </si>
  <si>
    <t>Lauer</t>
  </si>
  <si>
    <t>(Miller)</t>
  </si>
  <si>
    <t>20-20</t>
  </si>
  <si>
    <t>Tampa Bay Rays @ BLUE JAYS</t>
  </si>
  <si>
    <t>5/13/25</t>
  </si>
  <si>
    <t>9-11</t>
  </si>
  <si>
    <t>165</t>
  </si>
  <si>
    <t>189</t>
  </si>
  <si>
    <t>10-10</t>
  </si>
  <si>
    <t>(Uceta)</t>
  </si>
  <si>
    <t>(Montgomery)</t>
  </si>
  <si>
    <t>20-21</t>
  </si>
  <si>
    <t>5/14/25</t>
  </si>
  <si>
    <t>168</t>
  </si>
  <si>
    <t>190</t>
  </si>
  <si>
    <t>(Pepiot)</t>
  </si>
  <si>
    <t>21-21</t>
  </si>
  <si>
    <t>5/15/25</t>
  </si>
  <si>
    <t>198</t>
  </si>
  <si>
    <t>8-14</t>
  </si>
  <si>
    <t>(Littell)</t>
  </si>
  <si>
    <t>21-22</t>
  </si>
  <si>
    <t>Detroit Tigers @ BLUE JAYS</t>
  </si>
  <si>
    <t>5/16/25</t>
  </si>
  <si>
    <t>175</t>
  </si>
  <si>
    <t>203</t>
  </si>
  <si>
    <t>(Flaherty)</t>
  </si>
  <si>
    <t>(Brieske)</t>
  </si>
  <si>
    <t>21-23</t>
  </si>
  <si>
    <t>5/17/25</t>
  </si>
  <si>
    <t>204</t>
  </si>
  <si>
    <t>(Hanifee)</t>
  </si>
  <si>
    <t>22-23</t>
  </si>
  <si>
    <t>5/18/25</t>
  </si>
  <si>
    <t>179</t>
  </si>
  <si>
    <t>207</t>
  </si>
  <si>
    <t>7-11</t>
  </si>
  <si>
    <t>(Jobe)</t>
  </si>
  <si>
    <t>(Vest)</t>
  </si>
  <si>
    <t>22-24</t>
  </si>
  <si>
    <t>San Diego Padres @ BLUE JAYS</t>
  </si>
  <si>
    <t>5/20/25</t>
  </si>
  <si>
    <t>3-0</t>
  </si>
  <si>
    <t>182</t>
  </si>
  <si>
    <t>(Cease)</t>
  </si>
  <si>
    <t>23-24</t>
  </si>
  <si>
    <t>5/21/25</t>
  </si>
  <si>
    <t>14-0</t>
  </si>
  <si>
    <t>196</t>
  </si>
  <si>
    <t>14-5</t>
  </si>
  <si>
    <t>(Vasquez)</t>
  </si>
  <si>
    <t>24-24</t>
  </si>
  <si>
    <t>5/22/25</t>
  </si>
  <si>
    <t>213</t>
  </si>
  <si>
    <t>Fisher</t>
  </si>
  <si>
    <t>(Estrada)</t>
  </si>
  <si>
    <t>25-24</t>
  </si>
  <si>
    <t>BLUE JAYS @ Tampa Bay Rays</t>
  </si>
  <si>
    <t>5/23/25</t>
  </si>
  <si>
    <t>216</t>
  </si>
  <si>
    <t>(Rasmussen)</t>
  </si>
  <si>
    <t>(Fairbanks)</t>
  </si>
  <si>
    <t>25-25</t>
  </si>
  <si>
    <t>5/24/25</t>
  </si>
  <si>
    <t>205</t>
  </si>
  <si>
    <t>219</t>
  </si>
  <si>
    <t>(Baz)</t>
  </si>
  <si>
    <t>25-26</t>
  </si>
  <si>
    <t>5/25/25</t>
  </si>
  <si>
    <t>0-13</t>
  </si>
  <si>
    <t>232</t>
  </si>
  <si>
    <t>4-15</t>
  </si>
  <si>
    <t>25-27</t>
  </si>
  <si>
    <t>BLUE JAYS @ Texas Rangers</t>
  </si>
  <si>
    <t>5/26/25</t>
  </si>
  <si>
    <t>233</t>
  </si>
  <si>
    <t>(deGrom)</t>
  </si>
  <si>
    <t>26-27</t>
  </si>
  <si>
    <t>5/27/25</t>
  </si>
  <si>
    <t>7:05 PM</t>
  </si>
  <si>
    <t>0-2</t>
  </si>
  <si>
    <t>235</t>
  </si>
  <si>
    <t>4-6</t>
  </si>
  <si>
    <t>(Jackson)</t>
  </si>
  <si>
    <t>(Garcia)</t>
  </si>
  <si>
    <t>26-28</t>
  </si>
  <si>
    <t>5/28/25</t>
  </si>
  <si>
    <t>2-0</t>
  </si>
  <si>
    <t>209</t>
  </si>
  <si>
    <t>8-1</t>
  </si>
  <si>
    <t>(Webb)</t>
  </si>
  <si>
    <t>27-28</t>
  </si>
  <si>
    <t>Athletics @ BLUE JAYS</t>
  </si>
  <si>
    <t>5/29/25</t>
  </si>
  <si>
    <t>12-0</t>
  </si>
  <si>
    <t>221</t>
  </si>
  <si>
    <t>18-4</t>
  </si>
  <si>
    <t>(Lopez)</t>
  </si>
  <si>
    <t>28-28</t>
  </si>
  <si>
    <t>5/30/25</t>
  </si>
  <si>
    <t>11-7</t>
  </si>
  <si>
    <t>242</t>
  </si>
  <si>
    <t>15-10</t>
  </si>
  <si>
    <t>(Springs)</t>
  </si>
  <si>
    <t>29-28</t>
  </si>
  <si>
    <t>5/31/25</t>
  </si>
  <si>
    <t>240</t>
  </si>
  <si>
    <t>249</t>
  </si>
  <si>
    <t>10-11</t>
  </si>
  <si>
    <t>(Hoglund)</t>
  </si>
  <si>
    <t>30-28</t>
  </si>
  <si>
    <t>6/1/25</t>
  </si>
  <si>
    <t>248</t>
  </si>
  <si>
    <t>253</t>
  </si>
  <si>
    <t>13-11</t>
  </si>
  <si>
    <t>Swanson</t>
  </si>
  <si>
    <t>(Sterner)</t>
  </si>
  <si>
    <t>31-28</t>
  </si>
  <si>
    <t>Philadelphia Phillies @ BLUE JAYS</t>
  </si>
  <si>
    <t>6/3/25</t>
  </si>
  <si>
    <t>251</t>
  </si>
  <si>
    <t>261</t>
  </si>
  <si>
    <t>5-11</t>
  </si>
  <si>
    <t>(Sanchez)</t>
  </si>
  <si>
    <t>31-29</t>
  </si>
  <si>
    <t>6/4/25</t>
  </si>
  <si>
    <t>262</t>
  </si>
  <si>
    <t>(Romano)</t>
  </si>
  <si>
    <t>32-29</t>
  </si>
  <si>
    <t>6/5/25</t>
  </si>
  <si>
    <t>263</t>
  </si>
  <si>
    <t>(Luzardo)</t>
  </si>
  <si>
    <t>33-29</t>
  </si>
  <si>
    <t>BLUE JAYS @ Minnesota Twins</t>
  </si>
  <si>
    <t>6/6/25</t>
  </si>
  <si>
    <t>268</t>
  </si>
  <si>
    <t>267</t>
  </si>
  <si>
    <t>(Ober)</t>
  </si>
  <si>
    <t>34-29</t>
  </si>
  <si>
    <t>6/7/25</t>
  </si>
  <si>
    <t>1:10 PM</t>
  </si>
  <si>
    <t>273</t>
  </si>
  <si>
    <t>271</t>
  </si>
  <si>
    <t>(Jax)</t>
  </si>
  <si>
    <t>35-29</t>
  </si>
  <si>
    <t>6/8/25</t>
  </si>
  <si>
    <t>3-6</t>
  </si>
  <si>
    <t>276</t>
  </si>
  <si>
    <t>277</t>
  </si>
  <si>
    <t>5-12</t>
  </si>
  <si>
    <t>(Ryan)</t>
  </si>
  <si>
    <t>(Duran)</t>
  </si>
  <si>
    <t>35-30</t>
  </si>
  <si>
    <t>BLUE JAYS @ St. Louis Cardinals</t>
  </si>
  <si>
    <t>6/9/25</t>
  </si>
  <si>
    <t>6:45 PM</t>
  </si>
  <si>
    <t>281</t>
  </si>
  <si>
    <t>13-7</t>
  </si>
  <si>
    <t>Rodriguez</t>
  </si>
  <si>
    <t>(Maton)</t>
  </si>
  <si>
    <t>36-30</t>
  </si>
  <si>
    <t>6/10/25</t>
  </si>
  <si>
    <t>291</t>
  </si>
  <si>
    <t>290</t>
  </si>
  <si>
    <t>16-12</t>
  </si>
  <si>
    <t>(Mikolas)</t>
  </si>
  <si>
    <t>37-30</t>
  </si>
  <si>
    <t>6/11/25</t>
  </si>
  <si>
    <t>1:15 PM</t>
  </si>
  <si>
    <t>296</t>
  </si>
  <si>
    <t>292</t>
  </si>
  <si>
    <t>Turnbull</t>
  </si>
  <si>
    <t>(Liberatore)</t>
  </si>
  <si>
    <t>38-30</t>
  </si>
  <si>
    <t>BLUE JAYS @ Philadelphia Phillies</t>
  </si>
  <si>
    <t>6/13/25</t>
  </si>
  <si>
    <t>0-8</t>
  </si>
  <si>
    <t>300</t>
  </si>
  <si>
    <t>5-10</t>
  </si>
  <si>
    <t>(Suarez)</t>
  </si>
  <si>
    <t>38-31</t>
  </si>
  <si>
    <t>6/14/25</t>
  </si>
  <si>
    <t>298</t>
  </si>
  <si>
    <t>303</t>
  </si>
  <si>
    <t>(Kerkering)</t>
  </si>
  <si>
    <t>(Strahm)</t>
  </si>
  <si>
    <t>38-32</t>
  </si>
  <si>
    <t>6/15/25</t>
  </si>
  <si>
    <t>4-11</t>
  </si>
  <si>
    <t>302</t>
  </si>
  <si>
    <t>314</t>
  </si>
  <si>
    <t>8-18</t>
  </si>
  <si>
    <t>(Wheeler)</t>
  </si>
  <si>
    <t>38-33</t>
  </si>
  <si>
    <t>Arizona Diamondbacks @ BLUE JAYS</t>
  </si>
  <si>
    <t>6/17/25</t>
  </si>
  <si>
    <t>307</t>
  </si>
  <si>
    <t>318</t>
  </si>
  <si>
    <t>39-33</t>
  </si>
  <si>
    <t>6/18/25</t>
  </si>
  <si>
    <t>315</t>
  </si>
  <si>
    <t>319</t>
  </si>
  <si>
    <t>13-6</t>
  </si>
  <si>
    <t>(Rodriguez)</t>
  </si>
  <si>
    <t>40-33</t>
  </si>
  <si>
    <t>6/19/25</t>
  </si>
  <si>
    <t>320</t>
  </si>
  <si>
    <t>328</t>
  </si>
  <si>
    <t>6-9</t>
  </si>
  <si>
    <t>(Nelson)</t>
  </si>
  <si>
    <t>40-34</t>
  </si>
  <si>
    <t>Chicago White Sox @ BLUE JAYS</t>
  </si>
  <si>
    <t>6/20/25</t>
  </si>
  <si>
    <t>1-7</t>
  </si>
  <si>
    <t>321</t>
  </si>
  <si>
    <t>335</t>
  </si>
  <si>
    <t>(Alexander)</t>
  </si>
  <si>
    <t>40-35</t>
  </si>
  <si>
    <t>6/21/25</t>
  </si>
  <si>
    <t>7-1</t>
  </si>
  <si>
    <t>336</t>
  </si>
  <si>
    <t>12-2</t>
  </si>
  <si>
    <t>(Civale)</t>
  </si>
  <si>
    <t>41-35</t>
  </si>
  <si>
    <t>6/22/25</t>
  </si>
  <si>
    <t>2-4</t>
  </si>
  <si>
    <t>330</t>
  </si>
  <si>
    <t>340</t>
  </si>
  <si>
    <t>(Leasure)</t>
  </si>
  <si>
    <t>(Taylor)</t>
  </si>
  <si>
    <t>41-36</t>
  </si>
  <si>
    <t>BLUE JAYS @ Cleveland Guardians</t>
  </si>
  <si>
    <t>6/24/25</t>
  </si>
  <si>
    <t>5:40 PM</t>
  </si>
  <si>
    <t>346</t>
  </si>
  <si>
    <t>14-8</t>
  </si>
  <si>
    <t>(Allen)</t>
  </si>
  <si>
    <t>42-36</t>
  </si>
  <si>
    <t>6/25/25</t>
  </si>
  <si>
    <t>L/10</t>
  </si>
  <si>
    <t>344</t>
  </si>
  <si>
    <t>351</t>
  </si>
  <si>
    <t>(Enright)</t>
  </si>
  <si>
    <t>42-37</t>
  </si>
  <si>
    <t>6/26/25</t>
  </si>
  <si>
    <t>12:10 PM</t>
  </si>
  <si>
    <t>6-0</t>
  </si>
  <si>
    <t>350</t>
  </si>
  <si>
    <t>43-37</t>
  </si>
  <si>
    <t>6/27/25</t>
  </si>
  <si>
    <t>9-0</t>
  </si>
  <si>
    <t>359</t>
  </si>
  <si>
    <t>16-4</t>
  </si>
  <si>
    <t>(Bello)</t>
  </si>
  <si>
    <t>44-37</t>
  </si>
  <si>
    <t>6/28/25</t>
  </si>
  <si>
    <t>1-15</t>
  </si>
  <si>
    <t>360</t>
  </si>
  <si>
    <t>366</t>
  </si>
  <si>
    <t>6-18</t>
  </si>
  <si>
    <t>(Giolito)</t>
  </si>
  <si>
    <t>44-38</t>
  </si>
  <si>
    <t>6/29/25</t>
  </si>
  <si>
    <t>365</t>
  </si>
  <si>
    <t>369</t>
  </si>
  <si>
    <t>(Buehler)</t>
  </si>
  <si>
    <t>45-38</t>
  </si>
  <si>
    <t>New York Yankees @ BLUE JAYS</t>
  </si>
  <si>
    <t>6/30/25</t>
  </si>
  <si>
    <t>370</t>
  </si>
  <si>
    <t>373</t>
  </si>
  <si>
    <t>(Leiter Jr.)</t>
  </si>
  <si>
    <t>46-38</t>
  </si>
  <si>
    <t>7/1/25</t>
  </si>
  <si>
    <t>12-5</t>
  </si>
  <si>
    <t>382</t>
  </si>
  <si>
    <t>378</t>
  </si>
  <si>
    <t>8-9</t>
  </si>
  <si>
    <t>47-38</t>
  </si>
  <si>
    <t>7/2/25</t>
  </si>
  <si>
    <t>11-9</t>
  </si>
  <si>
    <t>393</t>
  </si>
  <si>
    <t>387</t>
  </si>
  <si>
    <t>48-38</t>
  </si>
  <si>
    <t>7/3/25</t>
  </si>
  <si>
    <t>401</t>
  </si>
  <si>
    <t>392</t>
  </si>
  <si>
    <t>(Beeter)</t>
  </si>
  <si>
    <t>49-38</t>
  </si>
  <si>
    <t>Los Angeles Angels @ BLUE JAYS</t>
  </si>
  <si>
    <t>7/4/25</t>
  </si>
  <si>
    <t>4-3</t>
  </si>
  <si>
    <t>405</t>
  </si>
  <si>
    <t>395</t>
  </si>
  <si>
    <t>(Bachman)</t>
  </si>
  <si>
    <t>50-38</t>
  </si>
  <si>
    <t>7/5/25</t>
  </si>
  <si>
    <t>409</t>
  </si>
  <si>
    <t>398</t>
  </si>
  <si>
    <t>(Zeferjahn)</t>
  </si>
  <si>
    <t>51-38</t>
  </si>
  <si>
    <t>7/6/25</t>
  </si>
  <si>
    <t>412</t>
  </si>
  <si>
    <t>400</t>
  </si>
  <si>
    <t>Burr</t>
  </si>
  <si>
    <t>(Anderson)</t>
  </si>
  <si>
    <t>52-38</t>
  </si>
  <si>
    <t>BLUE JAYS @ Chicago White Sox</t>
  </si>
  <si>
    <t>7/7/25</t>
  </si>
  <si>
    <t>420</t>
  </si>
  <si>
    <t>404</t>
  </si>
  <si>
    <t>53-38</t>
  </si>
  <si>
    <t>7/8/25</t>
  </si>
  <si>
    <t>W/7</t>
  </si>
  <si>
    <t>426</t>
  </si>
  <si>
    <t>12-4</t>
  </si>
  <si>
    <t>54-38</t>
  </si>
  <si>
    <t>7/9/25</t>
  </si>
  <si>
    <t>427</t>
  </si>
  <si>
    <t>407</t>
  </si>
  <si>
    <t>9-6</t>
  </si>
  <si>
    <t>(Houser)</t>
  </si>
  <si>
    <t>54-39</t>
  </si>
  <si>
    <t>BLUE JAYS @ Athletics</t>
  </si>
  <si>
    <t>7/11/25</t>
  </si>
  <si>
    <t>9:05 PM</t>
  </si>
  <si>
    <t>434</t>
  </si>
  <si>
    <t>413</t>
  </si>
  <si>
    <t>Scherzer</t>
  </si>
  <si>
    <t>(Severino)</t>
  </si>
  <si>
    <t>55-39</t>
  </si>
  <si>
    <t>7/12/25</t>
  </si>
  <si>
    <t>437</t>
  </si>
  <si>
    <t>417</t>
  </si>
  <si>
    <t>55-40</t>
  </si>
  <si>
    <t>7/13/25</t>
  </si>
  <si>
    <t>440</t>
  </si>
  <si>
    <t>423</t>
  </si>
  <si>
    <t>4-9</t>
  </si>
  <si>
    <t>55-41</t>
  </si>
  <si>
    <t>San Francisco Giants @ BLUE JAYS</t>
  </si>
  <si>
    <t>7/18/25</t>
  </si>
  <si>
    <t>4-0</t>
  </si>
  <si>
    <t>444</t>
  </si>
  <si>
    <t>(Verlander)</t>
  </si>
  <si>
    <t>56-41</t>
  </si>
  <si>
    <t>7/19/25</t>
  </si>
  <si>
    <t>450</t>
  </si>
  <si>
    <t>14-4</t>
  </si>
  <si>
    <t>57-41</t>
  </si>
  <si>
    <t>7/20/25</t>
  </si>
  <si>
    <t>11:05 AM</t>
  </si>
  <si>
    <t>458</t>
  </si>
  <si>
    <t>432</t>
  </si>
  <si>
    <t>9-12</t>
  </si>
  <si>
    <t>(Ray)</t>
  </si>
  <si>
    <t>58-41</t>
  </si>
  <si>
    <t>7/21/25</t>
  </si>
  <si>
    <t>4-1</t>
  </si>
  <si>
    <t>462</t>
  </si>
  <si>
    <t>433</t>
  </si>
  <si>
    <t>(Rodon)</t>
  </si>
  <si>
    <t>59-41</t>
  </si>
  <si>
    <t>7/22/25</t>
  </si>
  <si>
    <t>466</t>
  </si>
  <si>
    <t>438</t>
  </si>
  <si>
    <t>11-6</t>
  </si>
  <si>
    <t>(Hamilton)</t>
  </si>
  <si>
    <t>59-42</t>
  </si>
  <si>
    <t>7/23/25</t>
  </si>
  <si>
    <t>474</t>
  </si>
  <si>
    <t>442</t>
  </si>
  <si>
    <t>60-42</t>
  </si>
  <si>
    <t>BLUE JAYS @ Detroit Tigers</t>
  </si>
  <si>
    <t>7/24/25</t>
  </si>
  <si>
    <t>11-4</t>
  </si>
  <si>
    <t>485</t>
  </si>
  <si>
    <t>446</t>
  </si>
  <si>
    <t>15-9</t>
  </si>
  <si>
    <t>(Olsen)</t>
  </si>
  <si>
    <t>61-42</t>
  </si>
  <si>
    <t>7/25/25</t>
  </si>
  <si>
    <t>491</t>
  </si>
  <si>
    <t>448</t>
  </si>
  <si>
    <t>(Montero)</t>
  </si>
  <si>
    <t>62-42</t>
  </si>
  <si>
    <t>7/26/25</t>
  </si>
  <si>
    <t>5:10 PM</t>
  </si>
  <si>
    <t>497</t>
  </si>
  <si>
    <t>449</t>
  </si>
  <si>
    <t>63-42</t>
  </si>
  <si>
    <t>7/27/25</t>
  </si>
  <si>
    <t>4-10</t>
  </si>
  <si>
    <t>501</t>
  </si>
  <si>
    <t>459</t>
  </si>
  <si>
    <t>63-43</t>
  </si>
  <si>
    <t>7/28/25</t>
  </si>
  <si>
    <t>5:35 PM</t>
  </si>
  <si>
    <t>505</t>
  </si>
  <si>
    <t>470</t>
  </si>
  <si>
    <t>11-16</t>
  </si>
  <si>
    <t>(Martin)</t>
  </si>
  <si>
    <t>63-44</t>
  </si>
  <si>
    <t>7/29/25</t>
  </si>
  <si>
    <t>11:35 AM</t>
  </si>
  <si>
    <t>4-16</t>
  </si>
  <si>
    <t>509</t>
  </si>
  <si>
    <t>486</t>
  </si>
  <si>
    <t>11-19</t>
  </si>
  <si>
    <t>63-45</t>
  </si>
  <si>
    <t>511</t>
  </si>
  <si>
    <t>489</t>
  </si>
  <si>
    <t>(Kittredge)</t>
  </si>
  <si>
    <t>63-46</t>
  </si>
  <si>
    <t>7/30/25</t>
  </si>
  <si>
    <t>520</t>
  </si>
  <si>
    <t>13-10</t>
  </si>
  <si>
    <t>(Cano)</t>
  </si>
  <si>
    <t>64-46</t>
  </si>
  <si>
    <t>Kansas City Royals @ BLUE JAYS</t>
  </si>
  <si>
    <t>8/1/25</t>
  </si>
  <si>
    <t>523</t>
  </si>
  <si>
    <t>506</t>
  </si>
  <si>
    <t>(Wacha)</t>
  </si>
  <si>
    <t>64-47</t>
  </si>
  <si>
    <t>8/2/25</t>
  </si>
  <si>
    <t>527</t>
  </si>
  <si>
    <t>508</t>
  </si>
  <si>
    <t>(Cameron)</t>
  </si>
  <si>
    <t>65-47</t>
  </si>
  <si>
    <t>8/3/25</t>
  </si>
  <si>
    <t>531</t>
  </si>
  <si>
    <t>515</t>
  </si>
  <si>
    <t>(Harvey)</t>
  </si>
  <si>
    <t>Dominguez</t>
  </si>
  <si>
    <t>65-48</t>
  </si>
  <si>
    <t>BLUE JAYS @ Colorado Rockies</t>
  </si>
  <si>
    <t>8/4/25</t>
  </si>
  <si>
    <t>7:40 PM</t>
  </si>
  <si>
    <t>15-1</t>
  </si>
  <si>
    <t>546</t>
  </si>
  <si>
    <t>516</t>
  </si>
  <si>
    <t>25-8</t>
  </si>
  <si>
    <t>(Gordon)</t>
  </si>
  <si>
    <t>66-48</t>
  </si>
  <si>
    <t>8/5/25</t>
  </si>
  <si>
    <t>10-4</t>
  </si>
  <si>
    <t>556</t>
  </si>
  <si>
    <t>(Molina)</t>
  </si>
  <si>
    <t>67-48</t>
  </si>
  <si>
    <t>8/6/25</t>
  </si>
  <si>
    <t>20-1</t>
  </si>
  <si>
    <t>576</t>
  </si>
  <si>
    <t>521</t>
  </si>
  <si>
    <t>24-3</t>
  </si>
  <si>
    <t>(Freeland)</t>
  </si>
  <si>
    <t>68-48</t>
  </si>
  <si>
    <t>BLUE JAYS @ Los Angeles Dodgers</t>
  </si>
  <si>
    <t>8/8/25</t>
  </si>
  <si>
    <t>9:10 PM</t>
  </si>
  <si>
    <t>(Kershaw)</t>
  </si>
  <si>
    <t>68-49</t>
  </si>
  <si>
    <t>8/9/25</t>
  </si>
  <si>
    <t>8:10 PM</t>
  </si>
  <si>
    <t>1-9</t>
  </si>
  <si>
    <t>(Snell)</t>
  </si>
  <si>
    <t>68-50</t>
  </si>
  <si>
    <t>8/10/25</t>
  </si>
  <si>
    <t>(Vesia)</t>
  </si>
  <si>
    <t>69-50</t>
  </si>
  <si>
    <t>Chicago Cubs @ BLUE JAYS</t>
  </si>
  <si>
    <t>8/12/25</t>
  </si>
  <si>
    <t>5-1</t>
  </si>
  <si>
    <t>(Assad)</t>
  </si>
  <si>
    <t>70-50</t>
  </si>
  <si>
    <t>8/13/25</t>
  </si>
  <si>
    <t>1-4</t>
  </si>
  <si>
    <t>2-6</t>
  </si>
  <si>
    <t>(Horton)</t>
  </si>
  <si>
    <t>(Palencia)</t>
  </si>
  <si>
    <t>70-51</t>
  </si>
  <si>
    <t>8/14/25</t>
  </si>
  <si>
    <t>(Boyd)</t>
  </si>
  <si>
    <t>71-51</t>
  </si>
  <si>
    <t>Texas Rangers @ BLUE JAYS</t>
  </si>
  <si>
    <t>8/15/25</t>
  </si>
  <si>
    <t>72-51</t>
  </si>
  <si>
    <t>8/16/25</t>
  </si>
  <si>
    <t>14-2</t>
  </si>
  <si>
    <t>18-7</t>
  </si>
  <si>
    <t>(Corbin)</t>
  </si>
  <si>
    <t>73-51</t>
  </si>
  <si>
    <t>8/17/25</t>
  </si>
  <si>
    <t>7-15</t>
  </si>
  <si>
    <t>(Eovaldi)</t>
  </si>
  <si>
    <t>(Armstrong)</t>
  </si>
  <si>
    <t>73-52</t>
  </si>
  <si>
    <t>BLUE JAYS @ Pittsburgh Pirates</t>
  </si>
  <si>
    <t>8/18/25</t>
  </si>
  <si>
    <t>2-5</t>
  </si>
  <si>
    <t>6-6</t>
  </si>
  <si>
    <t>(Sisk)</t>
  </si>
  <si>
    <t>(Santana)</t>
  </si>
  <si>
    <t>73-53</t>
  </si>
  <si>
    <t>8/19/25</t>
  </si>
  <si>
    <t>7-3</t>
  </si>
  <si>
    <t>(Keller)</t>
  </si>
  <si>
    <t>74-53</t>
  </si>
  <si>
    <t>8/20/25</t>
  </si>
  <si>
    <t>(Oviedo)</t>
  </si>
  <si>
    <t>74-54</t>
  </si>
  <si>
    <t>BLUE JAYS @ Miami Marlins</t>
  </si>
  <si>
    <t>8/22/25</t>
  </si>
  <si>
    <t>Bieber</t>
  </si>
  <si>
    <t>75-54</t>
  </si>
  <si>
    <t>8/23/25</t>
  </si>
  <si>
    <t>W/12</t>
  </si>
  <si>
    <t>11-10</t>
  </si>
  <si>
    <t>Nance</t>
  </si>
  <si>
    <t>(Faucher)</t>
  </si>
  <si>
    <t>76-54</t>
  </si>
  <si>
    <t>8/24/25</t>
  </si>
  <si>
    <t>(Perez)</t>
  </si>
  <si>
    <t>(Phillips)</t>
  </si>
  <si>
    <t>76-55</t>
  </si>
  <si>
    <t>Minnesota Twins @ BLUE JAYS</t>
  </si>
  <si>
    <t>8/25/25</t>
  </si>
  <si>
    <t>77-55</t>
  </si>
  <si>
    <t>8/26/25</t>
  </si>
  <si>
    <t>5-7</t>
  </si>
  <si>
    <t>(Tonkin)</t>
  </si>
  <si>
    <t>(Topa)</t>
  </si>
  <si>
    <t>77-56</t>
  </si>
  <si>
    <t>8/27/25</t>
  </si>
  <si>
    <t>78-56</t>
  </si>
  <si>
    <t>Milwaukee Brewers @ BLUE JAYS</t>
  </si>
  <si>
    <t>8/29/25</t>
  </si>
  <si>
    <t>2-7</t>
  </si>
  <si>
    <t>(Peralta)</t>
  </si>
  <si>
    <t>78-57</t>
  </si>
  <si>
    <t>8/30/25</t>
  </si>
  <si>
    <t>(Ashby)</t>
  </si>
  <si>
    <t>(Uribe)</t>
  </si>
  <si>
    <t>78-58</t>
  </si>
  <si>
    <t>8/31/25</t>
  </si>
  <si>
    <t>(Woodruff)</t>
  </si>
  <si>
    <t>79-58</t>
  </si>
  <si>
    <t>BLUE JAYS @ Cincinnati Reds</t>
  </si>
  <si>
    <t>9/1/25</t>
  </si>
  <si>
    <t>8-11</t>
  </si>
  <si>
    <t>(Zulueta)</t>
  </si>
  <si>
    <t>79-59</t>
  </si>
  <si>
    <t>9/2/25</t>
  </si>
  <si>
    <t>12-15</t>
  </si>
  <si>
    <t>Varland</t>
  </si>
  <si>
    <t>(Barlow)</t>
  </si>
  <si>
    <t>80-59</t>
  </si>
  <si>
    <t>9/3/25</t>
  </si>
  <si>
    <t>13-9</t>
  </si>
  <si>
    <t>18-10</t>
  </si>
  <si>
    <t>(Martinez)</t>
  </si>
  <si>
    <t>81-59</t>
  </si>
  <si>
    <t>9/5/25</t>
  </si>
  <si>
    <t>(Schlittler)</t>
  </si>
  <si>
    <t>82-59</t>
  </si>
  <si>
    <t>9/6/25</t>
  </si>
  <si>
    <t>(Gil)</t>
  </si>
  <si>
    <t>(Bednar)</t>
  </si>
  <si>
    <t>82-60</t>
  </si>
  <si>
    <t>9/7/25</t>
  </si>
  <si>
    <t>8-3</t>
  </si>
  <si>
    <t>82-61</t>
  </si>
  <si>
    <t>Houston Astros @ BLUE JAYS</t>
  </si>
  <si>
    <t>9/9/25</t>
  </si>
  <si>
    <t>(Kimbrel)</t>
  </si>
  <si>
    <t>83-61</t>
  </si>
  <si>
    <t>9/10/25</t>
  </si>
  <si>
    <t>(De Los Santos)</t>
  </si>
  <si>
    <t>(Abreu)</t>
  </si>
  <si>
    <t>83-62</t>
  </si>
  <si>
    <t>9/11/25</t>
  </si>
  <si>
    <t>(Javier)</t>
  </si>
  <si>
    <t>84-62</t>
  </si>
  <si>
    <t>9/12/25</t>
  </si>
  <si>
    <t>10-3</t>
  </si>
  <si>
    <t>(Enns)</t>
  </si>
  <si>
    <t>85-62</t>
  </si>
  <si>
    <t>9/13/25</t>
  </si>
  <si>
    <t>12-7</t>
  </si>
  <si>
    <t>86-62</t>
  </si>
  <si>
    <t>9/14/25</t>
  </si>
  <si>
    <t>11-2</t>
  </si>
  <si>
    <t>14-7</t>
  </si>
  <si>
    <t>(Wolfram)</t>
  </si>
  <si>
    <t>87-62</t>
  </si>
  <si>
    <t>9/15/25</t>
  </si>
  <si>
    <t>6:35 PM</t>
  </si>
  <si>
    <t>(Kelly)</t>
  </si>
  <si>
    <t>88-62</t>
  </si>
  <si>
    <t>9/16/25</t>
  </si>
  <si>
    <t>89-62</t>
  </si>
  <si>
    <t>9/17/25</t>
  </si>
  <si>
    <t>9/18/25</t>
  </si>
  <si>
    <t>BLUE JAYS @ Kansas City Royals</t>
  </si>
  <si>
    <t>9/19/25</t>
  </si>
  <si>
    <t>9/20/25</t>
  </si>
  <si>
    <t>9/21/25</t>
  </si>
  <si>
    <t>9/23/25</t>
  </si>
  <si>
    <t>9/24/25</t>
  </si>
  <si>
    <t>9/25/25</t>
  </si>
  <si>
    <t>9/26/25</t>
  </si>
  <si>
    <t>9/27/25</t>
  </si>
  <si>
    <t>9/28/25</t>
  </si>
  <si>
    <t>AL East</t>
  </si>
  <si>
    <t>American League Division Leaders</t>
  </si>
  <si>
    <t>American League</t>
  </si>
  <si>
    <t>MLB</t>
  </si>
  <si>
    <t>American League Wild Card Series</t>
  </si>
  <si>
    <t>Team</t>
  </si>
  <si>
    <t>GP</t>
  </si>
  <si>
    <t>PCT.</t>
  </si>
  <si>
    <t>E#</t>
  </si>
  <si>
    <t>GB</t>
  </si>
  <si>
    <t>WCGB</t>
  </si>
  <si>
    <t>ERec</t>
  </si>
  <si>
    <t>PRec</t>
  </si>
  <si>
    <t>GP%</t>
  </si>
  <si>
    <t>PS</t>
  </si>
  <si>
    <t>Teams</t>
  </si>
  <si>
    <t>Series</t>
  </si>
  <si>
    <t>Toronto Blue Jays</t>
  </si>
  <si>
    <t>ae</t>
  </si>
  <si>
    <t>Milwaukee Brewers</t>
  </si>
  <si>
    <t>Seattle Mariners vs. Boston Red Sox</t>
  </si>
  <si>
    <t>New York Yankees</t>
  </si>
  <si>
    <t>ac</t>
  </si>
  <si>
    <t>Detroit Tigers</t>
  </si>
  <si>
    <t>Philadelphia Phillies</t>
  </si>
  <si>
    <t>New York Yankees vs. Houston Astros</t>
  </si>
  <si>
    <t>Boston Red Sox</t>
  </si>
  <si>
    <t>aw</t>
  </si>
  <si>
    <t>Tampa Bay Rays</t>
  </si>
  <si>
    <t>Seattle Mariners</t>
  </si>
  <si>
    <t>Chicago Cubs</t>
  </si>
  <si>
    <t>National League Wild Card Series</t>
  </si>
  <si>
    <t>Baltimore Orioles</t>
  </si>
  <si>
    <t>American League Wild Card</t>
  </si>
  <si>
    <t>Houston Astros</t>
  </si>
  <si>
    <t>Los Angeles Dodgers vs. New York Mets</t>
  </si>
  <si>
    <t>AL Central</t>
  </si>
  <si>
    <t>w1</t>
  </si>
  <si>
    <t>Cleveland Guardians</t>
  </si>
  <si>
    <t>Los Angeles Dodgers</t>
  </si>
  <si>
    <t>Chicago Cubs vs. San Diego Padres</t>
  </si>
  <si>
    <t>w2</t>
  </si>
  <si>
    <t>Texas Rangers</t>
  </si>
  <si>
    <t>w3</t>
  </si>
  <si>
    <t>Kansas City Royals</t>
  </si>
  <si>
    <t>American League Divisional Series</t>
  </si>
  <si>
    <t>Athletics</t>
  </si>
  <si>
    <t>San Diego Padres</t>
  </si>
  <si>
    <t xml:space="preserve">Toronto Blue Jays vs. </t>
  </si>
  <si>
    <t>Minnesota Twins</t>
  </si>
  <si>
    <t xml:space="preserve">Detroit Tigers vs. </t>
  </si>
  <si>
    <t>Chicago White Sox</t>
  </si>
  <si>
    <t>od</t>
  </si>
  <si>
    <t>Los Angeles Angels</t>
  </si>
  <si>
    <t>o</t>
  </si>
  <si>
    <t>New York Mets</t>
  </si>
  <si>
    <t>National League Divisional Series</t>
  </si>
  <si>
    <t>AL West</t>
  </si>
  <si>
    <t>Arizona Diamondbacks</t>
  </si>
  <si>
    <t>Cincinnati Reds</t>
  </si>
  <si>
    <t xml:space="preserve">Milwaukee Brewers vs. </t>
  </si>
  <si>
    <t>National League</t>
  </si>
  <si>
    <t>San Francisco Giants</t>
  </si>
  <si>
    <t xml:space="preserve">Philadelphia Phillies vs. </t>
  </si>
  <si>
    <t>St. Louis Cardinals</t>
  </si>
  <si>
    <t>American League Championship Series</t>
  </si>
  <si>
    <t>National League Division Leaders</t>
  </si>
  <si>
    <t>yne</t>
  </si>
  <si>
    <t>NL East</t>
  </si>
  <si>
    <t>xnc</t>
  </si>
  <si>
    <t>Miami Marlins</t>
  </si>
  <si>
    <t>National League Championship Series</t>
  </si>
  <si>
    <t>nw</t>
  </si>
  <si>
    <t>Atlanta Braves</t>
  </si>
  <si>
    <t>National League Wild Card</t>
  </si>
  <si>
    <t>Pittsburgh Pirates</t>
  </si>
  <si>
    <t>World Series</t>
  </si>
  <si>
    <t>Washington Nationals</t>
  </si>
  <si>
    <t>Colorado Rockies</t>
  </si>
  <si>
    <t>NL Central</t>
  </si>
  <si>
    <t>NL West</t>
  </si>
  <si>
    <t>Diff Norm</t>
  </si>
  <si>
    <t>OPS</t>
  </si>
  <si>
    <t>Diff/Game</t>
  </si>
  <si>
    <t>On Base</t>
  </si>
  <si>
    <t>Slug</t>
  </si>
  <si>
    <t>Pythag W%</t>
  </si>
  <si>
    <t>Rating</t>
  </si>
  <si>
    <t>Rank</t>
  </si>
  <si>
    <t>East Division</t>
  </si>
  <si>
    <t>American Association</t>
  </si>
  <si>
    <t>American Association East Division Semifinals</t>
  </si>
  <si>
    <t>GB.</t>
  </si>
  <si>
    <t>Lake Country Dockhounds</t>
  </si>
  <si>
    <t>ye1</t>
  </si>
  <si>
    <t>Sioux City Explorers</t>
  </si>
  <si>
    <t>Lake Country Dockhounds vs. Chicago Dogs</t>
  </si>
  <si>
    <t>Dogs win 2-0</t>
  </si>
  <si>
    <t>Chicago Dogs</t>
  </si>
  <si>
    <t>xe2</t>
  </si>
  <si>
    <t>Kansas City Monarchs</t>
  </si>
  <si>
    <t>Kane County Cougars vs. Milwaukee Milkmen</t>
  </si>
  <si>
    <t>Cougars win 2-1</t>
  </si>
  <si>
    <t>Kane County Cougars</t>
  </si>
  <si>
    <t>xe3</t>
  </si>
  <si>
    <t>Sioux Falls Canaries</t>
  </si>
  <si>
    <t>Milwaukee Milkmen</t>
  </si>
  <si>
    <t>xe4</t>
  </si>
  <si>
    <t>Fargo-Moorhead RedHawks</t>
  </si>
  <si>
    <t>American Association West Division Seminfinals</t>
  </si>
  <si>
    <t>Cleburne Railroaders</t>
  </si>
  <si>
    <t>Gary Southshore RailCats</t>
  </si>
  <si>
    <t>Sioux City Explorers vs. Sioux Falls Canaries</t>
  </si>
  <si>
    <t>Canaries win 2-1</t>
  </si>
  <si>
    <t>Kansas City Monarchs vs. Fargo-Moorhead RedHawks</t>
  </si>
  <si>
    <t>RedHawks win 2-1</t>
  </si>
  <si>
    <t>West Division</t>
  </si>
  <si>
    <t>PL</t>
  </si>
  <si>
    <t>American Association East Division Final</t>
  </si>
  <si>
    <t>zw1</t>
  </si>
  <si>
    <t>Lincoln Saltdogs</t>
  </si>
  <si>
    <t>xw2</t>
  </si>
  <si>
    <t>Winnipeg Goldeyes</t>
  </si>
  <si>
    <t>Kane County Cougars vs. Chicago Dogs</t>
  </si>
  <si>
    <t>Cougars win 3-2</t>
  </si>
  <si>
    <t>xw3</t>
  </si>
  <si>
    <t>xw4</t>
  </si>
  <si>
    <t>American Association West Division Final</t>
  </si>
  <si>
    <t>Fargo-Moorhead RedHawks vs. Sioux Falls Canaries</t>
  </si>
  <si>
    <t>Canaries win 3-2</t>
  </si>
  <si>
    <t>Miles Wolff Cup</t>
  </si>
  <si>
    <t>Sioux Falls Canaries vs. Kane County Cougars</t>
  </si>
  <si>
    <t>Tied 1-1</t>
  </si>
  <si>
    <t>Group A</t>
  </si>
  <si>
    <t>Canada Schedule</t>
  </si>
  <si>
    <t>Pct</t>
  </si>
  <si>
    <t>Runs F/A</t>
  </si>
  <si>
    <t>Pitcher</t>
  </si>
  <si>
    <t>Puerto Rico</t>
  </si>
  <si>
    <t>Cuba</t>
  </si>
  <si>
    <t>Canada</t>
  </si>
  <si>
    <t>Panama</t>
  </si>
  <si>
    <t>Qualifier</t>
  </si>
  <si>
    <t>Quarterfinals</t>
  </si>
  <si>
    <t>Group B</t>
  </si>
  <si>
    <t>United States</t>
  </si>
  <si>
    <t>Mexico</t>
  </si>
  <si>
    <t>Italy</t>
  </si>
  <si>
    <t>Great Britain</t>
  </si>
  <si>
    <t>Semifinals</t>
  </si>
  <si>
    <t>Group C</t>
  </si>
  <si>
    <t>Japan</t>
  </si>
  <si>
    <t>Australia</t>
  </si>
  <si>
    <t>Final</t>
  </si>
  <si>
    <t>Korea</t>
  </si>
  <si>
    <t>Czechia</t>
  </si>
  <si>
    <t>Group D</t>
  </si>
  <si>
    <t>Venezuela</t>
  </si>
  <si>
    <t>Dominican Republic</t>
  </si>
  <si>
    <t>Netherlands</t>
  </si>
  <si>
    <t>Israel</t>
  </si>
  <si>
    <t>2/22/25</t>
  </si>
  <si>
    <t>6</t>
  </si>
  <si>
    <t>4</t>
  </si>
  <si>
    <t>Tolhurst</t>
  </si>
  <si>
    <t>(Brewer)</t>
  </si>
  <si>
    <t>1-0</t>
  </si>
  <si>
    <t>2/23/25</t>
  </si>
  <si>
    <t>14</t>
  </si>
  <si>
    <t>11</t>
  </si>
  <si>
    <t>14-11</t>
  </si>
  <si>
    <t>Jennings</t>
  </si>
  <si>
    <t>(Fogell)</t>
  </si>
  <si>
    <t>Schultz</t>
  </si>
  <si>
    <t>St. Louis Cardinals @ BLUE JAYS</t>
  </si>
  <si>
    <t>2/25/25</t>
  </si>
  <si>
    <t>17</t>
  </si>
  <si>
    <t>13</t>
  </si>
  <si>
    <t>(Bedell)</t>
  </si>
  <si>
    <t>Juenger</t>
  </si>
  <si>
    <t>2/26/25</t>
  </si>
  <si>
    <t>23</t>
  </si>
  <si>
    <t>22</t>
  </si>
  <si>
    <t>11-11</t>
  </si>
  <si>
    <t>(Ruiz)</t>
  </si>
  <si>
    <t>2/27/25</t>
  </si>
  <si>
    <t>33</t>
  </si>
  <si>
    <t>(Contreras)</t>
  </si>
  <si>
    <t>2/28/25</t>
  </si>
  <si>
    <t>40</t>
  </si>
  <si>
    <t>(Lee)</t>
  </si>
  <si>
    <t>46</t>
  </si>
  <si>
    <t>6-11</t>
  </si>
  <si>
    <t>(Cole)</t>
  </si>
  <si>
    <t>Bloss</t>
  </si>
  <si>
    <t>(Hartlieb)</t>
  </si>
  <si>
    <t>BLUE JAYS @ Atlanta Braves</t>
  </si>
  <si>
    <t>3/1/25</t>
  </si>
  <si>
    <t>TBD</t>
  </si>
  <si>
    <t>T</t>
  </si>
  <si>
    <t>4-3-1</t>
  </si>
  <si>
    <t>3/2/25</t>
  </si>
  <si>
    <t>50</t>
  </si>
  <si>
    <t>51</t>
  </si>
  <si>
    <t>Amalfi</t>
  </si>
  <si>
    <t>(McGarry)</t>
  </si>
  <si>
    <t>5-3-1</t>
  </si>
  <si>
    <t>3/3/25</t>
  </si>
  <si>
    <t>13-3</t>
  </si>
  <si>
    <t>Yarbrough</t>
  </si>
  <si>
    <t>(Foley)</t>
  </si>
  <si>
    <t>6-3-1</t>
  </si>
  <si>
    <t>3/5/25</t>
  </si>
  <si>
    <t>6-7</t>
  </si>
  <si>
    <t>69</t>
  </si>
  <si>
    <t>61</t>
  </si>
  <si>
    <t>(Borucki)</t>
  </si>
  <si>
    <t>6-4-1</t>
  </si>
  <si>
    <t>3/6/25</t>
  </si>
  <si>
    <t>7-4</t>
  </si>
  <si>
    <t>65</t>
  </si>
  <si>
    <t>(Criswell)</t>
  </si>
  <si>
    <t>Bash</t>
  </si>
  <si>
    <t>7-4-1</t>
  </si>
  <si>
    <t>3/7/25</t>
  </si>
  <si>
    <t>7-8</t>
  </si>
  <si>
    <t>9-14</t>
  </si>
  <si>
    <t>7-5-1</t>
  </si>
  <si>
    <t>3/8/25</t>
  </si>
  <si>
    <t>78</t>
  </si>
  <si>
    <t>(Walker)</t>
  </si>
  <si>
    <t>(Crismatt)</t>
  </si>
  <si>
    <t>7-6-1</t>
  </si>
  <si>
    <t>5-0</t>
  </si>
  <si>
    <t>(Hurter)</t>
  </si>
  <si>
    <t>8-6-1</t>
  </si>
  <si>
    <t>3/9/25</t>
  </si>
  <si>
    <t>105</t>
  </si>
  <si>
    <t>15-14</t>
  </si>
  <si>
    <t>Pop</t>
  </si>
  <si>
    <t>(Krehbiel)</t>
  </si>
  <si>
    <t>9-6-1</t>
  </si>
  <si>
    <t>3/10/25</t>
  </si>
  <si>
    <t>90</t>
  </si>
  <si>
    <t>(Hernandez)</t>
  </si>
  <si>
    <t>10-6-1</t>
  </si>
  <si>
    <t>3/11/25</t>
  </si>
  <si>
    <t>(Blewett)</t>
  </si>
  <si>
    <t>Robertson</t>
  </si>
  <si>
    <t>11-6-1</t>
  </si>
  <si>
    <t>3/13/25</t>
  </si>
  <si>
    <t>(Povich)</t>
  </si>
  <si>
    <t>12-6-1</t>
  </si>
  <si>
    <t>3/14/25</t>
  </si>
  <si>
    <t>102</t>
  </si>
  <si>
    <t>6-10</t>
  </si>
  <si>
    <t>(Rodning)</t>
  </si>
  <si>
    <t>Walker</t>
  </si>
  <si>
    <t>12-7-1</t>
  </si>
  <si>
    <t>3/15/25</t>
  </si>
  <si>
    <t>10-16</t>
  </si>
  <si>
    <t>(Pallante)</t>
  </si>
  <si>
    <t>12-8-1</t>
  </si>
  <si>
    <t>3/16/25</t>
  </si>
  <si>
    <t>13-8-1</t>
  </si>
  <si>
    <t>3/17/25</t>
  </si>
  <si>
    <t>117</t>
  </si>
  <si>
    <t>(Harper)</t>
  </si>
  <si>
    <t>13-9-1</t>
  </si>
  <si>
    <t>146</t>
  </si>
  <si>
    <t>Pardinho</t>
  </si>
  <si>
    <t>(Stuart)</t>
  </si>
  <si>
    <t>14-9-1</t>
  </si>
  <si>
    <t>3/18/25</t>
  </si>
  <si>
    <t>5:05 PM</t>
  </si>
  <si>
    <t>2-8</t>
  </si>
  <si>
    <t>130</t>
  </si>
  <si>
    <t>14-10-1</t>
  </si>
  <si>
    <t>3/20/25</t>
  </si>
  <si>
    <t>152</t>
  </si>
  <si>
    <t>131</t>
  </si>
  <si>
    <t>(Bradley)</t>
  </si>
  <si>
    <t>15-10-1</t>
  </si>
  <si>
    <t>3/21/25</t>
  </si>
  <si>
    <t>163</t>
  </si>
  <si>
    <t>16-10-1</t>
  </si>
  <si>
    <t>3/22/25</t>
  </si>
  <si>
    <t>139</t>
  </si>
  <si>
    <t>Todd</t>
  </si>
  <si>
    <t>17-10-1</t>
  </si>
  <si>
    <t>Pittsburgh Pirates @ BLUE JAYS</t>
  </si>
  <si>
    <t>3/23/25</t>
  </si>
  <si>
    <t>167</t>
  </si>
  <si>
    <t>(Falter)</t>
  </si>
  <si>
    <t>Garkow</t>
  </si>
  <si>
    <t>18-10-1</t>
  </si>
  <si>
    <t>Grapefruit League</t>
  </si>
  <si>
    <t>Cactus League</t>
  </si>
  <si>
    <t>MJBL</t>
  </si>
  <si>
    <t>MJBL Quarterfinals</t>
  </si>
  <si>
    <t>PW</t>
  </si>
  <si>
    <t>Carillon Sultans</t>
  </si>
  <si>
    <t>Elmwood Giants vs. Altona Bisons</t>
  </si>
  <si>
    <t>Giants win 2-0</t>
  </si>
  <si>
    <t>Elmwood Giants</t>
  </si>
  <si>
    <t>Pembina Valley Orioles vs. Winnipeg South Wolves</t>
  </si>
  <si>
    <t>Orioles win 2-1</t>
  </si>
  <si>
    <t>Pembina Valley Orioles</t>
  </si>
  <si>
    <t>Interlake Blue Jays vs. St. Boniface Legionaries</t>
  </si>
  <si>
    <t>Legionaries win 2-1</t>
  </si>
  <si>
    <t>Interlake Blue Jays</t>
  </si>
  <si>
    <t>St. Boniface Legionaries</t>
  </si>
  <si>
    <t>MJBL Semifinals</t>
  </si>
  <si>
    <t>Winnipeg South Wolves</t>
  </si>
  <si>
    <t>Altona Bisons</t>
  </si>
  <si>
    <t>Carillon Sultans vs. St. Boniface Legionaries</t>
  </si>
  <si>
    <t>Sultans win 2-0</t>
  </si>
  <si>
    <t>Elmwood Giants vs. Pembina Valley Orioles</t>
  </si>
  <si>
    <t>GIants win 2-1</t>
  </si>
  <si>
    <t>MJBL Final</t>
  </si>
  <si>
    <t>Carillon Sultans vs. Elmwood Giants</t>
  </si>
  <si>
    <t>Sultans win 3-1</t>
  </si>
  <si>
    <t>SV</t>
  </si>
  <si>
    <t>57s @ Regina Red Sox</t>
  </si>
  <si>
    <t>8:00 PM</t>
  </si>
  <si>
    <t>1-11</t>
  </si>
  <si>
    <t>1</t>
  </si>
  <si>
    <t>5-18</t>
  </si>
  <si>
    <t>(Hungerford)</t>
  </si>
  <si>
    <t>Korte</t>
  </si>
  <si>
    <t>Medicine Hat Mavericks @ 57s</t>
  </si>
  <si>
    <t>8:05 PM</t>
  </si>
  <si>
    <t>5</t>
  </si>
  <si>
    <t>21</t>
  </si>
  <si>
    <t>Brooks Bombers @ 57s</t>
  </si>
  <si>
    <t>10</t>
  </si>
  <si>
    <t>10-13</t>
  </si>
  <si>
    <t>(Groh)</t>
  </si>
  <si>
    <t>Reasor</t>
  </si>
  <si>
    <t>0-3</t>
  </si>
  <si>
    <t>57s @ Medicine Hat Mavericks</t>
  </si>
  <si>
    <t>4-13</t>
  </si>
  <si>
    <t>7-13</t>
  </si>
  <si>
    <t>(Alfaro)</t>
  </si>
  <si>
    <t>Mark</t>
  </si>
  <si>
    <t>0-4</t>
  </si>
  <si>
    <t>57s @ Saskatoon Berries</t>
  </si>
  <si>
    <t>6/2/25</t>
  </si>
  <si>
    <t>18</t>
  </si>
  <si>
    <t>55</t>
  </si>
  <si>
    <t>6-12</t>
  </si>
  <si>
    <t>(Rude)</t>
  </si>
  <si>
    <t>Didder</t>
  </si>
  <si>
    <t>Lethbridge Bulls @ 57s</t>
  </si>
  <si>
    <t>20</t>
  </si>
  <si>
    <t>58</t>
  </si>
  <si>
    <t>(Newton)</t>
  </si>
  <si>
    <t>Bornstein</t>
  </si>
  <si>
    <t>(Hageman)</t>
  </si>
  <si>
    <t>0-6</t>
  </si>
  <si>
    <t>Regina Red Sox @ 57s</t>
  </si>
  <si>
    <t>3-10</t>
  </si>
  <si>
    <t>3-11</t>
  </si>
  <si>
    <t>(Langford)</t>
  </si>
  <si>
    <t>Noto</t>
  </si>
  <si>
    <t>Saskatoon Berries @ 57s</t>
  </si>
  <si>
    <t>(Whitney)</t>
  </si>
  <si>
    <t>Ratcliff</t>
  </si>
  <si>
    <t>0-9</t>
  </si>
  <si>
    <t>9-13</t>
  </si>
  <si>
    <t>Furuya</t>
  </si>
  <si>
    <t>(McCombs)</t>
  </si>
  <si>
    <t>9-4</t>
  </si>
  <si>
    <t>15-11</t>
  </si>
  <si>
    <t>2-9</t>
  </si>
  <si>
    <t>6/12/25</t>
  </si>
  <si>
    <t>8-17</t>
  </si>
  <si>
    <t>110</t>
  </si>
  <si>
    <t>(Centella)</t>
  </si>
  <si>
    <t>Moose Jaw Miller Express @ 57s</t>
  </si>
  <si>
    <t>6-16</t>
  </si>
  <si>
    <t>126</t>
  </si>
  <si>
    <t>(Guardiola)</t>
  </si>
  <si>
    <t>Puello</t>
  </si>
  <si>
    <t>70</t>
  </si>
  <si>
    <t>134</t>
  </si>
  <si>
    <t>16-14</t>
  </si>
  <si>
    <t>Gutierrez</t>
  </si>
  <si>
    <t>(Gutierrez)</t>
  </si>
  <si>
    <t>57s @ Moose Jaw Miller Express</t>
  </si>
  <si>
    <t>2-27</t>
  </si>
  <si>
    <t>9-29</t>
  </si>
  <si>
    <t>(Bourbeau)</t>
  </si>
  <si>
    <t>3-12</t>
  </si>
  <si>
    <t>74</t>
  </si>
  <si>
    <t>3-13</t>
  </si>
  <si>
    <t>(Dornan)</t>
  </si>
  <si>
    <t>3-14</t>
  </si>
  <si>
    <t>Cummins</t>
  </si>
  <si>
    <t>3-15</t>
  </si>
  <si>
    <t>199</t>
  </si>
  <si>
    <t>(Zehr)</t>
  </si>
  <si>
    <t>Weyburn Beavers @ 57s</t>
  </si>
  <si>
    <t>25-14</t>
  </si>
  <si>
    <t>22-20</t>
  </si>
  <si>
    <t>(Webster)</t>
  </si>
  <si>
    <t>5-15</t>
  </si>
  <si>
    <t>57s @ Fort McMurray Giants</t>
  </si>
  <si>
    <t>217</t>
  </si>
  <si>
    <t>(Taft)</t>
  </si>
  <si>
    <t>(Jones)</t>
  </si>
  <si>
    <t>5-16</t>
  </si>
  <si>
    <t>223</t>
  </si>
  <si>
    <t>(Glenn)</t>
  </si>
  <si>
    <t>5-17</t>
  </si>
  <si>
    <t>57s @ Energy City Cactus Rats</t>
  </si>
  <si>
    <t>142</t>
  </si>
  <si>
    <t>236</t>
  </si>
  <si>
    <t>5-8</t>
  </si>
  <si>
    <t>(Higgins)</t>
  </si>
  <si>
    <t>(Nino)</t>
  </si>
  <si>
    <t>5-19</t>
  </si>
  <si>
    <t>57s @ Sylvan Lake Gulls</t>
  </si>
  <si>
    <t>244</t>
  </si>
  <si>
    <t>5-20</t>
  </si>
  <si>
    <t>252</t>
  </si>
  <si>
    <t>(Hrin)</t>
  </si>
  <si>
    <t>5-21</t>
  </si>
  <si>
    <t>13-2</t>
  </si>
  <si>
    <t>155</t>
  </si>
  <si>
    <t>254</t>
  </si>
  <si>
    <t>18-8</t>
  </si>
  <si>
    <t>(Zarate)</t>
  </si>
  <si>
    <t>6-21</t>
  </si>
  <si>
    <t>(Spry)</t>
  </si>
  <si>
    <t>6-22</t>
  </si>
  <si>
    <t>1-6</t>
  </si>
  <si>
    <t>269</t>
  </si>
  <si>
    <t>(Yard)</t>
  </si>
  <si>
    <t>6-23</t>
  </si>
  <si>
    <t>Okotoks Dawgs @ 57s</t>
  </si>
  <si>
    <t>158</t>
  </si>
  <si>
    <t>274</t>
  </si>
  <si>
    <t>(Forno)</t>
  </si>
  <si>
    <t>(Corey)</t>
  </si>
  <si>
    <t>6-24</t>
  </si>
  <si>
    <t>162</t>
  </si>
  <si>
    <t>(Charlton)</t>
  </si>
  <si>
    <t>Bailey</t>
  </si>
  <si>
    <t>7-24</t>
  </si>
  <si>
    <t>57s @ Weyburn Beavers</t>
  </si>
  <si>
    <t>L/6</t>
  </si>
  <si>
    <t>285</t>
  </si>
  <si>
    <t>(Kinter)</t>
  </si>
  <si>
    <t>7-25</t>
  </si>
  <si>
    <t>1-17</t>
  </si>
  <si>
    <t>169</t>
  </si>
  <si>
    <t>9-17</t>
  </si>
  <si>
    <t>(Oudie-Senger)</t>
  </si>
  <si>
    <t>7-26</t>
  </si>
  <si>
    <t>172</t>
  </si>
  <si>
    <t>310</t>
  </si>
  <si>
    <t>(Voytko)</t>
  </si>
  <si>
    <t>7-27</t>
  </si>
  <si>
    <t>7:00 PM</t>
  </si>
  <si>
    <t>2-18</t>
  </si>
  <si>
    <t>11-23</t>
  </si>
  <si>
    <t>7-28</t>
  </si>
  <si>
    <t>2:00 PM</t>
  </si>
  <si>
    <t>180</t>
  </si>
  <si>
    <t>339</t>
  </si>
  <si>
    <t>(Trondson)</t>
  </si>
  <si>
    <t>7-29</t>
  </si>
  <si>
    <t>7/14/25</t>
  </si>
  <si>
    <t>0</t>
  </si>
  <si>
    <t>Cancelled</t>
  </si>
  <si>
    <t>7/16/25</t>
  </si>
  <si>
    <t>3-3</t>
  </si>
  <si>
    <t>(Hart)</t>
  </si>
  <si>
    <t>8-29</t>
  </si>
  <si>
    <t>L/7</t>
  </si>
  <si>
    <t>183</t>
  </si>
  <si>
    <t>(McConnell)</t>
  </si>
  <si>
    <t>8-30</t>
  </si>
  <si>
    <t>7/17/25</t>
  </si>
  <si>
    <t>185</t>
  </si>
  <si>
    <t>355</t>
  </si>
  <si>
    <t>8-31</t>
  </si>
  <si>
    <t>187</t>
  </si>
  <si>
    <t>356</t>
  </si>
  <si>
    <t>(Parton)</t>
  </si>
  <si>
    <t>9-31</t>
  </si>
  <si>
    <t>195</t>
  </si>
  <si>
    <t>8-13</t>
  </si>
  <si>
    <t>(Butt)</t>
  </si>
  <si>
    <t>Maza-Leon</t>
  </si>
  <si>
    <t>9-32</t>
  </si>
  <si>
    <t>376</t>
  </si>
  <si>
    <t>(Spruiell)</t>
  </si>
  <si>
    <t>10-32</t>
  </si>
  <si>
    <t>211</t>
  </si>
  <si>
    <t>(Junek)</t>
  </si>
  <si>
    <t>10-33</t>
  </si>
  <si>
    <t>0-11</t>
  </si>
  <si>
    <t>6-14</t>
  </si>
  <si>
    <t>10-34</t>
  </si>
  <si>
    <t>(Yeager)</t>
  </si>
  <si>
    <t>10-35</t>
  </si>
  <si>
    <t>215</t>
  </si>
  <si>
    <t>415</t>
  </si>
  <si>
    <t>10-36</t>
  </si>
  <si>
    <t>4-24</t>
  </si>
  <si>
    <t>439</t>
  </si>
  <si>
    <t>7-18</t>
  </si>
  <si>
    <t>(Hlinsky)</t>
  </si>
  <si>
    <t>10-37</t>
  </si>
  <si>
    <t>220</t>
  </si>
  <si>
    <t>454</t>
  </si>
  <si>
    <t>10-38</t>
  </si>
  <si>
    <t>456</t>
  </si>
  <si>
    <t>(Cutler)</t>
  </si>
  <si>
    <t>10-39</t>
  </si>
  <si>
    <t>227</t>
  </si>
  <si>
    <t>464</t>
  </si>
  <si>
    <t>(Cockrell)</t>
  </si>
  <si>
    <t>10-40</t>
  </si>
  <si>
    <t>7/31/25</t>
  </si>
  <si>
    <t>228</t>
  </si>
  <si>
    <t>471</t>
  </si>
  <si>
    <t>(Levesque)</t>
  </si>
  <si>
    <t>Adair</t>
  </si>
  <si>
    <t>10-41</t>
  </si>
  <si>
    <t>1-16</t>
  </si>
  <si>
    <t>229</t>
  </si>
  <si>
    <t>487</t>
  </si>
  <si>
    <t>2-15</t>
  </si>
  <si>
    <t>(Walls)</t>
  </si>
  <si>
    <t>10-42</t>
  </si>
  <si>
    <t>L/5</t>
  </si>
  <si>
    <t>495</t>
  </si>
  <si>
    <t>(Glazener)</t>
  </si>
  <si>
    <t>10-43</t>
  </si>
  <si>
    <t>8-16</t>
  </si>
  <si>
    <t>11-17</t>
  </si>
  <si>
    <t>(Bauer)</t>
  </si>
  <si>
    <t>10-44</t>
  </si>
  <si>
    <t>L/8</t>
  </si>
  <si>
    <t>518</t>
  </si>
  <si>
    <t>(Nipp)</t>
  </si>
  <si>
    <t>10-45</t>
  </si>
  <si>
    <t>Brooks Bombers</t>
  </si>
  <si>
    <t>Energy City Cactus Rats</t>
  </si>
  <si>
    <t>Fort McMurray Giants</t>
  </si>
  <si>
    <t>Lethbridge Bulls</t>
  </si>
  <si>
    <t>Medicine Hat Mavericks</t>
  </si>
  <si>
    <t>Moose Jaw Miller Express</t>
  </si>
  <si>
    <t>Okotoks Dawgs</t>
  </si>
  <si>
    <t>Regina Red Sox</t>
  </si>
  <si>
    <t>Saskatoon Berries</t>
  </si>
  <si>
    <t>Sylvan Lake Gulls</t>
  </si>
  <si>
    <t>Weyburn Beavers</t>
  </si>
  <si>
    <t>Game #</t>
  </si>
  <si>
    <t>Total</t>
  </si>
  <si>
    <t>Average</t>
  </si>
  <si>
    <t>WCBL</t>
  </si>
  <si>
    <t>East Division Semifinals</t>
  </si>
  <si>
    <t>xyze1</t>
  </si>
  <si>
    <t>Saskatoon Berries vs. Moose Jaw Miller Express</t>
  </si>
  <si>
    <t>Berries win 2-1</t>
  </si>
  <si>
    <t>Medicine Hat Mavericks vs. Regina Red Sox</t>
  </si>
  <si>
    <t>Red Sox win 2-0</t>
  </si>
  <si>
    <t>West Division Semifinals</t>
  </si>
  <si>
    <t>Swift Current 57s</t>
  </si>
  <si>
    <t>Okotoks Dawgs vs. Brooks Bombers</t>
  </si>
  <si>
    <t>Dawgs win 2-0</t>
  </si>
  <si>
    <t>Sylvan Lake Gulls vs. Lethbridge Bulls</t>
  </si>
  <si>
    <t>Gulls win 2-1</t>
  </si>
  <si>
    <t>East Division Final</t>
  </si>
  <si>
    <t>yw1</t>
  </si>
  <si>
    <t>Saskatoon Berries vs. Regina Red Sox</t>
  </si>
  <si>
    <t>Red Sox win 2-1</t>
  </si>
  <si>
    <t>West Division Final</t>
  </si>
  <si>
    <t>Okotoks Dawgs vs. Sylvan Lake Gulls</t>
  </si>
  <si>
    <t>Gulls win 2-0</t>
  </si>
  <si>
    <t>WCBL Final</t>
  </si>
  <si>
    <t>Sylvan Lake Gulls vs. Regina Red Sox</t>
  </si>
  <si>
    <t>GOLDEYES @ Cleburne Railroaders</t>
  </si>
  <si>
    <t>7:06 PM</t>
  </si>
  <si>
    <t>(Scott)</t>
  </si>
  <si>
    <t>Brigden</t>
  </si>
  <si>
    <t>Cherry</t>
  </si>
  <si>
    <t>(Henley)</t>
  </si>
  <si>
    <t>Strobel</t>
  </si>
  <si>
    <t>15</t>
  </si>
  <si>
    <t>(Broadway)</t>
  </si>
  <si>
    <t>Fairchild</t>
  </si>
  <si>
    <t>6:06 PM</t>
  </si>
  <si>
    <t>(Dillard)</t>
  </si>
  <si>
    <t>(Arias)</t>
  </si>
  <si>
    <t>GOLDEYES @ Kansas City Monarchs</t>
  </si>
  <si>
    <t>26</t>
  </si>
  <si>
    <t>(Pridgen)</t>
  </si>
  <si>
    <t>Bourassa</t>
  </si>
  <si>
    <t>(McKay)</t>
  </si>
  <si>
    <t>(Hendrickson)</t>
  </si>
  <si>
    <t>Echevarria</t>
  </si>
  <si>
    <t>37</t>
  </si>
  <si>
    <t>Lambson</t>
  </si>
  <si>
    <t>(Goddard)</t>
  </si>
  <si>
    <t>GOLDEYES @ Lincoln Saltdogs</t>
  </si>
  <si>
    <t>48</t>
  </si>
  <si>
    <t>Kowalski</t>
  </si>
  <si>
    <t>(Roberts)</t>
  </si>
  <si>
    <t>L/11</t>
  </si>
  <si>
    <t>1:05 PM</t>
  </si>
  <si>
    <t>(Loukinen)</t>
  </si>
  <si>
    <t>Milwaukee Milkmen @ GOLDEYES</t>
  </si>
  <si>
    <t>6:30 PM</t>
  </si>
  <si>
    <t>(Purnell)</t>
  </si>
  <si>
    <t>11:00 AM</t>
  </si>
  <si>
    <t>8-10</t>
  </si>
  <si>
    <t>(Bartow)</t>
  </si>
  <si>
    <t>Galindo</t>
  </si>
  <si>
    <t>(Bentley</t>
  </si>
  <si>
    <t>Gary-Southshore RailCats @ GOLDEYES</t>
  </si>
  <si>
    <t>75</t>
  </si>
  <si>
    <t>66</t>
  </si>
  <si>
    <t>(Erwin)</t>
  </si>
  <si>
    <t>Yakel</t>
  </si>
  <si>
    <t>6:00 PM</t>
  </si>
  <si>
    <t>(Long)</t>
  </si>
  <si>
    <t>Onyshko</t>
  </si>
  <si>
    <t>1:00 PM</t>
  </si>
  <si>
    <t>3-7</t>
  </si>
  <si>
    <t>(Adams)</t>
  </si>
  <si>
    <t>GOLDEYES @ Kane County Cougars</t>
  </si>
  <si>
    <t>11:30 AM</t>
  </si>
  <si>
    <t>84</t>
  </si>
  <si>
    <t>77</t>
  </si>
  <si>
    <t>(Beardsley)</t>
  </si>
  <si>
    <t>85</t>
  </si>
  <si>
    <t>10-12</t>
  </si>
  <si>
    <t>(Timpanelli)</t>
  </si>
  <si>
    <t>Boyd</t>
  </si>
  <si>
    <t>(Stevenson)</t>
  </si>
  <si>
    <t>(Martinson)</t>
  </si>
  <si>
    <t>GOLDEYES @ Lake Country Dockhounds</t>
  </si>
  <si>
    <t>91</t>
  </si>
  <si>
    <t>(Moeller)</t>
  </si>
  <si>
    <t>7-2</t>
  </si>
  <si>
    <t>98</t>
  </si>
  <si>
    <t>94</t>
  </si>
  <si>
    <t>Rose</t>
  </si>
  <si>
    <t>(Hansel)</t>
  </si>
  <si>
    <t>(Torres)</t>
  </si>
  <si>
    <t>Kane County Cougars @ GOLDEYES</t>
  </si>
  <si>
    <t>(Mazza)</t>
  </si>
  <si>
    <t>109</t>
  </si>
  <si>
    <t>11-5</t>
  </si>
  <si>
    <t>(Muir)</t>
  </si>
  <si>
    <t>11-13</t>
  </si>
  <si>
    <t>(Sommer)</t>
  </si>
  <si>
    <t>(Gozzo)</t>
  </si>
  <si>
    <t>11-14</t>
  </si>
  <si>
    <t>Kansas City Monarchs @ GOLDEYES</t>
  </si>
  <si>
    <t>112</t>
  </si>
  <si>
    <t>6-13</t>
  </si>
  <si>
    <t>(McMahon)</t>
  </si>
  <si>
    <t>11-15</t>
  </si>
  <si>
    <t>121</t>
  </si>
  <si>
    <t>2-14</t>
  </si>
  <si>
    <t>GOLDEYES @ Chicago Dogs</t>
  </si>
  <si>
    <t>124</t>
  </si>
  <si>
    <t>(Bell)</t>
  </si>
  <si>
    <t>12-16</t>
  </si>
  <si>
    <t>129</t>
  </si>
  <si>
    <t>(Marozas)</t>
  </si>
  <si>
    <t>(DeLabio)</t>
  </si>
  <si>
    <t>13-17</t>
  </si>
  <si>
    <t>GOLDEYES @ Gary-Southshore RailCats</t>
  </si>
  <si>
    <t>137</t>
  </si>
  <si>
    <t>(Evans)</t>
  </si>
  <si>
    <t>14-17</t>
  </si>
  <si>
    <t>4:00 PM</t>
  </si>
  <si>
    <t>(Olivero)</t>
  </si>
  <si>
    <t>15-17</t>
  </si>
  <si>
    <t>15-18</t>
  </si>
  <si>
    <t>Sioux Falls Canaries @ GOLDEYES</t>
  </si>
  <si>
    <t>9-3</t>
  </si>
  <si>
    <t>151</t>
  </si>
  <si>
    <t>144</t>
  </si>
  <si>
    <t>(Knoll)</t>
  </si>
  <si>
    <t>159</t>
  </si>
  <si>
    <t>(Richardson)</t>
  </si>
  <si>
    <t>17-19</t>
  </si>
  <si>
    <t>Sioux City Explorers @ GOLDEYES</t>
  </si>
  <si>
    <t>(Willeman)</t>
  </si>
  <si>
    <t>(Jessee)</t>
  </si>
  <si>
    <t>181</t>
  </si>
  <si>
    <t>(Otano)</t>
  </si>
  <si>
    <t>GOLDEYES @ Sioux City Explorers</t>
  </si>
  <si>
    <t>188</t>
  </si>
  <si>
    <t>(Cepeda)</t>
  </si>
  <si>
    <t>19-21</t>
  </si>
  <si>
    <t>192</t>
  </si>
  <si>
    <t>(Matthews)</t>
  </si>
  <si>
    <t>7:35 PM</t>
  </si>
  <si>
    <t>193</t>
  </si>
  <si>
    <t>(Wetherbee)</t>
  </si>
  <si>
    <t>20-22</t>
  </si>
  <si>
    <t>197</t>
  </si>
  <si>
    <t>(Mishoulam)</t>
  </si>
  <si>
    <t>201</t>
  </si>
  <si>
    <t>(Welch)</t>
  </si>
  <si>
    <t>(Bentley)</t>
  </si>
  <si>
    <t>210</t>
  </si>
  <si>
    <t>208</t>
  </si>
  <si>
    <t>(Gearing)</t>
  </si>
  <si>
    <t>Fargo-Moorhead RedHawks @ GOLDEYES</t>
  </si>
  <si>
    <t>218</t>
  </si>
  <si>
    <t>(Kiser)</t>
  </si>
  <si>
    <t>23-23</t>
  </si>
  <si>
    <t>224</t>
  </si>
  <si>
    <t>13-8</t>
  </si>
  <si>
    <t>(Jandron)</t>
  </si>
  <si>
    <t>(Davis)</t>
  </si>
  <si>
    <t>23-25</t>
  </si>
  <si>
    <t>GOLDEYES @ Fargo-Moorhead RedHawks</t>
  </si>
  <si>
    <t>7:02 PM</t>
  </si>
  <si>
    <t>231</t>
  </si>
  <si>
    <t>(Dykhoff)</t>
  </si>
  <si>
    <t>23-26</t>
  </si>
  <si>
    <t>(Crigger)</t>
  </si>
  <si>
    <t>24-26</t>
  </si>
  <si>
    <t>234</t>
  </si>
  <si>
    <t>24-27</t>
  </si>
  <si>
    <t>238</t>
  </si>
  <si>
    <t>246</t>
  </si>
  <si>
    <t>6-15</t>
  </si>
  <si>
    <t>(Dorminy)</t>
  </si>
  <si>
    <t>Bradwell</t>
  </si>
  <si>
    <t>24-28</t>
  </si>
  <si>
    <t>245</t>
  </si>
  <si>
    <t>(Cosby)</t>
  </si>
  <si>
    <t>25-28</t>
  </si>
  <si>
    <t>7/10/25</t>
  </si>
  <si>
    <t>7-12</t>
  </si>
  <si>
    <t>264</t>
  </si>
  <si>
    <t>(Torgerson)</t>
  </si>
  <si>
    <t>25-29</t>
  </si>
  <si>
    <t>5:00 PM</t>
  </si>
  <si>
    <t>255</t>
  </si>
  <si>
    <t>(Goldsberry)</t>
  </si>
  <si>
    <t>25-30</t>
  </si>
  <si>
    <t>270</t>
  </si>
  <si>
    <t>25-31</t>
  </si>
  <si>
    <t>257</t>
  </si>
  <si>
    <t>275</t>
  </si>
  <si>
    <t>(Bortka)</t>
  </si>
  <si>
    <t>25-32</t>
  </si>
  <si>
    <t>280</t>
  </si>
  <si>
    <t>25-33</t>
  </si>
  <si>
    <t>GOLDEYES @ Sioux Falls Canaries</t>
  </si>
  <si>
    <t>7/15/25</t>
  </si>
  <si>
    <t>282</t>
  </si>
  <si>
    <t>(Zimmerman)</t>
  </si>
  <si>
    <t>25-34</t>
  </si>
  <si>
    <t>(Hasty)</t>
  </si>
  <si>
    <t>25-35</t>
  </si>
  <si>
    <t>266</t>
  </si>
  <si>
    <t>289</t>
  </si>
  <si>
    <t>25-36</t>
  </si>
  <si>
    <t>295</t>
  </si>
  <si>
    <t>(Cariaco)</t>
  </si>
  <si>
    <t>25-37</t>
  </si>
  <si>
    <t>301</t>
  </si>
  <si>
    <t>(Mullenbach)</t>
  </si>
  <si>
    <t>Ramirez</t>
  </si>
  <si>
    <t>(Langrell)</t>
  </si>
  <si>
    <t>25-38</t>
  </si>
  <si>
    <t>304</t>
  </si>
  <si>
    <t>26-38</t>
  </si>
  <si>
    <t>Chicago Dogs @ GOLDEYES</t>
  </si>
  <si>
    <t>309</t>
  </si>
  <si>
    <t>(Cavaco)</t>
  </si>
  <si>
    <t>27-38</t>
  </si>
  <si>
    <t>294</t>
  </si>
  <si>
    <t>322</t>
  </si>
  <si>
    <t>(Nedrow)</t>
  </si>
  <si>
    <t>27-39</t>
  </si>
  <si>
    <t>324</t>
  </si>
  <si>
    <t>(Keys)</t>
  </si>
  <si>
    <t>27-40</t>
  </si>
  <si>
    <t>299</t>
  </si>
  <si>
    <t>329</t>
  </si>
  <si>
    <t>(Cabral)</t>
  </si>
  <si>
    <t>27-41</t>
  </si>
  <si>
    <t>333</t>
  </si>
  <si>
    <t>27-42</t>
  </si>
  <si>
    <t>305</t>
  </si>
  <si>
    <t>343</t>
  </si>
  <si>
    <t>27-43</t>
  </si>
  <si>
    <t>GOLDEYES @ Milwaukee Milkmen</t>
  </si>
  <si>
    <t>13-4</t>
  </si>
  <si>
    <t>Lombard</t>
  </si>
  <si>
    <t>28-43</t>
  </si>
  <si>
    <t>(Mezquita)</t>
  </si>
  <si>
    <t>29-43</t>
  </si>
  <si>
    <t>30-43</t>
  </si>
  <si>
    <t>337</t>
  </si>
  <si>
    <t>348</t>
  </si>
  <si>
    <t>15-12</t>
  </si>
  <si>
    <t>31-43</t>
  </si>
  <si>
    <t>341</t>
  </si>
  <si>
    <t>353</t>
  </si>
  <si>
    <t>31-44</t>
  </si>
  <si>
    <t>345</t>
  </si>
  <si>
    <t>32-44</t>
  </si>
  <si>
    <t>8/7/25</t>
  </si>
  <si>
    <t>(Levine)</t>
  </si>
  <si>
    <t>32-45</t>
  </si>
  <si>
    <t>Lincoln Saltdogs @ GOLDEYES</t>
  </si>
  <si>
    <t>32-46</t>
  </si>
  <si>
    <t>33-46</t>
  </si>
  <si>
    <t>14-6</t>
  </si>
  <si>
    <t>(Blain)</t>
  </si>
  <si>
    <t>34-46</t>
  </si>
  <si>
    <t>Cleburne Railroaders @ GOLDEYES</t>
  </si>
  <si>
    <t>(Craft)</t>
  </si>
  <si>
    <t>35-46</t>
  </si>
  <si>
    <t>(Krauth)</t>
  </si>
  <si>
    <t>35-47</t>
  </si>
  <si>
    <t>36-47</t>
  </si>
  <si>
    <t>37-47</t>
  </si>
  <si>
    <t>37-48</t>
  </si>
  <si>
    <t>4:05 PM</t>
  </si>
  <si>
    <t>(Drury)</t>
  </si>
  <si>
    <t>37-49</t>
  </si>
  <si>
    <t>37-50</t>
  </si>
  <si>
    <t>(Goudeau)</t>
  </si>
  <si>
    <t>37-51</t>
  </si>
  <si>
    <t>L/13</t>
  </si>
  <si>
    <t>(Hakanson)</t>
  </si>
  <si>
    <t>37-52</t>
  </si>
  <si>
    <t>10-14</t>
  </si>
  <si>
    <t>37-53</t>
  </si>
  <si>
    <t>37-54</t>
  </si>
  <si>
    <t>9-5</t>
  </si>
  <si>
    <t>(Shaw)</t>
  </si>
  <si>
    <t>38-54</t>
  </si>
  <si>
    <t>39-54</t>
  </si>
  <si>
    <t>40-54</t>
  </si>
  <si>
    <t>8/28/25</t>
  </si>
  <si>
    <t>40-55</t>
  </si>
  <si>
    <t>41-55</t>
  </si>
  <si>
    <t>(Scholten)</t>
  </si>
  <si>
    <t>41-56</t>
  </si>
  <si>
    <t>41-57</t>
  </si>
  <si>
    <t>(Gercken)</t>
  </si>
  <si>
    <t>41-58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</si>
</sst>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"/>
    <numFmt numFmtId="168" formatCode="0_);[Red]\(0\)"/>
  </numFmts>
  <fonts count="32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rgb="FFFF0000"/>
      <name val="Arial"/>
    </font>
    <font>
      <sz val="11"/>
      <color rgb="FF00B0F0"/>
      <name val="Arial"/>
    </font>
    <font>
      <sz val="11"/>
      <color rgb="FF00B0F0"/>
      <name val="Arial"/>
      <family val="2"/>
    </font>
    <font>
      <sz val="11"/>
      <color rgb="FF03BAFC"/>
      <name val="Arial"/>
      <family val="2"/>
    </font>
    <font>
      <sz val="1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sz val="11"/>
      <color rgb="FF03BAFC"/>
      <name val="Arial"/>
    </font>
    <font>
      <sz val="11"/>
      <color rgb="FFFF9900"/>
      <name val="Arial"/>
    </font>
    <font>
      <sz val="11"/>
      <color rgb="FF29783D"/>
      <name val="Arial"/>
    </font>
    <font>
      <sz val="11"/>
      <color rgb="FFFFA2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17237A"/>
      <name val="Arial"/>
    </font>
    <font>
      <sz val="11"/>
      <color theme="1"/>
      <name val="Arial"/>
    </font>
    <font>
      <sz val="11"/>
      <color rgb="FF1F497D"/>
      <name val="Arial"/>
    </font>
    <font>
      <sz val="11"/>
      <color rgb="FF090C87"/>
      <name val="Arial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  <font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49" fontId="1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8" fontId="11" fillId="0" borderId="1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 wrapText="1"/>
    </xf>
    <xf numFmtId="164" fontId="13" fillId="0" borderId="0" xfId="0" applyNumberFormat="1" applyFont="1" applyAlignment="1">
      <alignment horizontal="center" wrapText="1"/>
    </xf>
    <xf numFmtId="49" fontId="13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3" fontId="14" fillId="0" borderId="4" xfId="0" applyNumberFormat="1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14" fillId="0" borderId="3" xfId="0" applyFont="1" applyBorder="1"/>
    <xf numFmtId="0" fontId="14" fillId="0" borderId="4" xfId="0" applyFont="1" applyBorder="1"/>
    <xf numFmtId="3" fontId="14" fillId="0" borderId="4" xfId="0" applyNumberFormat="1" applyFont="1" applyBorder="1"/>
    <xf numFmtId="0" fontId="14" fillId="0" borderId="5" xfId="0" applyFont="1" applyBorder="1"/>
    <xf numFmtId="166" fontId="14" fillId="0" borderId="4" xfId="0" applyNumberFormat="1" applyFont="1" applyBorder="1"/>
    <xf numFmtId="0" fontId="0" fillId="0" borderId="5" xfId="0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6" xfId="0" applyFont="1" applyBorder="1" applyAlignment="1">
      <alignment horizontal="center" wrapText="1"/>
    </xf>
    <xf numFmtId="166" fontId="14" fillId="0" borderId="6" xfId="0" applyNumberFormat="1" applyFont="1" applyBorder="1" applyAlignment="1">
      <alignment horizontal="center" wrapText="1"/>
    </xf>
    <xf numFmtId="3" fontId="14" fillId="0" borderId="6" xfId="0" applyNumberFormat="1" applyFont="1" applyBorder="1" applyAlignment="1">
      <alignment horizontal="center" wrapText="1"/>
    </xf>
    <xf numFmtId="9" fontId="14" fillId="0" borderId="6" xfId="0" applyNumberFormat="1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wrapText="1"/>
    </xf>
    <xf numFmtId="0" fontId="14" fillId="0" borderId="7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3" fillId="0" borderId="9" xfId="0" applyFont="1" applyBorder="1" applyAlignment="1">
      <alignment wrapText="1"/>
    </xf>
    <xf numFmtId="0" fontId="13" fillId="0" borderId="7" xfId="0" applyFont="1" applyBorder="1" applyAlignment="1">
      <alignment horizontal="center" wrapText="1"/>
    </xf>
    <xf numFmtId="164" fontId="13" fillId="0" borderId="7" xfId="0" applyNumberFormat="1" applyFont="1" applyBorder="1" applyAlignment="1">
      <alignment horizontal="center" wrapText="1"/>
    </xf>
    <xf numFmtId="166" fontId="13" fillId="0" borderId="7" xfId="0" applyNumberFormat="1" applyFont="1" applyBorder="1" applyAlignment="1">
      <alignment horizontal="center" wrapText="1"/>
    </xf>
    <xf numFmtId="166" fontId="12" fillId="0" borderId="7" xfId="0" applyNumberFormat="1" applyFont="1" applyBorder="1" applyAlignment="1">
      <alignment horizontal="center" wrapText="1"/>
    </xf>
    <xf numFmtId="3" fontId="13" fillId="0" borderId="7" xfId="0" applyNumberFormat="1" applyFont="1" applyBorder="1" applyAlignment="1">
      <alignment horizontal="center" wrapText="1"/>
    </xf>
    <xf numFmtId="1" fontId="13" fillId="0" borderId="7" xfId="0" applyNumberFormat="1" applyFont="1" applyBorder="1" applyAlignment="1">
      <alignment horizontal="center" wrapText="1"/>
    </xf>
    <xf numFmtId="9" fontId="13" fillId="0" borderId="7" xfId="0" applyNumberFormat="1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166" fontId="13" fillId="0" borderId="0" xfId="0" applyNumberFormat="1" applyFont="1" applyAlignment="1">
      <alignment horizontal="center" wrapText="1"/>
    </xf>
    <xf numFmtId="9" fontId="1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166" fontId="14" fillId="0" borderId="7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4" fillId="0" borderId="9" xfId="0" applyFont="1" applyBorder="1" applyAlignment="1">
      <alignment wrapText="1"/>
    </xf>
    <xf numFmtId="164" fontId="14" fillId="0" borderId="7" xfId="0" applyNumberFormat="1" applyFont="1" applyBorder="1" applyAlignment="1">
      <alignment horizontal="center" wrapText="1"/>
    </xf>
    <xf numFmtId="16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49" fontId="14" fillId="0" borderId="1" xfId="0" applyNumberFormat="1" applyFont="1" applyBorder="1" applyAlignment="1">
      <alignment horizontal="center" wrapText="1"/>
    </xf>
    <xf numFmtId="49" fontId="13" fillId="0" borderId="3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4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49" fontId="16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18" fontId="13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8" fillId="0" borderId="1" xfId="0" applyFont="1" applyBorder="1"/>
    <xf numFmtId="0" fontId="14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164" fontId="13" fillId="0" borderId="3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8" xfId="0" applyFont="1" applyBorder="1" applyAlignment="1">
      <alignment wrapText="1"/>
    </xf>
    <xf numFmtId="164" fontId="13" fillId="0" borderId="8" xfId="0" applyNumberFormat="1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164" fontId="14" fillId="0" borderId="3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" fontId="13" fillId="0" borderId="1" xfId="0" applyNumberFormat="1" applyFont="1" applyBorder="1" applyAlignment="1">
      <alignment horizontal="center" wrapText="1"/>
    </xf>
    <xf numFmtId="0" fontId="19" fillId="0" borderId="1" xfId="0" applyFont="1" applyBorder="1"/>
    <xf numFmtId="0" fontId="5" fillId="0" borderId="1" xfId="0" applyFont="1" applyBorder="1" applyAlignment="1">
      <alignment horizontal="center"/>
    </xf>
    <xf numFmtId="0" fontId="20" fillId="0" borderId="1" xfId="0" applyFont="1" applyBorder="1"/>
    <xf numFmtId="0" fontId="21" fillId="0" borderId="1" xfId="0" applyFont="1" applyBorder="1"/>
    <xf numFmtId="1" fontId="0" fillId="0" borderId="0" xfId="0" applyNumberFormat="1" applyAlignment="1">
      <alignment wrapText="1"/>
    </xf>
    <xf numFmtId="0" fontId="14" fillId="0" borderId="5" xfId="0" applyFont="1" applyBorder="1" applyAlignment="1">
      <alignment wrapText="1"/>
    </xf>
    <xf numFmtId="0" fontId="13" fillId="0" borderId="11" xfId="0" applyFont="1" applyBorder="1" applyAlignment="1">
      <alignment horizontal="center" wrapText="1"/>
    </xf>
    <xf numFmtId="164" fontId="13" fillId="0" borderId="11" xfId="0" applyNumberFormat="1" applyFont="1" applyBorder="1" applyAlignment="1">
      <alignment horizontal="center" wrapText="1"/>
    </xf>
    <xf numFmtId="9" fontId="13" fillId="0" borderId="11" xfId="0" applyNumberFormat="1" applyFont="1" applyBorder="1" applyAlignment="1">
      <alignment horizontal="center" wrapText="1"/>
    </xf>
    <xf numFmtId="1" fontId="13" fillId="0" borderId="11" xfId="0" applyNumberFormat="1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9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wrapText="1"/>
    </xf>
    <xf numFmtId="1" fontId="14" fillId="0" borderId="2" xfId="0" applyNumberFormat="1" applyFont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3" fontId="22" fillId="0" borderId="1" xfId="0" applyNumberFormat="1" applyFont="1" applyBorder="1" applyAlignment="1">
      <alignment horizontal="center"/>
    </xf>
    <xf numFmtId="0" fontId="16" fillId="0" borderId="0" xfId="0" applyFont="1" applyAlignment="1">
      <alignment wrapText="1"/>
    </xf>
    <xf numFmtId="0" fontId="24" fillId="0" borderId="1" xfId="0" applyFont="1" applyBorder="1"/>
    <xf numFmtId="0" fontId="25" fillId="0" borderId="1" xfId="0" applyFont="1" applyBorder="1" applyAlignment="1">
      <alignment horizontal="center"/>
    </xf>
    <xf numFmtId="0" fontId="26" fillId="0" borderId="1" xfId="0" applyFont="1" applyBorder="1"/>
    <xf numFmtId="0" fontId="27" fillId="0" borderId="1" xfId="0" applyFont="1" applyBorder="1"/>
    <xf numFmtId="0" fontId="0" fillId="0" borderId="4" xfId="0" applyBorder="1" applyAlignment="1">
      <alignment wrapText="1"/>
    </xf>
    <xf numFmtId="9" fontId="14" fillId="0" borderId="2" xfId="0" applyNumberFormat="1" applyFont="1" applyBorder="1" applyAlignment="1">
      <alignment horizontal="center" wrapText="1"/>
    </xf>
    <xf numFmtId="167" fontId="0" fillId="0" borderId="0" xfId="0" applyNumberFormat="1" applyAlignment="1">
      <alignment wrapText="1"/>
    </xf>
    <xf numFmtId="0" fontId="0" fillId="0" borderId="10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166" fontId="13" fillId="0" borderId="3" xfId="0" applyNumberFormat="1" applyFont="1" applyBorder="1" applyAlignment="1">
      <alignment horizontal="center" wrapText="1"/>
    </xf>
    <xf numFmtId="166" fontId="14" fillId="0" borderId="3" xfId="0" applyNumberFormat="1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0" borderId="15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3" fillId="0" borderId="10" xfId="0" applyFont="1" applyBorder="1" applyAlignment="1">
      <alignment wrapText="1"/>
    </xf>
    <xf numFmtId="0" fontId="13" fillId="0" borderId="1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6" fontId="13" fillId="0" borderId="17" xfId="0" applyNumberFormat="1" applyFont="1" applyBorder="1" applyAlignment="1">
      <alignment horizontal="center" wrapText="1"/>
    </xf>
    <xf numFmtId="167" fontId="14" fillId="0" borderId="3" xfId="0" applyNumberFormat="1" applyFont="1" applyBorder="1" applyAlignment="1">
      <alignment horizontal="center" wrapText="1"/>
    </xf>
    <xf numFmtId="167" fontId="13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66" fontId="14" fillId="0" borderId="13" xfId="0" applyNumberFormat="1" applyFon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0" fontId="13" fillId="0" borderId="18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9" fontId="13" fillId="0" borderId="8" xfId="0" applyNumberFormat="1" applyFont="1" applyBorder="1" applyAlignment="1">
      <alignment horizontal="center" wrapText="1"/>
    </xf>
    <xf numFmtId="1" fontId="13" fillId="0" borderId="8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167" fontId="14" fillId="0" borderId="13" xfId="0" applyNumberFormat="1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67" fontId="13" fillId="0" borderId="7" xfId="0" applyNumberFormat="1" applyFont="1" applyBorder="1" applyAlignment="1">
      <alignment horizontal="center" wrapText="1"/>
    </xf>
    <xf numFmtId="0" fontId="14" fillId="0" borderId="9" xfId="0" applyFont="1" applyFill="1" applyBorder="1" applyAlignment="1">
      <alignment wrapText="1"/>
    </xf>
    <xf numFmtId="0" fontId="14" fillId="0" borderId="7" xfId="0" applyFont="1" applyFill="1" applyBorder="1" applyAlignment="1">
      <alignment horizontal="center" wrapText="1"/>
    </xf>
    <xf numFmtId="164" fontId="14" fillId="0" borderId="7" xfId="0" applyNumberFormat="1" applyFont="1" applyFill="1" applyBorder="1" applyAlignment="1">
      <alignment horizontal="center" wrapText="1"/>
    </xf>
    <xf numFmtId="166" fontId="15" fillId="0" borderId="7" xfId="0" applyNumberFormat="1" applyFont="1" applyFill="1" applyBorder="1" applyAlignment="1">
      <alignment horizontal="center" wrapText="1"/>
    </xf>
    <xf numFmtId="3" fontId="14" fillId="0" borderId="7" xfId="0" applyNumberFormat="1" applyFont="1" applyFill="1" applyBorder="1" applyAlignment="1">
      <alignment horizontal="center" wrapText="1"/>
    </xf>
    <xf numFmtId="1" fontId="14" fillId="0" borderId="7" xfId="0" applyNumberFormat="1" applyFont="1" applyFill="1" applyBorder="1" applyAlignment="1">
      <alignment horizontal="center" wrapText="1"/>
    </xf>
    <xf numFmtId="9" fontId="14" fillId="0" borderId="7" xfId="0" applyNumberFormat="1" applyFont="1" applyFill="1" applyBorder="1" applyAlignment="1">
      <alignment horizontal="center" wrapText="1"/>
    </xf>
    <xf numFmtId="0" fontId="13" fillId="0" borderId="9" xfId="0" applyFont="1" applyFill="1" applyBorder="1" applyAlignment="1">
      <alignment wrapText="1"/>
    </xf>
    <xf numFmtId="0" fontId="13" fillId="0" borderId="7" xfId="0" applyFont="1" applyFill="1" applyBorder="1" applyAlignment="1">
      <alignment horizontal="center" wrapText="1"/>
    </xf>
    <xf numFmtId="164" fontId="13" fillId="0" borderId="7" xfId="0" applyNumberFormat="1" applyFont="1" applyFill="1" applyBorder="1" applyAlignment="1">
      <alignment horizontal="center" wrapText="1"/>
    </xf>
    <xf numFmtId="166" fontId="13" fillId="0" borderId="7" xfId="0" applyNumberFormat="1" applyFont="1" applyFill="1" applyBorder="1" applyAlignment="1">
      <alignment horizontal="center" wrapText="1"/>
    </xf>
    <xf numFmtId="166" fontId="12" fillId="0" borderId="7" xfId="0" applyNumberFormat="1" applyFont="1" applyFill="1" applyBorder="1" applyAlignment="1">
      <alignment horizontal="center" wrapText="1"/>
    </xf>
    <xf numFmtId="3" fontId="13" fillId="0" borderId="7" xfId="0" applyNumberFormat="1" applyFont="1" applyFill="1" applyBorder="1" applyAlignment="1">
      <alignment horizontal="center" wrapText="1"/>
    </xf>
    <xf numFmtId="1" fontId="13" fillId="0" borderId="7" xfId="0" applyNumberFormat="1" applyFont="1" applyFill="1" applyBorder="1" applyAlignment="1">
      <alignment horizontal="center" wrapText="1"/>
    </xf>
    <xf numFmtId="9" fontId="13" fillId="0" borderId="7" xfId="0" applyNumberFormat="1" applyFont="1" applyFill="1" applyBorder="1" applyAlignment="1">
      <alignment horizontal="center" wrapText="1"/>
    </xf>
    <xf numFmtId="0" fontId="12" fillId="0" borderId="7" xfId="0" applyFont="1" applyFill="1" applyBorder="1" applyAlignment="1">
      <alignment horizontal="center" wrapText="1"/>
    </xf>
    <xf numFmtId="166" fontId="13" fillId="0" borderId="3" xfId="0" applyNumberFormat="1" applyFont="1" applyFill="1" applyBorder="1" applyAlignment="1">
      <alignment horizontal="center" wrapText="1"/>
    </xf>
    <xf numFmtId="0" fontId="13" fillId="0" borderId="7" xfId="0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horizontal="center" wrapText="1"/>
    </xf>
    <xf numFmtId="164" fontId="13" fillId="0" borderId="3" xfId="0" applyNumberFormat="1" applyFont="1" applyFill="1" applyBorder="1" applyAlignment="1">
      <alignment horizontal="center" wrapText="1"/>
    </xf>
    <xf numFmtId="166" fontId="13" fillId="0" borderId="1" xfId="0" applyNumberFormat="1" applyFont="1" applyFill="1" applyBorder="1" applyAlignment="1">
      <alignment horizontal="center" wrapText="1"/>
    </xf>
    <xf numFmtId="0" fontId="0" fillId="0" borderId="9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7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167" fontId="0" fillId="0" borderId="1" xfId="0" applyNumberForma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165" fontId="0" fillId="0" borderId="11" xfId="0" applyNumberFormat="1" applyFill="1" applyBorder="1" applyAlignment="1">
      <alignment horizontal="center" wrapText="1"/>
    </xf>
    <xf numFmtId="166" fontId="14" fillId="0" borderId="7" xfId="0" applyNumberFormat="1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13" fillId="0" borderId="11" xfId="0" applyFont="1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center" wrapText="1"/>
    </xf>
    <xf numFmtId="166" fontId="13" fillId="0" borderId="0" xfId="0" applyNumberFormat="1" applyFont="1" applyFill="1" applyAlignment="1">
      <alignment horizontal="center" wrapText="1"/>
    </xf>
    <xf numFmtId="3" fontId="13" fillId="0" borderId="0" xfId="0" applyNumberFormat="1" applyFont="1" applyFill="1" applyAlignment="1">
      <alignment horizontal="center" wrapText="1"/>
    </xf>
    <xf numFmtId="9" fontId="13" fillId="0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4" fillId="0" borderId="10" xfId="0" applyFont="1" applyBorder="1" applyAlignment="1">
      <alignment wrapText="1"/>
    </xf>
    <xf numFmtId="0" fontId="14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164" fontId="14" fillId="0" borderId="8" xfId="0" applyNumberFormat="1" applyFont="1" applyBorder="1" applyAlignment="1">
      <alignment horizontal="center" wrapText="1"/>
    </xf>
    <xf numFmtId="9" fontId="14" fillId="0" borderId="8" xfId="0" applyNumberFormat="1" applyFont="1" applyBorder="1" applyAlignment="1">
      <alignment horizontal="center" wrapText="1"/>
    </xf>
    <xf numFmtId="1" fontId="14" fillId="0" borderId="8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9" fillId="0" borderId="13" xfId="0" applyFont="1" applyBorder="1" applyAlignment="1">
      <alignment horizontal="center" wrapText="1"/>
    </xf>
    <xf numFmtId="166" fontId="12" fillId="0" borderId="3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167" fontId="14" fillId="0" borderId="7" xfId="0" applyNumberFormat="1" applyFont="1" applyBorder="1" applyAlignment="1">
      <alignment horizontal="center" wrapText="1"/>
    </xf>
    <xf numFmtId="0" fontId="29" fillId="0" borderId="7" xfId="0" applyFont="1" applyBorder="1" applyAlignment="1">
      <alignment horizontal="center" wrapText="1"/>
    </xf>
    <xf numFmtId="0" fontId="0" fillId="0" borderId="0" xfId="0" applyAlignment="1"/>
    <xf numFmtId="0" fontId="0" fillId="0" borderId="4" xfId="0" applyBorder="1" applyAlignment="1">
      <alignment horizontal="center"/>
    </xf>
    <xf numFmtId="0" fontId="14" fillId="0" borderId="3" xfId="0" applyFont="1" applyBorder="1" applyAlignment="1"/>
    <xf numFmtId="0" fontId="14" fillId="0" borderId="14" xfId="0" applyFont="1" applyBorder="1" applyAlignment="1"/>
    <xf numFmtId="0" fontId="13" fillId="0" borderId="5" xfId="0" applyFont="1" applyBorder="1" applyAlignment="1"/>
    <xf numFmtId="0" fontId="14" fillId="0" borderId="5" xfId="0" applyFont="1" applyBorder="1" applyAlignment="1"/>
    <xf numFmtId="0" fontId="13" fillId="0" borderId="10" xfId="0" applyFont="1" applyBorder="1" applyAlignment="1"/>
    <xf numFmtId="3" fontId="14" fillId="0" borderId="2" xfId="0" applyNumberFormat="1" applyFont="1" applyBorder="1" applyAlignment="1">
      <alignment horizontal="center" wrapText="1"/>
    </xf>
    <xf numFmtId="3" fontId="13" fillId="0" borderId="1" xfId="0" applyNumberFormat="1" applyFont="1" applyBorder="1" applyAlignment="1">
      <alignment horizontal="center" wrapText="1"/>
    </xf>
    <xf numFmtId="3" fontId="13" fillId="0" borderId="8" xfId="0" applyNumberFormat="1" applyFont="1" applyBorder="1" applyAlignment="1">
      <alignment horizontal="center" wrapText="1"/>
    </xf>
    <xf numFmtId="0" fontId="14" fillId="0" borderId="7" xfId="0" applyFont="1" applyBorder="1" applyAlignment="1"/>
    <xf numFmtId="0" fontId="0" fillId="0" borderId="5" xfId="0" applyBorder="1" applyAlignment="1"/>
    <xf numFmtId="0" fontId="14" fillId="0" borderId="10" xfId="0" applyFont="1" applyBorder="1" applyAlignment="1"/>
    <xf numFmtId="3" fontId="13" fillId="0" borderId="11" xfId="0" applyNumberFormat="1" applyFont="1" applyBorder="1" applyAlignment="1">
      <alignment horizontal="center" wrapText="1"/>
    </xf>
    <xf numFmtId="3" fontId="13" fillId="0" borderId="2" xfId="0" applyNumberFormat="1" applyFont="1" applyBorder="1" applyAlignment="1">
      <alignment horizontal="center" wrapText="1"/>
    </xf>
    <xf numFmtId="3" fontId="14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38" fontId="14" fillId="0" borderId="4" xfId="0" applyNumberFormat="1" applyFont="1" applyBorder="1" applyAlignment="1">
      <alignment wrapText="1"/>
    </xf>
    <xf numFmtId="38" fontId="14" fillId="0" borderId="6" xfId="0" applyNumberFormat="1" applyFont="1" applyBorder="1" applyAlignment="1">
      <alignment horizontal="center" wrapText="1"/>
    </xf>
    <xf numFmtId="38" fontId="13" fillId="0" borderId="7" xfId="0" applyNumberFormat="1" applyFont="1" applyFill="1" applyBorder="1" applyAlignment="1">
      <alignment horizontal="center" wrapText="1"/>
    </xf>
    <xf numFmtId="38" fontId="14" fillId="0" borderId="7" xfId="0" applyNumberFormat="1" applyFont="1" applyFill="1" applyBorder="1" applyAlignment="1">
      <alignment horizontal="center" wrapText="1"/>
    </xf>
    <xf numFmtId="38" fontId="13" fillId="0" borderId="0" xfId="0" applyNumberFormat="1" applyFont="1" applyFill="1" applyAlignment="1">
      <alignment horizontal="center" wrapText="1"/>
    </xf>
    <xf numFmtId="38" fontId="13" fillId="0" borderId="7" xfId="0" applyNumberFormat="1" applyFont="1" applyBorder="1" applyAlignment="1">
      <alignment horizontal="center" wrapText="1"/>
    </xf>
    <xf numFmtId="38" fontId="13" fillId="0" borderId="0" xfId="0" applyNumberFormat="1" applyFont="1" applyAlignment="1">
      <alignment horizontal="center" wrapText="1"/>
    </xf>
    <xf numFmtId="38" fontId="0" fillId="0" borderId="0" xfId="0" applyNumberFormat="1" applyAlignment="1">
      <alignment wrapText="1"/>
    </xf>
    <xf numFmtId="38" fontId="14" fillId="0" borderId="4" xfId="0" applyNumberFormat="1" applyFont="1" applyBorder="1"/>
    <xf numFmtId="38" fontId="14" fillId="0" borderId="7" xfId="0" applyNumberFormat="1" applyFont="1" applyBorder="1" applyAlignment="1">
      <alignment horizontal="center" wrapText="1"/>
    </xf>
    <xf numFmtId="38" fontId="13" fillId="0" borderId="3" xfId="0" applyNumberFormat="1" applyFont="1" applyFill="1" applyBorder="1" applyAlignment="1">
      <alignment horizontal="center" wrapText="1"/>
    </xf>
    <xf numFmtId="38" fontId="0" fillId="0" borderId="1" xfId="0" applyNumberFormat="1" applyFill="1" applyBorder="1" applyAlignment="1">
      <alignment horizontal="center" wrapText="1"/>
    </xf>
    <xf numFmtId="38" fontId="0" fillId="0" borderId="11" xfId="0" applyNumberFormat="1" applyFill="1" applyBorder="1" applyAlignment="1">
      <alignment horizontal="center" wrapText="1"/>
    </xf>
    <xf numFmtId="38" fontId="0" fillId="0" borderId="2" xfId="0" applyNumberFormat="1" applyFill="1" applyBorder="1" applyAlignment="1">
      <alignment horizontal="center" wrapText="1"/>
    </xf>
    <xf numFmtId="168" fontId="14" fillId="0" borderId="4" xfId="0" applyNumberFormat="1" applyFont="1" applyBorder="1"/>
    <xf numFmtId="168" fontId="14" fillId="0" borderId="7" xfId="0" applyNumberFormat="1" applyFont="1" applyBorder="1" applyAlignment="1">
      <alignment horizontal="center" wrapText="1"/>
    </xf>
    <xf numFmtId="168" fontId="13" fillId="0" borderId="7" xfId="0" applyNumberFormat="1" applyFont="1" applyBorder="1" applyAlignment="1">
      <alignment horizontal="center" wrapText="1"/>
    </xf>
    <xf numFmtId="168" fontId="0" fillId="0" borderId="0" xfId="0" applyNumberFormat="1" applyAlignment="1">
      <alignment wrapText="1"/>
    </xf>
    <xf numFmtId="38" fontId="14" fillId="0" borderId="2" xfId="0" applyNumberFormat="1" applyFont="1" applyBorder="1" applyAlignment="1">
      <alignment horizontal="center" wrapText="1"/>
    </xf>
    <xf numFmtId="38" fontId="13" fillId="0" borderId="1" xfId="0" applyNumberFormat="1" applyFont="1" applyBorder="1" applyAlignment="1">
      <alignment horizontal="center" wrapText="1"/>
    </xf>
    <xf numFmtId="38" fontId="13" fillId="0" borderId="11" xfId="0" applyNumberFormat="1" applyFont="1" applyBorder="1" applyAlignment="1">
      <alignment horizontal="center" wrapText="1"/>
    </xf>
    <xf numFmtId="38" fontId="13" fillId="0" borderId="2" xfId="0" applyNumberFormat="1" applyFont="1" applyBorder="1" applyAlignment="1">
      <alignment horizontal="center" wrapText="1"/>
    </xf>
    <xf numFmtId="38" fontId="13" fillId="0" borderId="8" xfId="0" applyNumberFormat="1" applyFont="1" applyBorder="1" applyAlignment="1">
      <alignment horizontal="center" wrapText="1"/>
    </xf>
    <xf numFmtId="38" fontId="13" fillId="0" borderId="0" xfId="0" applyNumberFormat="1" applyFont="1" applyAlignment="1">
      <alignment wrapText="1"/>
    </xf>
    <xf numFmtId="38" fontId="14" fillId="0" borderId="13" xfId="0" applyNumberFormat="1" applyFont="1" applyBorder="1" applyAlignment="1">
      <alignment horizontal="center" wrapText="1"/>
    </xf>
    <xf numFmtId="38" fontId="13" fillId="0" borderId="3" xfId="0" applyNumberFormat="1" applyFont="1" applyBorder="1" applyAlignment="1">
      <alignment horizontal="center" wrapText="1"/>
    </xf>
    <xf numFmtId="38" fontId="14" fillId="0" borderId="3" xfId="0" applyNumberFormat="1" applyFont="1" applyBorder="1" applyAlignment="1">
      <alignment horizontal="center" wrapText="1"/>
    </xf>
    <xf numFmtId="38" fontId="14" fillId="0" borderId="8" xfId="0" applyNumberFormat="1" applyFont="1" applyBorder="1" applyAlignment="1">
      <alignment horizontal="center" wrapText="1"/>
    </xf>
    <xf numFmtId="38" fontId="14" fillId="0" borderId="9" xfId="0" applyNumberFormat="1" applyFont="1" applyBorder="1" applyAlignment="1">
      <alignment wrapText="1"/>
    </xf>
    <xf numFmtId="1" fontId="13" fillId="0" borderId="1" xfId="0" applyNumberFormat="1" applyFont="1" applyFill="1" applyBorder="1" applyAlignment="1">
      <alignment horizontal="center" wrapText="1"/>
    </xf>
    <xf numFmtId="166" fontId="0" fillId="0" borderId="13" xfId="0" applyNumberFormat="1" applyBorder="1" applyAlignment="1">
      <alignment horizontal="center" wrapText="1"/>
    </xf>
    <xf numFmtId="38" fontId="1" fillId="0" borderId="1" xfId="0" applyNumberFormat="1" applyFont="1" applyBorder="1" applyAlignment="1">
      <alignment horizontal="center"/>
    </xf>
    <xf numFmtId="38" fontId="5" fillId="0" borderId="1" xfId="0" applyNumberFormat="1" applyFont="1" applyBorder="1" applyAlignment="1">
      <alignment horizontal="center"/>
    </xf>
    <xf numFmtId="167" fontId="0" fillId="0" borderId="2" xfId="0" applyNumberFormat="1" applyFill="1" applyBorder="1" applyAlignment="1">
      <alignment horizontal="center" wrapText="1"/>
    </xf>
    <xf numFmtId="38" fontId="22" fillId="0" borderId="1" xfId="0" applyNumberFormat="1" applyFont="1" applyBorder="1" applyAlignment="1">
      <alignment horizontal="center"/>
    </xf>
    <xf numFmtId="166" fontId="31" fillId="0" borderId="3" xfId="0" applyNumberFormat="1" applyFont="1" applyBorder="1" applyAlignment="1">
      <alignment horizontal="center" wrapText="1"/>
    </xf>
    <xf numFmtId="16" fontId="0" fillId="0" borderId="0" xfId="0" applyNumberFormat="1" applyAlignment="1">
      <alignment wrapText="1"/>
    </xf>
    <xf numFmtId="16" fontId="0" fillId="0" borderId="0" xfId="0" applyNumberFormat="1" applyAlignment="1"/>
    <xf numFmtId="0" fontId="16" fillId="0" borderId="1" xfId="0" applyFont="1" applyBorder="1" applyAlignment="1">
      <alignment horizontal="left"/>
    </xf>
    <xf numFmtId="0" fontId="0" fillId="0" borderId="1" xfId="0" applyBorder="1"/>
    <xf numFmtId="0" fontId="0" fillId="0" borderId="5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9" fillId="0" borderId="3" xfId="0" applyFont="1" applyBorder="1" applyAlignment="1">
      <alignment horizontal="center" wrapText="1"/>
    </xf>
    <xf numFmtId="1" fontId="13" fillId="0" borderId="17" xfId="0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6" fontId="14" fillId="0" borderId="3" xfId="0" applyNumberFormat="1" applyFont="1" applyFill="1" applyBorder="1" applyAlignment="1">
      <alignment horizontal="center" wrapText="1"/>
    </xf>
    <xf numFmtId="0" fontId="14" fillId="0" borderId="7" xfId="0" applyFont="1" applyFill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17" fillId="0" borderId="5" xfId="0" applyFont="1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30" fillId="0" borderId="8" xfId="0" applyFont="1" applyBorder="1" applyAlignment="1">
      <alignment horizontal="center" wrapText="1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40" fontId="0" fillId="0" borderId="0" xfId="0" applyNumberFormat="1" applyAlignment="1">
      <alignment horizontal="center"/>
    </xf>
    <xf numFmtId="166" fontId="13" fillId="0" borderId="11" xfId="0" applyNumberFormat="1" applyFont="1" applyFill="1" applyBorder="1" applyAlignment="1">
      <alignment horizontal="center" wrapText="1"/>
    </xf>
    <xf numFmtId="38" fontId="0" fillId="0" borderId="0" xfId="0" applyNumberFormat="1" applyAlignment="1">
      <alignment horizontal="center"/>
    </xf>
    <xf numFmtId="166" fontId="0" fillId="0" borderId="17" xfId="0" applyNumberFormat="1" applyBorder="1" applyAlignment="1">
      <alignment horizontal="center" wrapText="1"/>
    </xf>
    <xf numFmtId="166" fontId="31" fillId="0" borderId="7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8" fontId="13" fillId="0" borderId="4" xfId="0" applyNumberFormat="1" applyFont="1" applyFill="1" applyBorder="1" applyAlignment="1">
      <alignment horizontal="center" wrapText="1"/>
    </xf>
    <xf numFmtId="167" fontId="0" fillId="0" borderId="11" xfId="0" applyNumberForma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6" fontId="13" fillId="2" borderId="3" xfId="0" applyNumberFormat="1" applyFont="1" applyFill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38" fontId="13" fillId="0" borderId="1" xfId="0" applyNumberFormat="1" applyFont="1" applyFill="1" applyBorder="1" applyAlignment="1">
      <alignment horizontal="center" wrapText="1"/>
    </xf>
    <xf numFmtId="38" fontId="13" fillId="0" borderId="11" xfId="0" applyNumberFormat="1" applyFont="1" applyFill="1" applyBorder="1" applyAlignment="1">
      <alignment horizontal="center" wrapText="1"/>
    </xf>
    <xf numFmtId="166" fontId="12" fillId="0" borderId="13" xfId="0" applyNumberFormat="1" applyFont="1" applyBorder="1" applyAlignment="1">
      <alignment horizontal="center" wrapText="1"/>
    </xf>
    <xf numFmtId="1" fontId="13" fillId="0" borderId="2" xfId="0" applyNumberFormat="1" applyFont="1" applyFill="1" applyBorder="1" applyAlignment="1">
      <alignment horizontal="center" wrapText="1"/>
    </xf>
    <xf numFmtId="0" fontId="30" fillId="0" borderId="1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165" fontId="30" fillId="0" borderId="1" xfId="0" applyNumberFormat="1" applyFont="1" applyFill="1" applyBorder="1" applyAlignment="1">
      <alignment horizontal="center" wrapText="1"/>
    </xf>
    <xf numFmtId="165" fontId="0" fillId="0" borderId="8" xfId="0" applyNumberFormat="1" applyFill="1" applyBorder="1" applyAlignment="1">
      <alignment horizontal="center" wrapText="1"/>
    </xf>
    <xf numFmtId="38" fontId="30" fillId="0" borderId="7" xfId="0" applyNumberFormat="1" applyFont="1" applyFill="1" applyBorder="1" applyAlignment="1">
      <alignment horizontal="center" wrapText="1"/>
    </xf>
    <xf numFmtId="38" fontId="13" fillId="0" borderId="8" xfId="0" applyNumberFormat="1" applyFont="1" applyFill="1" applyBorder="1" applyAlignment="1">
      <alignment horizontal="center" wrapText="1"/>
    </xf>
    <xf numFmtId="38" fontId="30" fillId="0" borderId="1" xfId="0" applyNumberFormat="1" applyFont="1" applyFill="1" applyBorder="1" applyAlignment="1">
      <alignment horizontal="center" wrapText="1"/>
    </xf>
    <xf numFmtId="38" fontId="0" fillId="0" borderId="8" xfId="0" applyNumberFormat="1" applyFill="1" applyBorder="1" applyAlignment="1">
      <alignment horizontal="center" wrapText="1"/>
    </xf>
    <xf numFmtId="167" fontId="30" fillId="0" borderId="3" xfId="0" applyNumberFormat="1" applyFont="1" applyFill="1" applyBorder="1" applyAlignment="1">
      <alignment horizontal="center" wrapText="1"/>
    </xf>
    <xf numFmtId="167" fontId="0" fillId="0" borderId="8" xfId="0" applyNumberFormat="1" applyFill="1" applyBorder="1" applyAlignment="1">
      <alignment horizontal="center" wrapText="1"/>
    </xf>
    <xf numFmtId="3" fontId="14" fillId="0" borderId="1" xfId="0" applyNumberFormat="1" applyFont="1" applyBorder="1" applyAlignment="1">
      <alignment horizontal="center" wrapText="1"/>
    </xf>
    <xf numFmtId="1" fontId="13" fillId="0" borderId="15" xfId="0" applyNumberFormat="1" applyFont="1" applyBorder="1" applyAlignment="1">
      <alignment horizontal="center" wrapText="1"/>
    </xf>
    <xf numFmtId="1" fontId="13" fillId="0" borderId="6" xfId="0" applyNumberFormat="1" applyFont="1" applyFill="1" applyBorder="1" applyAlignment="1">
      <alignment horizontal="center" wrapText="1"/>
    </xf>
    <xf numFmtId="0" fontId="29" fillId="0" borderId="7" xfId="0" applyFont="1" applyBorder="1" applyAlignment="1">
      <alignment horizontal="center"/>
    </xf>
    <xf numFmtId="16" fontId="0" fillId="0" borderId="0" xfId="0" applyNumberFormat="1"/>
    <xf numFmtId="38" fontId="0" fillId="0" borderId="1" xfId="0" applyNumberFormat="1" applyBorder="1" applyAlignment="1">
      <alignment horizontal="center"/>
    </xf>
    <xf numFmtId="40" fontId="0" fillId="0" borderId="1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0" fontId="30" fillId="0" borderId="1" xfId="0" applyFont="1" applyBorder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4" fillId="0" borderId="1" xfId="0" applyFont="1" applyBorder="1" applyAlignment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3" fillId="0" borderId="1" xfId="0" applyFont="1" applyBorder="1" applyAlignment="1"/>
    <xf numFmtId="0" fontId="29" fillId="0" borderId="1" xfId="0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2" fontId="29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6" xfId="0" applyFill="1" applyBorder="1" applyAlignment="1">
      <alignment wrapText="1"/>
    </xf>
  </cellXfs>
  <cellStyles count="1">
    <cellStyle name="Normal" xfId="0" builtinId="0"/>
  </cellStyles>
  <dxfs count="295"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#,##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#,##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medium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0_);[Red]\(0\)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#,##0.0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#,##0.000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/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/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6" formatCode="#,##0_);[Red]\(#,##0\)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66" formatCode="0.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6" formatCode="#,##0_);[Red]\(#,##0\)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6" formatCode="#,##0_);[Red]\(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/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numFmt numFmtId="166" formatCode="0.0"/>
    </dxf>
    <dxf>
      <numFmt numFmtId="166" formatCode="0.0"/>
    </dxf>
    <dxf>
      <numFmt numFmtId="6" formatCode="#,##0_);[Red]\(#,##0\)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/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#,##0.0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6" formatCode="#,##0_);[Red]\(#,##0\)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6" formatCode="#,##0_);[Red]\(#,##0\)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5" formatCode="#,##0.000"/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4DD30-D6B5-4C4F-9E5D-052295DB1F81}" name="ALWildCard" displayName="ALWildCard" ref="Q8:Y20" totalsRowShown="0" dataDxfId="294" tableBorderDxfId="293">
  <autoFilter ref="Q8:Y20" xr:uid="{13A4DD30-D6B5-4C4F-9E5D-052295DB1F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Q9:Y20">
    <sortCondition descending="1" ref="U9:U20"/>
    <sortCondition descending="1" ref="S9:S20"/>
    <sortCondition descending="1" ref="W9:W20"/>
  </sortState>
  <tableColumns count="9">
    <tableColumn id="1" xr3:uid="{14664519-72DC-4582-93EA-21D4FBE8C10D}" name="Team" dataDxfId="292"/>
    <tableColumn id="2" xr3:uid="{3C75E67F-FDD9-433E-985A-7D7C43D910B7}" name="GP" dataDxfId="291"/>
    <tableColumn id="3" xr3:uid="{2D097BC4-4146-46CD-AF3A-60B9CED0B79A}" name="W" dataDxfId="290">
      <calculatedColumnFormula>VLOOKUP(Q9,A:C,3,FALSE)</calculatedColumnFormula>
    </tableColumn>
    <tableColumn id="4" xr3:uid="{FC8D07D3-3415-488A-9E66-76876BF49F10}" name="L" dataDxfId="289">
      <calculatedColumnFormula>VLOOKUP(Q9,A:D,4,FALSE)</calculatedColumnFormula>
    </tableColumn>
    <tableColumn id="5" xr3:uid="{29456F24-ABDE-498E-A7DA-A85A447F7DCD}" name="PCT." dataDxfId="288">
      <calculatedColumnFormula>IFERROR(S9/R9,0)</calculatedColumnFormula>
    </tableColumn>
    <tableColumn id="6" xr3:uid="{F822C29C-C0F5-4CB5-A54A-3A9852B62FE5}" name="E#" dataDxfId="287">
      <calculatedColumnFormula>IF(OR(Q9 = $Q$9, Q9 = $Q$10, Q9 = $Q$11), (162-MIN($T$12:$T$20))-$S9, (162-T9)-$S$11)</calculatedColumnFormula>
    </tableColumn>
    <tableColumn id="7" xr3:uid="{6BA7CED7-40D4-4E99-9E36-DCE7B905A0B0}" name="Diff" dataDxfId="286">
      <calculatedColumnFormula>VLOOKUP(Q9,A:N,11,FALSE)</calculatedColumnFormula>
    </tableColumn>
    <tableColumn id="8" xr3:uid="{4C2F40D0-3D27-4300-BE85-8EFBEF21E422}" name="GB" dataDxfId="285">
      <calculatedColumnFormula>IF((IF($R$11&gt;R9,((MAX($S$11,S9)-S9)+(T9-MIN($T$11,T9)))/2,((MIN($R$11,R9)-MAX($R$11,R9))/2)+(T9-MIN($T$11,T9)))) = 0, "-", IF($R$11&gt;R9,((MAX($S$11,S9)-S9)+(T9-MIN($T$11,T9)))/2,((MIN($R$11,R9)-MAX($R$11,R9))/2)+(T9-MIN($T$11,T9))))</calculatedColumnFormula>
    </tableColumn>
    <tableColumn id="9" xr3:uid="{8CC26B7E-7B2D-4E47-BAEA-040A28CD1C20}" name="PS" dataDxfId="284">
      <calculatedColumnFormula>VLOOKUP(ALWildCard[[#This Row],[Team]],A:O,15,FALSE)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945DC-9882-4171-802B-3D0D5C789AD8}" name="AL" displayName="AL" ref="AA2:AH17" totalsRowShown="0" tableBorderDxfId="283">
  <autoFilter ref="AA2:AH17" xr:uid="{BF8945DC-9882-4171-802B-3D0D5C789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A3:AH17">
    <sortCondition descending="1" ref="AE3:AE17"/>
    <sortCondition descending="1" ref="AC3:AC17"/>
    <sortCondition descending="1" ref="AF3:AF17"/>
  </sortState>
  <tableColumns count="8">
    <tableColumn id="1" xr3:uid="{3BDD46FF-486B-413D-8DF6-AD4E2665BC56}" name="Team"/>
    <tableColumn id="2" xr3:uid="{0B4EDFC1-F697-47CD-A6D3-8EA97DEB7CAA}" name="GP">
      <calculatedColumnFormula>SUM(AC3:AD3)</calculatedColumnFormula>
    </tableColumn>
    <tableColumn id="3" xr3:uid="{67FDF220-543F-4553-8D07-312E34E5586C}" name="W">
      <calculatedColumnFormula>VLOOKUP(AA3,A:C,3,FALSE)</calculatedColumnFormula>
    </tableColumn>
    <tableColumn id="4" xr3:uid="{8BD8A577-6EBD-4127-B78E-4C2B1CF74E38}" name="L">
      <calculatedColumnFormula>VLOOKUP(AA3,A:D,4,FALSE)</calculatedColumnFormula>
    </tableColumn>
    <tableColumn id="5" xr3:uid="{15B1C54C-11BE-468D-BF21-5FCDD6C2E39F}" name="PCT.">
      <calculatedColumnFormula>IFERROR(AC3/AB3,0)</calculatedColumnFormula>
    </tableColumn>
    <tableColumn id="6" xr3:uid="{9218274E-F0A7-4276-B4D1-C2A357C28974}" name="Diff" dataDxfId="282">
      <calculatedColumnFormula>VLOOKUP(AA3,A:N,11,FALSE)</calculatedColumnFormula>
    </tableColumn>
    <tableColumn id="7" xr3:uid="{2CC6B39F-0878-4EE1-8C1D-40D98A1E16CF}" name="GB" dataDxfId="281">
      <calculatedColumnFormula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calculatedColumnFormula>
    </tableColumn>
    <tableColumn id="8" xr3:uid="{FC64CDF9-C35B-4E00-9CDD-78D43C4E5173}" name="PS" dataDxfId="280">
      <calculatedColumnFormula>IF(VLOOKUP(AL[[#This Row],[Team]],Q:Y,9,FALSE)=0,"",VLOOKUP(AL[[#This Row],[Team]],Q:Y,9,FALSE))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F2F39D-89AD-444C-B7CB-F75DD618DB7C}" name="ALEast" displayName="ALEast" ref="A2:O8" totalsRowCount="1" dataDxfId="279" tableBorderDxfId="278">
  <autoFilter ref="A2:O7" xr:uid="{1DF2F39D-89AD-444C-B7CB-F75DD618DB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3:O7">
    <sortCondition descending="1" ref="E3:E7"/>
    <sortCondition descending="1" ref="C3:C7"/>
    <sortCondition descending="1" ref="K3:K7"/>
    <sortCondition descending="1" ref="I3:I7"/>
  </sortState>
  <tableColumns count="15">
    <tableColumn id="1" xr3:uid="{3BEC1562-4445-4F86-AE92-995C6B3C0C3E}" name="Team" dataDxfId="276" totalsRowDxfId="277"/>
    <tableColumn id="2" xr3:uid="{D0D59EF8-37A3-41FF-85CA-77CB5F28F1F1}" name="GP" dataDxfId="274" totalsRowDxfId="275">
      <calculatedColumnFormula>SUM(C3:D3)</calculatedColumnFormula>
    </tableColumn>
    <tableColumn id="3" xr3:uid="{E8D6A551-807B-4084-8500-49D3065D93D5}" name="W" dataDxfId="272" totalsRowDxfId="273"/>
    <tableColumn id="4" xr3:uid="{E492A19A-8E15-4476-B858-93A691706EAE}" name="L" dataDxfId="270" totalsRowDxfId="271">
      <calculatedColumnFormula>ROW() - ROW(ALEast[[#Headers],[L]]) + 8</calculatedColumnFormula>
    </tableColumn>
    <tableColumn id="5" xr3:uid="{B401105A-10E0-4F0F-B770-A00E317C1BC1}" name="PCT." dataDxfId="268" totalsRowDxfId="269">
      <calculatedColumnFormula>IFERROR(C3/B3,0)</calculatedColumnFormula>
    </tableColumn>
    <tableColumn id="6" xr3:uid="{667C0BC0-B131-414E-9F55-C13DA61DAA2A}" name="E#" dataDxfId="266" totalsRowDxfId="267">
      <calculatedColumnFormula>IF(A3 = $A$3, "-", (162-D3)-$C$3)</calculatedColumnFormula>
    </tableColumn>
    <tableColumn id="7" xr3:uid="{48BC02F1-86A4-49D9-A9A7-D4B7E87D276F}" name="GB" dataDxfId="264" totalsRowDxfId="265">
      <calculatedColumnFormula>IF(IF(ALEast[[#This Row],[GP]]&lt;$B$3,(((ALEast[[#This Row],[GP]]-$B$3)/2)+$C$3)-ALEast[[#This Row],[W]],IF(ALEast[[#This Row],[GP]]&gt;$B$3,(((ALEast[[#This Row],[GP]]-$B$3)/2)+$C$3)-ALEast[[#This Row],[W]],$C$3-ALEast[[#This Row],[W]])) = 0, "-", IF(ALEast[[#This Row],[GP]]&lt;$B$3,(((ALEast[[#This Row],[GP]]-$B$3)/2)+$C$3)-ALEast[[#This Row],[W]],IF(ALEast[[#This Row],[GP]]&gt;$B$3,(((ALEast[[#This Row],[GP]]-$B$3)/2)+$C$3)-ALEast[[#This Row],[W]],$C$3-ALEast[[#This Row],[W]])))</calculatedColumnFormula>
    </tableColumn>
    <tableColumn id="8" xr3:uid="{CEB0A6FF-67E8-4871-B22D-2F61ECB3D985}" name="WCGB" dataDxfId="262" totalsRowDxfId="263">
      <calculatedColumnFormula>IF((VLOOKUP(A3,Q:X,8,FALSE)) = "-", "-", VLOOKUP(A3,Q:X,8,FALSE))</calculatedColumnFormula>
    </tableColumn>
    <tableColumn id="9" xr3:uid="{F37A5A84-2505-4C9F-81A1-7DA16CFCB079}" name="RF" dataDxfId="260" totalsRowDxfId="261"/>
    <tableColumn id="10" xr3:uid="{80AE0406-0153-46E7-9BB2-3A2F682999C6}" name="RA" dataDxfId="258" totalsRowDxfId="259"/>
    <tableColumn id="11" xr3:uid="{38B6282C-DC9C-4591-B3BD-2CEE456AD11C}" name="Diff" dataDxfId="256" totalsRowDxfId="257">
      <calculatedColumnFormula>ALEast[[#This Row],[RF]]-ALEast[[#This Row],[RA]]</calculatedColumnFormula>
    </tableColumn>
    <tableColumn id="12" xr3:uid="{1F4DD88C-FF7A-475B-BED4-CE084D703B1D}" name="ERec" dataDxfId="254" totalsRowDxfId="255">
      <calculatedColumnFormula>_xlfn.CONCAT(ROUND(((ALEast[[#This Row],[RF]]^1.83)/((ALEast[[#This Row],[RF]]^1.83)+(ALEast[[#This Row],[RA]]^1.83))*B3),0),"-",ALEast[[#This Row],[GP]]-ROUND(((ALEast[[#This Row],[RF]]^1.83)/((ALEast[[#This Row],[RF]]^1.83)+(ALEast[[#This Row],[RA]]^1.83))*B3),0))</calculatedColumnFormula>
    </tableColumn>
    <tableColumn id="13" xr3:uid="{762698D8-17EB-439D-952C-9A2559425419}" name="PRec" dataDxfId="252" totalsRowDxfId="253">
      <calculatedColumnFormula>_xlfn.CONCAT(162*ALEast[[#This Row],[PCT.]],"-",162-(162*ALEast[[#This Row],[PCT.]]))</calculatedColumnFormula>
    </tableColumn>
    <tableColumn id="14" xr3:uid="{B14E6879-070E-4840-B7ED-D427E40C4C00}" name="GP%" dataDxfId="250" totalsRowDxfId="251">
      <calculatedColumnFormula>B3/162</calculatedColumnFormula>
    </tableColumn>
    <tableColumn id="15" xr3:uid="{10A811B5-CE3D-4D58-B511-660DD0760EFA}" name="PS" dataDxfId="248" totalsRowDxfId="249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D9BC88-23AE-4F36-90E9-B153D8392B93}" name="ALCentral" displayName="ALCentral" ref="A10:O15" totalsRowShown="0" dataDxfId="247" tableBorderDxfId="246">
  <autoFilter ref="A10:O15" xr:uid="{73D9BC88-23AE-4F36-90E9-B153D8392B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11:O15">
    <sortCondition descending="1" ref="E11:E15"/>
    <sortCondition descending="1" ref="C11:C15"/>
    <sortCondition descending="1" ref="K11:K15"/>
    <sortCondition descending="1" ref="I11:I15"/>
  </sortState>
  <tableColumns count="15">
    <tableColumn id="1" xr3:uid="{342B36DF-F313-4653-A941-249609E9E9C6}" name="Team" dataDxfId="245"/>
    <tableColumn id="2" xr3:uid="{668A63F9-0AB5-4569-95BE-7A79B9D58885}" name="GP" dataDxfId="244">
      <calculatedColumnFormula>SUM(C11:D11)</calculatedColumnFormula>
    </tableColumn>
    <tableColumn id="3" xr3:uid="{5126B6DE-4879-447F-AE5A-26B8AA6C8C09}" name="W" dataDxfId="243"/>
    <tableColumn id="4" xr3:uid="{5823D06A-E3EB-4308-A303-F29BF0DEB53C}" name="L" dataDxfId="242"/>
    <tableColumn id="5" xr3:uid="{C51B7CFE-0F5A-49C5-9F7F-85AF4E6165E7}" name="PCT." dataDxfId="241">
      <calculatedColumnFormula>IFERROR(C11/B11,0)</calculatedColumnFormula>
    </tableColumn>
    <tableColumn id="6" xr3:uid="{C7F050E6-8859-4BC3-92D5-6E6306E74900}" name="E#" dataDxfId="240">
      <calculatedColumnFormula>IF(A11 = $A$11, "-", (162-D11)-$C$11)</calculatedColumnFormula>
    </tableColumn>
    <tableColumn id="7" xr3:uid="{FAE8C90E-4EAD-4B28-A6B5-523EA5BB403A}" name="GB" dataDxfId="239">
      <calculatedColumnFormula>IFERROR(IF(IF(ALCentral[[#This Row],[GP]]&lt;$B$11,(((ALCentral[[#This Row],[GP]]-$B$11)/2)+$C$11)-ALCentral[[#This Row],[W]],IF(ALCentral[[#This Row],[GP]]&gt;$B$11,(((ALCentral[[#This Row],[GP]]-$B$11)/2)+$C$11)-ALCentral[[#This Row],[W]],$C$11-ALCentral[[#This Row],[W]])) = 0, "-", IF(ALCentral[[#This Row],[GP]]&lt;$B$11,(((ALCentral[[#This Row],[GP]]-$B$11)/2)+$C$11)-ALCentral[[#This Row],[W]],IF(ALCentral[[#This Row],[GP]]&gt;$B$11,(((ALCentral[[#This Row],[GP]]-$B$11)/2)+$C$11)-ALCentral[[#This Row],[W]],$C$11-ALCentral[[#This Row],[W]]))),"-")</calculatedColumnFormula>
    </tableColumn>
    <tableColumn id="8" xr3:uid="{B552CB3C-CD05-4A50-98F8-1EB15F333875}" name="WCGB" dataDxfId="238">
      <calculatedColumnFormula>IF((VLOOKUP(A11,Q:X,8,FALSE)) = "-", "-", VLOOKUP(A11,Q:X,8,FALSE))</calculatedColumnFormula>
    </tableColumn>
    <tableColumn id="9" xr3:uid="{A65481E5-1BC2-4CDD-9D69-9D66BA08722F}" name="RF" dataDxfId="237"/>
    <tableColumn id="10" xr3:uid="{0723AB87-2740-40DB-8F77-56980B86E8C5}" name="RA" dataDxfId="236"/>
    <tableColumn id="11" xr3:uid="{827CBD24-6D31-498B-8B55-2F7108E49C1D}" name="Diff" dataDxfId="235">
      <calculatedColumnFormula>ALCentral[[#This Row],[RF]]-ALCentral[[#This Row],[RA]]</calculatedColumnFormula>
    </tableColumn>
    <tableColumn id="12" xr3:uid="{8B79F551-50D0-44F4-9684-AE9B9519F86D}" name="ERec" dataDxfId="234">
      <calculatedColumnFormula>_xlfn.CONCAT(ROUND(((ALCentral[[#This Row],[RF]]^1.83)/((ALCentral[[#This Row],[RF]]^1.83)+(ALCentral[[#This Row],[RA]]^1.83))*B11),0),"-",ALCentral[[#This Row],[GP]]-ROUND(((ALCentral[[#This Row],[RF]]^1.83)/((ALCentral[[#This Row],[RF]]^1.83)+(ALCentral[[#This Row],[RA]]^1.83))*B11),0))</calculatedColumnFormula>
    </tableColumn>
    <tableColumn id="13" xr3:uid="{800BF8DA-A831-4C09-89DB-4A70EA4CDE08}" name="PRec" dataDxfId="233">
      <calculatedColumnFormula>_xlfn.CONCAT(ROUND(162*ALCentral[[#This Row],[PCT.]],0),"-",162-ROUND(162*ALCentral[[#This Row],[PCT.]],0))</calculatedColumnFormula>
    </tableColumn>
    <tableColumn id="14" xr3:uid="{8231B5D6-2C79-4C16-8588-4B95D1AFFC25}" name="GP%" dataDxfId="232">
      <calculatedColumnFormula>B11/162</calculatedColumnFormula>
    </tableColumn>
    <tableColumn id="15" xr3:uid="{284BF996-D197-4519-B083-361491895586}" name="PS" dataDxfId="231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0D5475-4F72-4DCB-B2AF-C5CEA5147EE3}" name="ALWest" displayName="ALWest" ref="A18:O23" totalsRowShown="0" dataDxfId="230" tableBorderDxfId="229">
  <autoFilter ref="A18:O23" xr:uid="{A50D5475-4F72-4DCB-B2AF-C5CEA5147E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19:O23">
    <sortCondition descending="1" ref="E19:E23"/>
    <sortCondition descending="1" ref="C19:C23"/>
    <sortCondition descending="1" ref="K19:K23"/>
    <sortCondition descending="1" ref="I19:I23"/>
  </sortState>
  <tableColumns count="15">
    <tableColumn id="1" xr3:uid="{C8AA4349-65D3-4060-928E-247F65C70079}" name="Team" dataDxfId="228"/>
    <tableColumn id="2" xr3:uid="{DF250FF4-5E27-4D99-A547-60188150FDFA}" name="GP" dataDxfId="227">
      <calculatedColumnFormula>SUM(C19:D19)</calculatedColumnFormula>
    </tableColumn>
    <tableColumn id="3" xr3:uid="{4E0DA467-1CDC-4E5F-AC42-9612ACAA07E3}" name="W" dataDxfId="226"/>
    <tableColumn id="4" xr3:uid="{FC676A65-A705-463E-88BB-F6EABF0E1E48}" name="L" dataDxfId="225"/>
    <tableColumn id="5" xr3:uid="{8DE152E3-0CAA-4626-844D-A863F331C4F5}" name="PCT." dataDxfId="224">
      <calculatedColumnFormula>IFERROR(C19/B19,0)</calculatedColumnFormula>
    </tableColumn>
    <tableColumn id="6" xr3:uid="{4F11432E-85BA-4282-BE72-652874E3D577}" name="E#" dataDxfId="223">
      <calculatedColumnFormula>IF(A19 = $A$19, "-", (162-D19)-$C$19)</calculatedColumnFormula>
    </tableColumn>
    <tableColumn id="7" xr3:uid="{675550AA-2209-4CA4-98BF-740CCC32D7C5}" name="GB" dataDxfId="222">
      <calculatedColumnFormula>IFERROR(IF(IF(ALWest[[#This Row],[GP]]&lt;$B$19,(((ALWest[[#This Row],[GP]]-$B$19)/2)+$C$19)-ALWest[[#This Row],[W]],IF(ALWest[[#This Row],[GP]]&gt;$B$19,(((ALWest[[#This Row],[GP]]-$B$19)/2)+$C$19)-ALWest[[#This Row],[W]],$C$19-ALWest[[#This Row],[W]])) = 0, "-", IF(ALWest[[#This Row],[GP]]&lt;$B$19,(((ALWest[[#This Row],[GP]]-$B$19)/2)+$C$19)-ALWest[[#This Row],[W]],IF(ALWest[[#This Row],[GP]]&gt;$B$19,(((ALWest[[#This Row],[GP]]-$B$19)/2)+$C$19)-ALWest[[#This Row],[W]],$C$19-ALWest[[#This Row],[W]]))),"-")</calculatedColumnFormula>
    </tableColumn>
    <tableColumn id="8" xr3:uid="{A8887451-4205-473B-8EF8-7A3EEFB9B36D}" name="WCGB" dataDxfId="221">
      <calculatedColumnFormula>IF((VLOOKUP(A19,Q:X,8,FALSE)) = "-", "-", VLOOKUP(A19,Q:X,8,FALSE))</calculatedColumnFormula>
    </tableColumn>
    <tableColumn id="9" xr3:uid="{0C715AB6-92CC-45A0-8DE2-05207408FA54}" name="RF" dataDxfId="220"/>
    <tableColumn id="10" xr3:uid="{8282480C-FBA4-4889-BDEB-AD5DB9B63BD8}" name="RA" dataDxfId="219"/>
    <tableColumn id="11" xr3:uid="{0EAE7992-2FC9-4E6C-84DA-7D916AA0CDFB}" name="Diff" dataDxfId="218">
      <calculatedColumnFormula>ALWest[[#This Row],[RF]]-ALWest[[#This Row],[RA]]</calculatedColumnFormula>
    </tableColumn>
    <tableColumn id="12" xr3:uid="{A025F975-FEC8-4B8B-881F-EF50ABFAC0A0}" name="ERec" dataDxfId="217">
      <calculatedColumnFormula>_xlfn.CONCAT(ROUND(((ALWest[[#This Row],[RF]]^1.83)/((ALWest[[#This Row],[RF]]^1.83)+(ALWest[[#This Row],[RA]]^1.83))*B19),0),"-",ALWest[[#This Row],[GP]]-ROUND(((ALWest[[#This Row],[RF]]^1.83)/((ALWest[[#This Row],[RF]]^1.83)+(ALWest[[#This Row],[RA]]^1.83))*B19),0))</calculatedColumnFormula>
    </tableColumn>
    <tableColumn id="13" xr3:uid="{42C17F39-FAB8-423E-A626-213A3D861AED}" name="PRec" dataDxfId="216">
      <calculatedColumnFormula>_xlfn.CONCAT(ROUND(162*ALWest[[#This Row],[PCT.]],0),"-",162-ROUND(162*ALWest[[#This Row],[PCT.]],0))</calculatedColumnFormula>
    </tableColumn>
    <tableColumn id="14" xr3:uid="{06F4BB04-58F9-4CF5-819B-596F3C782B8F}" name="GP%" dataDxfId="215">
      <calculatedColumnFormula>B19/162</calculatedColumnFormula>
    </tableColumn>
    <tableColumn id="15" xr3:uid="{5C369D7E-D986-484F-822D-5764AF1D0302}" name="PS" dataDxfId="214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65ACB8-B8BD-4287-BC69-59CD33D93207}" name="NLEast" displayName="NLEast" ref="A26:O31" totalsRowShown="0" dataDxfId="213" tableBorderDxfId="212">
  <autoFilter ref="A26:O31" xr:uid="{4465ACB8-B8BD-4287-BC69-59CD33D932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27:O31">
    <sortCondition descending="1" ref="E27:E31"/>
    <sortCondition descending="1" ref="C27:C31"/>
    <sortCondition descending="1" ref="K27:K31"/>
    <sortCondition descending="1" ref="I27:I31"/>
  </sortState>
  <tableColumns count="15">
    <tableColumn id="1" xr3:uid="{A21547F2-3CCA-4484-A3BF-AF255569C396}" name="Team" dataDxfId="211"/>
    <tableColumn id="2" xr3:uid="{ACBCFBAA-9405-4ACB-B11E-D90B56275391}" name="GP" dataDxfId="210">
      <calculatedColumnFormula>SUM(C27:D27)</calculatedColumnFormula>
    </tableColumn>
    <tableColumn id="3" xr3:uid="{C2F297E4-A231-4C2D-BF7C-536A0DC78506}" name="W" dataDxfId="209"/>
    <tableColumn id="4" xr3:uid="{C1261A2A-ACA8-41D3-BD08-D3CBE3FF3C8B}" name="L" dataDxfId="208"/>
    <tableColumn id="5" xr3:uid="{201583CB-6988-4C5B-86A2-0238FDBBC7F1}" name="PCT." dataDxfId="207">
      <calculatedColumnFormula>IFERROR(C27/B27,0)</calculatedColumnFormula>
    </tableColumn>
    <tableColumn id="6" xr3:uid="{E4B33F50-CF6A-4C45-B154-D4832FA5BF71}" name="E#" dataDxfId="206">
      <calculatedColumnFormula>IF(A27 = $A$27, "-", (162-D27)-$C$27)</calculatedColumnFormula>
    </tableColumn>
    <tableColumn id="7" xr3:uid="{D3399537-7B6A-4E2A-B933-FEA4E5073342}" name="GB" dataDxfId="205">
      <calculatedColumnFormula>IFERROR(IF(IF(NLEast[[#This Row],[GP]]&lt;$B$27,(((NLEast[[#This Row],[GP]]-$B$27)/2)+$C$27)-NLEast[[#This Row],[W]],IF(NLEast[[#This Row],[GP]]&gt;$B$27,(((NLEast[[#This Row],[GP]]-$B$27)/2)+$C$27)-NLEast[[#This Row],[W]],$C$27-NLEast[[#This Row],[W]])) = 0, "-", IF(NLEast[[#This Row],[GP]]&lt;$B$27,(((NLEast[[#This Row],[GP]]-$B$27)/2)+$C$27)-NLEast[[#This Row],[W]],IF(NLEast[[#This Row],[GP]]&gt;$B$27,(((NLEast[[#This Row],[GP]]-$B$27)/2)+$C$27)-NLEast[[#This Row],[W]],$C$27-NLEast[[#This Row],[W]]))),"-")</calculatedColumnFormula>
    </tableColumn>
    <tableColumn id="8" xr3:uid="{B29532D8-630E-4269-9EC6-643B1F2273E2}" name="WCGB" dataDxfId="204">
      <calculatedColumnFormula>IF((VLOOKUP(A27,Q:X,8,FALSE)) = "-", "-", VLOOKUP(A27,Q:X,8,FALSE))</calculatedColumnFormula>
    </tableColumn>
    <tableColumn id="9" xr3:uid="{35AE96B6-45B9-4B2C-A099-5A0BAB7C7AAE}" name="RF" dataDxfId="203"/>
    <tableColumn id="10" xr3:uid="{C8E67DED-D8BE-4938-97F9-D300DA9F164F}" name="RA" dataDxfId="202"/>
    <tableColumn id="11" xr3:uid="{B4A78268-0ADF-4592-B9AE-874C52974A00}" name="Diff" dataDxfId="201">
      <calculatedColumnFormula>NLEast[[#This Row],[RF]]-NLEast[[#This Row],[RA]]</calculatedColumnFormula>
    </tableColumn>
    <tableColumn id="12" xr3:uid="{B4BC250A-002E-49D1-8CC2-62982FE657D5}" name="ERec" dataDxfId="200">
      <calculatedColumnFormula>_xlfn.CONCAT(ROUND(((NLEast[[#This Row],[RF]]^1.83)/((NLEast[[#This Row],[RF]]^1.83)+(NLEast[[#This Row],[RA]]^1.83))*B27),0),"-",NLEast[[#This Row],[GP]]-ROUND(((NLEast[[#This Row],[RF]]^1.83)/((NLEast[[#This Row],[RF]]^1.83)+(NLEast[[#This Row],[RA]]^1.83))*B27),0))</calculatedColumnFormula>
    </tableColumn>
    <tableColumn id="13" xr3:uid="{2905D925-6C0D-42BD-8C66-DE884E5BEA79}" name="PRec" dataDxfId="199">
      <calculatedColumnFormula>_xlfn.CONCAT(ROUND(162*NLEast[[#This Row],[PCT.]],0),"-",162-ROUND(162*NLEast[[#This Row],[PCT.]],0))</calculatedColumnFormula>
    </tableColumn>
    <tableColumn id="14" xr3:uid="{E61E1CA3-5D4F-4B0B-81BF-A650A02A4813}" name="GP%" dataDxfId="198">
      <calculatedColumnFormula>B27/162</calculatedColumnFormula>
    </tableColumn>
    <tableColumn id="15" xr3:uid="{183FEE50-1957-47F2-970A-E6909B3D2B9A}" name="PS" dataDxfId="197">
      <calculatedColumnFormula>IF(VLOOKUP(NLEast[[#This Row],[Team]],Q:Y,9,FALSE)=0,"",VLOOKUP(NLEast[[#This Row],[Team]],Q:Y,9,FALSE))</calculatedColumnFormula>
    </tableColumn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D6C125-8164-4D43-BB68-4E2006BF2A78}" name="NLCentral" displayName="NLCentral" ref="A34:O39" totalsRowShown="0" dataDxfId="196" tableBorderDxfId="195">
  <autoFilter ref="A34:O39" xr:uid="{4ED6C125-8164-4D43-BB68-4E2006BF2A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35:O39">
    <sortCondition descending="1" ref="E35:E39"/>
    <sortCondition descending="1" ref="C35:C39"/>
    <sortCondition descending="1" ref="K35:K39"/>
  </sortState>
  <tableColumns count="15">
    <tableColumn id="1" xr3:uid="{2B107A8E-A4A0-4573-88DB-39050B0D1F21}" name="Team" dataDxfId="194"/>
    <tableColumn id="2" xr3:uid="{82E09FF9-E671-4B3F-8BB4-B8FA3CBA3846}" name="GP" dataDxfId="193">
      <calculatedColumnFormula>SUM(C35:D35)</calculatedColumnFormula>
    </tableColumn>
    <tableColumn id="3" xr3:uid="{3870A10A-5D04-4DF3-B7A7-2E36D1205515}" name="W" dataDxfId="192"/>
    <tableColumn id="4" xr3:uid="{6EF03867-7172-44D2-89E7-D037AB9E9D6E}" name="L" dataDxfId="191"/>
    <tableColumn id="5" xr3:uid="{1AD2B964-967B-4911-8693-EC0B8B5D081F}" name="PCT." dataDxfId="190">
      <calculatedColumnFormula>IFERROR(C35/B35,0)</calculatedColumnFormula>
    </tableColumn>
    <tableColumn id="6" xr3:uid="{98179031-9623-495F-979E-E8B2A8DCAC61}" name="E#" dataDxfId="189">
      <calculatedColumnFormula>IF(A35 = $A$35, "-", (162-D35)-$C$35)</calculatedColumnFormula>
    </tableColumn>
    <tableColumn id="7" xr3:uid="{CAA2DC1E-951D-4EDD-A770-ACA385AEEE8D}" name="GB" dataDxfId="188">
      <calculatedColumnFormula>IFERROR(IF(IF(NLCentral[[#This Row],[GP]]&lt;$B$35,(((NLCentral[[#This Row],[GP]]-$B$35)/2)+$C$35)-NLCentral[[#This Row],[W]],IF(NLCentral[[#This Row],[GP]]&gt;$B$35,(((NLCentral[[#This Row],[GP]]-$B$35)/2)+$C$35)-NLCentral[[#This Row],[W]],$C$35-NLCentral[[#This Row],[W]])) = 0, "-", IF(NLCentral[[#This Row],[GP]]&lt;$B$35,(((NLCentral[[#This Row],[GP]]-$B$35)/2)+$C$35)-NLCentral[[#This Row],[W]],IF(NLCentral[[#This Row],[GP]]&gt;$B$35,(((NLCentral[[#This Row],[GP]]-$B$35)/2)+$C$35)-NLCentral[[#This Row],[W]],$C$35-NLCentral[[#This Row],[W]]))),"-")</calculatedColumnFormula>
    </tableColumn>
    <tableColumn id="8" xr3:uid="{36FBB851-1FB2-45B6-B5DF-EB4B4309C450}" name="WCGB" dataDxfId="187">
      <calculatedColumnFormula>IF((VLOOKUP(A35,Q:X,8,FALSE)) = "-", "-", VLOOKUP(A35,Q:X,8,FALSE))</calculatedColumnFormula>
    </tableColumn>
    <tableColumn id="9" xr3:uid="{3A944A66-1E12-4209-B341-622E2FF5960C}" name="RF" dataDxfId="186"/>
    <tableColumn id="10" xr3:uid="{7A318523-A7AD-414C-B2C6-30D38162DAAA}" name="RA" dataDxfId="185"/>
    <tableColumn id="11" xr3:uid="{B3D0020A-08C5-4B13-A86B-FA71610B44EC}" name="Diff" dataDxfId="184">
      <calculatedColumnFormula>NLCentral[[#This Row],[RF]]-NLCentral[[#This Row],[RA]]</calculatedColumnFormula>
    </tableColumn>
    <tableColumn id="12" xr3:uid="{EA6F5897-C309-4C50-A570-FE90995F15F2}" name="ERec" dataDxfId="183">
      <calculatedColumnFormula>_xlfn.CONCAT(ROUND(((NLCentral[[#This Row],[RF]]^1.83)/((NLCentral[[#This Row],[RF]]^1.83)+(NLCentral[[#This Row],[RA]]^1.83))*B35),0),"-",NLCentral[[#This Row],[GP]]-ROUND(((NLCentral[[#This Row],[RF]]^1.83)/((NLCentral[[#This Row],[RF]]^1.83)+(NLCentral[[#This Row],[RA]]^1.83))*B35),0))</calculatedColumnFormula>
    </tableColumn>
    <tableColumn id="13" xr3:uid="{ED7CDB83-C8E6-434C-AD8F-F7B2CD47F268}" name="PRec" dataDxfId="182">
      <calculatedColumnFormula>_xlfn.CONCAT(ROUND(162*NLCentral[[#This Row],[PCT.]],0),"-",162-ROUND(162*NLCentral[[#This Row],[PCT.]],0))</calculatedColumnFormula>
    </tableColumn>
    <tableColumn id="14" xr3:uid="{F38C9342-9781-433F-B306-4CF23D0F2DFC}" name="GP%" dataDxfId="181">
      <calculatedColumnFormula>B35/162</calculatedColumnFormula>
    </tableColumn>
    <tableColumn id="15" xr3:uid="{035511F3-A109-4643-A020-D3E3E605746C}" name="PS" dataDxfId="180">
      <calculatedColumnFormula>IF(VLOOKUP(NLCentral[[#This Row],[Team]],Q:Y,9,FALSE)=0,"",VLOOKUP(NLCentral[[#This Row],[Team]],Q:Y,9,FALSE))</calculatedColumnFormula>
    </tableColumn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3724E9-E2A4-4188-94AB-A111A0D54839}" name="NLWest" displayName="NLWest" ref="A42:O47" totalsRowShown="0" dataDxfId="179" tableBorderDxfId="178">
  <autoFilter ref="A42:O47" xr:uid="{B73724E9-E2A4-4188-94AB-A111A0D548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43:O47">
    <sortCondition descending="1" ref="E43:E47"/>
    <sortCondition descending="1" ref="C43:C47"/>
    <sortCondition descending="1" ref="K43:K47"/>
  </sortState>
  <tableColumns count="15">
    <tableColumn id="1" xr3:uid="{EE00A1D2-6953-4D9C-AC5F-88363F4719B1}" name="Team" dataDxfId="177"/>
    <tableColumn id="2" xr3:uid="{1C6553B6-F577-405D-BE56-FCED8733E414}" name="GP" dataDxfId="176">
      <calculatedColumnFormula>SUM(C43:D43)</calculatedColumnFormula>
    </tableColumn>
    <tableColumn id="3" xr3:uid="{D1B58A93-D689-44F2-B578-53EF8641FCB3}" name="W" dataDxfId="175"/>
    <tableColumn id="4" xr3:uid="{E2EC6A4B-507E-442A-B5D5-E5FA7851DD6A}" name="L" dataDxfId="174"/>
    <tableColumn id="5" xr3:uid="{E9B8FD49-7875-495C-9A01-A44950066736}" name="PCT." dataDxfId="173">
      <calculatedColumnFormula>IFERROR(C43/B43,0)</calculatedColumnFormula>
    </tableColumn>
    <tableColumn id="6" xr3:uid="{F7BF3842-199F-418E-9B97-77E2574D04B9}" name="E#" dataDxfId="172">
      <calculatedColumnFormula>IF(A43 = $A$43, "-", (162-D43)-$C$43)</calculatedColumnFormula>
    </tableColumn>
    <tableColumn id="7" xr3:uid="{7E839525-70C8-4B96-8C7C-212968DE4D20}" name="GB" dataDxfId="171">
      <calculatedColumnFormula>IFERROR(IF(IF(NLWest[[#This Row],[GP]]&lt;$B$43,(((NLWest[[#This Row],[GP]]-$B$43)/2)+$C$43)-NLWest[[#This Row],[W]],IF(NLWest[[#This Row],[GP]]&gt;$B$43,(((NLWest[[#This Row],[GP]]-$B$43)/2)+$C$43)-NLWest[[#This Row],[W]],$C$43-NLWest[[#This Row],[W]])) = 0, "-", IF(NLWest[[#This Row],[GP]]&lt;$B$43,(((NLWest[[#This Row],[GP]]-$B$43)/2)+$C$43)-NLWest[[#This Row],[W]],IF(NLWest[[#This Row],[GP]]&gt;$B$43,(((NLWest[[#This Row],[GP]]-$B$43)/2)+$C$43)-NLWest[[#This Row],[W]],$C$43-NLWest[[#This Row],[W]]))),"-")</calculatedColumnFormula>
    </tableColumn>
    <tableColumn id="8" xr3:uid="{59BC4B4B-C601-45B5-8A8A-A8BB634A5735}" name="WCGB" dataDxfId="170">
      <calculatedColumnFormula>IF((VLOOKUP(A43,Q:X,8,FALSE)) = "-", "-", VLOOKUP(A43,Q:X,8,FALSE))</calculatedColumnFormula>
    </tableColumn>
    <tableColumn id="9" xr3:uid="{C2108C84-FE9A-445F-9291-81E2499B3CAD}" name="RF" dataDxfId="169"/>
    <tableColumn id="10" xr3:uid="{C7BD9625-4006-4967-A9C1-F74CDE0E76A6}" name="RA" dataDxfId="168"/>
    <tableColumn id="11" xr3:uid="{C2DCD31E-3256-4EBF-904E-C99B466AE478}" name="Diff" dataDxfId="167">
      <calculatedColumnFormula>NLWest[[#This Row],[RF]]-NLWest[[#This Row],[RA]]</calculatedColumnFormula>
    </tableColumn>
    <tableColumn id="12" xr3:uid="{FF5BE882-1241-4034-84B2-2903BA3E480A}" name="ERec" dataDxfId="166">
      <calculatedColumnFormula>_xlfn.CONCAT(ROUND(((NLWest[[#This Row],[RF]]^1.83)/((NLWest[[#This Row],[RF]]^1.83)+(NLWest[[#This Row],[RA]]^1.83))*B43),0),"-",NLWest[[#This Row],[GP]]-ROUND(((NLWest[[#This Row],[RF]]^1.83)/((NLWest[[#This Row],[RF]]^1.83)+(NLWest[[#This Row],[RA]]^1.83))*B43),0))</calculatedColumnFormula>
    </tableColumn>
    <tableColumn id="13" xr3:uid="{F10192F7-3126-4D35-BCCF-B22F6DE317F7}" name="PRec" dataDxfId="165">
      <calculatedColumnFormula>_xlfn.CONCAT(ROUND(162*NLWest[[#This Row],[PCT.]],0),"-",162-ROUND(162*NLWest[[#This Row],[PCT.]],0))</calculatedColumnFormula>
    </tableColumn>
    <tableColumn id="14" xr3:uid="{3DECE1C7-E07D-4275-9325-1F7FEBFB7952}" name="GP%" dataDxfId="164">
      <calculatedColumnFormula>B43/162</calculatedColumnFormula>
    </tableColumn>
    <tableColumn id="15" xr3:uid="{5EA72242-03CF-49B8-A309-0CF63DC53A65}" name="PS" dataDxfId="163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BC81A4-91AD-45A0-A5E5-23EEB71B2D9F}" name="NLWildCard" displayName="NLWildCard" ref="Q29:Y41" totalsRowShown="0" dataDxfId="162" tableBorderDxfId="161">
  <autoFilter ref="Q29:Y41" xr:uid="{AFBC81A4-91AD-45A0-A5E5-23EEB71B2D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Q30:Y41">
    <sortCondition descending="1" ref="U30:U41"/>
    <sortCondition descending="1" ref="S30:S41"/>
    <sortCondition descending="1" ref="W30:W41"/>
  </sortState>
  <tableColumns count="9">
    <tableColumn id="1" xr3:uid="{2FC106DE-9579-438B-B513-8F59B2C7D455}" name="Team" dataDxfId="160"/>
    <tableColumn id="2" xr3:uid="{608BE131-3AAC-40C9-946D-246780EFB60B}" name="GP" dataDxfId="159"/>
    <tableColumn id="3" xr3:uid="{26A26081-345D-402E-9922-E051DD7A368A}" name="W" dataDxfId="158">
      <calculatedColumnFormula>VLOOKUP(Q30,A:C,3,FALSE)</calculatedColumnFormula>
    </tableColumn>
    <tableColumn id="4" xr3:uid="{D3A60A2B-65CB-4B14-B77F-1931EBBE131A}" name="L" dataDxfId="157">
      <calculatedColumnFormula>VLOOKUP(Q30,A:D,4,FALSE)</calculatedColumnFormula>
    </tableColumn>
    <tableColumn id="5" xr3:uid="{2882C315-7609-4E7C-8BDB-367DD15A9B01}" name="PCT." dataDxfId="156">
      <calculatedColumnFormula>IFERROR(S30/R30,0)</calculatedColumnFormula>
    </tableColumn>
    <tableColumn id="6" xr3:uid="{B138B512-9931-47D8-8CCE-A899C9410A67}" name="E#" dataDxfId="155">
      <calculatedColumnFormula>IF(OR(Q30 = $Q$30, Q30 = $Q$31, Q30 = $Q$32), (162-MIN($T$33:$T$41))-$S30, (162-T30)-$S$32)</calculatedColumnFormula>
    </tableColumn>
    <tableColumn id="7" xr3:uid="{438B8584-F643-487F-8A05-905B1CED58BD}" name="Diff" dataDxfId="154">
      <calculatedColumnFormula>VLOOKUP(Q30,A:N,11,FALSE)</calculatedColumnFormula>
    </tableColumn>
    <tableColumn id="8" xr3:uid="{B25846E5-1189-493B-9409-69F53272A912}" name="GB" dataDxfId="153">
      <calculatedColumnFormula>IF((IF($R$32&gt;R30,((MAX($S$32,S30)-S30)+(T30-MIN($T$32,T30)))/2,((MIN($R$32,R30)-MAX($R$32,R30))/2)+(T30-MIN($T$32,T30)))) = 0, "-", IF($R$32&gt;R30,((MAX($S$32,S30)-S30)+(T30-MIN($T$32,T30)))/2,((MIN($R$32,R30)-MAX($R$32,R30))/2)+(T30-MIN($T$32,T30))))</calculatedColumnFormula>
    </tableColumn>
    <tableColumn id="9" xr3:uid="{90E777C3-4F6D-44EE-9C44-A45C3C9D5F18}" name="PS" dataDxfId="152">
      <calculatedColumnFormula>VLOOKUP(NLWildCard[[#This Row],[Team]],A:O,15,FALSE)</calculatedColumnFormula>
    </tableColumn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AB1DDE-D735-48A3-9753-C754E394ABDB}" name="NL" displayName="NL" ref="AA20:AH35" totalsRowShown="0" dataDxfId="151" tableBorderDxfId="150">
  <autoFilter ref="AA20:AH35" xr:uid="{78AB1DDE-D735-48A3-9753-C754E394AB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A21:AH35">
    <sortCondition descending="1" ref="AE21:AE35"/>
    <sortCondition descending="1" ref="AC21:AC35"/>
    <sortCondition descending="1" ref="AF21:AF35"/>
    <sortCondition ref="AB21:AB35"/>
  </sortState>
  <tableColumns count="8">
    <tableColumn id="1" xr3:uid="{0D4B2D6A-9943-4CB6-85B8-28445CE72C7B}" name="Team" dataDxfId="149"/>
    <tableColumn id="2" xr3:uid="{328CF7C3-DC41-4E5C-B2C6-0A0282A3A04B}" name="GP" dataDxfId="148">
      <calculatedColumnFormula>SUM(AC21:AD21)</calculatedColumnFormula>
    </tableColumn>
    <tableColumn id="3" xr3:uid="{E11000F7-1FD3-4EBB-AE47-6D0031EBC953}" name="W" dataDxfId="147">
      <calculatedColumnFormula>VLOOKUP(AA21,A:C,3,FALSE)</calculatedColumnFormula>
    </tableColumn>
    <tableColumn id="4" xr3:uid="{96EA5F1C-1168-4E24-8E58-8025DE6BA916}" name="L" dataDxfId="146">
      <calculatedColumnFormula>VLOOKUP(AA21,A:D,4,FALSE)</calculatedColumnFormula>
    </tableColumn>
    <tableColumn id="5" xr3:uid="{14CDDDFC-6ED8-4A48-829B-F9408A7D8453}" name="PCT." dataDxfId="145">
      <calculatedColumnFormula>IFERROR(AC21/AB21,0)</calculatedColumnFormula>
    </tableColumn>
    <tableColumn id="6" xr3:uid="{3A4ADB71-2F52-463E-8412-BED1C7154AD2}" name="Diff" dataDxfId="144">
      <calculatedColumnFormula>VLOOKUP(AA21,A:N,11,FALSE)</calculatedColumnFormula>
    </tableColumn>
    <tableColumn id="7" xr3:uid="{94CBE9FB-3ACD-4A3D-9AF0-348D3FB98D61}" name="GB" dataDxfId="143">
      <calculatedColumnFormula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calculatedColumnFormula>
    </tableColumn>
    <tableColumn id="8" xr3:uid="{56DA05DE-0FDB-4546-B47E-5C7ED3A1F999}" name="PS" dataDxfId="142">
      <calculatedColumnFormula>IF(VLOOKUP(NL[[#This Row],[Team]],Q:Y,9,FALSE)=0,"",VLOOKUP(NL[[#This Row],[Team]],Q:Y,9,FALSE))</calculatedColumnFormula>
    </tableColumn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D72244-304E-44B4-AF9A-6D19B4E92551}" name="MLB" displayName="MLB" ref="AJ2:AQ32" totalsRowShown="0" dataDxfId="141" tableBorderDxfId="140">
  <autoFilter ref="AJ2:AQ32" xr:uid="{DDD72244-304E-44B4-AF9A-6D19B4E9255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J3:AQ32">
    <sortCondition descending="1" ref="AN3:AN32"/>
    <sortCondition descending="1" ref="AL3:AL32"/>
    <sortCondition descending="1" ref="AO3:AO32"/>
  </sortState>
  <tableColumns count="8">
    <tableColumn id="1" xr3:uid="{CED14FB0-59A3-4500-88D6-720C9F75D7CE}" name="Team" dataDxfId="139"/>
    <tableColumn id="2" xr3:uid="{ABEA578E-6904-4562-895D-4C18CFABB592}" name="GP" dataDxfId="138">
      <calculatedColumnFormula>SUM(AL3:AM3)</calculatedColumnFormula>
    </tableColumn>
    <tableColumn id="3" xr3:uid="{9CD2973A-222D-4023-9ACF-7F816EEDAEEB}" name="W" dataDxfId="137">
      <calculatedColumnFormula>VLOOKUP(AJ3,A:C,3,FALSE)</calculatedColumnFormula>
    </tableColumn>
    <tableColumn id="4" xr3:uid="{1F08A758-7531-4B25-9D7A-EC54D8CD264D}" name="L" dataDxfId="136">
      <calculatedColumnFormula>VLOOKUP(AJ3,A:D,4,FALSE)</calculatedColumnFormula>
    </tableColumn>
    <tableColumn id="5" xr3:uid="{38D48C60-EBE5-41BC-B865-D7005022D101}" name="PCT." dataDxfId="135">
      <calculatedColumnFormula>IFERROR(AL3/AK3,0)</calculatedColumnFormula>
    </tableColumn>
    <tableColumn id="6" xr3:uid="{8E058C3A-3ECD-43CE-ACF5-2F4C3FCB2D6F}" name="Diff" dataDxfId="134">
      <calculatedColumnFormula>VLOOKUP(AJ3,A:N,11,FALSE)</calculatedColumnFormula>
    </tableColumn>
    <tableColumn id="7" xr3:uid="{7523CD0E-318A-458A-B30C-716FD8B0F446}" name="GB" dataDxfId="133">
      <calculatedColumnFormula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calculatedColumnFormula>
    </tableColumn>
    <tableColumn id="8" xr3:uid="{C6DBA499-F5D1-4A04-9E65-8C13CA8E70DC}" name="PS" dataDxfId="132">
      <calculatedColumnFormula>IF(VLOOKUP(MLB[[#This Row],[Team]],Q:Y,9,FALSE)=0,"",VLOOKUP(MLB[[#This Row],[Team]],Q:Y,9,FALSE))</calculatedColumnFormula>
    </tableColumn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D6E089-FAA7-4A9F-8462-20EC28B409DF}" name="East" displayName="East" ref="A2:N8" totalsRowShown="0" dataDxfId="131" headerRowBorderDxfId="129" tableBorderDxfId="130">
  <autoFilter ref="A2:N8" xr:uid="{1DD6E089-FAA7-4A9F-8462-20EC28B409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3:N8">
    <sortCondition descending="1" ref="E3:E8"/>
    <sortCondition descending="1" ref="C3:C8"/>
    <sortCondition descending="1" ref="J3:J8"/>
  </sortState>
  <tableColumns count="14">
    <tableColumn id="1" xr3:uid="{0084B912-FE4D-4412-ADB6-32A77A8714FD}" name="Team" dataDxfId="128"/>
    <tableColumn id="2" xr3:uid="{A472997F-6FAE-457A-A2AB-EE0741392E97}" name="GP" dataDxfId="127">
      <calculatedColumnFormula>SUM(C3:D3)</calculatedColumnFormula>
    </tableColumn>
    <tableColumn id="3" xr3:uid="{F5A16A66-48D1-430B-8976-5A99431D118E}" name="W" dataDxfId="126"/>
    <tableColumn id="4" xr3:uid="{4266AD22-0ABB-4896-ABAE-5FF7578A7990}" name="L" dataDxfId="125"/>
    <tableColumn id="5" xr3:uid="{A7475A9F-FAC8-42BD-A30F-5B7ACC934A40}" name="PCT." dataDxfId="124">
      <calculatedColumnFormula>IFERROR(C3/B3,0)</calculatedColumnFormula>
    </tableColumn>
    <tableColumn id="10" xr3:uid="{6829DA18-477A-4213-90C3-A2EF19754CCC}" name="GB." dataDxfId="123">
      <calculatedColumnFormula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calculatedColumnFormula>
    </tableColumn>
    <tableColumn id="6" xr3:uid="{C567CE5E-A6EC-4EFE-A1B8-866988C381A3}" name="E#" dataDxfId="122">
      <calculatedColumnFormula>100-D3</calculatedColumnFormula>
    </tableColumn>
    <tableColumn id="12" xr3:uid="{EFDF6F9C-ADEC-487E-931D-35D41C35D1C7}" name="RF" dataDxfId="121"/>
    <tableColumn id="13" xr3:uid="{6B6ACE28-6E47-4E8C-ABAD-36374B641C88}" name="RA" dataDxfId="120"/>
    <tableColumn id="14" xr3:uid="{B9F6C158-CE99-4015-89EB-7BF1A480116A}" name="Diff" dataDxfId="119">
      <calculatedColumnFormula>East[[#This Row],[RF]]-East[[#This Row],[RA]]</calculatedColumnFormula>
    </tableColumn>
    <tableColumn id="8" xr3:uid="{28F41DB3-8579-417B-BE1F-80B01775D7C0}" name="ERec" dataDxfId="118">
      <calculatedColumnFormula>_xlfn.CONCAT(ROUND(((East[[#This Row],[RF]]^1.83)/((East[[#This Row],[RF]]^1.83)+(East[[#This Row],[RA]]^1.83))*B3),0),"-",East[[#This Row],[GP]]-ROUND(((East[[#This Row],[RF]]^1.83)/((East[[#This Row],[RF]]^1.83)+(East[[#This Row],[RA]]^1.83))*B3),0))</calculatedColumnFormula>
    </tableColumn>
    <tableColumn id="9" xr3:uid="{B9550ABC-305A-493D-9EB2-6F3665B91979}" name="PRec" dataDxfId="117">
      <calculatedColumnFormula>_xlfn.CONCAT(ROUND(100*East[[#This Row],[PCT.]],0),"-",100-ROUND(100*East[[#This Row],[PCT.]],0))</calculatedColumnFormula>
    </tableColumn>
    <tableColumn id="7" xr3:uid="{C2917E6F-F403-4B10-AC15-AE64AAC8B8EF}" name="GP%" dataDxfId="116">
      <calculatedColumnFormula>IFERROR(B3/100,0)</calculatedColumnFormula>
    </tableColumn>
    <tableColumn id="11" xr3:uid="{A0623A45-8D46-4B33-ADCA-97E0896C1E74}" name="PS" dataDxfId="115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F9EAED-56E4-426E-A786-C61871F87300}" name="West" displayName="West" ref="A11:N17" totalsRowShown="0" dataDxfId="114" headerRowBorderDxfId="112" tableBorderDxfId="113">
  <autoFilter ref="A11:N17" xr:uid="{28F9EAED-56E4-426E-A786-C61871F873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12:N17">
    <sortCondition descending="1" ref="E12:E17"/>
    <sortCondition descending="1" ref="C12:C17"/>
    <sortCondition descending="1" ref="J12:J17"/>
  </sortState>
  <tableColumns count="14">
    <tableColumn id="1" xr3:uid="{8190A913-43BE-4B17-8C57-C22B29C1A367}" name="Team" dataDxfId="111"/>
    <tableColumn id="2" xr3:uid="{2B66E643-2990-4F44-A681-FB77F42C5AFF}" name="GP" dataDxfId="110">
      <calculatedColumnFormula>SUM(C12:D12)</calculatedColumnFormula>
    </tableColumn>
    <tableColumn id="3" xr3:uid="{C812F042-1628-42C5-A875-874755175BDF}" name="W" dataDxfId="109"/>
    <tableColumn id="4" xr3:uid="{8AD7B3A9-4761-4149-8009-09BD1C8B7263}" name="L" dataDxfId="108"/>
    <tableColumn id="5" xr3:uid="{1AD28835-9396-4822-A499-C2325FC7C38F}" name="PCT." dataDxfId="107">
      <calculatedColumnFormula>IFERROR(C12/B12,0)</calculatedColumnFormula>
    </tableColumn>
    <tableColumn id="10" xr3:uid="{88110CF8-2BB0-4548-8870-0C13D519FE03}" name="GB" dataDxfId="106">
      <calculatedColumnFormula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calculatedColumnFormula>
    </tableColumn>
    <tableColumn id="6" xr3:uid="{FA6479D4-3A5A-4A16-820A-C6F7A0E000DB}" name="E#" dataDxfId="105">
      <calculatedColumnFormula>IF(A12 = $A$12, "-", IF(OR(A12 = $A$13, A12 = $A$14, A12 = $A$15), (100 - D12) - $C$12, (100-D12)-$C$15))</calculatedColumnFormula>
    </tableColumn>
    <tableColumn id="12" xr3:uid="{6784CF60-26E6-4A7A-8BAD-1D6AA97ABFF4}" name="RF" dataDxfId="104"/>
    <tableColumn id="13" xr3:uid="{A53240DD-E5EF-4C4E-A973-E76ADF9F65D9}" name="RA" dataDxfId="103"/>
    <tableColumn id="14" xr3:uid="{D4226D8E-7809-45EF-81E1-AC464BAA157E}" name="Diff" dataDxfId="102">
      <calculatedColumnFormula>West[[#This Row],[RF]]-West[[#This Row],[RA]]</calculatedColumnFormula>
    </tableColumn>
    <tableColumn id="8" xr3:uid="{AA1E1B75-4B52-4A0B-943C-4F76C8ACE272}" name="ERec" dataDxfId="101">
      <calculatedColumnFormula>ROUNDDOWN(100*E12,0.1)</calculatedColumnFormula>
    </tableColumn>
    <tableColumn id="9" xr3:uid="{35B04D36-1D62-4F1A-AC7D-9C0934F3E0DA}" name="PL" dataDxfId="100">
      <calculatedColumnFormula>100-K12</calculatedColumnFormula>
    </tableColumn>
    <tableColumn id="7" xr3:uid="{AB5CCECC-F39C-4519-9230-A72D2596634B}" name="GP%" dataDxfId="99">
      <calculatedColumnFormula>IFERROR(B12/100,0)</calculatedColumnFormula>
    </tableColumn>
    <tableColumn id="11" xr3:uid="{AC4B26EE-980F-41F7-A7B1-BB1FECEAFD36}" name="PS" dataDxfId="98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4513D9-53E3-457B-AB47-A96CC20E815B}" name="AA" displayName="AA" ref="P2:W14" totalsRowShown="0" headerRowDxfId="97" headerRowBorderDxfId="95" tableBorderDxfId="96" totalsRowBorderDxfId="94">
  <autoFilter ref="P2:W14" xr:uid="{CC4513D9-53E3-457B-AB47-A96CC20E81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P3:W14">
    <sortCondition descending="1" ref="T3:T14"/>
    <sortCondition descending="1" ref="R3:R14"/>
    <sortCondition descending="1" ref="V3:V14"/>
  </sortState>
  <tableColumns count="8">
    <tableColumn id="1" xr3:uid="{B134F4A6-D86D-4CF4-8C0E-5B5CE18886A2}" name="Team" dataDxfId="93"/>
    <tableColumn id="2" xr3:uid="{E64FFFB6-1446-4D17-A536-3FB9F9F9A193}" name="GP" dataDxfId="92">
      <calculatedColumnFormula>SUM(R3:S3)</calculatedColumnFormula>
    </tableColumn>
    <tableColumn id="3" xr3:uid="{06A5A5F4-1F81-4E78-85AD-FC69A25C6A75}" name="W" dataDxfId="91">
      <calculatedColumnFormula>VLOOKUP(P3,A:C,3,FALSE)</calculatedColumnFormula>
    </tableColumn>
    <tableColumn id="4" xr3:uid="{5253B317-EFB1-4CCD-8EEE-79D42AA2022E}" name="L" dataDxfId="90">
      <calculatedColumnFormula>VLOOKUP(P3,A:D,4,FALSE)</calculatedColumnFormula>
    </tableColumn>
    <tableColumn id="5" xr3:uid="{4AB9E516-D8BE-4023-86F4-894710380688}" name="PCT." dataDxfId="89">
      <calculatedColumnFormula>IFERROR(R3/Q3,0)</calculatedColumnFormula>
    </tableColumn>
    <tableColumn id="6" xr3:uid="{ADDDF219-1F5E-4316-BBA6-E959030723AA}" name="GB." dataDxfId="88">
      <calculatedColumnFormula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calculatedColumnFormula>
    </tableColumn>
    <tableColumn id="8" xr3:uid="{34B01822-73E8-4E99-89C6-9B1D93591549}" name="Diff" dataDxfId="87">
      <calculatedColumnFormula>VLOOKUP(AA[[#This Row],[Team]],A:J,10,FALSE)</calculatedColumnFormula>
    </tableColumn>
    <tableColumn id="7" xr3:uid="{DD731047-DC7B-47C0-A8FC-B830FA54FD57}" name="PS" dataDxfId="86">
      <calculatedColumnFormula>IF(VLOOKUP(AA[[#This Row],[Team]],A:N,14,FALSE)=0,"",VLOOKUP(AA[[#This Row],[Team]],A:N,14,FALSE))</calculatedColumn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24B7E9-F4AF-4F8D-B456-A1F61569352E}" name="Table13" displayName="Table13" ref="A2:F17" totalsRowShown="0" headerRowDxfId="85" headerRowBorderDxfId="83" tableBorderDxfId="84">
  <autoFilter ref="A2:F17" xr:uid="{DB24B7E9-F4AF-4F8D-B456-A1F6156935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3:F17">
    <sortCondition descending="1" ref="E3:E17"/>
    <sortCondition descending="1" ref="C3:C17"/>
  </sortState>
  <tableColumns count="6">
    <tableColumn id="1" xr3:uid="{86D11C6E-9CE4-450D-AB38-F16768E1BE5F}" name="Team" dataDxfId="82"/>
    <tableColumn id="2" xr3:uid="{1B09FFB6-D57A-4E1A-8CAD-0EA2BA663DCA}" name="GP" dataDxfId="81">
      <calculatedColumnFormula>SUM(C3:D3)</calculatedColumnFormula>
    </tableColumn>
    <tableColumn id="3" xr3:uid="{9519F06C-C29B-45A8-906A-DDEB3EC4D397}" name="W" dataDxfId="80"/>
    <tableColumn id="4" xr3:uid="{1A951EF1-EB7C-4869-B5AC-F1F6B8843C55}" name="L" dataDxfId="79"/>
    <tableColumn id="5" xr3:uid="{6FB7EFB7-4C32-4C8F-894C-0475760D6589}" name="PCT." dataDxfId="78">
      <calculatedColumnFormula>IFERROR(C3/B3,0)</calculatedColumnFormula>
    </tableColumn>
    <tableColumn id="6" xr3:uid="{5A537674-2E24-4C1C-BCF4-D40500DE4DFE}" name="GB" dataDxfId="77">
      <calculatedColumnFormula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1E4EF6-EA99-461F-89D4-AB681E01A71B}" name="Table14" displayName="Table14" ref="A20:F35" totalsRowShown="0" headerRowDxfId="76" headerRowBorderDxfId="74" tableBorderDxfId="75">
  <autoFilter ref="A20:F35" xr:uid="{CF1E4EF6-EA99-461F-89D4-AB681E01A7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1:F35">
    <sortCondition descending="1" ref="E21:E35"/>
    <sortCondition descending="1" ref="C21:C35"/>
  </sortState>
  <tableColumns count="6">
    <tableColumn id="1" xr3:uid="{27BE4819-58D8-47DA-A284-9EC1A9CD62FF}" name="Team" dataDxfId="73"/>
    <tableColumn id="2" xr3:uid="{C87358DF-ED7C-494A-BF7F-62A78596EA6E}" name="GP" dataDxfId="72">
      <calculatedColumnFormula>SUM(C21:D21)</calculatedColumnFormula>
    </tableColumn>
    <tableColumn id="3" xr3:uid="{45C47BCB-C767-4A23-8042-373D208963D8}" name="W" dataDxfId="71"/>
    <tableColumn id="4" xr3:uid="{6785C684-EFA9-46D9-AAEB-D366F6F9802F}" name="L" dataDxfId="70"/>
    <tableColumn id="5" xr3:uid="{CB3C61DE-2382-4AE2-AA44-8C4B84C42174}" name="PCT." dataDxfId="69">
      <calculatedColumnFormula>IFERROR(C21/B21,0)</calculatedColumnFormula>
    </tableColumn>
    <tableColumn id="6" xr3:uid="{5C9F6760-5D04-4D30-BB43-31ED01E19594}" name="GB" dataDxfId="68">
      <calculatedColumnFormula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calculatedColumnFormula>
    </tableColumn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FEA7A7-77C5-4577-8FE9-72B00FF9B541}" name="Table15" displayName="Table15" ref="I2:N32" totalsRowShown="0" headerRowDxfId="67" tableBorderDxfId="66">
  <autoFilter ref="I2:N32" xr:uid="{89FEA7A7-77C5-4577-8FE9-72B00FF9B5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I3:N32">
    <sortCondition descending="1" ref="M3:M32"/>
    <sortCondition descending="1" ref="K3:K32"/>
  </sortState>
  <tableColumns count="6">
    <tableColumn id="1" xr3:uid="{DCD8C2AB-9A46-4302-8372-DA3E6E721A57}" name="Team" dataDxfId="65"/>
    <tableColumn id="2" xr3:uid="{0EEABCA8-10A1-4B48-AA7F-113232472A7F}" name="GP" dataDxfId="64">
      <calculatedColumnFormula>SUM(K3:L3)</calculatedColumnFormula>
    </tableColumn>
    <tableColumn id="3" xr3:uid="{6709354E-FF1D-4303-BB8A-7EBDB4EDDF2B}" name="W" dataDxfId="63">
      <calculatedColumnFormula>VLOOKUP(I3,A:C,3,FALSE)</calculatedColumnFormula>
    </tableColumn>
    <tableColumn id="4" xr3:uid="{3E266467-EA2B-4FCC-B4FC-6E638D727071}" name="L" dataDxfId="62">
      <calculatedColumnFormula>VLOOKUP(I3,A:D,4,FALSE)</calculatedColumnFormula>
    </tableColumn>
    <tableColumn id="5" xr3:uid="{EA4F7506-D84D-49AD-A20A-E70298B3A7C3}" name="PCT." dataDxfId="61">
      <calculatedColumnFormula>IFERROR(K3/J3,0)</calculatedColumnFormula>
    </tableColumn>
    <tableColumn id="6" xr3:uid="{53D74540-5D1D-4B1E-B5A8-B3830FAECF02}" name="GB" dataDxfId="60">
      <calculatedColumnFormula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calculatedColumnFormula>
    </tableColumn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19E45B-73F3-4B90-8AE8-493ED6ECAD42}" name="Table18" displayName="Table18" ref="A2:M9" totalsRowShown="0" dataDxfId="59" headerRowBorderDxfId="57" tableBorderDxfId="58" totalsRowBorderDxfId="56">
  <autoFilter ref="A2:M9" xr:uid="{3319E45B-73F3-4B90-8AE8-493ED6ECAD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xmlns:xlrd2="http://schemas.microsoft.com/office/spreadsheetml/2017/richdata2" ref="A3:M9">
    <sortCondition descending="1" ref="E3:E9"/>
    <sortCondition descending="1" ref="C3:C9"/>
    <sortCondition descending="1" ref="J3:J9"/>
  </sortState>
  <tableColumns count="13">
    <tableColumn id="1" xr3:uid="{362392EB-D165-44E0-9405-6F69F0778F91}" name="Team" dataDxfId="55"/>
    <tableColumn id="2" xr3:uid="{43819C61-4DA6-4F51-846B-DDCFF62855D9}" name="GP" dataDxfId="54">
      <calculatedColumnFormula>SUM(C3:D3)</calculatedColumnFormula>
    </tableColumn>
    <tableColumn id="3" xr3:uid="{8E5A15C8-ACF5-464B-BCE5-E18C7418EA3F}" name="W" dataDxfId="53"/>
    <tableColumn id="4" xr3:uid="{A372FF3C-CDDC-4984-9822-D0363F03173D}" name="L" dataDxfId="52"/>
    <tableColumn id="5" xr3:uid="{D798B833-D991-4A0E-A101-D1A66385F0B3}" name="PCT." dataDxfId="51">
      <calculatedColumnFormula>IFERROR(C3/B3,0)</calculatedColumnFormula>
    </tableColumn>
    <tableColumn id="6" xr3:uid="{309B037F-7184-4F00-87A8-E8847953046A}" name="E#" dataDxfId="50">
      <calculatedColumnFormula>24-D3</calculatedColumnFormula>
    </tableColumn>
    <tableColumn id="10" xr3:uid="{46572F0F-B813-4A57-B0B3-998D5DD830E5}" name="GB." dataDxfId="49">
      <calculatedColumnFormula>IF((IF($B$3&gt;B3,((MAX($C$3,C3)-C3)+(D3-MIN($D$3,D3)))/2,((MIN($B$3,B3)-MAX($B$3,B3))/2)+(D3-MIN($D$3,D3)))) = 0, "-", IF($B$3&gt;B3,((MAX($C$3,C3)-C3)+(D3-MIN($D$3,D3)))/2,((MIN($B$3,B3)-MAX($B$3,B3))/2)+(D3-MIN($D$3,D3))))</calculatedColumnFormula>
    </tableColumn>
    <tableColumn id="12" xr3:uid="{6625F209-B4C0-4738-B1C1-F611761E49AD}" name="RF" dataDxfId="48"/>
    <tableColumn id="13" xr3:uid="{58E9D689-F257-408D-BBB3-F6CAC02A4499}" name="RA" dataDxfId="47"/>
    <tableColumn id="11" xr3:uid="{591F0AF6-32DC-49A7-917E-CCADE1C9ED85}" name="Diff" dataDxfId="46"/>
    <tableColumn id="8" xr3:uid="{11075B2C-966F-4F50-A90B-7130E748E77F}" name="PW" dataDxfId="45">
      <calculatedColumnFormula>ROUNDUP(24*E3,0.1)</calculatedColumnFormula>
    </tableColumn>
    <tableColumn id="9" xr3:uid="{5FA732E2-92AF-4F97-8DB2-479FBD51699E}" name="PL" dataDxfId="44">
      <calculatedColumnFormula>24-K3</calculatedColumnFormula>
    </tableColumn>
    <tableColumn id="7" xr3:uid="{238D739B-4F3F-4C76-A62F-C5E79AB81357}" name="GP%" dataDxfId="43">
      <calculatedColumnFormula>IFERROR(B3/24,0)</calculatedColumnFormula>
    </tableColumn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19B75A-BF1D-4BF0-957B-4BF6D670BE85}" name="Table19" displayName="Table19" ref="A2:N8" totalsRowShown="0" dataDxfId="42" headerRowBorderDxfId="40" tableBorderDxfId="41">
  <autoFilter ref="A2:N8" xr:uid="{4A19B75A-BF1D-4BF0-957B-4BF6D670BE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3:N8">
    <sortCondition descending="1" ref="E3:E8"/>
    <sortCondition descending="1" ref="C3:C8"/>
    <sortCondition descending="1" ref="K3:K8"/>
  </sortState>
  <tableColumns count="14">
    <tableColumn id="1" xr3:uid="{036741EA-F91A-4B2A-98C4-5E2B6B3F88ED}" name="Team" dataDxfId="39"/>
    <tableColumn id="2" xr3:uid="{03CA52F1-F97E-4D2F-A7AF-9D93CE5CA397}" name="GP" dataDxfId="38">
      <calculatedColumnFormula>SUM(C3:D3)</calculatedColumnFormula>
    </tableColumn>
    <tableColumn id="3" xr3:uid="{3CBEC0BE-52F1-4422-8E4B-3BD0CF634435}" name="W" dataDxfId="37"/>
    <tableColumn id="4" xr3:uid="{9E4DD05A-2300-4CA7-8751-3388E4EF9E4E}" name="L" dataDxfId="36"/>
    <tableColumn id="5" xr3:uid="{D4A4F76C-1087-4260-8AF9-94E7155EB17A}" name="PCT." dataDxfId="35">
      <calculatedColumnFormula>IFERROR(C3/B3,0)</calculatedColumnFormula>
    </tableColumn>
    <tableColumn id="6" xr3:uid="{F5F2EC05-8112-40D4-BC95-AD955F0B94C4}" name="E#" dataDxfId="34">
      <calculatedColumnFormula>56-D3</calculatedColumnFormula>
    </tableColumn>
    <tableColumn id="7" xr3:uid="{D5226474-F49B-4663-BC6A-E506BF52E373}" name="GP%" dataDxfId="33">
      <calculatedColumnFormula>IFERROR(B3/56,0)</calculatedColumnFormula>
    </tableColumn>
    <tableColumn id="10" xr3:uid="{769B25B7-172D-4A05-BDA1-4539F35E5FD0}" name="GB." dataDxfId="32">
      <calculatedColumnFormula>IF((IF($B$3&gt;B3,((MAX($C$3,C3)-C3)+(D3-MIN($D$3,D3)))/2,((MIN($B$3,B3)-MAX($B$3,B3))/2)+(D3-MIN($D$3,D3)))) = 0, "-", IF($B$3&gt;B3,((MAX($C$3,C3)-C3)+(D3-MIN($D$3,D3)))/2,((MIN($B$3,B3)-MAX($B$3,B3))/2)+(D3-MIN($D$3,D3))))</calculatedColumnFormula>
    </tableColumn>
    <tableColumn id="12" xr3:uid="{15AC57F8-19A8-4FE3-B97D-9DDEAC0ACF53}" name="RF" dataDxfId="31"/>
    <tableColumn id="13" xr3:uid="{7CDBCD07-7EA8-488B-8508-D9FC2BF50B95}" name="RA" dataDxfId="30"/>
    <tableColumn id="14" xr3:uid="{0DAED895-84E6-4541-BB08-2A7354C647BE}" name="Diff" dataDxfId="29">
      <calculatedColumnFormula>Table19[[#This Row],[RF]]-Table19[[#This Row],[RA]]</calculatedColumnFormula>
    </tableColumn>
    <tableColumn id="8" xr3:uid="{9462CE85-D9C9-483C-9E49-2D44EC5B7141}" name="ERec" dataDxfId="28">
      <calculatedColumnFormula>_xlfn.CONCAT(ROUND(((Table19[[#This Row],[RF]]^1.83)/((Table19[[#This Row],[RF]]^1.83)+(Table19[[#This Row],[RA]]^1.83))*B3),0),"-",Table19[[#This Row],[GP]]-ROUND(((Table19[[#This Row],[RF]]^1.83)/((Table19[[#This Row],[RF]]^1.83)+(Table19[[#This Row],[RA]]^1.83))*B3),0))</calculatedColumnFormula>
    </tableColumn>
    <tableColumn id="9" xr3:uid="{09676CEE-B057-4F37-B576-4F9628FDE250}" name="PRec" dataDxfId="27">
      <calculatedColumnFormula>_xlfn.CONCAT(ROUND(56*Table19[[#This Row],[PCT.]],0),"-",56-ROUND(56*Table19[[#This Row],[PCT.]],0))</calculatedColumnFormula>
    </tableColumn>
    <tableColumn id="11" xr3:uid="{16CB1D99-21C3-4C0A-8C7D-F9FDBEE77D7D}" name="PS" dataDxfId="26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84CCE4-6E79-4FF8-910B-2846360EEF1F}" name="Table20" displayName="Table20" ref="A11:N17" totalsRowShown="0" dataDxfId="25" headerRowBorderDxfId="23" tableBorderDxfId="24">
  <autoFilter ref="A11:N17" xr:uid="{0084CCE4-6E79-4FF8-910B-2846360EEF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12:N17">
    <sortCondition descending="1" ref="E12:E17"/>
    <sortCondition descending="1" ref="C12:C17"/>
    <sortCondition descending="1" ref="K12:K17"/>
  </sortState>
  <tableColumns count="14">
    <tableColumn id="1" xr3:uid="{E8ECD0BB-DDEE-436B-8675-8DEB4C8AFDDF}" name="Team" dataDxfId="22"/>
    <tableColumn id="2" xr3:uid="{277EDB43-92D6-4CAD-AD64-3FC904A2110F}" name="GP" dataDxfId="21">
      <calculatedColumnFormula>SUM(C12:D12)</calculatedColumnFormula>
    </tableColumn>
    <tableColumn id="3" xr3:uid="{07C23F67-5E4C-46C9-9728-B6C2AA44812B}" name="W" dataDxfId="20"/>
    <tableColumn id="4" xr3:uid="{540C95A1-0DC1-4CFB-A097-48754ECEE25D}" name="L" dataDxfId="19"/>
    <tableColumn id="5" xr3:uid="{885C48F1-3BBE-4D87-B5CF-858F80BD4CFC}" name="PCT." dataDxfId="18">
      <calculatedColumnFormula>IFERROR(C12/B12,0)</calculatedColumnFormula>
    </tableColumn>
    <tableColumn id="6" xr3:uid="{93871F4D-7C0F-4F3E-B208-A1FD7E3101DD}" name="E#" dataDxfId="17">
      <calculatedColumnFormula>56-D12</calculatedColumnFormula>
    </tableColumn>
    <tableColumn id="7" xr3:uid="{452EBF65-08C5-4F93-95EF-1A56FBBAB87D}" name="GP%" dataDxfId="16">
      <calculatedColumnFormula>IFERROR(B12/56,0)</calculatedColumnFormula>
    </tableColumn>
    <tableColumn id="10" xr3:uid="{CEF4876F-D542-4383-A74E-1B852484C5F8}" name="GB." dataDxfId="15">
      <calculatedColumnFormula>IF((IF($B$12&gt;B12,((MAX($C$12,C12)-C12)+(D12-MIN($D$12,D12)))/2,((MIN($B$12,B12)-MAX($B$12,B12))/2)+(D12-MIN($D$12,D12)))) = 0, "-", IF($B$12&gt;B12,((MAX($C$12,C12)-C12)+(D12-MIN($D$12,D12)))/2,((MIN($B$12,B12)-MAX($B$12,B12))/2)+(D12-MIN($D$12,D12))))</calculatedColumnFormula>
    </tableColumn>
    <tableColumn id="12" xr3:uid="{80FA6F5E-0CFA-4B11-99F8-364DE4FAE6EB}" name="RF" dataDxfId="14"/>
    <tableColumn id="13" xr3:uid="{CCEC304E-8034-4AE0-AB01-652CDB758E22}" name="RA" dataDxfId="13"/>
    <tableColumn id="14" xr3:uid="{585FFCCC-0F5A-4A58-A5C6-94D9D7748F46}" name="Diff" dataDxfId="12">
      <calculatedColumnFormula>Table20[[#This Row],[RF]]-Table20[[#This Row],[RA]]</calculatedColumnFormula>
    </tableColumn>
    <tableColumn id="8" xr3:uid="{B350F71B-BB56-4BBB-A766-E13FEE17BDA1}" name="ERec" dataDxfId="11">
      <calculatedColumnFormula>_xlfn.CONCAT(ROUND(((Table20[[#This Row],[RF]]^1.83)/((Table20[[#This Row],[RF]]^1.83)+(Table20[[#This Row],[RA]]^1.83))*B12),0),"-",Table20[[#This Row],[GP]]-ROUND(((Table20[[#This Row],[RF]]^1.83)/((Table20[[#This Row],[RF]]^1.83)+(Table20[[#This Row],[RA]]^1.83))*B12),0))</calculatedColumnFormula>
    </tableColumn>
    <tableColumn id="9" xr3:uid="{BE91A1CA-FDFF-475F-93E7-0F31D892C427}" name="PRec" dataDxfId="10">
      <calculatedColumnFormula>_xlfn.CONCAT(ROUND(56*Table20[[#This Row],[PCT.]],0),"-",56-ROUND(56*Table20[[#This Row],[PCT.]],0))</calculatedColumnFormula>
    </tableColumn>
    <tableColumn id="11" xr3:uid="{F9F2F096-784B-4FDF-A4E1-01DEB35F2F41}" name="PS" dataDxfId="9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193202F-72DD-4C3F-BD4F-3DCE02FB271B}" name="Table21" displayName="Table21" ref="P2:W14" totalsRowShown="0" headerRowDxfId="8" tableBorderDxfId="7">
  <autoFilter ref="P2:W14" xr:uid="{C193202F-72DD-4C3F-BD4F-3DCE02FB27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P3:W14">
    <sortCondition descending="1" ref="T3:T14"/>
    <sortCondition descending="1" ref="R3:R14"/>
    <sortCondition descending="1" ref="V3:V14"/>
  </sortState>
  <tableColumns count="8">
    <tableColumn id="1" xr3:uid="{A4B67E06-2F33-496B-A6B1-E0C6305F8862}" name="Team" dataDxfId="6"/>
    <tableColumn id="2" xr3:uid="{C8BF6EAA-5905-4DAB-A602-544ED91B3EEF}" name="GP" dataDxfId="5">
      <calculatedColumnFormula>SUM(R3:S3)</calculatedColumnFormula>
    </tableColumn>
    <tableColumn id="3" xr3:uid="{C313931F-42B7-4699-B6FE-F394FD3470F0}" name="W" dataDxfId="4">
      <calculatedColumnFormula>VLOOKUP(P3,A:C,3,FALSE)</calculatedColumnFormula>
    </tableColumn>
    <tableColumn id="4" xr3:uid="{C6EF62EB-4A57-4CB0-B619-7087DEA2D9D9}" name="L">
      <calculatedColumnFormula>VLOOKUP(P3,A:D,4,FALSE)</calculatedColumnFormula>
    </tableColumn>
    <tableColumn id="5" xr3:uid="{2F8D9D35-D496-423C-BC15-9B0DB0212A54}" name="PCT." dataDxfId="3">
      <calculatedColumnFormula>IFERROR(R3/Q3,0)</calculatedColumnFormula>
    </tableColumn>
    <tableColumn id="6" xr3:uid="{8163AA82-4543-48EF-9ED4-88D9A6AA48E9}" name="GB." dataDxfId="2">
      <calculatedColumnFormula>IF((IF($Q$3&gt;Q3,((MAX($R$3,R3)-R3)+(S3-MIN($S$3,S3)))/2,((MIN($Q$3,Q3)-MAX($Q$3,Q3))/2)+(S3-MIN($S$3,S3)))) = 0, "-", (IF($Q$3&gt;Q3,((MAX($R$3,R3)-R3)+(S3-MIN($S$3,S3)))/2,((MIN($Q$3,Q3)-MAX($Q$3,Q3))/2)+(S3-MIN($S$3,S3)))))</calculatedColumnFormula>
    </tableColumn>
    <tableColumn id="8" xr3:uid="{2B00AB86-E716-4CDA-A729-96B83D003555}" name="Diff" dataDxfId="1">
      <calculatedColumnFormula>VLOOKUP(Table21[[#This Row],[Team]],A:K,11,FALSE)</calculatedColumnFormula>
    </tableColumn>
    <tableColumn id="7" xr3:uid="{6FC2C1B9-CC92-4E51-A986-D13E2D25A919}" name="PS" dataDxfId="0">
      <calculatedColumnFormula>IF(VLOOKUP(Table21[[#This Row],[Team]],A:N,14,FALSE)=0,"",VLOOKUP(Table21[[#This Row],[Team]],A:N,14,FALSE))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7FA6-A45B-446C-A09D-98F8A080F475}">
  <sheetPr>
    <outlinePr summaryBelow="0" summaryRight="0"/>
  </sheetPr>
  <dimension ref="A1:Q892"/>
  <sheetViews>
    <sheetView zoomScaleNormal="100" workbookViewId="0">
      <pane ySplit="1" topLeftCell="A151" activePane="bottomLeft" state="frozen"/>
      <selection pane="bottomLeft" activeCell="A152" sqref="A152"/>
      <selection activeCell="C1" sqref="C1"/>
    </sheetView>
  </sheetViews>
  <sheetFormatPr defaultColWidth="14.42578125" defaultRowHeight="12.75" customHeight="1"/>
  <cols>
    <col min="1" max="1" width="39" style="5" bestFit="1" customWidth="1"/>
    <col min="2" max="2" width="8.5703125" style="24" customWidth="1"/>
    <col min="3" max="3" width="9.85546875" style="32" customWidth="1"/>
    <col min="4" max="4" width="10" style="5" bestFit="1" customWidth="1"/>
    <col min="5" max="5" width="7" style="5" customWidth="1"/>
    <col min="6" max="6" width="8" style="5" customWidth="1"/>
    <col min="7" max="8" width="9.5703125" style="33" customWidth="1"/>
    <col min="9" max="9" width="9.5703125" style="246" customWidth="1"/>
    <col min="10" max="10" width="6.28515625" style="5" customWidth="1"/>
    <col min="11" max="11" width="16.28515625" style="5" bestFit="1" customWidth="1"/>
    <col min="12" max="12" width="16.85546875" style="5" customWidth="1"/>
    <col min="13" max="13" width="14.28515625" style="5" customWidth="1"/>
    <col min="14" max="14" width="14.28515625" style="11" customWidth="1"/>
    <col min="15" max="15" width="7.5703125" style="5" customWidth="1"/>
    <col min="16" max="16384" width="14.42578125" style="5"/>
  </cols>
  <sheetData>
    <row r="1" spans="1:17" ht="15">
      <c r="A1" s="1" t="s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02" t="s">
        <v>5</v>
      </c>
      <c r="H1" s="302" t="s">
        <v>6</v>
      </c>
      <c r="I1" s="270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</row>
    <row r="2" spans="1:17" ht="15">
      <c r="A2" s="14" t="s">
        <v>14</v>
      </c>
      <c r="B2" s="7">
        <v>1</v>
      </c>
      <c r="C2" s="8" t="s">
        <v>15</v>
      </c>
      <c r="D2" s="8" t="s">
        <v>16</v>
      </c>
      <c r="E2" s="8" t="s">
        <v>17</v>
      </c>
      <c r="F2" s="8" t="s">
        <v>18</v>
      </c>
      <c r="G2" s="9" t="s">
        <v>19</v>
      </c>
      <c r="H2" s="9" t="s">
        <v>20</v>
      </c>
      <c r="I2" s="271">
        <f>IF(E2="","",G2-H2)</f>
        <v>-10</v>
      </c>
      <c r="J2" s="8" t="s">
        <v>21</v>
      </c>
      <c r="K2" s="8" t="s">
        <v>22</v>
      </c>
      <c r="L2" s="8" t="s">
        <v>23</v>
      </c>
      <c r="M2" s="8" t="s">
        <v>24</v>
      </c>
      <c r="N2" s="10" t="str">
        <f>IF(E2="","",IFERROR(_xlfn.CONCAT(ROUND((G2^1.83)/((G2^1.83)+(H2^1.83))*B2,0),"-",B2-ROUND((G2^1.83)/((G2^1.83)+(H2^1.83))*B2,0)),0))</f>
        <v>0-1</v>
      </c>
      <c r="O2" s="8" t="s">
        <v>25</v>
      </c>
      <c r="Q2" s="11"/>
    </row>
    <row r="3" spans="1:17" ht="15">
      <c r="A3" s="14" t="s">
        <v>14</v>
      </c>
      <c r="B3" s="7">
        <v>2</v>
      </c>
      <c r="C3" s="8" t="s">
        <v>26</v>
      </c>
      <c r="D3" s="8" t="s">
        <v>27</v>
      </c>
      <c r="E3" s="8" t="s">
        <v>28</v>
      </c>
      <c r="F3" s="8" t="s">
        <v>29</v>
      </c>
      <c r="G3" s="9">
        <f>G2+8</f>
        <v>10</v>
      </c>
      <c r="H3" s="9">
        <f>H2+2</f>
        <v>14</v>
      </c>
      <c r="I3" s="271">
        <f t="shared" ref="I3:I65" si="0">IF(E3="","",G3-H3)</f>
        <v>-4</v>
      </c>
      <c r="J3" s="8" t="s">
        <v>30</v>
      </c>
      <c r="K3" s="8" t="s">
        <v>31</v>
      </c>
      <c r="L3" s="8" t="s">
        <v>32</v>
      </c>
      <c r="M3" s="8" t="s">
        <v>24</v>
      </c>
      <c r="N3" s="10" t="str">
        <f t="shared" ref="N3:N65" si="1">IF(E3="","",IFERROR(_xlfn.CONCAT(ROUND((G3^1.83)/((G3^1.83)+(H3^1.83))*B3,0),"-",B3-ROUND((G3^1.83)/((G3^1.83)+(H3^1.83))*B3,0)),0))</f>
        <v>1-1</v>
      </c>
      <c r="O3" s="8" t="s">
        <v>33</v>
      </c>
      <c r="Q3" s="11"/>
    </row>
    <row r="4" spans="1:17" ht="15">
      <c r="A4" s="14" t="s">
        <v>14</v>
      </c>
      <c r="B4" s="7">
        <v>3</v>
      </c>
      <c r="C4" s="8" t="s">
        <v>34</v>
      </c>
      <c r="D4" s="8" t="s">
        <v>16</v>
      </c>
      <c r="E4" s="8" t="s">
        <v>17</v>
      </c>
      <c r="F4" s="8" t="s">
        <v>35</v>
      </c>
      <c r="G4" s="9">
        <f>G3+5</f>
        <v>15</v>
      </c>
      <c r="H4" s="9">
        <f>H3+9</f>
        <v>23</v>
      </c>
      <c r="I4" s="271">
        <f t="shared" si="0"/>
        <v>-8</v>
      </c>
      <c r="J4" s="8" t="s">
        <v>36</v>
      </c>
      <c r="K4" s="8" t="s">
        <v>37</v>
      </c>
      <c r="L4" s="8" t="s">
        <v>38</v>
      </c>
      <c r="M4" s="8" t="s">
        <v>24</v>
      </c>
      <c r="N4" s="10" t="str">
        <f t="shared" si="1"/>
        <v>1-2</v>
      </c>
      <c r="O4" s="8" t="s">
        <v>39</v>
      </c>
      <c r="Q4" s="11"/>
    </row>
    <row r="5" spans="1:17" ht="15">
      <c r="A5" s="14" t="s">
        <v>14</v>
      </c>
      <c r="B5" s="7">
        <v>4</v>
      </c>
      <c r="C5" s="8" t="s">
        <v>40</v>
      </c>
      <c r="D5" s="21" t="s">
        <v>41</v>
      </c>
      <c r="E5" s="8" t="s">
        <v>28</v>
      </c>
      <c r="F5" s="8" t="s">
        <v>42</v>
      </c>
      <c r="G5" s="9">
        <f>G4+3</f>
        <v>18</v>
      </c>
      <c r="H5" s="9">
        <f>H4+1</f>
        <v>24</v>
      </c>
      <c r="I5" s="271">
        <f t="shared" si="0"/>
        <v>-6</v>
      </c>
      <c r="J5" s="8" t="s">
        <v>43</v>
      </c>
      <c r="K5" s="8" t="s">
        <v>44</v>
      </c>
      <c r="L5" s="8" t="s">
        <v>45</v>
      </c>
      <c r="M5" s="8" t="s">
        <v>46</v>
      </c>
      <c r="N5" s="10" t="str">
        <f t="shared" si="1"/>
        <v>1-3</v>
      </c>
      <c r="O5" s="8" t="s">
        <v>47</v>
      </c>
      <c r="Q5" s="11"/>
    </row>
    <row r="6" spans="1:17" ht="15">
      <c r="A6" s="14" t="s">
        <v>48</v>
      </c>
      <c r="B6" s="7">
        <v>5</v>
      </c>
      <c r="C6" s="8" t="s">
        <v>49</v>
      </c>
      <c r="D6" s="8" t="s">
        <v>27</v>
      </c>
      <c r="E6" s="8" t="s">
        <v>28</v>
      </c>
      <c r="F6" s="8" t="s">
        <v>50</v>
      </c>
      <c r="G6" s="9">
        <f>G5+5</f>
        <v>23</v>
      </c>
      <c r="H6" s="9">
        <f>H5+2</f>
        <v>26</v>
      </c>
      <c r="I6" s="271">
        <f t="shared" si="0"/>
        <v>-3</v>
      </c>
      <c r="J6" s="8" t="s">
        <v>51</v>
      </c>
      <c r="K6" s="8" t="s">
        <v>52</v>
      </c>
      <c r="L6" s="8" t="s">
        <v>53</v>
      </c>
      <c r="M6" s="8" t="s">
        <v>54</v>
      </c>
      <c r="N6" s="10" t="str">
        <f t="shared" si="1"/>
        <v>2-3</v>
      </c>
      <c r="O6" s="8" t="s">
        <v>55</v>
      </c>
    </row>
    <row r="7" spans="1:17" ht="15">
      <c r="A7" s="14" t="s">
        <v>48</v>
      </c>
      <c r="B7" s="7">
        <v>6</v>
      </c>
      <c r="C7" s="8" t="s">
        <v>56</v>
      </c>
      <c r="D7" s="8" t="s">
        <v>27</v>
      </c>
      <c r="E7" s="12" t="s">
        <v>28</v>
      </c>
      <c r="F7" s="12" t="s">
        <v>57</v>
      </c>
      <c r="G7" s="303" t="s">
        <v>58</v>
      </c>
      <c r="H7" s="303" t="s">
        <v>59</v>
      </c>
      <c r="I7" s="271">
        <f t="shared" si="0"/>
        <v>-1</v>
      </c>
      <c r="J7" s="12" t="s">
        <v>60</v>
      </c>
      <c r="K7" s="12" t="s">
        <v>61</v>
      </c>
      <c r="L7" s="12" t="s">
        <v>62</v>
      </c>
      <c r="M7" s="12" t="s">
        <v>46</v>
      </c>
      <c r="N7" s="10" t="str">
        <f t="shared" si="1"/>
        <v>3-3</v>
      </c>
      <c r="O7" s="12" t="s">
        <v>63</v>
      </c>
    </row>
    <row r="8" spans="1:17" ht="15">
      <c r="A8" s="14" t="s">
        <v>48</v>
      </c>
      <c r="B8" s="7">
        <v>7</v>
      </c>
      <c r="C8" s="8" t="s">
        <v>64</v>
      </c>
      <c r="D8" s="8" t="s">
        <v>16</v>
      </c>
      <c r="E8" s="8" t="s">
        <v>28</v>
      </c>
      <c r="F8" s="8" t="s">
        <v>63</v>
      </c>
      <c r="G8" s="9" t="s">
        <v>65</v>
      </c>
      <c r="H8" s="9" t="s">
        <v>66</v>
      </c>
      <c r="I8" s="271">
        <f t="shared" si="0"/>
        <v>1</v>
      </c>
      <c r="J8" s="8" t="s">
        <v>51</v>
      </c>
      <c r="K8" s="8" t="s">
        <v>67</v>
      </c>
      <c r="L8" s="8" t="s">
        <v>68</v>
      </c>
      <c r="M8" s="8" t="s">
        <v>46</v>
      </c>
      <c r="N8" s="10" t="str">
        <f t="shared" si="1"/>
        <v>4-3</v>
      </c>
      <c r="O8" s="8" t="s">
        <v>50</v>
      </c>
    </row>
    <row r="9" spans="1:17" ht="15">
      <c r="A9" s="13" t="s">
        <v>69</v>
      </c>
      <c r="B9" s="7">
        <v>8</v>
      </c>
      <c r="C9" s="8" t="s">
        <v>70</v>
      </c>
      <c r="D9" s="8" t="s">
        <v>71</v>
      </c>
      <c r="E9" s="12" t="s">
        <v>17</v>
      </c>
      <c r="F9" s="12" t="s">
        <v>72</v>
      </c>
      <c r="G9" s="303" t="s">
        <v>65</v>
      </c>
      <c r="H9" s="303" t="s">
        <v>73</v>
      </c>
      <c r="I9" s="271">
        <f t="shared" si="0"/>
        <v>-4</v>
      </c>
      <c r="J9" s="12" t="s">
        <v>74</v>
      </c>
      <c r="K9" s="12" t="s">
        <v>75</v>
      </c>
      <c r="L9" s="12" t="s">
        <v>31</v>
      </c>
      <c r="M9" s="12" t="s">
        <v>24</v>
      </c>
      <c r="N9" s="10" t="str">
        <f t="shared" si="1"/>
        <v>4-4</v>
      </c>
      <c r="O9" s="12" t="s">
        <v>57</v>
      </c>
    </row>
    <row r="10" spans="1:17" ht="15">
      <c r="A10" s="13" t="s">
        <v>69</v>
      </c>
      <c r="B10" s="7">
        <v>9</v>
      </c>
      <c r="C10" s="8" t="s">
        <v>76</v>
      </c>
      <c r="D10" s="8" t="s">
        <v>77</v>
      </c>
      <c r="E10" s="8" t="s">
        <v>17</v>
      </c>
      <c r="F10" s="8" t="s">
        <v>78</v>
      </c>
      <c r="G10" s="9" t="s">
        <v>79</v>
      </c>
      <c r="H10" s="9" t="s">
        <v>80</v>
      </c>
      <c r="I10" s="271">
        <f t="shared" si="0"/>
        <v>-5</v>
      </c>
      <c r="J10" s="8" t="s">
        <v>81</v>
      </c>
      <c r="K10" s="8" t="s">
        <v>82</v>
      </c>
      <c r="L10" s="8" t="s">
        <v>83</v>
      </c>
      <c r="M10" s="8" t="s">
        <v>24</v>
      </c>
      <c r="N10" s="10" t="str">
        <f t="shared" si="1"/>
        <v>4-5</v>
      </c>
      <c r="O10" s="8" t="s">
        <v>84</v>
      </c>
    </row>
    <row r="11" spans="1:17" ht="15">
      <c r="A11" s="13" t="s">
        <v>69</v>
      </c>
      <c r="B11" s="7">
        <v>10</v>
      </c>
      <c r="C11" s="8" t="s">
        <v>85</v>
      </c>
      <c r="D11" s="8" t="s">
        <v>86</v>
      </c>
      <c r="E11" s="8" t="s">
        <v>17</v>
      </c>
      <c r="F11" s="8" t="s">
        <v>39</v>
      </c>
      <c r="G11" s="9" t="s">
        <v>87</v>
      </c>
      <c r="H11" s="9" t="s">
        <v>88</v>
      </c>
      <c r="I11" s="271">
        <f t="shared" si="0"/>
        <v>-6</v>
      </c>
      <c r="J11" s="8" t="s">
        <v>89</v>
      </c>
      <c r="K11" s="8" t="s">
        <v>90</v>
      </c>
      <c r="L11" s="8" t="s">
        <v>52</v>
      </c>
      <c r="M11" s="8" t="s">
        <v>82</v>
      </c>
      <c r="N11" s="10" t="str">
        <f t="shared" si="1"/>
        <v>4-6</v>
      </c>
      <c r="O11" s="8" t="s">
        <v>91</v>
      </c>
    </row>
    <row r="12" spans="1:17" ht="15">
      <c r="A12" s="13" t="s">
        <v>92</v>
      </c>
      <c r="B12" s="7">
        <v>11</v>
      </c>
      <c r="C12" s="8" t="s">
        <v>93</v>
      </c>
      <c r="D12" s="8" t="s">
        <v>94</v>
      </c>
      <c r="E12" s="8" t="s">
        <v>28</v>
      </c>
      <c r="F12" s="8" t="s">
        <v>95</v>
      </c>
      <c r="G12" s="9" t="s">
        <v>88</v>
      </c>
      <c r="H12" s="9" t="s">
        <v>96</v>
      </c>
      <c r="I12" s="271">
        <f t="shared" si="0"/>
        <v>-2</v>
      </c>
      <c r="J12" s="8" t="s">
        <v>97</v>
      </c>
      <c r="K12" s="8" t="s">
        <v>23</v>
      </c>
      <c r="L12" s="8" t="s">
        <v>98</v>
      </c>
      <c r="M12" s="8" t="s">
        <v>24</v>
      </c>
      <c r="N12" s="10" t="str">
        <f t="shared" si="1"/>
        <v>5-6</v>
      </c>
      <c r="O12" s="8" t="s">
        <v>99</v>
      </c>
    </row>
    <row r="13" spans="1:17" ht="15">
      <c r="A13" s="13" t="s">
        <v>92</v>
      </c>
      <c r="B13" s="7">
        <v>12</v>
      </c>
      <c r="C13" s="8" t="s">
        <v>100</v>
      </c>
      <c r="D13" s="8" t="s">
        <v>94</v>
      </c>
      <c r="E13" s="8" t="s">
        <v>28</v>
      </c>
      <c r="F13" s="8" t="s">
        <v>101</v>
      </c>
      <c r="G13" s="9" t="s">
        <v>102</v>
      </c>
      <c r="H13" s="9" t="s">
        <v>103</v>
      </c>
      <c r="I13" s="271">
        <f t="shared" si="0"/>
        <v>3</v>
      </c>
      <c r="J13" s="8" t="s">
        <v>104</v>
      </c>
      <c r="K13" s="8" t="s">
        <v>67</v>
      </c>
      <c r="L13" s="8" t="s">
        <v>105</v>
      </c>
      <c r="M13" s="8" t="s">
        <v>24</v>
      </c>
      <c r="N13" s="10" t="str">
        <f t="shared" si="1"/>
        <v>6-6</v>
      </c>
      <c r="O13" s="8" t="s">
        <v>106</v>
      </c>
    </row>
    <row r="14" spans="1:17" ht="15">
      <c r="A14" s="13" t="s">
        <v>92</v>
      </c>
      <c r="B14" s="7">
        <v>13</v>
      </c>
      <c r="C14" s="8" t="s">
        <v>107</v>
      </c>
      <c r="D14" s="8" t="s">
        <v>94</v>
      </c>
      <c r="E14" s="8" t="s">
        <v>108</v>
      </c>
      <c r="F14" s="8" t="s">
        <v>109</v>
      </c>
      <c r="G14" s="9" t="s">
        <v>110</v>
      </c>
      <c r="H14" s="9" t="s">
        <v>111</v>
      </c>
      <c r="I14" s="271">
        <f t="shared" si="0"/>
        <v>4</v>
      </c>
      <c r="J14" s="8" t="s">
        <v>112</v>
      </c>
      <c r="K14" s="8" t="s">
        <v>46</v>
      </c>
      <c r="L14" s="8" t="s">
        <v>113</v>
      </c>
      <c r="M14" s="8" t="s">
        <v>83</v>
      </c>
      <c r="N14" s="10" t="str">
        <f t="shared" si="1"/>
        <v>7-6</v>
      </c>
      <c r="O14" s="8" t="s">
        <v>114</v>
      </c>
    </row>
    <row r="15" spans="1:17" ht="15">
      <c r="A15" s="13" t="s">
        <v>92</v>
      </c>
      <c r="B15" s="7">
        <v>14</v>
      </c>
      <c r="C15" s="8" t="s">
        <v>115</v>
      </c>
      <c r="D15" s="8" t="s">
        <v>116</v>
      </c>
      <c r="E15" s="8" t="s">
        <v>17</v>
      </c>
      <c r="F15" s="8" t="s">
        <v>117</v>
      </c>
      <c r="G15" s="9" t="s">
        <v>118</v>
      </c>
      <c r="H15" s="9" t="s">
        <v>110</v>
      </c>
      <c r="I15" s="271">
        <f t="shared" si="0"/>
        <v>3</v>
      </c>
      <c r="J15" s="8" t="s">
        <v>119</v>
      </c>
      <c r="K15" s="8" t="s">
        <v>120</v>
      </c>
      <c r="L15" s="8" t="s">
        <v>83</v>
      </c>
      <c r="M15" s="8" t="s">
        <v>24</v>
      </c>
      <c r="N15" s="10" t="str">
        <f t="shared" si="1"/>
        <v>7-7</v>
      </c>
      <c r="O15" s="8" t="s">
        <v>121</v>
      </c>
    </row>
    <row r="16" spans="1:17" ht="15">
      <c r="A16" s="13" t="s">
        <v>122</v>
      </c>
      <c r="B16" s="7">
        <v>15</v>
      </c>
      <c r="C16" s="8" t="s">
        <v>123</v>
      </c>
      <c r="D16" s="8" t="s">
        <v>124</v>
      </c>
      <c r="E16" s="8" t="s">
        <v>17</v>
      </c>
      <c r="F16" s="8" t="s">
        <v>125</v>
      </c>
      <c r="G16" s="9" t="s">
        <v>126</v>
      </c>
      <c r="H16" s="9" t="s">
        <v>127</v>
      </c>
      <c r="I16" s="271">
        <f t="shared" si="0"/>
        <v>2</v>
      </c>
      <c r="J16" s="8" t="s">
        <v>51</v>
      </c>
      <c r="K16" s="8" t="s">
        <v>128</v>
      </c>
      <c r="L16" s="8" t="s">
        <v>52</v>
      </c>
      <c r="M16" s="8" t="s">
        <v>129</v>
      </c>
      <c r="N16" s="10" t="str">
        <f t="shared" si="1"/>
        <v>8-7</v>
      </c>
      <c r="O16" s="8" t="s">
        <v>130</v>
      </c>
    </row>
    <row r="17" spans="1:15" ht="15">
      <c r="A17" s="13" t="s">
        <v>122</v>
      </c>
      <c r="B17" s="7">
        <v>16</v>
      </c>
      <c r="C17" s="8" t="s">
        <v>131</v>
      </c>
      <c r="D17" s="8" t="s">
        <v>132</v>
      </c>
      <c r="E17" s="8" t="s">
        <v>133</v>
      </c>
      <c r="F17" s="8" t="s">
        <v>134</v>
      </c>
      <c r="G17" s="9" t="s">
        <v>135</v>
      </c>
      <c r="H17" s="9" t="s">
        <v>136</v>
      </c>
      <c r="I17" s="271">
        <f t="shared" si="0"/>
        <v>3</v>
      </c>
      <c r="J17" s="8" t="s">
        <v>137</v>
      </c>
      <c r="K17" s="8" t="s">
        <v>46</v>
      </c>
      <c r="L17" s="8" t="s">
        <v>138</v>
      </c>
      <c r="M17" s="8" t="s">
        <v>24</v>
      </c>
      <c r="N17" s="10" t="str">
        <f t="shared" si="1"/>
        <v>8-8</v>
      </c>
      <c r="O17" s="8" t="s">
        <v>139</v>
      </c>
    </row>
    <row r="18" spans="1:15" ht="15">
      <c r="A18" s="14" t="s">
        <v>140</v>
      </c>
      <c r="B18" s="7">
        <v>17</v>
      </c>
      <c r="C18" s="8" t="s">
        <v>141</v>
      </c>
      <c r="D18" s="8" t="s">
        <v>27</v>
      </c>
      <c r="E18" s="8" t="s">
        <v>17</v>
      </c>
      <c r="F18" s="8" t="s">
        <v>142</v>
      </c>
      <c r="G18" s="9" t="s">
        <v>143</v>
      </c>
      <c r="H18" s="9" t="s">
        <v>144</v>
      </c>
      <c r="I18" s="271">
        <f t="shared" si="0"/>
        <v>-1</v>
      </c>
      <c r="J18" s="8" t="s">
        <v>145</v>
      </c>
      <c r="K18" s="8" t="s">
        <v>146</v>
      </c>
      <c r="L18" s="8" t="s">
        <v>67</v>
      </c>
      <c r="M18" s="8" t="s">
        <v>24</v>
      </c>
      <c r="N18" s="10" t="str">
        <f t="shared" si="1"/>
        <v>8-9</v>
      </c>
      <c r="O18" s="8" t="s">
        <v>104</v>
      </c>
    </row>
    <row r="19" spans="1:15" ht="15">
      <c r="A19" s="14" t="s">
        <v>140</v>
      </c>
      <c r="B19" s="7">
        <v>18</v>
      </c>
      <c r="C19" s="8" t="s">
        <v>147</v>
      </c>
      <c r="D19" s="8" t="s">
        <v>27</v>
      </c>
      <c r="E19" s="8" t="s">
        <v>28</v>
      </c>
      <c r="F19" s="8" t="s">
        <v>148</v>
      </c>
      <c r="G19" s="9" t="s">
        <v>149</v>
      </c>
      <c r="H19" s="9" t="s">
        <v>150</v>
      </c>
      <c r="I19" s="271">
        <f t="shared" si="0"/>
        <v>2</v>
      </c>
      <c r="J19" s="8" t="s">
        <v>151</v>
      </c>
      <c r="K19" s="8" t="s">
        <v>31</v>
      </c>
      <c r="L19" s="8" t="s">
        <v>152</v>
      </c>
      <c r="M19" s="8" t="s">
        <v>24</v>
      </c>
      <c r="N19" s="10" t="str">
        <f t="shared" si="1"/>
        <v>9-9</v>
      </c>
      <c r="O19" s="8" t="s">
        <v>81</v>
      </c>
    </row>
    <row r="20" spans="1:15" ht="15">
      <c r="A20" s="14" t="s">
        <v>140</v>
      </c>
      <c r="B20" s="7">
        <v>19</v>
      </c>
      <c r="C20" s="8" t="s">
        <v>153</v>
      </c>
      <c r="D20" s="8" t="s">
        <v>154</v>
      </c>
      <c r="E20" s="8" t="s">
        <v>28</v>
      </c>
      <c r="F20" s="8" t="s">
        <v>42</v>
      </c>
      <c r="G20" s="9" t="s">
        <v>155</v>
      </c>
      <c r="H20" s="9" t="s">
        <v>156</v>
      </c>
      <c r="I20" s="271">
        <f t="shared" si="0"/>
        <v>4</v>
      </c>
      <c r="J20" s="8" t="s">
        <v>145</v>
      </c>
      <c r="K20" s="8" t="s">
        <v>44</v>
      </c>
      <c r="L20" s="8" t="s">
        <v>157</v>
      </c>
      <c r="M20" s="8" t="s">
        <v>46</v>
      </c>
      <c r="N20" s="10" t="str">
        <f t="shared" si="1"/>
        <v>10-9</v>
      </c>
      <c r="O20" s="8" t="s">
        <v>158</v>
      </c>
    </row>
    <row r="21" spans="1:15" ht="15">
      <c r="A21" s="14" t="s">
        <v>159</v>
      </c>
      <c r="B21" s="7">
        <v>20</v>
      </c>
      <c r="C21" s="8" t="s">
        <v>160</v>
      </c>
      <c r="D21" s="8" t="s">
        <v>27</v>
      </c>
      <c r="E21" s="12" t="s">
        <v>28</v>
      </c>
      <c r="F21" s="12" t="s">
        <v>42</v>
      </c>
      <c r="G21" s="303" t="s">
        <v>161</v>
      </c>
      <c r="H21" s="303" t="s">
        <v>149</v>
      </c>
      <c r="I21" s="271">
        <f t="shared" si="0"/>
        <v>6</v>
      </c>
      <c r="J21" s="12" t="s">
        <v>106</v>
      </c>
      <c r="K21" s="12" t="s">
        <v>52</v>
      </c>
      <c r="L21" s="12" t="s">
        <v>162</v>
      </c>
      <c r="M21" s="12" t="s">
        <v>46</v>
      </c>
      <c r="N21" s="10" t="str">
        <f t="shared" si="1"/>
        <v>11-9</v>
      </c>
      <c r="O21" s="12" t="s">
        <v>163</v>
      </c>
    </row>
    <row r="22" spans="1:15" ht="15">
      <c r="A22" s="14" t="s">
        <v>159</v>
      </c>
      <c r="B22" s="7">
        <v>21</v>
      </c>
      <c r="C22" s="8" t="s">
        <v>164</v>
      </c>
      <c r="D22" s="8" t="s">
        <v>16</v>
      </c>
      <c r="E22" s="12" t="s">
        <v>165</v>
      </c>
      <c r="F22" s="12" t="s">
        <v>142</v>
      </c>
      <c r="G22" s="303" t="s">
        <v>166</v>
      </c>
      <c r="H22" s="303" t="s">
        <v>167</v>
      </c>
      <c r="I22" s="271">
        <f t="shared" si="0"/>
        <v>2</v>
      </c>
      <c r="J22" s="12" t="s">
        <v>168</v>
      </c>
      <c r="K22" s="12" t="s">
        <v>169</v>
      </c>
      <c r="L22" s="12" t="s">
        <v>170</v>
      </c>
      <c r="M22" s="12" t="s">
        <v>24</v>
      </c>
      <c r="N22" s="10" t="str">
        <f t="shared" si="1"/>
        <v>11-10</v>
      </c>
      <c r="O22" s="12" t="s">
        <v>171</v>
      </c>
    </row>
    <row r="23" spans="1:15" ht="15">
      <c r="A23" s="14" t="s">
        <v>159</v>
      </c>
      <c r="B23" s="7">
        <v>22</v>
      </c>
      <c r="C23" s="8" t="s">
        <v>172</v>
      </c>
      <c r="D23" s="8" t="s">
        <v>41</v>
      </c>
      <c r="E23" s="8" t="s">
        <v>17</v>
      </c>
      <c r="F23" s="8" t="s">
        <v>173</v>
      </c>
      <c r="G23" s="9" t="s">
        <v>174</v>
      </c>
      <c r="H23" s="9" t="s">
        <v>175</v>
      </c>
      <c r="I23" s="271">
        <f t="shared" si="0"/>
        <v>-3</v>
      </c>
      <c r="J23" s="8" t="s">
        <v>176</v>
      </c>
      <c r="K23" s="8" t="s">
        <v>177</v>
      </c>
      <c r="L23" s="8" t="s">
        <v>67</v>
      </c>
      <c r="M23" s="8" t="s">
        <v>24</v>
      </c>
      <c r="N23" s="10" t="str">
        <f t="shared" si="1"/>
        <v>11-11</v>
      </c>
      <c r="O23" s="8" t="s">
        <v>168</v>
      </c>
    </row>
    <row r="24" spans="1:15" ht="15">
      <c r="A24" s="13" t="s">
        <v>178</v>
      </c>
      <c r="B24" s="7">
        <v>23</v>
      </c>
      <c r="C24" s="8" t="s">
        <v>179</v>
      </c>
      <c r="D24" s="8" t="s">
        <v>180</v>
      </c>
      <c r="E24" s="8" t="s">
        <v>17</v>
      </c>
      <c r="F24" s="8" t="s">
        <v>181</v>
      </c>
      <c r="G24" s="9" t="s">
        <v>174</v>
      </c>
      <c r="H24" s="9" t="s">
        <v>182</v>
      </c>
      <c r="I24" s="271">
        <f t="shared" si="0"/>
        <v>-10</v>
      </c>
      <c r="J24" s="8" t="s">
        <v>183</v>
      </c>
      <c r="K24" s="8" t="s">
        <v>184</v>
      </c>
      <c r="L24" s="8" t="s">
        <v>31</v>
      </c>
      <c r="M24" s="8" t="s">
        <v>24</v>
      </c>
      <c r="N24" s="10" t="str">
        <f t="shared" si="1"/>
        <v>10-13</v>
      </c>
      <c r="O24" s="8" t="s">
        <v>185</v>
      </c>
    </row>
    <row r="25" spans="1:15" ht="15">
      <c r="A25" s="13" t="s">
        <v>178</v>
      </c>
      <c r="B25" s="7">
        <v>24</v>
      </c>
      <c r="C25" s="8" t="s">
        <v>186</v>
      </c>
      <c r="D25" s="8" t="s">
        <v>180</v>
      </c>
      <c r="E25" s="8" t="s">
        <v>17</v>
      </c>
      <c r="F25" s="8" t="s">
        <v>187</v>
      </c>
      <c r="G25" s="9" t="s">
        <v>188</v>
      </c>
      <c r="H25" s="9" t="s">
        <v>189</v>
      </c>
      <c r="I25" s="271">
        <f t="shared" si="0"/>
        <v>-14</v>
      </c>
      <c r="J25" s="8" t="s">
        <v>183</v>
      </c>
      <c r="K25" s="8" t="s">
        <v>190</v>
      </c>
      <c r="L25" s="8" t="s">
        <v>44</v>
      </c>
      <c r="M25" s="8" t="s">
        <v>24</v>
      </c>
      <c r="N25" s="10" t="str">
        <f t="shared" si="1"/>
        <v>10-14</v>
      </c>
      <c r="O25" s="8" t="s">
        <v>191</v>
      </c>
    </row>
    <row r="26" spans="1:15" ht="15">
      <c r="A26" s="13" t="s">
        <v>178</v>
      </c>
      <c r="B26" s="7">
        <v>25</v>
      </c>
      <c r="C26" s="8" t="s">
        <v>192</v>
      </c>
      <c r="D26" s="8" t="s">
        <v>193</v>
      </c>
      <c r="E26" s="12" t="s">
        <v>17</v>
      </c>
      <c r="F26" s="12" t="s">
        <v>194</v>
      </c>
      <c r="G26" s="303" t="s">
        <v>195</v>
      </c>
      <c r="H26" s="303" t="s">
        <v>196</v>
      </c>
      <c r="I26" s="271">
        <f t="shared" si="0"/>
        <v>-16</v>
      </c>
      <c r="J26" s="12" t="s">
        <v>197</v>
      </c>
      <c r="K26" s="12" t="s">
        <v>198</v>
      </c>
      <c r="L26" s="12" t="s">
        <v>52</v>
      </c>
      <c r="M26" s="12" t="s">
        <v>199</v>
      </c>
      <c r="N26" s="10" t="str">
        <f t="shared" si="1"/>
        <v>11-14</v>
      </c>
      <c r="O26" s="12" t="s">
        <v>200</v>
      </c>
    </row>
    <row r="27" spans="1:15" ht="15">
      <c r="A27" s="13" t="s">
        <v>201</v>
      </c>
      <c r="B27" s="7">
        <v>26</v>
      </c>
      <c r="C27" s="8" t="s">
        <v>202</v>
      </c>
      <c r="D27" s="8" t="s">
        <v>203</v>
      </c>
      <c r="E27" s="12" t="s">
        <v>28</v>
      </c>
      <c r="F27" s="12" t="s">
        <v>63</v>
      </c>
      <c r="G27" s="303" t="s">
        <v>204</v>
      </c>
      <c r="H27" s="303" t="s">
        <v>205</v>
      </c>
      <c r="I27" s="271">
        <f t="shared" si="0"/>
        <v>-14</v>
      </c>
      <c r="J27" s="12" t="s">
        <v>206</v>
      </c>
      <c r="K27" s="12" t="s">
        <v>207</v>
      </c>
      <c r="L27" s="12" t="s">
        <v>208</v>
      </c>
      <c r="M27" s="12" t="s">
        <v>46</v>
      </c>
      <c r="N27" s="10" t="str">
        <f t="shared" si="1"/>
        <v>11-15</v>
      </c>
      <c r="O27" s="12" t="s">
        <v>209</v>
      </c>
    </row>
    <row r="28" spans="1:15" ht="15">
      <c r="A28" s="13" t="s">
        <v>201</v>
      </c>
      <c r="B28" s="7">
        <v>27</v>
      </c>
      <c r="C28" s="8" t="s">
        <v>210</v>
      </c>
      <c r="D28" s="8" t="s">
        <v>211</v>
      </c>
      <c r="E28" s="8" t="s">
        <v>17</v>
      </c>
      <c r="F28" s="8" t="s">
        <v>187</v>
      </c>
      <c r="G28" s="9" t="s">
        <v>212</v>
      </c>
      <c r="H28" s="9" t="s">
        <v>213</v>
      </c>
      <c r="I28" s="271">
        <f t="shared" si="0"/>
        <v>-18</v>
      </c>
      <c r="J28" s="8" t="s">
        <v>214</v>
      </c>
      <c r="K28" s="8" t="s">
        <v>215</v>
      </c>
      <c r="L28" s="8" t="s">
        <v>44</v>
      </c>
      <c r="M28" s="8" t="s">
        <v>24</v>
      </c>
      <c r="N28" s="10" t="str">
        <f t="shared" si="1"/>
        <v>11-16</v>
      </c>
      <c r="O28" s="8" t="s">
        <v>216</v>
      </c>
    </row>
    <row r="29" spans="1:15" ht="15">
      <c r="A29" s="13" t="s">
        <v>201</v>
      </c>
      <c r="B29" s="7">
        <v>28</v>
      </c>
      <c r="C29" s="8" t="s">
        <v>210</v>
      </c>
      <c r="D29" s="8" t="s">
        <v>217</v>
      </c>
      <c r="E29" s="8" t="s">
        <v>17</v>
      </c>
      <c r="F29" s="8" t="s">
        <v>218</v>
      </c>
      <c r="G29" s="9" t="s">
        <v>219</v>
      </c>
      <c r="H29" s="9" t="s">
        <v>220</v>
      </c>
      <c r="I29" s="271">
        <f t="shared" si="0"/>
        <v>-27</v>
      </c>
      <c r="J29" s="8" t="s">
        <v>176</v>
      </c>
      <c r="K29" s="8" t="s">
        <v>221</v>
      </c>
      <c r="L29" s="8" t="s">
        <v>31</v>
      </c>
      <c r="M29" s="8" t="s">
        <v>24</v>
      </c>
      <c r="N29" s="10" t="str">
        <f t="shared" si="1"/>
        <v>11-17</v>
      </c>
      <c r="O29" s="8" t="s">
        <v>222</v>
      </c>
    </row>
    <row r="30" spans="1:15" ht="15">
      <c r="A30" s="14" t="s">
        <v>223</v>
      </c>
      <c r="B30" s="7">
        <v>29</v>
      </c>
      <c r="C30" s="8" t="s">
        <v>224</v>
      </c>
      <c r="D30" s="8" t="s">
        <v>27</v>
      </c>
      <c r="E30" s="8" t="s">
        <v>17</v>
      </c>
      <c r="F30" s="8" t="s">
        <v>183</v>
      </c>
      <c r="G30" s="9" t="s">
        <v>225</v>
      </c>
      <c r="H30" s="9" t="s">
        <v>226</v>
      </c>
      <c r="I30" s="271">
        <f t="shared" si="0"/>
        <v>-35</v>
      </c>
      <c r="J30" s="8" t="s">
        <v>21</v>
      </c>
      <c r="K30" s="8" t="s">
        <v>105</v>
      </c>
      <c r="L30" s="8" t="s">
        <v>52</v>
      </c>
      <c r="M30" s="8" t="s">
        <v>24</v>
      </c>
      <c r="N30" s="10" t="str">
        <f t="shared" si="1"/>
        <v>11-18</v>
      </c>
      <c r="O30" s="8" t="s">
        <v>227</v>
      </c>
    </row>
    <row r="31" spans="1:15" ht="15">
      <c r="A31" s="14" t="s">
        <v>223</v>
      </c>
      <c r="B31" s="7">
        <v>30</v>
      </c>
      <c r="C31" s="8" t="s">
        <v>228</v>
      </c>
      <c r="D31" s="8" t="s">
        <v>27</v>
      </c>
      <c r="E31" s="8" t="s">
        <v>133</v>
      </c>
      <c r="F31" s="8" t="s">
        <v>134</v>
      </c>
      <c r="G31" s="9" t="s">
        <v>196</v>
      </c>
      <c r="H31" s="9" t="s">
        <v>229</v>
      </c>
      <c r="I31" s="271">
        <f t="shared" si="0"/>
        <v>-34</v>
      </c>
      <c r="J31" s="8" t="s">
        <v>230</v>
      </c>
      <c r="K31" s="8" t="s">
        <v>46</v>
      </c>
      <c r="L31" s="8" t="s">
        <v>231</v>
      </c>
      <c r="M31" s="8" t="s">
        <v>24</v>
      </c>
      <c r="N31" s="10" t="str">
        <f t="shared" si="1"/>
        <v>11-19</v>
      </c>
      <c r="O31" s="8" t="s">
        <v>232</v>
      </c>
    </row>
    <row r="32" spans="1:15" ht="15">
      <c r="A32" s="14" t="s">
        <v>223</v>
      </c>
      <c r="B32" s="7">
        <v>31</v>
      </c>
      <c r="C32" s="8" t="s">
        <v>233</v>
      </c>
      <c r="D32" s="8" t="s">
        <v>27</v>
      </c>
      <c r="E32" s="8" t="s">
        <v>28</v>
      </c>
      <c r="F32" s="8" t="s">
        <v>63</v>
      </c>
      <c r="G32" s="9" t="s">
        <v>234</v>
      </c>
      <c r="H32" s="9" t="s">
        <v>235</v>
      </c>
      <c r="I32" s="271">
        <f t="shared" si="0"/>
        <v>-32</v>
      </c>
      <c r="J32" s="8" t="s">
        <v>236</v>
      </c>
      <c r="K32" s="8" t="s">
        <v>207</v>
      </c>
      <c r="L32" s="8" t="s">
        <v>231</v>
      </c>
      <c r="M32" s="8" t="s">
        <v>54</v>
      </c>
      <c r="N32" s="10" t="str">
        <f t="shared" si="1"/>
        <v>12-19</v>
      </c>
      <c r="O32" s="8" t="s">
        <v>237</v>
      </c>
    </row>
    <row r="33" spans="1:15" ht="15">
      <c r="A33" s="14" t="s">
        <v>238</v>
      </c>
      <c r="B33" s="7">
        <v>32</v>
      </c>
      <c r="C33" s="8" t="s">
        <v>239</v>
      </c>
      <c r="D33" s="8" t="s">
        <v>27</v>
      </c>
      <c r="E33" s="8" t="s">
        <v>28</v>
      </c>
      <c r="F33" s="8" t="s">
        <v>57</v>
      </c>
      <c r="G33" s="9" t="s">
        <v>240</v>
      </c>
      <c r="H33" s="9" t="s">
        <v>241</v>
      </c>
      <c r="I33" s="271">
        <f t="shared" si="0"/>
        <v>-30</v>
      </c>
      <c r="J33" s="8" t="s">
        <v>242</v>
      </c>
      <c r="K33" s="8" t="s">
        <v>243</v>
      </c>
      <c r="L33" s="8" t="s">
        <v>244</v>
      </c>
      <c r="M33" s="8" t="s">
        <v>46</v>
      </c>
      <c r="N33" s="10" t="str">
        <f t="shared" si="1"/>
        <v>13-19</v>
      </c>
      <c r="O33" s="8" t="s">
        <v>245</v>
      </c>
    </row>
    <row r="34" spans="1:15" ht="15">
      <c r="A34" s="14" t="s">
        <v>238</v>
      </c>
      <c r="B34" s="7">
        <v>33</v>
      </c>
      <c r="C34" s="8" t="s">
        <v>246</v>
      </c>
      <c r="D34" s="8" t="s">
        <v>16</v>
      </c>
      <c r="E34" s="8" t="s">
        <v>17</v>
      </c>
      <c r="F34" s="8" t="s">
        <v>247</v>
      </c>
      <c r="G34" s="9" t="s">
        <v>248</v>
      </c>
      <c r="H34" s="9" t="s">
        <v>249</v>
      </c>
      <c r="I34" s="271">
        <f t="shared" si="0"/>
        <v>-32</v>
      </c>
      <c r="J34" s="8" t="s">
        <v>250</v>
      </c>
      <c r="K34" s="8" t="s">
        <v>251</v>
      </c>
      <c r="L34" s="8" t="s">
        <v>54</v>
      </c>
      <c r="M34" s="8" t="s">
        <v>252</v>
      </c>
      <c r="N34" s="10" t="str">
        <f t="shared" si="1"/>
        <v>13-20</v>
      </c>
      <c r="O34" s="8" t="s">
        <v>253</v>
      </c>
    </row>
    <row r="35" spans="1:15" ht="15">
      <c r="A35" s="14" t="s">
        <v>238</v>
      </c>
      <c r="B35" s="7">
        <v>34</v>
      </c>
      <c r="C35" s="8" t="s">
        <v>254</v>
      </c>
      <c r="D35" s="8" t="s">
        <v>41</v>
      </c>
      <c r="E35" s="8" t="s">
        <v>17</v>
      </c>
      <c r="F35" s="8" t="s">
        <v>125</v>
      </c>
      <c r="G35" s="9" t="s">
        <v>255</v>
      </c>
      <c r="H35" s="9" t="s">
        <v>256</v>
      </c>
      <c r="I35" s="271">
        <f t="shared" si="0"/>
        <v>-33</v>
      </c>
      <c r="J35" s="8" t="s">
        <v>257</v>
      </c>
      <c r="K35" s="8" t="s">
        <v>258</v>
      </c>
      <c r="L35" s="8" t="s">
        <v>52</v>
      </c>
      <c r="M35" s="8" t="s">
        <v>252</v>
      </c>
      <c r="N35" s="10" t="str">
        <f t="shared" si="1"/>
        <v>13-21</v>
      </c>
      <c r="O35" s="8" t="s">
        <v>259</v>
      </c>
    </row>
    <row r="36" spans="1:15" ht="15">
      <c r="A36" s="13" t="s">
        <v>260</v>
      </c>
      <c r="B36" s="7">
        <v>35</v>
      </c>
      <c r="C36" s="8" t="s">
        <v>261</v>
      </c>
      <c r="D36" s="8" t="s">
        <v>262</v>
      </c>
      <c r="E36" s="8" t="s">
        <v>17</v>
      </c>
      <c r="F36" s="8" t="s">
        <v>173</v>
      </c>
      <c r="G36" s="9" t="s">
        <v>263</v>
      </c>
      <c r="H36" s="9" t="s">
        <v>264</v>
      </c>
      <c r="I36" s="271">
        <f t="shared" si="0"/>
        <v>-38</v>
      </c>
      <c r="J36" s="8" t="s">
        <v>242</v>
      </c>
      <c r="K36" s="8" t="s">
        <v>265</v>
      </c>
      <c r="L36" s="8" t="s">
        <v>54</v>
      </c>
      <c r="M36" s="8" t="s">
        <v>24</v>
      </c>
      <c r="N36" s="10" t="str">
        <f t="shared" si="1"/>
        <v>13-22</v>
      </c>
      <c r="O36" s="8" t="s">
        <v>266</v>
      </c>
    </row>
    <row r="37" spans="1:15" ht="15">
      <c r="A37" s="13" t="s">
        <v>260</v>
      </c>
      <c r="B37" s="7">
        <v>36</v>
      </c>
      <c r="C37" s="8" t="s">
        <v>267</v>
      </c>
      <c r="D37" s="8" t="s">
        <v>262</v>
      </c>
      <c r="E37" s="8" t="s">
        <v>17</v>
      </c>
      <c r="F37" s="8" t="s">
        <v>125</v>
      </c>
      <c r="G37" s="9" t="s">
        <v>268</v>
      </c>
      <c r="H37" s="9" t="s">
        <v>269</v>
      </c>
      <c r="I37" s="271">
        <f t="shared" si="0"/>
        <v>-39</v>
      </c>
      <c r="J37" s="8" t="s">
        <v>171</v>
      </c>
      <c r="K37" s="8" t="s">
        <v>270</v>
      </c>
      <c r="L37" s="8" t="s">
        <v>46</v>
      </c>
      <c r="M37" s="8" t="s">
        <v>24</v>
      </c>
      <c r="N37" s="10" t="str">
        <f t="shared" si="1"/>
        <v>14-22</v>
      </c>
      <c r="O37" s="8" t="s">
        <v>271</v>
      </c>
    </row>
    <row r="38" spans="1:15" ht="15">
      <c r="A38" s="13" t="s">
        <v>260</v>
      </c>
      <c r="B38" s="7">
        <v>37</v>
      </c>
      <c r="C38" s="8" t="s">
        <v>272</v>
      </c>
      <c r="D38" s="8" t="s">
        <v>262</v>
      </c>
      <c r="E38" s="8" t="s">
        <v>28</v>
      </c>
      <c r="F38" s="8" t="s">
        <v>114</v>
      </c>
      <c r="G38" s="9" t="s">
        <v>273</v>
      </c>
      <c r="H38" s="9" t="s">
        <v>274</v>
      </c>
      <c r="I38" s="271">
        <f t="shared" si="0"/>
        <v>-36</v>
      </c>
      <c r="J38" s="8" t="s">
        <v>275</v>
      </c>
      <c r="K38" s="8" t="s">
        <v>44</v>
      </c>
      <c r="L38" s="8" t="s">
        <v>276</v>
      </c>
      <c r="M38" s="8" t="s">
        <v>61</v>
      </c>
      <c r="N38" s="10" t="str">
        <f t="shared" si="1"/>
        <v>15-22</v>
      </c>
      <c r="O38" s="8" t="s">
        <v>277</v>
      </c>
    </row>
    <row r="39" spans="1:15" ht="15">
      <c r="A39" s="13" t="s">
        <v>278</v>
      </c>
      <c r="B39" s="7">
        <v>38</v>
      </c>
      <c r="C39" s="8" t="s">
        <v>279</v>
      </c>
      <c r="D39" s="8" t="s">
        <v>280</v>
      </c>
      <c r="E39" s="8" t="s">
        <v>28</v>
      </c>
      <c r="F39" s="8" t="s">
        <v>148</v>
      </c>
      <c r="G39" s="9" t="s">
        <v>281</v>
      </c>
      <c r="H39" s="9" t="s">
        <v>282</v>
      </c>
      <c r="I39" s="271">
        <f t="shared" si="0"/>
        <v>-33</v>
      </c>
      <c r="J39" s="8" t="s">
        <v>283</v>
      </c>
      <c r="K39" s="8" t="s">
        <v>31</v>
      </c>
      <c r="L39" s="8" t="s">
        <v>177</v>
      </c>
      <c r="M39" s="8" t="s">
        <v>46</v>
      </c>
      <c r="N39" s="10" t="str">
        <f t="shared" si="1"/>
        <v>15-23</v>
      </c>
      <c r="O39" s="8" t="s">
        <v>284</v>
      </c>
    </row>
    <row r="40" spans="1:15" ht="15">
      <c r="A40" s="13" t="s">
        <v>278</v>
      </c>
      <c r="B40" s="7">
        <v>39</v>
      </c>
      <c r="C40" s="8" t="s">
        <v>285</v>
      </c>
      <c r="D40" s="8" t="s">
        <v>280</v>
      </c>
      <c r="E40" s="8" t="s">
        <v>28</v>
      </c>
      <c r="F40" s="8" t="s">
        <v>148</v>
      </c>
      <c r="G40" s="9" t="s">
        <v>286</v>
      </c>
      <c r="H40" s="9" t="s">
        <v>287</v>
      </c>
      <c r="I40" s="271">
        <f t="shared" si="0"/>
        <v>-30</v>
      </c>
      <c r="J40" s="8" t="s">
        <v>288</v>
      </c>
      <c r="K40" s="8" t="s">
        <v>207</v>
      </c>
      <c r="L40" s="8" t="s">
        <v>289</v>
      </c>
      <c r="M40" s="8" t="s">
        <v>46</v>
      </c>
      <c r="N40" s="10" t="str">
        <f t="shared" si="1"/>
        <v>16-23</v>
      </c>
      <c r="O40" s="8" t="s">
        <v>290</v>
      </c>
    </row>
    <row r="41" spans="1:15" ht="15">
      <c r="A41" s="13" t="s">
        <v>278</v>
      </c>
      <c r="B41" s="7">
        <v>40</v>
      </c>
      <c r="C41" s="8" t="s">
        <v>291</v>
      </c>
      <c r="D41" s="8" t="s">
        <v>116</v>
      </c>
      <c r="E41" s="8" t="s">
        <v>28</v>
      </c>
      <c r="F41" s="8" t="s">
        <v>292</v>
      </c>
      <c r="G41" s="9" t="s">
        <v>293</v>
      </c>
      <c r="H41" s="9" t="s">
        <v>294</v>
      </c>
      <c r="I41" s="271">
        <f t="shared" si="0"/>
        <v>-22</v>
      </c>
      <c r="J41" s="8" t="s">
        <v>295</v>
      </c>
      <c r="K41" s="8" t="s">
        <v>296</v>
      </c>
      <c r="L41" s="8" t="s">
        <v>297</v>
      </c>
      <c r="M41" s="8" t="s">
        <v>24</v>
      </c>
      <c r="N41" s="10" t="str">
        <f t="shared" si="1"/>
        <v>18-22</v>
      </c>
      <c r="O41" s="8" t="s">
        <v>298</v>
      </c>
    </row>
    <row r="42" spans="1:15" ht="15">
      <c r="A42" s="14" t="s">
        <v>299</v>
      </c>
      <c r="B42" s="7">
        <v>41</v>
      </c>
      <c r="C42" s="8" t="s">
        <v>300</v>
      </c>
      <c r="D42" s="8" t="s">
        <v>27</v>
      </c>
      <c r="E42" s="8" t="s">
        <v>17</v>
      </c>
      <c r="F42" s="8" t="s">
        <v>301</v>
      </c>
      <c r="G42" s="9" t="s">
        <v>302</v>
      </c>
      <c r="H42" s="9" t="s">
        <v>303</v>
      </c>
      <c r="I42" s="271">
        <f t="shared" si="0"/>
        <v>-24</v>
      </c>
      <c r="J42" s="8" t="s">
        <v>304</v>
      </c>
      <c r="K42" s="8" t="s">
        <v>305</v>
      </c>
      <c r="L42" s="8" t="s">
        <v>46</v>
      </c>
      <c r="M42" s="8" t="s">
        <v>306</v>
      </c>
      <c r="N42" s="10" t="str">
        <f t="shared" si="1"/>
        <v>18-23</v>
      </c>
      <c r="O42" s="8" t="s">
        <v>307</v>
      </c>
    </row>
    <row r="43" spans="1:15" ht="15">
      <c r="A43" s="14" t="s">
        <v>299</v>
      </c>
      <c r="B43" s="7">
        <v>42</v>
      </c>
      <c r="C43" s="8" t="s">
        <v>308</v>
      </c>
      <c r="D43" s="8" t="s">
        <v>27</v>
      </c>
      <c r="E43" s="8" t="s">
        <v>28</v>
      </c>
      <c r="F43" s="8" t="s">
        <v>42</v>
      </c>
      <c r="G43" s="304" t="s">
        <v>309</v>
      </c>
      <c r="H43" s="304" t="s">
        <v>310</v>
      </c>
      <c r="I43" s="271">
        <f t="shared" si="0"/>
        <v>-22</v>
      </c>
      <c r="J43" s="8" t="s">
        <v>130</v>
      </c>
      <c r="K43" s="8" t="s">
        <v>243</v>
      </c>
      <c r="L43" s="8" t="s">
        <v>311</v>
      </c>
      <c r="M43" s="8" t="s">
        <v>54</v>
      </c>
      <c r="N43" s="10" t="str">
        <f t="shared" si="1"/>
        <v>19-23</v>
      </c>
      <c r="O43" s="8" t="s">
        <v>312</v>
      </c>
    </row>
    <row r="44" spans="1:15" ht="15">
      <c r="A44" s="14" t="s">
        <v>299</v>
      </c>
      <c r="B44" s="7">
        <v>43</v>
      </c>
      <c r="C44" s="8" t="s">
        <v>313</v>
      </c>
      <c r="D44" s="8" t="s">
        <v>16</v>
      </c>
      <c r="E44" s="8" t="s">
        <v>17</v>
      </c>
      <c r="F44" s="8" t="s">
        <v>173</v>
      </c>
      <c r="G44" s="9" t="s">
        <v>274</v>
      </c>
      <c r="H44" s="9" t="s">
        <v>314</v>
      </c>
      <c r="I44" s="271">
        <f t="shared" si="0"/>
        <v>-27</v>
      </c>
      <c r="J44" s="8" t="s">
        <v>315</v>
      </c>
      <c r="K44" s="8" t="s">
        <v>316</v>
      </c>
      <c r="L44" s="8" t="s">
        <v>31</v>
      </c>
      <c r="M44" s="8" t="s">
        <v>24</v>
      </c>
      <c r="N44" s="10" t="str">
        <f t="shared" si="1"/>
        <v>19-24</v>
      </c>
      <c r="O44" s="8" t="s">
        <v>317</v>
      </c>
    </row>
    <row r="45" spans="1:15" ht="15">
      <c r="A45" s="14" t="s">
        <v>318</v>
      </c>
      <c r="B45" s="7">
        <v>44</v>
      </c>
      <c r="C45" s="8" t="s">
        <v>319</v>
      </c>
      <c r="D45" s="8" t="s">
        <v>27</v>
      </c>
      <c r="E45" s="8" t="s">
        <v>17</v>
      </c>
      <c r="F45" s="8" t="s">
        <v>125</v>
      </c>
      <c r="G45" s="9" t="s">
        <v>320</v>
      </c>
      <c r="H45" s="9" t="s">
        <v>321</v>
      </c>
      <c r="I45" s="271">
        <f t="shared" si="0"/>
        <v>-28</v>
      </c>
      <c r="J45" s="8" t="s">
        <v>304</v>
      </c>
      <c r="K45" s="8" t="s">
        <v>322</v>
      </c>
      <c r="L45" s="8" t="s">
        <v>52</v>
      </c>
      <c r="M45" s="8" t="s">
        <v>323</v>
      </c>
      <c r="N45" s="10" t="str">
        <f t="shared" si="1"/>
        <v>19-25</v>
      </c>
      <c r="O45" s="8" t="s">
        <v>324</v>
      </c>
    </row>
    <row r="46" spans="1:15" ht="15">
      <c r="A46" s="14" t="s">
        <v>318</v>
      </c>
      <c r="B46" s="7">
        <v>45</v>
      </c>
      <c r="C46" s="8" t="s">
        <v>325</v>
      </c>
      <c r="D46" s="8" t="s">
        <v>16</v>
      </c>
      <c r="E46" s="8" t="s">
        <v>28</v>
      </c>
      <c r="F46" s="8" t="s">
        <v>109</v>
      </c>
      <c r="G46" s="9" t="s">
        <v>287</v>
      </c>
      <c r="H46" s="9" t="s">
        <v>326</v>
      </c>
      <c r="I46" s="271">
        <f t="shared" si="0"/>
        <v>-27</v>
      </c>
      <c r="J46" s="8" t="s">
        <v>74</v>
      </c>
      <c r="K46" s="8" t="s">
        <v>46</v>
      </c>
      <c r="L46" s="8" t="s">
        <v>327</v>
      </c>
      <c r="M46" s="8" t="s">
        <v>24</v>
      </c>
      <c r="N46" s="10" t="str">
        <f t="shared" si="1"/>
        <v>20-25</v>
      </c>
      <c r="O46" s="8" t="s">
        <v>328</v>
      </c>
    </row>
    <row r="47" spans="1:15" ht="15">
      <c r="A47" s="14" t="s">
        <v>318</v>
      </c>
      <c r="B47" s="7">
        <v>46</v>
      </c>
      <c r="C47" s="8" t="s">
        <v>329</v>
      </c>
      <c r="D47" s="8" t="s">
        <v>41</v>
      </c>
      <c r="E47" s="8" t="s">
        <v>17</v>
      </c>
      <c r="F47" s="8" t="s">
        <v>78</v>
      </c>
      <c r="G47" s="9" t="s">
        <v>330</v>
      </c>
      <c r="H47" s="9" t="s">
        <v>331</v>
      </c>
      <c r="I47" s="271">
        <f t="shared" si="0"/>
        <v>-28</v>
      </c>
      <c r="J47" s="8" t="s">
        <v>332</v>
      </c>
      <c r="K47" s="8" t="s">
        <v>333</v>
      </c>
      <c r="L47" s="8" t="s">
        <v>207</v>
      </c>
      <c r="M47" s="8" t="s">
        <v>334</v>
      </c>
      <c r="N47" s="10" t="str">
        <f t="shared" si="1"/>
        <v>20-26</v>
      </c>
      <c r="O47" s="8" t="s">
        <v>335</v>
      </c>
    </row>
    <row r="48" spans="1:15" ht="15">
      <c r="A48" s="14" t="s">
        <v>336</v>
      </c>
      <c r="B48" s="7">
        <v>47</v>
      </c>
      <c r="C48" s="8" t="s">
        <v>337</v>
      </c>
      <c r="D48" s="8" t="s">
        <v>27</v>
      </c>
      <c r="E48" s="8" t="s">
        <v>28</v>
      </c>
      <c r="F48" s="8" t="s">
        <v>338</v>
      </c>
      <c r="G48" s="9" t="s">
        <v>339</v>
      </c>
      <c r="H48" s="9" t="s">
        <v>331</v>
      </c>
      <c r="I48" s="271">
        <f t="shared" si="0"/>
        <v>-25</v>
      </c>
      <c r="J48" s="8" t="s">
        <v>247</v>
      </c>
      <c r="K48" s="8" t="s">
        <v>44</v>
      </c>
      <c r="L48" s="8" t="s">
        <v>340</v>
      </c>
      <c r="M48" s="8" t="s">
        <v>46</v>
      </c>
      <c r="N48" s="10" t="str">
        <f t="shared" si="1"/>
        <v>21-26</v>
      </c>
      <c r="O48" s="8" t="s">
        <v>341</v>
      </c>
    </row>
    <row r="49" spans="1:15" ht="15">
      <c r="A49" s="14" t="s">
        <v>336</v>
      </c>
      <c r="B49" s="7">
        <v>48</v>
      </c>
      <c r="C49" s="8" t="s">
        <v>342</v>
      </c>
      <c r="D49" s="8" t="s">
        <v>27</v>
      </c>
      <c r="E49" s="8" t="s">
        <v>28</v>
      </c>
      <c r="F49" s="8" t="s">
        <v>343</v>
      </c>
      <c r="G49" s="9" t="s">
        <v>344</v>
      </c>
      <c r="H49" s="9" t="s">
        <v>331</v>
      </c>
      <c r="I49" s="271">
        <f t="shared" si="0"/>
        <v>-11</v>
      </c>
      <c r="J49" s="8" t="s">
        <v>345</v>
      </c>
      <c r="K49" s="8" t="s">
        <v>31</v>
      </c>
      <c r="L49" s="8" t="s">
        <v>346</v>
      </c>
      <c r="M49" s="8" t="s">
        <v>24</v>
      </c>
      <c r="N49" s="10" t="str">
        <f t="shared" si="1"/>
        <v>23-25</v>
      </c>
      <c r="O49" s="8" t="s">
        <v>347</v>
      </c>
    </row>
    <row r="50" spans="1:15" ht="15">
      <c r="A50" s="14" t="s">
        <v>336</v>
      </c>
      <c r="B50" s="7">
        <v>49</v>
      </c>
      <c r="C50" s="8" t="s">
        <v>348</v>
      </c>
      <c r="D50" s="8" t="s">
        <v>154</v>
      </c>
      <c r="E50" s="8" t="s">
        <v>108</v>
      </c>
      <c r="F50" s="8" t="s">
        <v>134</v>
      </c>
      <c r="G50" s="9" t="s">
        <v>321</v>
      </c>
      <c r="H50" s="9" t="s">
        <v>349</v>
      </c>
      <c r="I50" s="271">
        <f t="shared" si="0"/>
        <v>-10</v>
      </c>
      <c r="J50" s="8" t="s">
        <v>163</v>
      </c>
      <c r="K50" s="8" t="s">
        <v>350</v>
      </c>
      <c r="L50" s="8" t="s">
        <v>351</v>
      </c>
      <c r="M50" s="8" t="s">
        <v>24</v>
      </c>
      <c r="N50" s="10" t="str">
        <f t="shared" si="1"/>
        <v>23-26</v>
      </c>
      <c r="O50" s="8" t="s">
        <v>352</v>
      </c>
    </row>
    <row r="51" spans="1:15" ht="15">
      <c r="A51" s="6" t="s">
        <v>353</v>
      </c>
      <c r="B51" s="7">
        <v>50</v>
      </c>
      <c r="C51" s="8" t="s">
        <v>354</v>
      </c>
      <c r="D51" s="8" t="s">
        <v>203</v>
      </c>
      <c r="E51" s="8" t="s">
        <v>17</v>
      </c>
      <c r="F51" s="8" t="s">
        <v>194</v>
      </c>
      <c r="G51" s="9" t="s">
        <v>326</v>
      </c>
      <c r="H51" s="9" t="s">
        <v>355</v>
      </c>
      <c r="I51" s="271">
        <f t="shared" si="0"/>
        <v>-12</v>
      </c>
      <c r="J51" s="8" t="s">
        <v>142</v>
      </c>
      <c r="K51" s="8" t="s">
        <v>356</v>
      </c>
      <c r="L51" s="8" t="s">
        <v>296</v>
      </c>
      <c r="M51" s="8" t="s">
        <v>357</v>
      </c>
      <c r="N51" s="10" t="str">
        <f t="shared" si="1"/>
        <v>24-26</v>
      </c>
      <c r="O51" s="8" t="s">
        <v>358</v>
      </c>
    </row>
    <row r="52" spans="1:15" ht="15">
      <c r="A52" s="6" t="s">
        <v>353</v>
      </c>
      <c r="B52" s="7">
        <v>51</v>
      </c>
      <c r="C52" s="8" t="s">
        <v>359</v>
      </c>
      <c r="D52" s="8" t="s">
        <v>203</v>
      </c>
      <c r="E52" s="8" t="s">
        <v>17</v>
      </c>
      <c r="F52" s="8" t="s">
        <v>194</v>
      </c>
      <c r="G52" s="9" t="s">
        <v>360</v>
      </c>
      <c r="H52" s="9" t="s">
        <v>361</v>
      </c>
      <c r="I52" s="271">
        <f t="shared" si="0"/>
        <v>-14</v>
      </c>
      <c r="J52" s="8" t="s">
        <v>148</v>
      </c>
      <c r="K52" s="8" t="s">
        <v>362</v>
      </c>
      <c r="L52" s="8" t="s">
        <v>23</v>
      </c>
      <c r="M52" s="8" t="s">
        <v>357</v>
      </c>
      <c r="N52" s="10" t="str">
        <f t="shared" si="1"/>
        <v>24-27</v>
      </c>
      <c r="O52" s="8" t="s">
        <v>363</v>
      </c>
    </row>
    <row r="53" spans="1:15" ht="15">
      <c r="A53" s="6" t="s">
        <v>353</v>
      </c>
      <c r="B53" s="7">
        <v>52</v>
      </c>
      <c r="C53" s="8" t="s">
        <v>364</v>
      </c>
      <c r="D53" s="8" t="s">
        <v>86</v>
      </c>
      <c r="E53" s="8" t="s">
        <v>17</v>
      </c>
      <c r="F53" s="8" t="s">
        <v>365</v>
      </c>
      <c r="G53" s="9" t="s">
        <v>360</v>
      </c>
      <c r="H53" s="9" t="s">
        <v>366</v>
      </c>
      <c r="I53" s="271">
        <f t="shared" si="0"/>
        <v>-27</v>
      </c>
      <c r="J53" s="8" t="s">
        <v>367</v>
      </c>
      <c r="K53" s="8" t="s">
        <v>311</v>
      </c>
      <c r="L53" s="8" t="s">
        <v>44</v>
      </c>
      <c r="M53" s="8" t="s">
        <v>24</v>
      </c>
      <c r="N53" s="10" t="str">
        <f t="shared" si="1"/>
        <v>23-29</v>
      </c>
      <c r="O53" s="8" t="s">
        <v>368</v>
      </c>
    </row>
    <row r="54" spans="1:15" ht="15">
      <c r="A54" s="6" t="s">
        <v>369</v>
      </c>
      <c r="B54" s="7">
        <v>53</v>
      </c>
      <c r="C54" s="8" t="s">
        <v>370</v>
      </c>
      <c r="D54" s="8" t="s">
        <v>124</v>
      </c>
      <c r="E54" s="8" t="s">
        <v>28</v>
      </c>
      <c r="F54" s="8" t="s">
        <v>109</v>
      </c>
      <c r="G54" s="9" t="s">
        <v>331</v>
      </c>
      <c r="H54" s="9" t="s">
        <v>371</v>
      </c>
      <c r="I54" s="271">
        <f t="shared" si="0"/>
        <v>-26</v>
      </c>
      <c r="J54" s="8" t="s">
        <v>114</v>
      </c>
      <c r="K54" s="8" t="s">
        <v>31</v>
      </c>
      <c r="L54" s="8" t="s">
        <v>372</v>
      </c>
      <c r="M54" s="8" t="s">
        <v>46</v>
      </c>
      <c r="N54" s="10" t="str">
        <f t="shared" si="1"/>
        <v>24-29</v>
      </c>
      <c r="O54" s="8" t="s">
        <v>373</v>
      </c>
    </row>
    <row r="55" spans="1:15" ht="15">
      <c r="A55" s="6" t="s">
        <v>369</v>
      </c>
      <c r="B55" s="7">
        <v>54</v>
      </c>
      <c r="C55" s="8" t="s">
        <v>374</v>
      </c>
      <c r="D55" s="8" t="s">
        <v>375</v>
      </c>
      <c r="E55" s="8" t="s">
        <v>17</v>
      </c>
      <c r="F55" s="8" t="s">
        <v>376</v>
      </c>
      <c r="G55" s="9" t="s">
        <v>331</v>
      </c>
      <c r="H55" s="9" t="s">
        <v>377</v>
      </c>
      <c r="I55" s="271">
        <f t="shared" si="0"/>
        <v>-28</v>
      </c>
      <c r="J55" s="8" t="s">
        <v>378</v>
      </c>
      <c r="K55" s="8" t="s">
        <v>379</v>
      </c>
      <c r="L55" s="8" t="s">
        <v>61</v>
      </c>
      <c r="M55" s="8" t="s">
        <v>380</v>
      </c>
      <c r="N55" s="10" t="str">
        <f t="shared" si="1"/>
        <v>24-30</v>
      </c>
      <c r="O55" s="8" t="s">
        <v>381</v>
      </c>
    </row>
    <row r="56" spans="1:15" ht="15">
      <c r="A56" s="6" t="s">
        <v>369</v>
      </c>
      <c r="B56" s="7">
        <v>55</v>
      </c>
      <c r="C56" s="8" t="s">
        <v>382</v>
      </c>
      <c r="D56" s="8" t="s">
        <v>375</v>
      </c>
      <c r="E56" s="8" t="s">
        <v>28</v>
      </c>
      <c r="F56" s="8" t="s">
        <v>383</v>
      </c>
      <c r="G56" s="9" t="s">
        <v>384</v>
      </c>
      <c r="H56" s="9" t="s">
        <v>377</v>
      </c>
      <c r="I56" s="271">
        <f t="shared" si="0"/>
        <v>-26</v>
      </c>
      <c r="J56" s="8" t="s">
        <v>385</v>
      </c>
      <c r="K56" s="8" t="s">
        <v>243</v>
      </c>
      <c r="L56" s="8" t="s">
        <v>386</v>
      </c>
      <c r="M56" s="8" t="s">
        <v>46</v>
      </c>
      <c r="N56" s="10" t="str">
        <f t="shared" si="1"/>
        <v>25-30</v>
      </c>
      <c r="O56" s="8" t="s">
        <v>387</v>
      </c>
    </row>
    <row r="57" spans="1:15" ht="15">
      <c r="A57" s="16" t="s">
        <v>388</v>
      </c>
      <c r="B57" s="7">
        <v>56</v>
      </c>
      <c r="C57" s="8" t="s">
        <v>389</v>
      </c>
      <c r="D57" s="8" t="s">
        <v>27</v>
      </c>
      <c r="E57" s="8" t="s">
        <v>28</v>
      </c>
      <c r="F57" s="8" t="s">
        <v>390</v>
      </c>
      <c r="G57" s="9" t="s">
        <v>391</v>
      </c>
      <c r="H57" s="9" t="s">
        <v>377</v>
      </c>
      <c r="I57" s="271">
        <f t="shared" si="0"/>
        <v>-14</v>
      </c>
      <c r="J57" s="8" t="s">
        <v>392</v>
      </c>
      <c r="K57" s="8" t="s">
        <v>23</v>
      </c>
      <c r="L57" s="8" t="s">
        <v>393</v>
      </c>
      <c r="M57" s="8" t="s">
        <v>24</v>
      </c>
      <c r="N57" s="10" t="str">
        <f t="shared" si="1"/>
        <v>26-30</v>
      </c>
      <c r="O57" s="8" t="s">
        <v>394</v>
      </c>
    </row>
    <row r="58" spans="1:15" ht="15">
      <c r="A58" s="16" t="s">
        <v>388</v>
      </c>
      <c r="B58" s="7">
        <v>57</v>
      </c>
      <c r="C58" s="8" t="s">
        <v>395</v>
      </c>
      <c r="D58" s="8" t="s">
        <v>27</v>
      </c>
      <c r="E58" s="8" t="s">
        <v>28</v>
      </c>
      <c r="F58" s="8" t="s">
        <v>396</v>
      </c>
      <c r="G58" s="9" t="s">
        <v>366</v>
      </c>
      <c r="H58" s="9" t="s">
        <v>397</v>
      </c>
      <c r="I58" s="271">
        <f t="shared" si="0"/>
        <v>-10</v>
      </c>
      <c r="J58" s="8" t="s">
        <v>398</v>
      </c>
      <c r="K58" s="8" t="s">
        <v>44</v>
      </c>
      <c r="L58" s="8" t="s">
        <v>399</v>
      </c>
      <c r="M58" s="8" t="s">
        <v>24</v>
      </c>
      <c r="N58" s="10" t="str">
        <f t="shared" si="1"/>
        <v>27-30</v>
      </c>
      <c r="O58" s="8" t="s">
        <v>400</v>
      </c>
    </row>
    <row r="59" spans="1:15" ht="15">
      <c r="A59" s="16" t="s">
        <v>388</v>
      </c>
      <c r="B59" s="7">
        <v>58</v>
      </c>
      <c r="C59" s="8" t="s">
        <v>401</v>
      </c>
      <c r="D59" s="8" t="s">
        <v>16</v>
      </c>
      <c r="E59" s="8" t="s">
        <v>28</v>
      </c>
      <c r="F59" s="8" t="s">
        <v>130</v>
      </c>
      <c r="G59" s="9" t="s">
        <v>402</v>
      </c>
      <c r="H59" s="9" t="s">
        <v>403</v>
      </c>
      <c r="I59" s="271">
        <f t="shared" si="0"/>
        <v>-9</v>
      </c>
      <c r="J59" s="8" t="s">
        <v>404</v>
      </c>
      <c r="K59" s="8" t="s">
        <v>67</v>
      </c>
      <c r="L59" s="8" t="s">
        <v>405</v>
      </c>
      <c r="M59" s="8" t="s">
        <v>46</v>
      </c>
      <c r="N59" s="10" t="str">
        <f t="shared" si="1"/>
        <v>28-30</v>
      </c>
      <c r="O59" s="8" t="s">
        <v>406</v>
      </c>
    </row>
    <row r="60" spans="1:15" ht="15">
      <c r="A60" s="16" t="s">
        <v>388</v>
      </c>
      <c r="B60" s="7">
        <v>59</v>
      </c>
      <c r="C60" s="8" t="s">
        <v>407</v>
      </c>
      <c r="D60" s="8" t="s">
        <v>41</v>
      </c>
      <c r="E60" s="8" t="s">
        <v>28</v>
      </c>
      <c r="F60" s="8" t="s">
        <v>250</v>
      </c>
      <c r="G60" s="9" t="s">
        <v>408</v>
      </c>
      <c r="H60" s="9" t="s">
        <v>409</v>
      </c>
      <c r="I60" s="271">
        <f t="shared" si="0"/>
        <v>-5</v>
      </c>
      <c r="J60" s="8" t="s">
        <v>410</v>
      </c>
      <c r="K60" s="8" t="s">
        <v>411</v>
      </c>
      <c r="L60" s="8" t="s">
        <v>412</v>
      </c>
      <c r="M60" s="8" t="s">
        <v>24</v>
      </c>
      <c r="N60" s="10" t="str">
        <f t="shared" si="1"/>
        <v>29-30</v>
      </c>
      <c r="O60" s="8" t="s">
        <v>413</v>
      </c>
    </row>
    <row r="61" spans="1:15" ht="15">
      <c r="A61" s="15" t="s">
        <v>414</v>
      </c>
      <c r="B61" s="7">
        <v>60</v>
      </c>
      <c r="C61" s="8" t="s">
        <v>415</v>
      </c>
      <c r="D61" s="8" t="s">
        <v>27</v>
      </c>
      <c r="E61" s="8" t="s">
        <v>17</v>
      </c>
      <c r="F61" s="8" t="s">
        <v>173</v>
      </c>
      <c r="G61" s="9" t="s">
        <v>416</v>
      </c>
      <c r="H61" s="9" t="s">
        <v>417</v>
      </c>
      <c r="I61" s="271">
        <f t="shared" si="0"/>
        <v>-10</v>
      </c>
      <c r="J61" s="8" t="s">
        <v>418</v>
      </c>
      <c r="K61" s="8" t="s">
        <v>419</v>
      </c>
      <c r="L61" s="8" t="s">
        <v>52</v>
      </c>
      <c r="M61" s="8" t="s">
        <v>24</v>
      </c>
      <c r="N61" s="10" t="str">
        <f t="shared" si="1"/>
        <v>29-31</v>
      </c>
      <c r="O61" s="8" t="s">
        <v>420</v>
      </c>
    </row>
    <row r="62" spans="1:15" ht="15">
      <c r="A62" s="15" t="s">
        <v>414</v>
      </c>
      <c r="B62" s="7">
        <v>61</v>
      </c>
      <c r="C62" s="8" t="s">
        <v>421</v>
      </c>
      <c r="D62" s="8" t="s">
        <v>27</v>
      </c>
      <c r="E62" s="8" t="s">
        <v>28</v>
      </c>
      <c r="F62" s="8" t="s">
        <v>109</v>
      </c>
      <c r="G62" s="9" t="s">
        <v>409</v>
      </c>
      <c r="H62" s="9" t="s">
        <v>422</v>
      </c>
      <c r="I62" s="271">
        <f t="shared" si="0"/>
        <v>-9</v>
      </c>
      <c r="J62" s="8" t="s">
        <v>91</v>
      </c>
      <c r="K62" s="8" t="s">
        <v>46</v>
      </c>
      <c r="L62" s="8" t="s">
        <v>423</v>
      </c>
      <c r="M62" s="8" t="s">
        <v>24</v>
      </c>
      <c r="N62" s="10" t="str">
        <f t="shared" si="1"/>
        <v>30-31</v>
      </c>
      <c r="O62" s="8" t="s">
        <v>424</v>
      </c>
    </row>
    <row r="63" spans="1:15" ht="15">
      <c r="A63" s="15" t="s">
        <v>414</v>
      </c>
      <c r="B63" s="7">
        <v>62</v>
      </c>
      <c r="C63" s="17" t="s">
        <v>425</v>
      </c>
      <c r="D63" s="8" t="s">
        <v>16</v>
      </c>
      <c r="E63" s="8" t="s">
        <v>28</v>
      </c>
      <c r="F63" s="8" t="s">
        <v>292</v>
      </c>
      <c r="G63" s="9" t="s">
        <v>422</v>
      </c>
      <c r="H63" s="9" t="s">
        <v>426</v>
      </c>
      <c r="I63" s="271">
        <f t="shared" si="0"/>
        <v>-1</v>
      </c>
      <c r="J63" s="8" t="s">
        <v>345</v>
      </c>
      <c r="K63" s="8" t="s">
        <v>44</v>
      </c>
      <c r="L63" s="8" t="s">
        <v>427</v>
      </c>
      <c r="M63" s="8" t="s">
        <v>24</v>
      </c>
      <c r="N63" s="10" t="str">
        <f t="shared" si="1"/>
        <v>31-31</v>
      </c>
      <c r="O63" s="8" t="s">
        <v>428</v>
      </c>
    </row>
    <row r="64" spans="1:15" ht="15">
      <c r="A64" s="6" t="s">
        <v>429</v>
      </c>
      <c r="B64" s="7">
        <v>63</v>
      </c>
      <c r="C64" s="17" t="s">
        <v>430</v>
      </c>
      <c r="D64" s="8" t="s">
        <v>180</v>
      </c>
      <c r="E64" s="8" t="s">
        <v>28</v>
      </c>
      <c r="F64" s="8" t="s">
        <v>112</v>
      </c>
      <c r="G64" s="9" t="s">
        <v>431</v>
      </c>
      <c r="H64" s="9" t="s">
        <v>432</v>
      </c>
      <c r="I64" s="271">
        <f t="shared" si="0"/>
        <v>1</v>
      </c>
      <c r="J64" s="8" t="s">
        <v>236</v>
      </c>
      <c r="K64" s="8" t="s">
        <v>296</v>
      </c>
      <c r="L64" s="8" t="s">
        <v>433</v>
      </c>
      <c r="M64" s="8" t="s">
        <v>46</v>
      </c>
      <c r="N64" s="10" t="str">
        <f t="shared" si="1"/>
        <v>32-31</v>
      </c>
      <c r="O64" s="8" t="s">
        <v>434</v>
      </c>
    </row>
    <row r="65" spans="1:15" ht="15">
      <c r="A65" s="6" t="s">
        <v>429</v>
      </c>
      <c r="B65" s="7">
        <v>64</v>
      </c>
      <c r="C65" s="17" t="s">
        <v>435</v>
      </c>
      <c r="D65" s="8" t="s">
        <v>436</v>
      </c>
      <c r="E65" s="8" t="s">
        <v>28</v>
      </c>
      <c r="F65" s="8" t="s">
        <v>84</v>
      </c>
      <c r="G65" s="9" t="s">
        <v>437</v>
      </c>
      <c r="H65" s="9" t="s">
        <v>438</v>
      </c>
      <c r="I65" s="271">
        <f t="shared" si="0"/>
        <v>2</v>
      </c>
      <c r="J65" s="8" t="s">
        <v>230</v>
      </c>
      <c r="K65" s="8" t="s">
        <v>61</v>
      </c>
      <c r="L65" s="8" t="s">
        <v>439</v>
      </c>
      <c r="M65" s="8" t="s">
        <v>46</v>
      </c>
      <c r="N65" s="10" t="str">
        <f t="shared" si="1"/>
        <v>32-32</v>
      </c>
      <c r="O65" s="8" t="s">
        <v>440</v>
      </c>
    </row>
    <row r="66" spans="1:15" ht="15">
      <c r="A66" s="6" t="s">
        <v>429</v>
      </c>
      <c r="B66" s="7">
        <v>65</v>
      </c>
      <c r="C66" s="17" t="s">
        <v>441</v>
      </c>
      <c r="D66" s="8" t="s">
        <v>436</v>
      </c>
      <c r="E66" s="8" t="s">
        <v>17</v>
      </c>
      <c r="F66" s="8" t="s">
        <v>442</v>
      </c>
      <c r="G66" s="9" t="s">
        <v>443</v>
      </c>
      <c r="H66" s="9" t="s">
        <v>444</v>
      </c>
      <c r="I66" s="271">
        <f t="shared" ref="I66:I130" si="2">IF(E66="","",G66-H66)</f>
        <v>-1</v>
      </c>
      <c r="J66" s="8" t="s">
        <v>445</v>
      </c>
      <c r="K66" s="8" t="s">
        <v>446</v>
      </c>
      <c r="L66" s="8" t="s">
        <v>52</v>
      </c>
      <c r="M66" s="8" t="s">
        <v>447</v>
      </c>
      <c r="N66" s="10" t="str">
        <f t="shared" ref="N66:N130" si="3">IF(E66="","",IFERROR(_xlfn.CONCAT(ROUND((G66^1.83)/((G66^1.83)+(H66^1.83))*B66,0),"-",B66-ROUND((G66^1.83)/((G66^1.83)+(H66^1.83))*B66,0)),0))</f>
        <v>32-33</v>
      </c>
      <c r="O66" s="8" t="s">
        <v>448</v>
      </c>
    </row>
    <row r="67" spans="1:15" ht="15">
      <c r="A67" s="18" t="s">
        <v>449</v>
      </c>
      <c r="B67" s="7">
        <v>66</v>
      </c>
      <c r="C67" s="17" t="s">
        <v>450</v>
      </c>
      <c r="D67" s="8" t="s">
        <v>451</v>
      </c>
      <c r="E67" s="8" t="s">
        <v>133</v>
      </c>
      <c r="F67" s="8" t="s">
        <v>84</v>
      </c>
      <c r="G67" s="9" t="s">
        <v>452</v>
      </c>
      <c r="H67" s="9" t="s">
        <v>452</v>
      </c>
      <c r="I67" s="271">
        <f t="shared" si="2"/>
        <v>0</v>
      </c>
      <c r="J67" s="8" t="s">
        <v>453</v>
      </c>
      <c r="K67" s="8" t="s">
        <v>454</v>
      </c>
      <c r="L67" s="8" t="s">
        <v>455</v>
      </c>
      <c r="M67" s="8" t="s">
        <v>46</v>
      </c>
      <c r="N67" s="10" t="str">
        <f t="shared" si="3"/>
        <v>33-33</v>
      </c>
      <c r="O67" s="8" t="s">
        <v>456</v>
      </c>
    </row>
    <row r="68" spans="1:15" ht="15">
      <c r="A68" s="18" t="s">
        <v>449</v>
      </c>
      <c r="B68" s="7">
        <v>67</v>
      </c>
      <c r="C68" s="17" t="s">
        <v>457</v>
      </c>
      <c r="D68" s="8" t="s">
        <v>451</v>
      </c>
      <c r="E68" s="8" t="s">
        <v>28</v>
      </c>
      <c r="F68" s="8" t="s">
        <v>283</v>
      </c>
      <c r="G68" s="9" t="s">
        <v>458</v>
      </c>
      <c r="H68" s="9" t="s">
        <v>459</v>
      </c>
      <c r="I68" s="271">
        <f t="shared" si="2"/>
        <v>1</v>
      </c>
      <c r="J68" s="8" t="s">
        <v>460</v>
      </c>
      <c r="K68" s="8" t="s">
        <v>44</v>
      </c>
      <c r="L68" s="8" t="s">
        <v>461</v>
      </c>
      <c r="M68" s="8" t="s">
        <v>46</v>
      </c>
      <c r="N68" s="10" t="str">
        <f t="shared" si="3"/>
        <v>34-33</v>
      </c>
      <c r="O68" s="8" t="s">
        <v>462</v>
      </c>
    </row>
    <row r="69" spans="1:15" ht="15">
      <c r="A69" s="18" t="s">
        <v>449</v>
      </c>
      <c r="B69" s="7">
        <v>68</v>
      </c>
      <c r="C69" s="17" t="s">
        <v>463</v>
      </c>
      <c r="D69" s="8" t="s">
        <v>464</v>
      </c>
      <c r="E69" s="8" t="s">
        <v>28</v>
      </c>
      <c r="F69" s="8" t="s">
        <v>50</v>
      </c>
      <c r="G69" s="9" t="s">
        <v>465</v>
      </c>
      <c r="H69" s="9" t="s">
        <v>466</v>
      </c>
      <c r="I69" s="271">
        <f t="shared" si="2"/>
        <v>4</v>
      </c>
      <c r="J69" s="8" t="s">
        <v>230</v>
      </c>
      <c r="K69" s="8" t="s">
        <v>467</v>
      </c>
      <c r="L69" s="8" t="s">
        <v>468</v>
      </c>
      <c r="M69" s="8" t="s">
        <v>454</v>
      </c>
      <c r="N69" s="10" t="str">
        <f t="shared" si="3"/>
        <v>34-34</v>
      </c>
      <c r="O69" s="8" t="s">
        <v>469</v>
      </c>
    </row>
    <row r="70" spans="1:15" ht="15">
      <c r="A70" s="13" t="s">
        <v>470</v>
      </c>
      <c r="B70" s="7">
        <v>69</v>
      </c>
      <c r="C70" s="17" t="s">
        <v>471</v>
      </c>
      <c r="D70" s="8" t="s">
        <v>94</v>
      </c>
      <c r="E70" s="8" t="s">
        <v>17</v>
      </c>
      <c r="F70" s="8" t="s">
        <v>472</v>
      </c>
      <c r="G70" s="9" t="s">
        <v>465</v>
      </c>
      <c r="H70" s="9" t="s">
        <v>473</v>
      </c>
      <c r="I70" s="271">
        <f t="shared" si="2"/>
        <v>-4</v>
      </c>
      <c r="J70" s="8" t="s">
        <v>474</v>
      </c>
      <c r="K70" s="8" t="s">
        <v>475</v>
      </c>
      <c r="L70" s="8" t="s">
        <v>31</v>
      </c>
      <c r="M70" s="8" t="s">
        <v>24</v>
      </c>
      <c r="N70" s="10" t="str">
        <f t="shared" si="3"/>
        <v>34-35</v>
      </c>
      <c r="O70" s="8" t="s">
        <v>476</v>
      </c>
    </row>
    <row r="71" spans="1:15" ht="15">
      <c r="A71" s="13" t="s">
        <v>470</v>
      </c>
      <c r="B71" s="7">
        <v>70</v>
      </c>
      <c r="C71" s="17" t="s">
        <v>477</v>
      </c>
      <c r="D71" s="8" t="s">
        <v>124</v>
      </c>
      <c r="E71" s="8" t="s">
        <v>17</v>
      </c>
      <c r="F71" s="8" t="s">
        <v>78</v>
      </c>
      <c r="G71" s="9" t="s">
        <v>478</v>
      </c>
      <c r="H71" s="9" t="s">
        <v>479</v>
      </c>
      <c r="I71" s="271">
        <f t="shared" si="2"/>
        <v>-5</v>
      </c>
      <c r="J71" s="8" t="s">
        <v>84</v>
      </c>
      <c r="K71" s="8" t="s">
        <v>480</v>
      </c>
      <c r="L71" s="8" t="s">
        <v>61</v>
      </c>
      <c r="M71" s="8" t="s">
        <v>481</v>
      </c>
      <c r="N71" s="10" t="str">
        <f t="shared" si="3"/>
        <v>34-36</v>
      </c>
      <c r="O71" s="8" t="s">
        <v>482</v>
      </c>
    </row>
    <row r="72" spans="1:15" ht="15">
      <c r="A72" s="13" t="s">
        <v>470</v>
      </c>
      <c r="B72" s="7">
        <v>71</v>
      </c>
      <c r="C72" s="17" t="s">
        <v>483</v>
      </c>
      <c r="D72" s="8" t="s">
        <v>132</v>
      </c>
      <c r="E72" s="8" t="s">
        <v>17</v>
      </c>
      <c r="F72" s="8" t="s">
        <v>484</v>
      </c>
      <c r="G72" s="9" t="s">
        <v>485</v>
      </c>
      <c r="H72" s="9" t="s">
        <v>486</v>
      </c>
      <c r="I72" s="271">
        <f t="shared" si="2"/>
        <v>-12</v>
      </c>
      <c r="J72" s="8" t="s">
        <v>487</v>
      </c>
      <c r="K72" s="8" t="s">
        <v>488</v>
      </c>
      <c r="L72" s="8" t="s">
        <v>23</v>
      </c>
      <c r="M72" s="8" t="s">
        <v>24</v>
      </c>
      <c r="N72" s="10" t="str">
        <f t="shared" si="3"/>
        <v>34-37</v>
      </c>
      <c r="O72" s="8" t="s">
        <v>489</v>
      </c>
    </row>
    <row r="73" spans="1:15" ht="15">
      <c r="A73" s="14" t="s">
        <v>490</v>
      </c>
      <c r="B73" s="7">
        <v>72</v>
      </c>
      <c r="C73" s="17" t="s">
        <v>491</v>
      </c>
      <c r="D73" s="8" t="s">
        <v>27</v>
      </c>
      <c r="E73" s="8" t="s">
        <v>28</v>
      </c>
      <c r="F73" s="8" t="s">
        <v>84</v>
      </c>
      <c r="G73" s="9" t="s">
        <v>492</v>
      </c>
      <c r="H73" s="9" t="s">
        <v>493</v>
      </c>
      <c r="I73" s="271">
        <f t="shared" si="2"/>
        <v>-11</v>
      </c>
      <c r="J73" s="8" t="s">
        <v>104</v>
      </c>
      <c r="K73" s="8" t="s">
        <v>46</v>
      </c>
      <c r="L73" s="8" t="s">
        <v>297</v>
      </c>
      <c r="M73" s="8" t="s">
        <v>24</v>
      </c>
      <c r="N73" s="10" t="str">
        <f t="shared" si="3"/>
        <v>35-37</v>
      </c>
      <c r="O73" s="8" t="s">
        <v>494</v>
      </c>
    </row>
    <row r="74" spans="1:15" ht="15">
      <c r="A74" s="14" t="s">
        <v>490</v>
      </c>
      <c r="B74" s="7">
        <v>73</v>
      </c>
      <c r="C74" s="17" t="s">
        <v>495</v>
      </c>
      <c r="D74" s="8" t="s">
        <v>27</v>
      </c>
      <c r="E74" s="8" t="s">
        <v>28</v>
      </c>
      <c r="F74" s="8" t="s">
        <v>385</v>
      </c>
      <c r="G74" s="9" t="s">
        <v>496</v>
      </c>
      <c r="H74" s="9" t="s">
        <v>497</v>
      </c>
      <c r="I74" s="271">
        <f t="shared" si="2"/>
        <v>-4</v>
      </c>
      <c r="J74" s="8" t="s">
        <v>498</v>
      </c>
      <c r="K74" s="8" t="s">
        <v>296</v>
      </c>
      <c r="L74" s="8" t="s">
        <v>499</v>
      </c>
      <c r="M74" s="8" t="s">
        <v>24</v>
      </c>
      <c r="N74" s="10" t="str">
        <f t="shared" si="3"/>
        <v>36-37</v>
      </c>
      <c r="O74" s="8" t="s">
        <v>500</v>
      </c>
    </row>
    <row r="75" spans="1:15" ht="15">
      <c r="A75" s="14" t="s">
        <v>490</v>
      </c>
      <c r="B75" s="7">
        <v>74</v>
      </c>
      <c r="C75" s="17" t="s">
        <v>501</v>
      </c>
      <c r="D75" s="8" t="s">
        <v>16</v>
      </c>
      <c r="E75" s="8" t="s">
        <v>17</v>
      </c>
      <c r="F75" s="8" t="s">
        <v>35</v>
      </c>
      <c r="G75" s="9" t="s">
        <v>502</v>
      </c>
      <c r="H75" s="9" t="s">
        <v>503</v>
      </c>
      <c r="I75" s="271">
        <f t="shared" si="2"/>
        <v>-8</v>
      </c>
      <c r="J75" s="8" t="s">
        <v>504</v>
      </c>
      <c r="K75" s="8" t="s">
        <v>505</v>
      </c>
      <c r="L75" s="8" t="s">
        <v>31</v>
      </c>
      <c r="M75" s="8" t="s">
        <v>24</v>
      </c>
      <c r="N75" s="10" t="str">
        <f t="shared" si="3"/>
        <v>36-38</v>
      </c>
      <c r="O75" s="8" t="s">
        <v>506</v>
      </c>
    </row>
    <row r="76" spans="1:15" ht="15">
      <c r="A76" s="14" t="s">
        <v>507</v>
      </c>
      <c r="B76" s="7">
        <v>75</v>
      </c>
      <c r="C76" s="17" t="s">
        <v>508</v>
      </c>
      <c r="D76" s="8" t="s">
        <v>27</v>
      </c>
      <c r="E76" s="8" t="s">
        <v>17</v>
      </c>
      <c r="F76" s="8" t="s">
        <v>509</v>
      </c>
      <c r="G76" s="9" t="s">
        <v>510</v>
      </c>
      <c r="H76" s="9" t="s">
        <v>511</v>
      </c>
      <c r="I76" s="271">
        <f t="shared" si="2"/>
        <v>-14</v>
      </c>
      <c r="J76" s="8" t="s">
        <v>43</v>
      </c>
      <c r="K76" s="8" t="s">
        <v>512</v>
      </c>
      <c r="L76" s="8" t="s">
        <v>467</v>
      </c>
      <c r="M76" s="8" t="s">
        <v>24</v>
      </c>
      <c r="N76" s="10" t="str">
        <f t="shared" si="3"/>
        <v>36-39</v>
      </c>
      <c r="O76" s="8" t="s">
        <v>513</v>
      </c>
    </row>
    <row r="77" spans="1:15" ht="15">
      <c r="A77" s="14" t="s">
        <v>507</v>
      </c>
      <c r="B77" s="7">
        <v>76</v>
      </c>
      <c r="C77" s="17" t="s">
        <v>514</v>
      </c>
      <c r="D77" s="8" t="s">
        <v>16</v>
      </c>
      <c r="E77" s="8" t="s">
        <v>28</v>
      </c>
      <c r="F77" s="8" t="s">
        <v>515</v>
      </c>
      <c r="G77" s="9" t="s">
        <v>503</v>
      </c>
      <c r="H77" s="9" t="s">
        <v>516</v>
      </c>
      <c r="I77" s="271">
        <f t="shared" si="2"/>
        <v>-8</v>
      </c>
      <c r="J77" s="8" t="s">
        <v>517</v>
      </c>
      <c r="K77" s="8" t="s">
        <v>23</v>
      </c>
      <c r="L77" s="8" t="s">
        <v>518</v>
      </c>
      <c r="M77" s="8" t="s">
        <v>24</v>
      </c>
      <c r="N77" s="10" t="str">
        <f t="shared" si="3"/>
        <v>37-39</v>
      </c>
      <c r="O77" s="8" t="s">
        <v>519</v>
      </c>
    </row>
    <row r="78" spans="1:15" ht="15">
      <c r="A78" s="14" t="s">
        <v>507</v>
      </c>
      <c r="B78" s="7">
        <v>77</v>
      </c>
      <c r="C78" s="17" t="s">
        <v>520</v>
      </c>
      <c r="D78" s="8" t="s">
        <v>41</v>
      </c>
      <c r="E78" s="8" t="s">
        <v>17</v>
      </c>
      <c r="F78" s="8" t="s">
        <v>521</v>
      </c>
      <c r="G78" s="9" t="s">
        <v>522</v>
      </c>
      <c r="H78" s="9" t="s">
        <v>523</v>
      </c>
      <c r="I78" s="271">
        <f t="shared" si="2"/>
        <v>-10</v>
      </c>
      <c r="J78" s="8" t="s">
        <v>121</v>
      </c>
      <c r="K78" s="8" t="s">
        <v>524</v>
      </c>
      <c r="L78" s="8" t="s">
        <v>243</v>
      </c>
      <c r="M78" s="8" t="s">
        <v>525</v>
      </c>
      <c r="N78" s="10" t="str">
        <f t="shared" si="3"/>
        <v>37-40</v>
      </c>
      <c r="O78" s="8" t="s">
        <v>526</v>
      </c>
    </row>
    <row r="79" spans="1:15" ht="15">
      <c r="A79" s="20" t="s">
        <v>527</v>
      </c>
      <c r="B79" s="7">
        <v>78</v>
      </c>
      <c r="C79" s="17" t="s">
        <v>528</v>
      </c>
      <c r="D79" s="8" t="s">
        <v>529</v>
      </c>
      <c r="E79" s="8" t="s">
        <v>28</v>
      </c>
      <c r="F79" s="8" t="s">
        <v>288</v>
      </c>
      <c r="G79" s="9" t="s">
        <v>523</v>
      </c>
      <c r="H79" s="9" t="s">
        <v>530</v>
      </c>
      <c r="I79" s="271">
        <f t="shared" si="2"/>
        <v>-6</v>
      </c>
      <c r="J79" s="8" t="s">
        <v>531</v>
      </c>
      <c r="K79" s="8" t="s">
        <v>296</v>
      </c>
      <c r="L79" s="8" t="s">
        <v>532</v>
      </c>
      <c r="M79" s="8" t="s">
        <v>24</v>
      </c>
      <c r="N79" s="10" t="str">
        <f t="shared" si="3"/>
        <v>38-40</v>
      </c>
      <c r="O79" s="8" t="s">
        <v>533</v>
      </c>
    </row>
    <row r="80" spans="1:15" ht="15">
      <c r="A80" s="20" t="s">
        <v>527</v>
      </c>
      <c r="B80" s="7">
        <v>79</v>
      </c>
      <c r="C80" s="17" t="s">
        <v>534</v>
      </c>
      <c r="D80" s="8" t="s">
        <v>529</v>
      </c>
      <c r="E80" s="8" t="s">
        <v>535</v>
      </c>
      <c r="F80" s="8" t="s">
        <v>125</v>
      </c>
      <c r="G80" s="9" t="s">
        <v>536</v>
      </c>
      <c r="H80" s="9" t="s">
        <v>537</v>
      </c>
      <c r="I80" s="271">
        <f t="shared" si="2"/>
        <v>-7</v>
      </c>
      <c r="J80" s="8" t="s">
        <v>257</v>
      </c>
      <c r="K80" s="8" t="s">
        <v>538</v>
      </c>
      <c r="L80" s="8" t="s">
        <v>207</v>
      </c>
      <c r="M80" s="8" t="s">
        <v>24</v>
      </c>
      <c r="N80" s="10" t="str">
        <f t="shared" si="3"/>
        <v>39-40</v>
      </c>
      <c r="O80" s="8" t="s">
        <v>539</v>
      </c>
    </row>
    <row r="81" spans="1:15" ht="15">
      <c r="A81" s="20" t="s">
        <v>527</v>
      </c>
      <c r="B81" s="7">
        <v>80</v>
      </c>
      <c r="C81" s="17" t="s">
        <v>540</v>
      </c>
      <c r="D81" s="8" t="s">
        <v>541</v>
      </c>
      <c r="E81" s="8" t="s">
        <v>28</v>
      </c>
      <c r="F81" s="8" t="s">
        <v>542</v>
      </c>
      <c r="G81" s="9" t="s">
        <v>543</v>
      </c>
      <c r="H81" s="9" t="s">
        <v>537</v>
      </c>
      <c r="I81" s="271">
        <f t="shared" si="2"/>
        <v>-1</v>
      </c>
      <c r="J81" s="8" t="s">
        <v>95</v>
      </c>
      <c r="K81" s="8" t="s">
        <v>31</v>
      </c>
      <c r="L81" s="8" t="s">
        <v>258</v>
      </c>
      <c r="M81" s="8" t="s">
        <v>24</v>
      </c>
      <c r="N81" s="10" t="str">
        <f t="shared" si="3"/>
        <v>40-40</v>
      </c>
      <c r="O81" s="8" t="s">
        <v>544</v>
      </c>
    </row>
    <row r="82" spans="1:15" ht="15">
      <c r="A82" s="13" t="s">
        <v>92</v>
      </c>
      <c r="B82" s="7">
        <v>81</v>
      </c>
      <c r="C82" s="17" t="s">
        <v>545</v>
      </c>
      <c r="D82" s="8" t="s">
        <v>77</v>
      </c>
      <c r="E82" s="8" t="s">
        <v>28</v>
      </c>
      <c r="F82" s="8" t="s">
        <v>546</v>
      </c>
      <c r="G82" s="9" t="s">
        <v>547</v>
      </c>
      <c r="H82" s="9" t="s">
        <v>537</v>
      </c>
      <c r="I82" s="271">
        <f t="shared" si="2"/>
        <v>8</v>
      </c>
      <c r="J82" s="8" t="s">
        <v>548</v>
      </c>
      <c r="K82" s="8" t="s">
        <v>23</v>
      </c>
      <c r="L82" s="8" t="s">
        <v>549</v>
      </c>
      <c r="M82" s="8" t="s">
        <v>24</v>
      </c>
      <c r="N82" s="10" t="str">
        <f t="shared" si="3"/>
        <v>41-40</v>
      </c>
      <c r="O82" s="8" t="s">
        <v>550</v>
      </c>
    </row>
    <row r="83" spans="1:15" ht="15">
      <c r="A83" s="13" t="s">
        <v>92</v>
      </c>
      <c r="B83" s="7">
        <v>82</v>
      </c>
      <c r="C83" s="17" t="s">
        <v>551</v>
      </c>
      <c r="D83" s="8" t="s">
        <v>116</v>
      </c>
      <c r="E83" s="8" t="s">
        <v>17</v>
      </c>
      <c r="F83" s="8" t="s">
        <v>552</v>
      </c>
      <c r="G83" s="9" t="s">
        <v>553</v>
      </c>
      <c r="H83" s="9" t="s">
        <v>554</v>
      </c>
      <c r="I83" s="271">
        <f t="shared" si="2"/>
        <v>-6</v>
      </c>
      <c r="J83" s="8" t="s">
        <v>555</v>
      </c>
      <c r="K83" s="8" t="s">
        <v>556</v>
      </c>
      <c r="L83" s="8" t="s">
        <v>44</v>
      </c>
      <c r="M83" s="8" t="s">
        <v>24</v>
      </c>
      <c r="N83" s="10" t="str">
        <f t="shared" si="3"/>
        <v>40-42</v>
      </c>
      <c r="O83" s="8" t="s">
        <v>557</v>
      </c>
    </row>
    <row r="84" spans="1:15" ht="15">
      <c r="A84" s="13" t="s">
        <v>92</v>
      </c>
      <c r="B84" s="7">
        <v>83</v>
      </c>
      <c r="C84" s="17" t="s">
        <v>558</v>
      </c>
      <c r="D84" s="8" t="s">
        <v>132</v>
      </c>
      <c r="E84" s="8" t="s">
        <v>28</v>
      </c>
      <c r="F84" s="8" t="s">
        <v>57</v>
      </c>
      <c r="G84" s="9" t="s">
        <v>559</v>
      </c>
      <c r="H84" s="9" t="s">
        <v>560</v>
      </c>
      <c r="I84" s="271">
        <f t="shared" si="2"/>
        <v>-4</v>
      </c>
      <c r="J84" s="8" t="s">
        <v>151</v>
      </c>
      <c r="K84" s="8" t="s">
        <v>454</v>
      </c>
      <c r="L84" s="8" t="s">
        <v>561</v>
      </c>
      <c r="M84" s="8" t="s">
        <v>46</v>
      </c>
      <c r="N84" s="10" t="str">
        <f t="shared" si="3"/>
        <v>41-42</v>
      </c>
      <c r="O84" s="8" t="s">
        <v>562</v>
      </c>
    </row>
    <row r="85" spans="1:15" ht="15">
      <c r="A85" s="14" t="s">
        <v>563</v>
      </c>
      <c r="B85" s="7">
        <v>84</v>
      </c>
      <c r="C85" s="17" t="s">
        <v>564</v>
      </c>
      <c r="D85" s="8" t="s">
        <v>27</v>
      </c>
      <c r="E85" s="8" t="s">
        <v>28</v>
      </c>
      <c r="F85" s="8" t="s">
        <v>84</v>
      </c>
      <c r="G85" s="9" t="s">
        <v>565</v>
      </c>
      <c r="H85" s="9" t="s">
        <v>566</v>
      </c>
      <c r="I85" s="271">
        <f t="shared" si="2"/>
        <v>-3</v>
      </c>
      <c r="J85" s="8" t="s">
        <v>230</v>
      </c>
      <c r="K85" s="8" t="s">
        <v>243</v>
      </c>
      <c r="L85" s="8" t="s">
        <v>567</v>
      </c>
      <c r="M85" s="8" t="s">
        <v>46</v>
      </c>
      <c r="N85" s="10" t="str">
        <f t="shared" si="3"/>
        <v>42-42</v>
      </c>
      <c r="O85" s="8" t="s">
        <v>568</v>
      </c>
    </row>
    <row r="86" spans="1:15" ht="15">
      <c r="A86" s="14" t="s">
        <v>563</v>
      </c>
      <c r="B86" s="7">
        <v>85</v>
      </c>
      <c r="C86" s="17" t="s">
        <v>569</v>
      </c>
      <c r="D86" s="8" t="s">
        <v>16</v>
      </c>
      <c r="E86" s="8" t="s">
        <v>28</v>
      </c>
      <c r="F86" s="8" t="s">
        <v>570</v>
      </c>
      <c r="G86" s="9" t="s">
        <v>571</v>
      </c>
      <c r="H86" s="9" t="s">
        <v>572</v>
      </c>
      <c r="I86" s="271">
        <f t="shared" si="2"/>
        <v>4</v>
      </c>
      <c r="J86" s="8" t="s">
        <v>573</v>
      </c>
      <c r="K86" s="8" t="s">
        <v>350</v>
      </c>
      <c r="L86" s="8" t="s">
        <v>567</v>
      </c>
      <c r="M86" s="8" t="s">
        <v>24</v>
      </c>
      <c r="N86" s="10" t="str">
        <f t="shared" si="3"/>
        <v>43-42</v>
      </c>
      <c r="O86" s="8" t="s">
        <v>574</v>
      </c>
    </row>
    <row r="87" spans="1:15" ht="15">
      <c r="A87" s="14" t="s">
        <v>563</v>
      </c>
      <c r="B87" s="7">
        <v>86</v>
      </c>
      <c r="C87" s="17" t="s">
        <v>575</v>
      </c>
      <c r="D87" s="8" t="s">
        <v>27</v>
      </c>
      <c r="E87" s="8" t="s">
        <v>28</v>
      </c>
      <c r="F87" s="8" t="s">
        <v>576</v>
      </c>
      <c r="G87" s="9" t="s">
        <v>577</v>
      </c>
      <c r="H87" s="9" t="s">
        <v>578</v>
      </c>
      <c r="I87" s="271">
        <f t="shared" si="2"/>
        <v>6</v>
      </c>
      <c r="J87" s="8" t="s">
        <v>222</v>
      </c>
      <c r="K87" s="8" t="s">
        <v>54</v>
      </c>
      <c r="L87" s="8" t="s">
        <v>208</v>
      </c>
      <c r="M87" s="8" t="s">
        <v>46</v>
      </c>
      <c r="N87" s="10" t="str">
        <f t="shared" si="3"/>
        <v>44-42</v>
      </c>
      <c r="O87" s="8" t="s">
        <v>579</v>
      </c>
    </row>
    <row r="88" spans="1:15" ht="15">
      <c r="A88" s="14" t="s">
        <v>563</v>
      </c>
      <c r="B88" s="7">
        <v>87</v>
      </c>
      <c r="C88" s="17" t="s">
        <v>580</v>
      </c>
      <c r="D88" s="8" t="s">
        <v>27</v>
      </c>
      <c r="E88" s="8" t="s">
        <v>28</v>
      </c>
      <c r="F88" s="8" t="s">
        <v>114</v>
      </c>
      <c r="G88" s="9" t="s">
        <v>581</v>
      </c>
      <c r="H88" s="9" t="s">
        <v>582</v>
      </c>
      <c r="I88" s="271">
        <f t="shared" si="2"/>
        <v>9</v>
      </c>
      <c r="J88" s="8" t="s">
        <v>176</v>
      </c>
      <c r="K88" s="8" t="s">
        <v>44</v>
      </c>
      <c r="L88" s="8" t="s">
        <v>583</v>
      </c>
      <c r="M88" s="8" t="s">
        <v>46</v>
      </c>
      <c r="N88" s="10" t="str">
        <f t="shared" si="3"/>
        <v>44-43</v>
      </c>
      <c r="O88" s="8" t="s">
        <v>584</v>
      </c>
    </row>
    <row r="89" spans="1:15" ht="15">
      <c r="A89" s="14" t="s">
        <v>585</v>
      </c>
      <c r="B89" s="7">
        <v>88</v>
      </c>
      <c r="C89" s="17" t="s">
        <v>586</v>
      </c>
      <c r="D89" s="8" t="s">
        <v>27</v>
      </c>
      <c r="E89" s="8" t="s">
        <v>133</v>
      </c>
      <c r="F89" s="8" t="s">
        <v>587</v>
      </c>
      <c r="G89" s="9" t="s">
        <v>588</v>
      </c>
      <c r="H89" s="9" t="s">
        <v>589</v>
      </c>
      <c r="I89" s="271">
        <f t="shared" si="2"/>
        <v>10</v>
      </c>
      <c r="J89" s="8" t="s">
        <v>91</v>
      </c>
      <c r="K89" s="8" t="s">
        <v>61</v>
      </c>
      <c r="L89" s="8" t="s">
        <v>590</v>
      </c>
      <c r="M89" s="8" t="s">
        <v>24</v>
      </c>
      <c r="N89" s="10" t="str">
        <f t="shared" si="3"/>
        <v>45-43</v>
      </c>
      <c r="O89" s="8" t="s">
        <v>591</v>
      </c>
    </row>
    <row r="90" spans="1:15" ht="15">
      <c r="A90" s="14" t="s">
        <v>585</v>
      </c>
      <c r="B90" s="7">
        <v>89</v>
      </c>
      <c r="C90" s="17" t="s">
        <v>592</v>
      </c>
      <c r="D90" s="8" t="s">
        <v>16</v>
      </c>
      <c r="E90" s="8" t="s">
        <v>108</v>
      </c>
      <c r="F90" s="8" t="s">
        <v>587</v>
      </c>
      <c r="G90" s="9" t="s">
        <v>593</v>
      </c>
      <c r="H90" s="9" t="s">
        <v>594</v>
      </c>
      <c r="I90" s="271">
        <f t="shared" si="2"/>
        <v>11</v>
      </c>
      <c r="J90" s="8" t="s">
        <v>453</v>
      </c>
      <c r="K90" s="8" t="s">
        <v>350</v>
      </c>
      <c r="L90" s="8" t="s">
        <v>595</v>
      </c>
      <c r="M90" s="8" t="s">
        <v>24</v>
      </c>
      <c r="N90" s="10" t="str">
        <f t="shared" si="3"/>
        <v>46-43</v>
      </c>
      <c r="O90" s="8" t="s">
        <v>596</v>
      </c>
    </row>
    <row r="91" spans="1:15" ht="15">
      <c r="A91" s="14" t="s">
        <v>585</v>
      </c>
      <c r="B91" s="7">
        <v>90</v>
      </c>
      <c r="C91" s="17" t="s">
        <v>597</v>
      </c>
      <c r="D91" s="8" t="s">
        <v>41</v>
      </c>
      <c r="E91" s="8" t="s">
        <v>28</v>
      </c>
      <c r="F91" s="8" t="s">
        <v>55</v>
      </c>
      <c r="G91" s="9" t="s">
        <v>598</v>
      </c>
      <c r="H91" s="9" t="s">
        <v>599</v>
      </c>
      <c r="I91" s="271">
        <f t="shared" si="2"/>
        <v>12</v>
      </c>
      <c r="J91" s="8" t="s">
        <v>573</v>
      </c>
      <c r="K91" s="8" t="s">
        <v>600</v>
      </c>
      <c r="L91" s="8" t="s">
        <v>601</v>
      </c>
      <c r="M91" s="8" t="s">
        <v>46</v>
      </c>
      <c r="N91" s="10" t="str">
        <f t="shared" si="3"/>
        <v>46-44</v>
      </c>
      <c r="O91" s="8" t="s">
        <v>602</v>
      </c>
    </row>
    <row r="92" spans="1:15" ht="15">
      <c r="A92" s="20" t="s">
        <v>603</v>
      </c>
      <c r="B92" s="7">
        <v>91</v>
      </c>
      <c r="C92" s="17" t="s">
        <v>604</v>
      </c>
      <c r="D92" s="8" t="s">
        <v>193</v>
      </c>
      <c r="E92" s="8" t="s">
        <v>28</v>
      </c>
      <c r="F92" s="8" t="s">
        <v>250</v>
      </c>
      <c r="G92" s="9" t="s">
        <v>605</v>
      </c>
      <c r="H92" s="9" t="s">
        <v>606</v>
      </c>
      <c r="I92" s="271">
        <f t="shared" si="2"/>
        <v>16</v>
      </c>
      <c r="J92" s="8" t="s">
        <v>119</v>
      </c>
      <c r="K92" s="8" t="s">
        <v>23</v>
      </c>
      <c r="L92" s="8" t="s">
        <v>270</v>
      </c>
      <c r="M92" s="8" t="s">
        <v>24</v>
      </c>
      <c r="N92" s="10" t="str">
        <f t="shared" si="3"/>
        <v>47-44</v>
      </c>
      <c r="O92" s="8" t="s">
        <v>607</v>
      </c>
    </row>
    <row r="93" spans="1:15" ht="15">
      <c r="A93" s="20" t="s">
        <v>603</v>
      </c>
      <c r="B93" s="7">
        <v>92</v>
      </c>
      <c r="C93" s="17" t="s">
        <v>608</v>
      </c>
      <c r="D93" s="8" t="s">
        <v>193</v>
      </c>
      <c r="E93" s="8" t="s">
        <v>609</v>
      </c>
      <c r="F93" s="8" t="s">
        <v>101</v>
      </c>
      <c r="G93" s="9" t="s">
        <v>610</v>
      </c>
      <c r="H93" s="9" t="s">
        <v>588</v>
      </c>
      <c r="I93" s="271">
        <f t="shared" si="2"/>
        <v>21</v>
      </c>
      <c r="J93" s="8" t="s">
        <v>611</v>
      </c>
      <c r="K93" s="8" t="s">
        <v>44</v>
      </c>
      <c r="L93" s="8" t="s">
        <v>518</v>
      </c>
      <c r="M93" s="8" t="s">
        <v>24</v>
      </c>
      <c r="N93" s="10" t="str">
        <f t="shared" si="3"/>
        <v>48-44</v>
      </c>
      <c r="O93" s="8" t="s">
        <v>612</v>
      </c>
    </row>
    <row r="94" spans="1:15" ht="15">
      <c r="A94" s="20" t="s">
        <v>603</v>
      </c>
      <c r="B94" s="7">
        <v>93</v>
      </c>
      <c r="C94" s="17" t="s">
        <v>613</v>
      </c>
      <c r="D94" s="8" t="s">
        <v>436</v>
      </c>
      <c r="E94" s="8" t="s">
        <v>17</v>
      </c>
      <c r="F94" s="8" t="s">
        <v>39</v>
      </c>
      <c r="G94" s="9" t="s">
        <v>614</v>
      </c>
      <c r="H94" s="9" t="s">
        <v>615</v>
      </c>
      <c r="I94" s="271">
        <f t="shared" si="2"/>
        <v>20</v>
      </c>
      <c r="J94" s="8" t="s">
        <v>616</v>
      </c>
      <c r="K94" s="8" t="s">
        <v>617</v>
      </c>
      <c r="L94" s="8" t="s">
        <v>296</v>
      </c>
      <c r="M94" s="8" t="s">
        <v>524</v>
      </c>
      <c r="N94" s="10" t="str">
        <f t="shared" si="3"/>
        <v>49-44</v>
      </c>
      <c r="O94" s="8" t="s">
        <v>618</v>
      </c>
    </row>
    <row r="95" spans="1:15" ht="15">
      <c r="A95" s="20" t="s">
        <v>619</v>
      </c>
      <c r="B95" s="7">
        <v>94</v>
      </c>
      <c r="C95" s="17" t="s">
        <v>620</v>
      </c>
      <c r="D95" s="8" t="s">
        <v>621</v>
      </c>
      <c r="E95" s="8" t="s">
        <v>28</v>
      </c>
      <c r="F95" s="8" t="s">
        <v>134</v>
      </c>
      <c r="G95" s="9" t="s">
        <v>622</v>
      </c>
      <c r="H95" s="9" t="s">
        <v>623</v>
      </c>
      <c r="I95" s="271">
        <f t="shared" si="2"/>
        <v>21</v>
      </c>
      <c r="J95" s="8" t="s">
        <v>168</v>
      </c>
      <c r="K95" s="8" t="s">
        <v>624</v>
      </c>
      <c r="L95" s="8" t="s">
        <v>625</v>
      </c>
      <c r="M95" s="8" t="s">
        <v>24</v>
      </c>
      <c r="N95" s="10" t="str">
        <f t="shared" si="3"/>
        <v>49-45</v>
      </c>
      <c r="O95" s="8" t="s">
        <v>626</v>
      </c>
    </row>
    <row r="96" spans="1:15" ht="15">
      <c r="A96" s="20" t="s">
        <v>619</v>
      </c>
      <c r="B96" s="7">
        <v>95</v>
      </c>
      <c r="C96" s="21" t="s">
        <v>627</v>
      </c>
      <c r="D96" s="8" t="s">
        <v>621</v>
      </c>
      <c r="E96" s="8" t="s">
        <v>17</v>
      </c>
      <c r="F96" s="8" t="s">
        <v>117</v>
      </c>
      <c r="G96" s="9" t="s">
        <v>628</v>
      </c>
      <c r="H96" s="9" t="s">
        <v>629</v>
      </c>
      <c r="I96" s="271">
        <f t="shared" si="2"/>
        <v>20</v>
      </c>
      <c r="J96" s="8" t="s">
        <v>151</v>
      </c>
      <c r="K96" s="8" t="s">
        <v>393</v>
      </c>
      <c r="L96" s="8" t="s">
        <v>31</v>
      </c>
      <c r="M96" s="8" t="s">
        <v>297</v>
      </c>
      <c r="N96" s="10" t="str">
        <f t="shared" si="3"/>
        <v>50-45</v>
      </c>
      <c r="O96" s="8" t="s">
        <v>630</v>
      </c>
    </row>
    <row r="97" spans="1:15" ht="15">
      <c r="A97" s="20" t="s">
        <v>619</v>
      </c>
      <c r="B97" s="7">
        <v>96</v>
      </c>
      <c r="C97" s="17" t="s">
        <v>631</v>
      </c>
      <c r="D97" s="8" t="s">
        <v>124</v>
      </c>
      <c r="E97" s="8" t="s">
        <v>17</v>
      </c>
      <c r="F97" s="8" t="s">
        <v>442</v>
      </c>
      <c r="G97" s="9" t="s">
        <v>632</v>
      </c>
      <c r="H97" s="9" t="s">
        <v>633</v>
      </c>
      <c r="I97" s="271">
        <f t="shared" si="2"/>
        <v>17</v>
      </c>
      <c r="J97" s="8" t="s">
        <v>634</v>
      </c>
      <c r="K97" s="8" t="s">
        <v>399</v>
      </c>
      <c r="L97" s="8" t="s">
        <v>23</v>
      </c>
      <c r="M97" s="8" t="s">
        <v>297</v>
      </c>
      <c r="N97" s="10" t="str">
        <f t="shared" si="3"/>
        <v>50-46</v>
      </c>
      <c r="O97" s="8" t="s">
        <v>635</v>
      </c>
    </row>
    <row r="98" spans="1:15" ht="15">
      <c r="A98" s="22" t="s">
        <v>636</v>
      </c>
      <c r="B98" s="7">
        <v>97</v>
      </c>
      <c r="C98" s="17" t="s">
        <v>637</v>
      </c>
      <c r="D98" s="8" t="s">
        <v>27</v>
      </c>
      <c r="E98" s="8" t="s">
        <v>28</v>
      </c>
      <c r="F98" s="8" t="s">
        <v>638</v>
      </c>
      <c r="G98" s="9" t="s">
        <v>639</v>
      </c>
      <c r="H98" s="9" t="s">
        <v>633</v>
      </c>
      <c r="I98" s="271">
        <f t="shared" si="2"/>
        <v>21</v>
      </c>
      <c r="J98" s="8" t="s">
        <v>404</v>
      </c>
      <c r="K98" s="8" t="s">
        <v>44</v>
      </c>
      <c r="L98" s="8" t="s">
        <v>640</v>
      </c>
      <c r="M98" s="8" t="s">
        <v>24</v>
      </c>
      <c r="N98" s="10" t="str">
        <f t="shared" si="3"/>
        <v>51-46</v>
      </c>
      <c r="O98" s="8" t="s">
        <v>641</v>
      </c>
    </row>
    <row r="99" spans="1:15" ht="15">
      <c r="A99" s="22" t="s">
        <v>636</v>
      </c>
      <c r="B99" s="7">
        <v>98</v>
      </c>
      <c r="C99" s="17" t="s">
        <v>642</v>
      </c>
      <c r="D99" s="8" t="s">
        <v>16</v>
      </c>
      <c r="E99" s="8" t="s">
        <v>28</v>
      </c>
      <c r="F99" s="8" t="s">
        <v>148</v>
      </c>
      <c r="G99" s="9" t="s">
        <v>643</v>
      </c>
      <c r="H99" s="9" t="s">
        <v>610</v>
      </c>
      <c r="I99" s="271">
        <f t="shared" si="2"/>
        <v>24</v>
      </c>
      <c r="J99" s="8" t="s">
        <v>644</v>
      </c>
      <c r="K99" s="8" t="s">
        <v>296</v>
      </c>
      <c r="L99" s="8" t="s">
        <v>386</v>
      </c>
      <c r="M99" s="8" t="s">
        <v>46</v>
      </c>
      <c r="N99" s="10" t="str">
        <f t="shared" si="3"/>
        <v>51-47</v>
      </c>
      <c r="O99" s="8" t="s">
        <v>645</v>
      </c>
    </row>
    <row r="100" spans="1:15" ht="15">
      <c r="A100" s="22" t="s">
        <v>636</v>
      </c>
      <c r="B100" s="7">
        <v>99</v>
      </c>
      <c r="C100" s="17" t="s">
        <v>646</v>
      </c>
      <c r="D100" s="8" t="s">
        <v>647</v>
      </c>
      <c r="E100" s="8" t="s">
        <v>28</v>
      </c>
      <c r="F100" s="8" t="s">
        <v>121</v>
      </c>
      <c r="G100" s="9" t="s">
        <v>648</v>
      </c>
      <c r="H100" s="9" t="s">
        <v>649</v>
      </c>
      <c r="I100" s="271">
        <f t="shared" si="2"/>
        <v>26</v>
      </c>
      <c r="J100" s="8" t="s">
        <v>650</v>
      </c>
      <c r="K100" s="8" t="s">
        <v>23</v>
      </c>
      <c r="L100" s="8" t="s">
        <v>651</v>
      </c>
      <c r="M100" s="8" t="s">
        <v>454</v>
      </c>
      <c r="N100" s="10" t="str">
        <f t="shared" si="3"/>
        <v>52-47</v>
      </c>
      <c r="O100" s="8" t="s">
        <v>652</v>
      </c>
    </row>
    <row r="101" spans="1:15" ht="15">
      <c r="A101" s="19" t="s">
        <v>563</v>
      </c>
      <c r="B101" s="7">
        <v>100</v>
      </c>
      <c r="C101" s="17" t="s">
        <v>653</v>
      </c>
      <c r="D101" s="8" t="s">
        <v>27</v>
      </c>
      <c r="E101" s="8" t="s">
        <v>28</v>
      </c>
      <c r="F101" s="8" t="s">
        <v>654</v>
      </c>
      <c r="G101" s="9" t="s">
        <v>655</v>
      </c>
      <c r="H101" s="9" t="s">
        <v>656</v>
      </c>
      <c r="I101" s="271">
        <f t="shared" si="2"/>
        <v>29</v>
      </c>
      <c r="J101" s="8" t="s">
        <v>99</v>
      </c>
      <c r="K101" s="8" t="s">
        <v>31</v>
      </c>
      <c r="L101" s="8" t="s">
        <v>657</v>
      </c>
      <c r="M101" s="8" t="s">
        <v>46</v>
      </c>
      <c r="N101" s="10" t="str">
        <f t="shared" si="3"/>
        <v>53-47</v>
      </c>
      <c r="O101" s="8" t="s">
        <v>658</v>
      </c>
    </row>
    <row r="102" spans="1:15" ht="15">
      <c r="A102" s="19" t="s">
        <v>563</v>
      </c>
      <c r="B102" s="7">
        <v>101</v>
      </c>
      <c r="C102" s="17" t="s">
        <v>659</v>
      </c>
      <c r="D102" s="8" t="s">
        <v>27</v>
      </c>
      <c r="E102" s="8" t="s">
        <v>17</v>
      </c>
      <c r="F102" s="8" t="s">
        <v>125</v>
      </c>
      <c r="G102" s="9" t="s">
        <v>660</v>
      </c>
      <c r="H102" s="9" t="s">
        <v>661</v>
      </c>
      <c r="I102" s="271">
        <f t="shared" si="2"/>
        <v>28</v>
      </c>
      <c r="J102" s="8" t="s">
        <v>662</v>
      </c>
      <c r="K102" s="8" t="s">
        <v>663</v>
      </c>
      <c r="L102" s="8" t="s">
        <v>46</v>
      </c>
      <c r="M102" s="8" t="s">
        <v>208</v>
      </c>
      <c r="N102" s="10" t="str">
        <f t="shared" si="3"/>
        <v>53-48</v>
      </c>
      <c r="O102" s="8" t="s">
        <v>664</v>
      </c>
    </row>
    <row r="103" spans="1:15" ht="15">
      <c r="A103" s="19" t="s">
        <v>563</v>
      </c>
      <c r="B103" s="7">
        <v>102</v>
      </c>
      <c r="C103" s="17" t="s">
        <v>665</v>
      </c>
      <c r="D103" s="8" t="s">
        <v>27</v>
      </c>
      <c r="E103" s="8" t="s">
        <v>28</v>
      </c>
      <c r="F103" s="8" t="s">
        <v>250</v>
      </c>
      <c r="G103" s="9" t="s">
        <v>666</v>
      </c>
      <c r="H103" s="9" t="s">
        <v>667</v>
      </c>
      <c r="I103" s="271">
        <f t="shared" si="2"/>
        <v>32</v>
      </c>
      <c r="J103" s="8" t="s">
        <v>51</v>
      </c>
      <c r="K103" s="8" t="s">
        <v>44</v>
      </c>
      <c r="L103" s="8" t="s">
        <v>221</v>
      </c>
      <c r="M103" s="8" t="s">
        <v>24</v>
      </c>
      <c r="N103" s="10" t="str">
        <f t="shared" si="3"/>
        <v>54-48</v>
      </c>
      <c r="O103" s="8" t="s">
        <v>668</v>
      </c>
    </row>
    <row r="104" spans="1:15" ht="15">
      <c r="A104" s="13" t="s">
        <v>669</v>
      </c>
      <c r="B104" s="7">
        <v>103</v>
      </c>
      <c r="C104" s="17" t="s">
        <v>670</v>
      </c>
      <c r="D104" s="8" t="s">
        <v>529</v>
      </c>
      <c r="E104" s="8" t="s">
        <v>28</v>
      </c>
      <c r="F104" s="8" t="s">
        <v>671</v>
      </c>
      <c r="G104" s="9" t="s">
        <v>672</v>
      </c>
      <c r="H104" s="9" t="s">
        <v>673</v>
      </c>
      <c r="I104" s="271">
        <f t="shared" si="2"/>
        <v>39</v>
      </c>
      <c r="J104" s="8" t="s">
        <v>674</v>
      </c>
      <c r="K104" s="8" t="s">
        <v>296</v>
      </c>
      <c r="L104" s="8" t="s">
        <v>675</v>
      </c>
      <c r="M104" s="8" t="s">
        <v>24</v>
      </c>
      <c r="N104" s="10" t="str">
        <f t="shared" si="3"/>
        <v>55-48</v>
      </c>
      <c r="O104" s="8" t="s">
        <v>676</v>
      </c>
    </row>
    <row r="105" spans="1:15" ht="15">
      <c r="A105" s="13" t="s">
        <v>669</v>
      </c>
      <c r="B105" s="7">
        <v>104</v>
      </c>
      <c r="C105" s="17" t="s">
        <v>677</v>
      </c>
      <c r="D105" s="8" t="s">
        <v>77</v>
      </c>
      <c r="E105" s="8" t="s">
        <v>28</v>
      </c>
      <c r="F105" s="8" t="s">
        <v>95</v>
      </c>
      <c r="G105" s="9" t="s">
        <v>678</v>
      </c>
      <c r="H105" s="9" t="s">
        <v>679</v>
      </c>
      <c r="I105" s="271">
        <f t="shared" si="2"/>
        <v>43</v>
      </c>
      <c r="J105" s="8" t="s">
        <v>97</v>
      </c>
      <c r="K105" s="8" t="s">
        <v>23</v>
      </c>
      <c r="L105" s="8" t="s">
        <v>680</v>
      </c>
      <c r="M105" s="8" t="s">
        <v>24</v>
      </c>
      <c r="N105" s="10" t="str">
        <f t="shared" si="3"/>
        <v>56-48</v>
      </c>
      <c r="O105" s="8" t="s">
        <v>681</v>
      </c>
    </row>
    <row r="106" spans="1:15" ht="15">
      <c r="A106" s="13" t="s">
        <v>669</v>
      </c>
      <c r="B106" s="7">
        <v>105</v>
      </c>
      <c r="C106" s="17" t="s">
        <v>682</v>
      </c>
      <c r="D106" s="8" t="s">
        <v>683</v>
      </c>
      <c r="E106" s="8" t="s">
        <v>28</v>
      </c>
      <c r="F106" s="8" t="s">
        <v>101</v>
      </c>
      <c r="G106" s="9" t="s">
        <v>684</v>
      </c>
      <c r="H106" s="9" t="s">
        <v>685</v>
      </c>
      <c r="I106" s="271">
        <f t="shared" si="2"/>
        <v>48</v>
      </c>
      <c r="J106" s="8" t="s">
        <v>517</v>
      </c>
      <c r="K106" s="8" t="s">
        <v>350</v>
      </c>
      <c r="L106" s="8" t="s">
        <v>334</v>
      </c>
      <c r="M106" s="8" t="s">
        <v>24</v>
      </c>
      <c r="N106" s="10" t="str">
        <f t="shared" si="3"/>
        <v>57-48</v>
      </c>
      <c r="O106" s="8" t="s">
        <v>686</v>
      </c>
    </row>
    <row r="107" spans="1:15" ht="15">
      <c r="A107" s="13" t="s">
        <v>669</v>
      </c>
      <c r="B107" s="7">
        <v>106</v>
      </c>
      <c r="C107" s="17" t="s">
        <v>687</v>
      </c>
      <c r="D107" s="8" t="s">
        <v>86</v>
      </c>
      <c r="E107" s="8" t="s">
        <v>17</v>
      </c>
      <c r="F107" s="8" t="s">
        <v>688</v>
      </c>
      <c r="G107" s="9" t="s">
        <v>689</v>
      </c>
      <c r="H107" s="9" t="s">
        <v>690</v>
      </c>
      <c r="I107" s="271">
        <f t="shared" si="2"/>
        <v>42</v>
      </c>
      <c r="J107" s="8" t="s">
        <v>304</v>
      </c>
      <c r="K107" s="8" t="s">
        <v>322</v>
      </c>
      <c r="L107" s="8" t="s">
        <v>624</v>
      </c>
      <c r="M107" s="8" t="s">
        <v>24</v>
      </c>
      <c r="N107" s="10" t="str">
        <f t="shared" si="3"/>
        <v>57-49</v>
      </c>
      <c r="O107" s="8" t="s">
        <v>691</v>
      </c>
    </row>
    <row r="108" spans="1:15" ht="15">
      <c r="A108" s="20" t="s">
        <v>122</v>
      </c>
      <c r="B108" s="7">
        <v>107</v>
      </c>
      <c r="C108" s="17" t="s">
        <v>692</v>
      </c>
      <c r="D108" s="8" t="s">
        <v>693</v>
      </c>
      <c r="E108" s="8" t="s">
        <v>17</v>
      </c>
      <c r="F108" s="8" t="s">
        <v>484</v>
      </c>
      <c r="G108" s="9" t="s">
        <v>694</v>
      </c>
      <c r="H108" s="9" t="s">
        <v>695</v>
      </c>
      <c r="I108" s="271">
        <f t="shared" si="2"/>
        <v>35</v>
      </c>
      <c r="J108" s="8" t="s">
        <v>696</v>
      </c>
      <c r="K108" s="8" t="s">
        <v>697</v>
      </c>
      <c r="L108" s="8" t="s">
        <v>44</v>
      </c>
      <c r="M108" s="8" t="s">
        <v>24</v>
      </c>
      <c r="N108" s="10" t="str">
        <f t="shared" si="3"/>
        <v>57-50</v>
      </c>
      <c r="O108" s="8" t="s">
        <v>698</v>
      </c>
    </row>
    <row r="109" spans="1:15" ht="15">
      <c r="A109" s="13" t="s">
        <v>122</v>
      </c>
      <c r="B109" s="7">
        <v>108</v>
      </c>
      <c r="C109" s="17" t="s">
        <v>699</v>
      </c>
      <c r="D109" s="8" t="s">
        <v>700</v>
      </c>
      <c r="E109" s="8" t="s">
        <v>17</v>
      </c>
      <c r="F109" s="8" t="s">
        <v>701</v>
      </c>
      <c r="G109" s="9" t="s">
        <v>702</v>
      </c>
      <c r="H109" s="9" t="s">
        <v>703</v>
      </c>
      <c r="I109" s="271">
        <f>IF(E109="","",G109-H109)</f>
        <v>23</v>
      </c>
      <c r="J109" s="8" t="s">
        <v>704</v>
      </c>
      <c r="K109" s="8" t="s">
        <v>32</v>
      </c>
      <c r="L109" s="8" t="s">
        <v>67</v>
      </c>
      <c r="M109" s="8" t="s">
        <v>24</v>
      </c>
      <c r="N109" s="10" t="str">
        <f>IF(E109="","",IFERROR(_xlfn.CONCAT(ROUND((G109^1.83)/((G109^1.83)+(H109^1.83))*B109,0),"-",B109-ROUND((G109^1.83)/((G109^1.83)+(H109^1.83))*B109,0)),0))</f>
        <v>56-52</v>
      </c>
      <c r="O109" s="8" t="s">
        <v>705</v>
      </c>
    </row>
    <row r="110" spans="1:15" ht="15">
      <c r="A110" s="20" t="s">
        <v>122</v>
      </c>
      <c r="B110" s="7">
        <v>109</v>
      </c>
      <c r="C110" s="17" t="s">
        <v>699</v>
      </c>
      <c r="D110" s="8" t="s">
        <v>693</v>
      </c>
      <c r="E110" s="8" t="s">
        <v>17</v>
      </c>
      <c r="F110" s="8" t="s">
        <v>78</v>
      </c>
      <c r="G110" s="9" t="s">
        <v>706</v>
      </c>
      <c r="H110" s="9" t="s">
        <v>707</v>
      </c>
      <c r="I110" s="271">
        <f t="shared" si="2"/>
        <v>22</v>
      </c>
      <c r="J110" s="8" t="s">
        <v>130</v>
      </c>
      <c r="K110" s="8" t="s">
        <v>708</v>
      </c>
      <c r="L110" s="8" t="s">
        <v>46</v>
      </c>
      <c r="M110" s="8" t="s">
        <v>697</v>
      </c>
      <c r="N110" s="10" t="str">
        <f t="shared" si="3"/>
        <v>57-52</v>
      </c>
      <c r="O110" s="8" t="s">
        <v>709</v>
      </c>
    </row>
    <row r="111" spans="1:15" ht="15">
      <c r="A111" s="20" t="s">
        <v>122</v>
      </c>
      <c r="B111" s="7">
        <v>110</v>
      </c>
      <c r="C111" s="17" t="s">
        <v>710</v>
      </c>
      <c r="D111" s="8" t="s">
        <v>700</v>
      </c>
      <c r="E111" s="8" t="s">
        <v>28</v>
      </c>
      <c r="F111" s="8" t="s">
        <v>104</v>
      </c>
      <c r="G111" s="9" t="s">
        <v>711</v>
      </c>
      <c r="H111" s="9" t="s">
        <v>684</v>
      </c>
      <c r="I111" s="271">
        <f t="shared" si="2"/>
        <v>23</v>
      </c>
      <c r="J111" s="8" t="s">
        <v>712</v>
      </c>
      <c r="K111" s="8" t="s">
        <v>207</v>
      </c>
      <c r="L111" s="8" t="s">
        <v>713</v>
      </c>
      <c r="M111" s="8" t="s">
        <v>46</v>
      </c>
      <c r="N111" s="10" t="str">
        <f t="shared" si="3"/>
        <v>57-53</v>
      </c>
      <c r="O111" s="8" t="s">
        <v>714</v>
      </c>
    </row>
    <row r="112" spans="1:15" ht="15">
      <c r="A112" s="14" t="s">
        <v>715</v>
      </c>
      <c r="B112" s="7">
        <v>111</v>
      </c>
      <c r="C112" s="17" t="s">
        <v>716</v>
      </c>
      <c r="D112" s="8" t="s">
        <v>27</v>
      </c>
      <c r="E112" s="8" t="s">
        <v>17</v>
      </c>
      <c r="F112" s="8" t="s">
        <v>214</v>
      </c>
      <c r="G112" s="9" t="s">
        <v>717</v>
      </c>
      <c r="H112" s="9" t="s">
        <v>718</v>
      </c>
      <c r="I112" s="271">
        <f t="shared" si="2"/>
        <v>17</v>
      </c>
      <c r="J112" s="8" t="s">
        <v>418</v>
      </c>
      <c r="K112" s="8" t="s">
        <v>719</v>
      </c>
      <c r="L112" s="8" t="s">
        <v>31</v>
      </c>
      <c r="M112" s="8" t="s">
        <v>24</v>
      </c>
      <c r="N112" s="10" t="str">
        <f t="shared" si="3"/>
        <v>57-54</v>
      </c>
      <c r="O112" s="8" t="s">
        <v>720</v>
      </c>
    </row>
    <row r="113" spans="1:15" ht="15">
      <c r="A113" s="14" t="s">
        <v>715</v>
      </c>
      <c r="B113" s="7">
        <v>112</v>
      </c>
      <c r="C113" s="17" t="s">
        <v>721</v>
      </c>
      <c r="D113" s="8" t="s">
        <v>16</v>
      </c>
      <c r="E113" s="8" t="s">
        <v>28</v>
      </c>
      <c r="F113" s="8" t="s">
        <v>63</v>
      </c>
      <c r="G113" s="9" t="s">
        <v>722</v>
      </c>
      <c r="H113" s="9" t="s">
        <v>723</v>
      </c>
      <c r="I113" s="271">
        <f t="shared" si="2"/>
        <v>19</v>
      </c>
      <c r="J113" s="8" t="s">
        <v>121</v>
      </c>
      <c r="K113" s="8" t="s">
        <v>624</v>
      </c>
      <c r="L113" s="8" t="s">
        <v>724</v>
      </c>
      <c r="M113" s="8" t="s">
        <v>46</v>
      </c>
      <c r="N113" s="10" t="str">
        <f t="shared" si="3"/>
        <v>58-54</v>
      </c>
      <c r="O113" s="8" t="s">
        <v>725</v>
      </c>
    </row>
    <row r="114" spans="1:15" ht="15">
      <c r="A114" s="14" t="s">
        <v>715</v>
      </c>
      <c r="B114" s="7">
        <v>113</v>
      </c>
      <c r="C114" s="17" t="s">
        <v>726</v>
      </c>
      <c r="D114" s="8" t="s">
        <v>41</v>
      </c>
      <c r="E114" s="8" t="s">
        <v>535</v>
      </c>
      <c r="F114" s="8" t="s">
        <v>89</v>
      </c>
      <c r="G114" s="9" t="s">
        <v>727</v>
      </c>
      <c r="H114" s="9" t="s">
        <v>728</v>
      </c>
      <c r="I114" s="271">
        <f t="shared" si="2"/>
        <v>16</v>
      </c>
      <c r="J114" s="8" t="s">
        <v>121</v>
      </c>
      <c r="K114" s="8" t="s">
        <v>729</v>
      </c>
      <c r="L114" s="8" t="s">
        <v>730</v>
      </c>
      <c r="M114" s="8" t="s">
        <v>24</v>
      </c>
      <c r="N114" s="10" t="str">
        <f t="shared" si="3"/>
        <v>58-55</v>
      </c>
      <c r="O114" s="8" t="s">
        <v>731</v>
      </c>
    </row>
    <row r="115" spans="1:15" ht="15">
      <c r="A115" s="20" t="s">
        <v>732</v>
      </c>
      <c r="B115" s="7">
        <v>114</v>
      </c>
      <c r="C115" s="17" t="s">
        <v>733</v>
      </c>
      <c r="D115" s="8" t="s">
        <v>734</v>
      </c>
      <c r="E115" s="8" t="s">
        <v>28</v>
      </c>
      <c r="F115" s="8" t="s">
        <v>735</v>
      </c>
      <c r="G115" s="9" t="s">
        <v>736</v>
      </c>
      <c r="H115" s="9" t="s">
        <v>737</v>
      </c>
      <c r="I115" s="271">
        <f t="shared" si="2"/>
        <v>30</v>
      </c>
      <c r="J115" s="8" t="s">
        <v>738</v>
      </c>
      <c r="K115" s="8" t="s">
        <v>296</v>
      </c>
      <c r="L115" s="8" t="s">
        <v>739</v>
      </c>
      <c r="M115" s="8" t="s">
        <v>24</v>
      </c>
      <c r="N115" s="10" t="str">
        <f t="shared" si="3"/>
        <v>60-54</v>
      </c>
      <c r="O115" s="8" t="s">
        <v>740</v>
      </c>
    </row>
    <row r="116" spans="1:15" ht="15">
      <c r="A116" s="20" t="s">
        <v>732</v>
      </c>
      <c r="B116" s="7">
        <v>115</v>
      </c>
      <c r="C116" s="17" t="s">
        <v>741</v>
      </c>
      <c r="D116" s="8" t="s">
        <v>734</v>
      </c>
      <c r="E116" s="8" t="s">
        <v>28</v>
      </c>
      <c r="F116" s="8" t="s">
        <v>742</v>
      </c>
      <c r="G116" s="9" t="s">
        <v>743</v>
      </c>
      <c r="H116" s="9" t="s">
        <v>711</v>
      </c>
      <c r="I116" s="271">
        <f t="shared" si="2"/>
        <v>36</v>
      </c>
      <c r="J116" s="8" t="s">
        <v>275</v>
      </c>
      <c r="K116" s="8" t="s">
        <v>23</v>
      </c>
      <c r="L116" s="8" t="s">
        <v>744</v>
      </c>
      <c r="M116" s="8" t="s">
        <v>24</v>
      </c>
      <c r="N116" s="10" t="str">
        <f t="shared" si="3"/>
        <v>61-54</v>
      </c>
      <c r="O116" s="8" t="s">
        <v>745</v>
      </c>
    </row>
    <row r="117" spans="1:15" ht="15">
      <c r="A117" s="20" t="s">
        <v>732</v>
      </c>
      <c r="B117" s="7">
        <v>116</v>
      </c>
      <c r="C117" s="17" t="s">
        <v>746</v>
      </c>
      <c r="D117" s="8" t="s">
        <v>71</v>
      </c>
      <c r="E117" s="8" t="s">
        <v>28</v>
      </c>
      <c r="F117" s="8" t="s">
        <v>747</v>
      </c>
      <c r="G117" s="9" t="s">
        <v>748</v>
      </c>
      <c r="H117" s="9" t="s">
        <v>749</v>
      </c>
      <c r="I117" s="271">
        <f t="shared" si="2"/>
        <v>55</v>
      </c>
      <c r="J117" s="8" t="s">
        <v>750</v>
      </c>
      <c r="K117" s="8" t="s">
        <v>31</v>
      </c>
      <c r="L117" s="8" t="s">
        <v>751</v>
      </c>
      <c r="M117" s="8" t="s">
        <v>24</v>
      </c>
      <c r="N117" s="10" t="str">
        <f t="shared" si="3"/>
        <v>63-53</v>
      </c>
      <c r="O117" s="8" t="s">
        <v>752</v>
      </c>
    </row>
    <row r="118" spans="1:15" ht="15">
      <c r="A118" s="20" t="s">
        <v>753</v>
      </c>
      <c r="B118" s="7">
        <v>117</v>
      </c>
      <c r="C118" s="17" t="s">
        <v>754</v>
      </c>
      <c r="D118" s="8" t="s">
        <v>755</v>
      </c>
      <c r="E118" s="8" t="s">
        <v>17</v>
      </c>
      <c r="F118" s="8" t="s">
        <v>187</v>
      </c>
      <c r="G118" s="9">
        <f>G117+1</f>
        <v>577</v>
      </c>
      <c r="H118" s="9">
        <f>H117+5</f>
        <v>526</v>
      </c>
      <c r="I118" s="271">
        <f t="shared" si="2"/>
        <v>51</v>
      </c>
      <c r="J118" s="8" t="s">
        <v>230</v>
      </c>
      <c r="K118" s="8" t="s">
        <v>756</v>
      </c>
      <c r="L118" s="8" t="s">
        <v>624</v>
      </c>
      <c r="M118" s="8" t="s">
        <v>24</v>
      </c>
      <c r="N118" s="10" t="str">
        <f t="shared" si="3"/>
        <v>63-54</v>
      </c>
      <c r="O118" s="8" t="s">
        <v>757</v>
      </c>
    </row>
    <row r="119" spans="1:15" ht="15">
      <c r="A119" s="20" t="s">
        <v>753</v>
      </c>
      <c r="B119" s="7">
        <v>118</v>
      </c>
      <c r="C119" s="17" t="s">
        <v>758</v>
      </c>
      <c r="D119" s="8" t="s">
        <v>759</v>
      </c>
      <c r="E119" s="8" t="s">
        <v>17</v>
      </c>
      <c r="F119" s="8" t="s">
        <v>760</v>
      </c>
      <c r="G119" s="9">
        <f>G118+1</f>
        <v>578</v>
      </c>
      <c r="H119" s="9">
        <f>H118+9</f>
        <v>535</v>
      </c>
      <c r="I119" s="271">
        <f t="shared" si="2"/>
        <v>43</v>
      </c>
      <c r="J119" s="8" t="s">
        <v>474</v>
      </c>
      <c r="K119" s="8" t="s">
        <v>761</v>
      </c>
      <c r="L119" s="8" t="s">
        <v>44</v>
      </c>
      <c r="M119" s="8" t="s">
        <v>24</v>
      </c>
      <c r="N119" s="10" t="str">
        <f t="shared" si="3"/>
        <v>63-55</v>
      </c>
      <c r="O119" s="8" t="s">
        <v>762</v>
      </c>
    </row>
    <row r="120" spans="1:15" ht="15">
      <c r="A120" s="20" t="s">
        <v>753</v>
      </c>
      <c r="B120" s="7">
        <v>119</v>
      </c>
      <c r="C120" s="17" t="s">
        <v>763</v>
      </c>
      <c r="D120" s="8" t="s">
        <v>116</v>
      </c>
      <c r="E120" s="8" t="s">
        <v>28</v>
      </c>
      <c r="F120" s="8" t="s">
        <v>84</v>
      </c>
      <c r="G120" s="9">
        <f>G119+5</f>
        <v>583</v>
      </c>
      <c r="H120" s="9">
        <f>H119+4</f>
        <v>539</v>
      </c>
      <c r="I120" s="271">
        <f t="shared" si="2"/>
        <v>44</v>
      </c>
      <c r="J120" s="8" t="s">
        <v>206</v>
      </c>
      <c r="K120" s="8" t="s">
        <v>46</v>
      </c>
      <c r="L120" s="8" t="s">
        <v>764</v>
      </c>
      <c r="M120" s="8" t="s">
        <v>207</v>
      </c>
      <c r="N120" s="10" t="str">
        <f t="shared" si="3"/>
        <v>64-55</v>
      </c>
      <c r="O120" s="8" t="s">
        <v>765</v>
      </c>
    </row>
    <row r="121" spans="1:15" ht="15">
      <c r="A121" s="14" t="s">
        <v>766</v>
      </c>
      <c r="B121" s="7">
        <v>120</v>
      </c>
      <c r="C121" s="17" t="s">
        <v>767</v>
      </c>
      <c r="D121" s="8" t="s">
        <v>27</v>
      </c>
      <c r="E121" s="8" t="s">
        <v>28</v>
      </c>
      <c r="F121" s="8" t="s">
        <v>768</v>
      </c>
      <c r="G121" s="9">
        <f>G120+5</f>
        <v>588</v>
      </c>
      <c r="H121" s="9">
        <f>H120+1</f>
        <v>540</v>
      </c>
      <c r="I121" s="271">
        <f t="shared" si="2"/>
        <v>48</v>
      </c>
      <c r="J121" s="8" t="s">
        <v>611</v>
      </c>
      <c r="K121" s="8" t="s">
        <v>23</v>
      </c>
      <c r="L121" s="8" t="s">
        <v>769</v>
      </c>
      <c r="M121" s="8" t="s">
        <v>24</v>
      </c>
      <c r="N121" s="10" t="str">
        <f t="shared" si="3"/>
        <v>65-55</v>
      </c>
      <c r="O121" s="8" t="s">
        <v>770</v>
      </c>
    </row>
    <row r="122" spans="1:15" ht="15">
      <c r="A122" s="14" t="s">
        <v>766</v>
      </c>
      <c r="B122" s="7">
        <v>121</v>
      </c>
      <c r="C122" s="17" t="s">
        <v>771</v>
      </c>
      <c r="D122" s="8" t="s">
        <v>27</v>
      </c>
      <c r="E122" s="8" t="s">
        <v>17</v>
      </c>
      <c r="F122" s="8" t="s">
        <v>772</v>
      </c>
      <c r="G122" s="9">
        <f>G121+1</f>
        <v>589</v>
      </c>
      <c r="H122" s="9">
        <f>H121+4</f>
        <v>544</v>
      </c>
      <c r="I122" s="271">
        <f t="shared" si="2"/>
        <v>45</v>
      </c>
      <c r="J122" s="8" t="s">
        <v>773</v>
      </c>
      <c r="K122" s="8" t="s">
        <v>774</v>
      </c>
      <c r="L122" s="8" t="s">
        <v>31</v>
      </c>
      <c r="M122" s="8" t="s">
        <v>775</v>
      </c>
      <c r="N122" s="10" t="str">
        <f t="shared" si="3"/>
        <v>65-56</v>
      </c>
      <c r="O122" s="8" t="s">
        <v>776</v>
      </c>
    </row>
    <row r="123" spans="1:15" ht="15">
      <c r="A123" s="14" t="s">
        <v>766</v>
      </c>
      <c r="B123" s="7">
        <v>122</v>
      </c>
      <c r="C123" s="17" t="s">
        <v>777</v>
      </c>
      <c r="D123" s="8" t="s">
        <v>16</v>
      </c>
      <c r="E123" s="8" t="s">
        <v>28</v>
      </c>
      <c r="F123" s="8" t="s">
        <v>109</v>
      </c>
      <c r="G123" s="9">
        <f>G122+2</f>
        <v>591</v>
      </c>
      <c r="H123" s="9">
        <f>H122+1</f>
        <v>545</v>
      </c>
      <c r="I123" s="271">
        <f t="shared" si="2"/>
        <v>46</v>
      </c>
      <c r="J123" s="8" t="s">
        <v>442</v>
      </c>
      <c r="K123" s="8" t="s">
        <v>624</v>
      </c>
      <c r="L123" s="8" t="s">
        <v>778</v>
      </c>
      <c r="M123" s="8" t="s">
        <v>46</v>
      </c>
      <c r="N123" s="10" t="str">
        <f t="shared" si="3"/>
        <v>66-56</v>
      </c>
      <c r="O123" s="8" t="s">
        <v>779</v>
      </c>
    </row>
    <row r="124" spans="1:15" ht="15">
      <c r="A124" s="14" t="s">
        <v>780</v>
      </c>
      <c r="B124" s="7">
        <v>123</v>
      </c>
      <c r="C124" s="17" t="s">
        <v>781</v>
      </c>
      <c r="D124" s="8" t="s">
        <v>27</v>
      </c>
      <c r="E124" s="8" t="s">
        <v>28</v>
      </c>
      <c r="F124" s="8" t="s">
        <v>99</v>
      </c>
      <c r="G124" s="9">
        <f>G123+6</f>
        <v>597</v>
      </c>
      <c r="H124" s="9">
        <f>H123+5</f>
        <v>550</v>
      </c>
      <c r="I124" s="271">
        <f t="shared" si="2"/>
        <v>47</v>
      </c>
      <c r="J124" s="8" t="s">
        <v>114</v>
      </c>
      <c r="K124" s="8" t="s">
        <v>46</v>
      </c>
      <c r="L124" s="8" t="s">
        <v>455</v>
      </c>
      <c r="M124" s="8" t="s">
        <v>24</v>
      </c>
      <c r="N124" s="10" t="str">
        <f t="shared" si="3"/>
        <v>66-57</v>
      </c>
      <c r="O124" s="8" t="s">
        <v>782</v>
      </c>
    </row>
    <row r="125" spans="1:15" ht="15">
      <c r="A125" s="14" t="s">
        <v>780</v>
      </c>
      <c r="B125" s="7">
        <v>124</v>
      </c>
      <c r="C125" s="17" t="s">
        <v>783</v>
      </c>
      <c r="D125" s="8" t="s">
        <v>16</v>
      </c>
      <c r="E125" s="8" t="s">
        <v>28</v>
      </c>
      <c r="F125" s="8" t="s">
        <v>784</v>
      </c>
      <c r="G125" s="9">
        <f>G124+14</f>
        <v>611</v>
      </c>
      <c r="H125" s="9">
        <f>H124+2</f>
        <v>552</v>
      </c>
      <c r="I125" s="271">
        <f t="shared" si="2"/>
        <v>59</v>
      </c>
      <c r="J125" s="8" t="s">
        <v>785</v>
      </c>
      <c r="K125" s="8" t="s">
        <v>296</v>
      </c>
      <c r="L125" s="8" t="s">
        <v>786</v>
      </c>
      <c r="M125" s="8" t="s">
        <v>24</v>
      </c>
      <c r="N125" s="10" t="str">
        <f t="shared" si="3"/>
        <v>68-56</v>
      </c>
      <c r="O125" s="8" t="s">
        <v>787</v>
      </c>
    </row>
    <row r="126" spans="1:15" ht="15">
      <c r="A126" s="14" t="s">
        <v>780</v>
      </c>
      <c r="B126" s="7">
        <v>125</v>
      </c>
      <c r="C126" s="17" t="s">
        <v>788</v>
      </c>
      <c r="D126" s="8" t="s">
        <v>41</v>
      </c>
      <c r="E126" s="8" t="s">
        <v>17</v>
      </c>
      <c r="F126" s="8" t="s">
        <v>688</v>
      </c>
      <c r="G126" s="9">
        <f>G125+4</f>
        <v>615</v>
      </c>
      <c r="H126" s="9">
        <f>H125+10</f>
        <v>562</v>
      </c>
      <c r="I126" s="271">
        <f t="shared" si="2"/>
        <v>53</v>
      </c>
      <c r="J126" s="8" t="s">
        <v>789</v>
      </c>
      <c r="K126" s="8" t="s">
        <v>790</v>
      </c>
      <c r="L126" s="8" t="s">
        <v>23</v>
      </c>
      <c r="M126" s="8" t="s">
        <v>791</v>
      </c>
      <c r="N126" s="10" t="str">
        <f t="shared" si="3"/>
        <v>68-57</v>
      </c>
      <c r="O126" s="8" t="s">
        <v>792</v>
      </c>
    </row>
    <row r="127" spans="1:15" ht="15">
      <c r="A127" s="20" t="s">
        <v>793</v>
      </c>
      <c r="B127" s="7">
        <v>126</v>
      </c>
      <c r="C127" s="17" t="s">
        <v>794</v>
      </c>
      <c r="D127" s="8" t="s">
        <v>529</v>
      </c>
      <c r="E127" s="8" t="s">
        <v>17</v>
      </c>
      <c r="F127" s="8" t="s">
        <v>795</v>
      </c>
      <c r="G127" s="9">
        <f>G126+2</f>
        <v>617</v>
      </c>
      <c r="H127" s="9">
        <f>H126+5</f>
        <v>567</v>
      </c>
      <c r="I127" s="271">
        <f t="shared" si="2"/>
        <v>50</v>
      </c>
      <c r="J127" s="8" t="s">
        <v>796</v>
      </c>
      <c r="K127" s="8" t="s">
        <v>797</v>
      </c>
      <c r="L127" s="8" t="s">
        <v>454</v>
      </c>
      <c r="M127" s="8" t="s">
        <v>798</v>
      </c>
      <c r="N127" s="10" t="str">
        <f t="shared" si="3"/>
        <v>68-58</v>
      </c>
      <c r="O127" s="8" t="s">
        <v>799</v>
      </c>
    </row>
    <row r="128" spans="1:15" ht="15">
      <c r="A128" s="20" t="s">
        <v>793</v>
      </c>
      <c r="B128" s="7">
        <v>127</v>
      </c>
      <c r="C128" s="17" t="s">
        <v>800</v>
      </c>
      <c r="D128" s="8" t="s">
        <v>529</v>
      </c>
      <c r="E128" s="8" t="s">
        <v>28</v>
      </c>
      <c r="F128" s="8" t="s">
        <v>801</v>
      </c>
      <c r="G128" s="9">
        <f>G127+7</f>
        <v>624</v>
      </c>
      <c r="H128" s="9">
        <f>H127+3</f>
        <v>570</v>
      </c>
      <c r="I128" s="271">
        <f t="shared" si="2"/>
        <v>54</v>
      </c>
      <c r="J128" s="8" t="s">
        <v>81</v>
      </c>
      <c r="K128" s="8" t="s">
        <v>624</v>
      </c>
      <c r="L128" s="8" t="s">
        <v>802</v>
      </c>
      <c r="M128" s="8" t="s">
        <v>24</v>
      </c>
      <c r="N128" s="10" t="str">
        <f t="shared" si="3"/>
        <v>69-58</v>
      </c>
      <c r="O128" s="8" t="s">
        <v>803</v>
      </c>
    </row>
    <row r="129" spans="1:15" ht="15">
      <c r="A129" s="20" t="s">
        <v>793</v>
      </c>
      <c r="B129" s="7">
        <v>128</v>
      </c>
      <c r="C129" s="17" t="s">
        <v>804</v>
      </c>
      <c r="D129" s="8" t="s">
        <v>700</v>
      </c>
      <c r="E129" s="8" t="s">
        <v>17</v>
      </c>
      <c r="F129" s="8" t="s">
        <v>39</v>
      </c>
      <c r="G129" s="9">
        <f>G128+1</f>
        <v>625</v>
      </c>
      <c r="H129" s="9">
        <f>H128+2</f>
        <v>572</v>
      </c>
      <c r="I129" s="271">
        <f t="shared" si="2"/>
        <v>53</v>
      </c>
      <c r="J129" s="8" t="s">
        <v>173</v>
      </c>
      <c r="K129" s="8" t="s">
        <v>805</v>
      </c>
      <c r="L129" s="8" t="s">
        <v>44</v>
      </c>
      <c r="M129" s="8" t="s">
        <v>798</v>
      </c>
      <c r="N129" s="10" t="str">
        <f t="shared" si="3"/>
        <v>69-59</v>
      </c>
      <c r="O129" s="8" t="s">
        <v>806</v>
      </c>
    </row>
    <row r="130" spans="1:15" ht="15">
      <c r="A130" s="20" t="s">
        <v>807</v>
      </c>
      <c r="B130" s="7">
        <v>129</v>
      </c>
      <c r="C130" s="17" t="s">
        <v>808</v>
      </c>
      <c r="D130" s="8" t="s">
        <v>77</v>
      </c>
      <c r="E130" s="8" t="s">
        <v>28</v>
      </c>
      <c r="F130" s="8" t="s">
        <v>50</v>
      </c>
      <c r="G130" s="9">
        <f>G129+5</f>
        <v>630</v>
      </c>
      <c r="H130" s="9">
        <f>H129+2</f>
        <v>574</v>
      </c>
      <c r="I130" s="271">
        <f t="shared" si="2"/>
        <v>56</v>
      </c>
      <c r="J130" s="8" t="s">
        <v>250</v>
      </c>
      <c r="K130" s="8" t="s">
        <v>809</v>
      </c>
      <c r="L130" s="8" t="s">
        <v>198</v>
      </c>
      <c r="M130" s="8" t="s">
        <v>46</v>
      </c>
      <c r="N130" s="10" t="str">
        <f t="shared" si="3"/>
        <v>70-59</v>
      </c>
      <c r="O130" s="8" t="s">
        <v>810</v>
      </c>
    </row>
    <row r="131" spans="1:15" ht="15">
      <c r="A131" s="20" t="s">
        <v>807</v>
      </c>
      <c r="B131" s="7">
        <v>130</v>
      </c>
      <c r="C131" s="17" t="s">
        <v>811</v>
      </c>
      <c r="D131" s="8" t="s">
        <v>116</v>
      </c>
      <c r="E131" s="8" t="s">
        <v>812</v>
      </c>
      <c r="F131" s="8" t="s">
        <v>134</v>
      </c>
      <c r="G131" s="9">
        <f>G130+7</f>
        <v>637</v>
      </c>
      <c r="H131" s="9">
        <f>H130+6</f>
        <v>580</v>
      </c>
      <c r="I131" s="271">
        <f t="shared" ref="I131:I163" si="4">IF(E131="","",G131-H131)</f>
        <v>57</v>
      </c>
      <c r="J131" s="8" t="s">
        <v>813</v>
      </c>
      <c r="K131" s="8" t="s">
        <v>814</v>
      </c>
      <c r="L131" s="8" t="s">
        <v>815</v>
      </c>
      <c r="M131" s="8" t="s">
        <v>243</v>
      </c>
      <c r="N131" s="10" t="str">
        <f t="shared" ref="N131:N163" si="5">IF(E131="","",IFERROR(_xlfn.CONCAT(ROUND((G131^1.83)/((G131^1.83)+(H131^1.83))*B131,0),"-",B131-ROUND((G131^1.83)/((G131^1.83)+(H131^1.83))*B131,0)),0))</f>
        <v>71-59</v>
      </c>
      <c r="O131" s="8" t="s">
        <v>816</v>
      </c>
    </row>
    <row r="132" spans="1:15" ht="15">
      <c r="A132" s="20" t="s">
        <v>807</v>
      </c>
      <c r="B132" s="7">
        <v>131</v>
      </c>
      <c r="C132" s="17" t="s">
        <v>817</v>
      </c>
      <c r="D132" s="8" t="s">
        <v>86</v>
      </c>
      <c r="E132" s="8" t="s">
        <v>17</v>
      </c>
      <c r="F132" s="8" t="s">
        <v>247</v>
      </c>
      <c r="G132" s="9">
        <f>G131+3</f>
        <v>640</v>
      </c>
      <c r="H132" s="9">
        <f>H131+5</f>
        <v>585</v>
      </c>
      <c r="I132" s="271">
        <f t="shared" si="4"/>
        <v>55</v>
      </c>
      <c r="J132" s="8" t="s">
        <v>688</v>
      </c>
      <c r="K132" s="8" t="s">
        <v>818</v>
      </c>
      <c r="L132" s="8" t="s">
        <v>31</v>
      </c>
      <c r="M132" s="8" t="s">
        <v>819</v>
      </c>
      <c r="N132" s="10" t="str">
        <f t="shared" si="5"/>
        <v>71-60</v>
      </c>
      <c r="O132" s="8" t="s">
        <v>820</v>
      </c>
    </row>
    <row r="133" spans="1:15" ht="15">
      <c r="A133" s="14" t="s">
        <v>821</v>
      </c>
      <c r="B133" s="7">
        <v>132</v>
      </c>
      <c r="C133" s="17" t="s">
        <v>822</v>
      </c>
      <c r="D133" s="8" t="s">
        <v>27</v>
      </c>
      <c r="E133" s="8" t="s">
        <v>28</v>
      </c>
      <c r="F133" s="8" t="s">
        <v>742</v>
      </c>
      <c r="G133" s="9">
        <f>G132+10</f>
        <v>650</v>
      </c>
      <c r="H133" s="9">
        <f>H132+4</f>
        <v>589</v>
      </c>
      <c r="I133" s="271">
        <f>IF(E133="","",G133-H133)</f>
        <v>61</v>
      </c>
      <c r="J133" s="8" t="s">
        <v>51</v>
      </c>
      <c r="K133" s="8" t="s">
        <v>624</v>
      </c>
      <c r="L133" s="8" t="s">
        <v>446</v>
      </c>
      <c r="M133" s="8" t="s">
        <v>24</v>
      </c>
      <c r="N133" s="10" t="str">
        <f>IF(E133="","",IFERROR(_xlfn.CONCAT(ROUND((G133^1.83)/((G133^1.83)+(H133^1.83))*B133,0),"-",B133-ROUND((G133^1.83)/((G133^1.83)+(H133^1.83))*B133,0)),0))</f>
        <v>72-60</v>
      </c>
      <c r="O133" s="8" t="s">
        <v>823</v>
      </c>
    </row>
    <row r="134" spans="1:15" ht="15">
      <c r="A134" s="14" t="s">
        <v>821</v>
      </c>
      <c r="B134" s="7">
        <v>133</v>
      </c>
      <c r="C134" s="17" t="s">
        <v>824</v>
      </c>
      <c r="D134" s="8" t="s">
        <v>27</v>
      </c>
      <c r="E134" s="8" t="s">
        <v>17</v>
      </c>
      <c r="F134" s="8" t="s">
        <v>825</v>
      </c>
      <c r="G134" s="9">
        <f>G133+5</f>
        <v>655</v>
      </c>
      <c r="H134" s="9">
        <f>H133+7</f>
        <v>596</v>
      </c>
      <c r="I134" s="271">
        <f t="shared" si="4"/>
        <v>59</v>
      </c>
      <c r="J134" s="8" t="s">
        <v>275</v>
      </c>
      <c r="K134" s="8" t="s">
        <v>826</v>
      </c>
      <c r="L134" s="8" t="s">
        <v>46</v>
      </c>
      <c r="M134" s="8" t="s">
        <v>827</v>
      </c>
      <c r="N134" s="10" t="str">
        <f t="shared" si="5"/>
        <v>72-61</v>
      </c>
      <c r="O134" s="8" t="s">
        <v>828</v>
      </c>
    </row>
    <row r="135" spans="1:15" ht="15">
      <c r="A135" s="14" t="s">
        <v>821</v>
      </c>
      <c r="B135" s="7">
        <v>134</v>
      </c>
      <c r="C135" s="17" t="s">
        <v>829</v>
      </c>
      <c r="D135" s="8" t="s">
        <v>27</v>
      </c>
      <c r="E135" s="8" t="s">
        <v>28</v>
      </c>
      <c r="F135" s="8" t="s">
        <v>104</v>
      </c>
      <c r="G135" s="9">
        <f>G134+9</f>
        <v>664</v>
      </c>
      <c r="H135" s="9">
        <f>H134+8</f>
        <v>604</v>
      </c>
      <c r="I135" s="271">
        <f t="shared" si="4"/>
        <v>60</v>
      </c>
      <c r="J135" s="8" t="s">
        <v>191</v>
      </c>
      <c r="K135" s="8" t="s">
        <v>730</v>
      </c>
      <c r="L135" s="8" t="s">
        <v>826</v>
      </c>
      <c r="M135" s="8" t="s">
        <v>46</v>
      </c>
      <c r="N135" s="10" t="str">
        <f t="shared" si="5"/>
        <v>73-61</v>
      </c>
      <c r="O135" s="8" t="s">
        <v>830</v>
      </c>
    </row>
    <row r="136" spans="1:15" ht="15">
      <c r="A136" s="14" t="s">
        <v>831</v>
      </c>
      <c r="B136" s="7">
        <v>135</v>
      </c>
      <c r="C136" s="17" t="s">
        <v>832</v>
      </c>
      <c r="D136" s="8" t="s">
        <v>27</v>
      </c>
      <c r="E136" s="8" t="s">
        <v>17</v>
      </c>
      <c r="F136" s="8" t="s">
        <v>833</v>
      </c>
      <c r="G136" s="9">
        <f>G135+2</f>
        <v>666</v>
      </c>
      <c r="H136" s="9">
        <f>H135+7</f>
        <v>611</v>
      </c>
      <c r="I136" s="271">
        <f t="shared" si="4"/>
        <v>55</v>
      </c>
      <c r="J136" s="8" t="s">
        <v>484</v>
      </c>
      <c r="K136" s="8" t="s">
        <v>834</v>
      </c>
      <c r="L136" s="8" t="s">
        <v>809</v>
      </c>
      <c r="M136" s="8" t="s">
        <v>24</v>
      </c>
      <c r="N136" s="10" t="str">
        <f t="shared" si="5"/>
        <v>73-62</v>
      </c>
      <c r="O136" s="8" t="s">
        <v>835</v>
      </c>
    </row>
    <row r="137" spans="1:15" ht="15">
      <c r="A137" s="14" t="s">
        <v>831</v>
      </c>
      <c r="B137" s="7">
        <v>136</v>
      </c>
      <c r="C137" s="17" t="s">
        <v>836</v>
      </c>
      <c r="D137" s="8" t="s">
        <v>16</v>
      </c>
      <c r="E137" s="8" t="s">
        <v>17</v>
      </c>
      <c r="F137" s="8" t="s">
        <v>772</v>
      </c>
      <c r="G137" s="9">
        <f>G136+1</f>
        <v>667</v>
      </c>
      <c r="H137" s="9">
        <f>H136+4</f>
        <v>615</v>
      </c>
      <c r="I137" s="271">
        <f t="shared" si="4"/>
        <v>52</v>
      </c>
      <c r="J137" s="8" t="s">
        <v>43</v>
      </c>
      <c r="K137" s="8" t="s">
        <v>837</v>
      </c>
      <c r="L137" s="8" t="s">
        <v>46</v>
      </c>
      <c r="M137" s="8" t="s">
        <v>838</v>
      </c>
      <c r="N137" s="10" t="str">
        <f t="shared" si="5"/>
        <v>73-63</v>
      </c>
      <c r="O137" s="8" t="s">
        <v>839</v>
      </c>
    </row>
    <row r="138" spans="1:15" ht="15">
      <c r="A138" s="14" t="s">
        <v>831</v>
      </c>
      <c r="B138" s="7">
        <v>137</v>
      </c>
      <c r="C138" s="17" t="s">
        <v>840</v>
      </c>
      <c r="D138" s="8" t="s">
        <v>41</v>
      </c>
      <c r="E138" s="8" t="s">
        <v>28</v>
      </c>
      <c r="F138" s="8" t="s">
        <v>250</v>
      </c>
      <c r="G138" s="9">
        <f>G137+8</f>
        <v>675</v>
      </c>
      <c r="H138" s="9">
        <f>H137+4</f>
        <v>619</v>
      </c>
      <c r="I138" s="271">
        <f t="shared" si="4"/>
        <v>56</v>
      </c>
      <c r="J138" s="8" t="s">
        <v>209</v>
      </c>
      <c r="K138" s="8" t="s">
        <v>814</v>
      </c>
      <c r="L138" s="8" t="s">
        <v>841</v>
      </c>
      <c r="M138" s="8" t="s">
        <v>24</v>
      </c>
      <c r="N138" s="10" t="str">
        <f t="shared" si="5"/>
        <v>74-63</v>
      </c>
      <c r="O138" s="8" t="s">
        <v>842</v>
      </c>
    </row>
    <row r="139" spans="1:15" ht="15">
      <c r="A139" s="20" t="s">
        <v>843</v>
      </c>
      <c r="B139" s="7">
        <v>138</v>
      </c>
      <c r="C139" s="17" t="s">
        <v>844</v>
      </c>
      <c r="D139" s="23">
        <v>0.50694444444444442</v>
      </c>
      <c r="E139" s="8" t="s">
        <v>17</v>
      </c>
      <c r="F139" s="8" t="s">
        <v>125</v>
      </c>
      <c r="G139" s="9">
        <f>G138+4</f>
        <v>679</v>
      </c>
      <c r="H139" s="9">
        <f>H138+5</f>
        <v>624</v>
      </c>
      <c r="I139" s="271">
        <f t="shared" si="4"/>
        <v>55</v>
      </c>
      <c r="J139" s="8" t="s">
        <v>845</v>
      </c>
      <c r="K139" s="8" t="s">
        <v>846</v>
      </c>
      <c r="L139" s="8" t="s">
        <v>243</v>
      </c>
      <c r="M139" s="8" t="s">
        <v>24</v>
      </c>
      <c r="N139" s="10" t="str">
        <f t="shared" si="5"/>
        <v>74-64</v>
      </c>
      <c r="O139" s="8" t="s">
        <v>847</v>
      </c>
    </row>
    <row r="140" spans="1:15" ht="15">
      <c r="A140" s="20" t="s">
        <v>843</v>
      </c>
      <c r="B140" s="7">
        <v>139</v>
      </c>
      <c r="C140" s="17" t="s">
        <v>848</v>
      </c>
      <c r="D140" s="8" t="s">
        <v>529</v>
      </c>
      <c r="E140" s="8" t="s">
        <v>28</v>
      </c>
      <c r="F140" s="8" t="s">
        <v>171</v>
      </c>
      <c r="G140" s="9">
        <f>G139+12</f>
        <v>691</v>
      </c>
      <c r="H140" s="9">
        <f>H139+9</f>
        <v>633</v>
      </c>
      <c r="I140" s="271">
        <f t="shared" si="4"/>
        <v>58</v>
      </c>
      <c r="J140" s="8" t="s">
        <v>849</v>
      </c>
      <c r="K140" s="8" t="s">
        <v>850</v>
      </c>
      <c r="L140" s="8" t="s">
        <v>851</v>
      </c>
      <c r="M140" s="8" t="s">
        <v>46</v>
      </c>
      <c r="N140" s="10" t="str">
        <f t="shared" si="5"/>
        <v>75-64</v>
      </c>
      <c r="O140" s="8" t="s">
        <v>852</v>
      </c>
    </row>
    <row r="141" spans="1:15" ht="15">
      <c r="A141" s="20" t="s">
        <v>843</v>
      </c>
      <c r="B141" s="7">
        <v>140</v>
      </c>
      <c r="C141" s="17" t="s">
        <v>853</v>
      </c>
      <c r="D141" s="8" t="s">
        <v>529</v>
      </c>
      <c r="E141" s="8" t="s">
        <v>28</v>
      </c>
      <c r="F141" s="8" t="s">
        <v>854</v>
      </c>
      <c r="G141" s="9">
        <f>G140+13</f>
        <v>704</v>
      </c>
      <c r="H141" s="9">
        <f>H140+9</f>
        <v>642</v>
      </c>
      <c r="I141" s="271">
        <f t="shared" si="4"/>
        <v>62</v>
      </c>
      <c r="J141" s="8" t="s">
        <v>855</v>
      </c>
      <c r="K141" s="8" t="s">
        <v>809</v>
      </c>
      <c r="L141" s="8" t="s">
        <v>856</v>
      </c>
      <c r="M141" s="8" t="s">
        <v>24</v>
      </c>
      <c r="N141" s="10" t="str">
        <f t="shared" si="5"/>
        <v>76-64</v>
      </c>
      <c r="O141" s="8" t="s">
        <v>857</v>
      </c>
    </row>
    <row r="142" spans="1:15" ht="15">
      <c r="A142" s="20" t="s">
        <v>201</v>
      </c>
      <c r="B142" s="7">
        <v>141</v>
      </c>
      <c r="C142" s="17" t="s">
        <v>858</v>
      </c>
      <c r="D142" s="8" t="s">
        <v>203</v>
      </c>
      <c r="E142" s="8" t="s">
        <v>28</v>
      </c>
      <c r="F142" s="8" t="s">
        <v>515</v>
      </c>
      <c r="G142" s="9">
        <f>G141+7</f>
        <v>711</v>
      </c>
      <c r="H142" s="9">
        <f>H141+1</f>
        <v>643</v>
      </c>
      <c r="I142" s="271">
        <f t="shared" si="4"/>
        <v>68</v>
      </c>
      <c r="J142" s="8" t="s">
        <v>671</v>
      </c>
      <c r="K142" s="8" t="s">
        <v>31</v>
      </c>
      <c r="L142" s="8" t="s">
        <v>859</v>
      </c>
      <c r="M142" s="8" t="s">
        <v>24</v>
      </c>
      <c r="N142" s="10" t="str">
        <f t="shared" si="5"/>
        <v>77-64</v>
      </c>
      <c r="O142" s="8" t="s">
        <v>860</v>
      </c>
    </row>
    <row r="143" spans="1:15" ht="15">
      <c r="A143" s="20" t="s">
        <v>201</v>
      </c>
      <c r="B143" s="7">
        <v>142</v>
      </c>
      <c r="C143" s="17" t="s">
        <v>861</v>
      </c>
      <c r="D143" s="8" t="s">
        <v>211</v>
      </c>
      <c r="E143" s="8" t="s">
        <v>17</v>
      </c>
      <c r="F143" s="8" t="s">
        <v>194</v>
      </c>
      <c r="G143" s="9">
        <f>G142+1</f>
        <v>712</v>
      </c>
      <c r="H143" s="9">
        <f>H142+3</f>
        <v>646</v>
      </c>
      <c r="I143" s="271">
        <f t="shared" si="4"/>
        <v>66</v>
      </c>
      <c r="J143" s="8" t="s">
        <v>91</v>
      </c>
      <c r="K143" s="8" t="s">
        <v>862</v>
      </c>
      <c r="L143" s="8" t="s">
        <v>44</v>
      </c>
      <c r="M143" s="8" t="s">
        <v>863</v>
      </c>
      <c r="N143" s="10" t="str">
        <f t="shared" si="5"/>
        <v>77-65</v>
      </c>
      <c r="O143" s="8" t="s">
        <v>864</v>
      </c>
    </row>
    <row r="144" spans="1:15" ht="15">
      <c r="A144" s="20" t="s">
        <v>201</v>
      </c>
      <c r="B144" s="7">
        <v>143</v>
      </c>
      <c r="C144" s="17" t="s">
        <v>865</v>
      </c>
      <c r="D144" s="8" t="s">
        <v>132</v>
      </c>
      <c r="E144" s="8" t="s">
        <v>17</v>
      </c>
      <c r="F144" s="8" t="s">
        <v>117</v>
      </c>
      <c r="G144" s="9">
        <f>G143+3</f>
        <v>715</v>
      </c>
      <c r="H144" s="9">
        <f>H143+4</f>
        <v>650</v>
      </c>
      <c r="I144" s="271">
        <f t="shared" si="4"/>
        <v>65</v>
      </c>
      <c r="J144" s="8" t="s">
        <v>866</v>
      </c>
      <c r="K144" s="8" t="s">
        <v>221</v>
      </c>
      <c r="L144" s="8" t="s">
        <v>624</v>
      </c>
      <c r="M144" s="8" t="s">
        <v>863</v>
      </c>
      <c r="N144" s="10" t="str">
        <f t="shared" si="5"/>
        <v>78-65</v>
      </c>
      <c r="O144" s="8" t="s">
        <v>867</v>
      </c>
    </row>
    <row r="145" spans="1:15" ht="15">
      <c r="A145" s="14" t="s">
        <v>868</v>
      </c>
      <c r="B145" s="7">
        <v>144</v>
      </c>
      <c r="C145" s="17" t="s">
        <v>869</v>
      </c>
      <c r="D145" s="8" t="s">
        <v>27</v>
      </c>
      <c r="E145" s="8" t="s">
        <v>133</v>
      </c>
      <c r="F145" s="8" t="s">
        <v>587</v>
      </c>
      <c r="G145" s="9">
        <f>G144+4</f>
        <v>719</v>
      </c>
      <c r="H145" s="9">
        <f>H144+3</f>
        <v>653</v>
      </c>
      <c r="I145" s="271">
        <f t="shared" si="4"/>
        <v>66</v>
      </c>
      <c r="J145" s="8" t="s">
        <v>332</v>
      </c>
      <c r="K145" s="8" t="s">
        <v>46</v>
      </c>
      <c r="L145" s="8" t="s">
        <v>870</v>
      </c>
      <c r="M145" s="8" t="s">
        <v>24</v>
      </c>
      <c r="N145" s="10" t="str">
        <f t="shared" si="5"/>
        <v>78-66</v>
      </c>
      <c r="O145" s="8" t="s">
        <v>871</v>
      </c>
    </row>
    <row r="146" spans="1:15" ht="15">
      <c r="A146" s="14" t="s">
        <v>868</v>
      </c>
      <c r="B146" s="7">
        <v>145</v>
      </c>
      <c r="C146" s="17" t="s">
        <v>872</v>
      </c>
      <c r="D146" s="8" t="s">
        <v>27</v>
      </c>
      <c r="E146" s="8" t="s">
        <v>17</v>
      </c>
      <c r="F146" s="8" t="s">
        <v>78</v>
      </c>
      <c r="G146" s="9">
        <f>G145+2</f>
        <v>721</v>
      </c>
      <c r="H146" s="9">
        <f>H145+3</f>
        <v>656</v>
      </c>
      <c r="I146" s="271">
        <f t="shared" si="4"/>
        <v>65</v>
      </c>
      <c r="J146" s="8" t="s">
        <v>236</v>
      </c>
      <c r="K146" s="8" t="s">
        <v>873</v>
      </c>
      <c r="L146" s="8" t="s">
        <v>46</v>
      </c>
      <c r="M146" s="8" t="s">
        <v>874</v>
      </c>
      <c r="N146" s="10" t="str">
        <f t="shared" si="5"/>
        <v>79-66</v>
      </c>
      <c r="O146" s="8" t="s">
        <v>875</v>
      </c>
    </row>
    <row r="147" spans="1:15" ht="15">
      <c r="A147" s="14" t="s">
        <v>868</v>
      </c>
      <c r="B147" s="7">
        <v>146</v>
      </c>
      <c r="C147" s="17" t="s">
        <v>876</v>
      </c>
      <c r="D147" s="8" t="s">
        <v>16</v>
      </c>
      <c r="E147" s="8" t="s">
        <v>28</v>
      </c>
      <c r="F147" s="8" t="s">
        <v>542</v>
      </c>
      <c r="G147" s="9">
        <f>G146+6</f>
        <v>727</v>
      </c>
      <c r="H147" s="9">
        <f>H146+0</f>
        <v>656</v>
      </c>
      <c r="I147" s="271">
        <f t="shared" si="4"/>
        <v>71</v>
      </c>
      <c r="J147" s="8" t="s">
        <v>29</v>
      </c>
      <c r="K147" s="8" t="s">
        <v>31</v>
      </c>
      <c r="L147" s="8" t="s">
        <v>877</v>
      </c>
      <c r="M147" s="8" t="s">
        <v>24</v>
      </c>
      <c r="N147" s="10" t="str">
        <f t="shared" si="5"/>
        <v>80-66</v>
      </c>
      <c r="O147" s="8" t="s">
        <v>878</v>
      </c>
    </row>
    <row r="148" spans="1:15" ht="15">
      <c r="A148" s="14" t="s">
        <v>14</v>
      </c>
      <c r="B148" s="7">
        <v>147</v>
      </c>
      <c r="C148" s="17" t="s">
        <v>879</v>
      </c>
      <c r="D148" s="8" t="s">
        <v>27</v>
      </c>
      <c r="E148" s="8" t="s">
        <v>28</v>
      </c>
      <c r="F148" s="8" t="s">
        <v>101</v>
      </c>
      <c r="G148" s="9">
        <f>G147+6</f>
        <v>733</v>
      </c>
      <c r="H148" s="9">
        <f>H147+1</f>
        <v>657</v>
      </c>
      <c r="I148" s="271">
        <f t="shared" si="4"/>
        <v>76</v>
      </c>
      <c r="J148" s="8" t="s">
        <v>880</v>
      </c>
      <c r="K148" s="8" t="s">
        <v>350</v>
      </c>
      <c r="L148" s="8" t="s">
        <v>881</v>
      </c>
      <c r="M148" s="8" t="s">
        <v>24</v>
      </c>
      <c r="N148" s="10" t="str">
        <f t="shared" si="5"/>
        <v>81-66</v>
      </c>
      <c r="O148" s="8" t="s">
        <v>882</v>
      </c>
    </row>
    <row r="149" spans="1:15" ht="15">
      <c r="A149" s="14" t="s">
        <v>14</v>
      </c>
      <c r="B149" s="7">
        <v>148</v>
      </c>
      <c r="C149" s="17" t="s">
        <v>883</v>
      </c>
      <c r="D149" s="8" t="s">
        <v>16</v>
      </c>
      <c r="E149" s="8" t="s">
        <v>28</v>
      </c>
      <c r="F149" s="8" t="s">
        <v>84</v>
      </c>
      <c r="G149" s="9">
        <f>G148+5</f>
        <v>738</v>
      </c>
      <c r="H149" s="9">
        <f>H148+4</f>
        <v>661</v>
      </c>
      <c r="I149" s="271">
        <f t="shared" si="4"/>
        <v>77</v>
      </c>
      <c r="J149" s="8" t="s">
        <v>884</v>
      </c>
      <c r="K149" s="8" t="s">
        <v>350</v>
      </c>
      <c r="L149" s="8" t="s">
        <v>713</v>
      </c>
      <c r="M149" s="8" t="s">
        <v>24</v>
      </c>
      <c r="N149" s="10" t="str">
        <f t="shared" si="5"/>
        <v>81-67</v>
      </c>
      <c r="O149" s="8" t="s">
        <v>885</v>
      </c>
    </row>
    <row r="150" spans="1:15" ht="15">
      <c r="A150" s="14" t="s">
        <v>14</v>
      </c>
      <c r="B150" s="7">
        <v>149</v>
      </c>
      <c r="C150" s="17" t="s">
        <v>886</v>
      </c>
      <c r="D150" s="8" t="s">
        <v>41</v>
      </c>
      <c r="E150" s="8" t="s">
        <v>28</v>
      </c>
      <c r="F150" s="8" t="s">
        <v>887</v>
      </c>
      <c r="G150" s="9">
        <f>G149+11</f>
        <v>749</v>
      </c>
      <c r="H150" s="9">
        <f>H149+2</f>
        <v>663</v>
      </c>
      <c r="I150" s="271">
        <f t="shared" si="4"/>
        <v>86</v>
      </c>
      <c r="J150" s="8" t="s">
        <v>888</v>
      </c>
      <c r="K150" s="8" t="s">
        <v>809</v>
      </c>
      <c r="L150" s="8" t="s">
        <v>889</v>
      </c>
      <c r="M150" s="8" t="s">
        <v>24</v>
      </c>
      <c r="N150" s="10" t="str">
        <f t="shared" si="5"/>
        <v>83-66</v>
      </c>
      <c r="O150" s="8" t="s">
        <v>890</v>
      </c>
    </row>
    <row r="151" spans="1:15" ht="15">
      <c r="A151" s="20" t="s">
        <v>353</v>
      </c>
      <c r="B151" s="7">
        <v>150</v>
      </c>
      <c r="C151" s="17" t="s">
        <v>891</v>
      </c>
      <c r="D151" s="8" t="s">
        <v>892</v>
      </c>
      <c r="E151" s="8" t="s">
        <v>108</v>
      </c>
      <c r="F151" s="8" t="s">
        <v>109</v>
      </c>
      <c r="G151" s="9">
        <f>G150+2</f>
        <v>751</v>
      </c>
      <c r="H151" s="9">
        <f>H150+1</f>
        <v>664</v>
      </c>
      <c r="I151" s="271">
        <f t="shared" si="4"/>
        <v>87</v>
      </c>
      <c r="J151" s="8" t="s">
        <v>84</v>
      </c>
      <c r="K151" s="8" t="s">
        <v>350</v>
      </c>
      <c r="L151" s="8" t="s">
        <v>893</v>
      </c>
      <c r="M151" s="8" t="s">
        <v>24</v>
      </c>
      <c r="N151" s="10" t="str">
        <f t="shared" si="5"/>
        <v>83-67</v>
      </c>
      <c r="O151" s="8" t="s">
        <v>894</v>
      </c>
    </row>
    <row r="152" spans="1:15" ht="15">
      <c r="A152" s="20" t="s">
        <v>353</v>
      </c>
      <c r="B152" s="7">
        <v>151</v>
      </c>
      <c r="C152" s="17" t="s">
        <v>895</v>
      </c>
      <c r="D152" s="8" t="s">
        <v>892</v>
      </c>
      <c r="E152" s="8" t="s">
        <v>28</v>
      </c>
      <c r="F152" s="8" t="s">
        <v>99</v>
      </c>
      <c r="G152" s="9">
        <f>G151+6</f>
        <v>757</v>
      </c>
      <c r="H152" s="9">
        <f>H151+5</f>
        <v>669</v>
      </c>
      <c r="I152" s="271">
        <f t="shared" si="4"/>
        <v>88</v>
      </c>
      <c r="J152" s="8" t="s">
        <v>813</v>
      </c>
      <c r="K152" s="8" t="s">
        <v>296</v>
      </c>
      <c r="L152" s="8" t="s">
        <v>311</v>
      </c>
      <c r="M152" s="8" t="s">
        <v>46</v>
      </c>
      <c r="N152" s="10" t="str">
        <f t="shared" si="5"/>
        <v>84-67</v>
      </c>
      <c r="O152" s="8" t="s">
        <v>896</v>
      </c>
    </row>
    <row r="153" spans="1:15" ht="15">
      <c r="A153" s="20" t="s">
        <v>353</v>
      </c>
      <c r="B153" s="7">
        <v>152</v>
      </c>
      <c r="C153" s="17" t="s">
        <v>897</v>
      </c>
      <c r="D153" s="8" t="s">
        <v>203</v>
      </c>
      <c r="E153" s="8"/>
      <c r="F153" s="8"/>
      <c r="G153" s="9"/>
      <c r="H153" s="9"/>
      <c r="I153" s="271" t="str">
        <f t="shared" si="4"/>
        <v/>
      </c>
      <c r="J153" s="8"/>
      <c r="K153" s="8"/>
      <c r="L153" s="8"/>
      <c r="M153" s="8"/>
      <c r="N153" s="10" t="str">
        <f t="shared" si="5"/>
        <v/>
      </c>
      <c r="O153" s="8"/>
    </row>
    <row r="154" spans="1:15" ht="15">
      <c r="A154" s="20" t="s">
        <v>353</v>
      </c>
      <c r="B154" s="7">
        <v>153</v>
      </c>
      <c r="C154" s="17" t="s">
        <v>898</v>
      </c>
      <c r="D154" s="8" t="s">
        <v>541</v>
      </c>
      <c r="E154" s="8"/>
      <c r="F154" s="8"/>
      <c r="G154" s="9"/>
      <c r="H154" s="9"/>
      <c r="I154" s="271" t="str">
        <f t="shared" si="4"/>
        <v/>
      </c>
      <c r="J154" s="8"/>
      <c r="K154" s="8"/>
      <c r="L154" s="8"/>
      <c r="M154" s="8"/>
      <c r="N154" s="10" t="str">
        <f t="shared" si="5"/>
        <v/>
      </c>
      <c r="O154" s="8"/>
    </row>
    <row r="155" spans="1:15" ht="15">
      <c r="A155" s="20" t="s">
        <v>899</v>
      </c>
      <c r="B155" s="7">
        <v>154</v>
      </c>
      <c r="C155" s="17" t="s">
        <v>900</v>
      </c>
      <c r="D155" s="8" t="s">
        <v>193</v>
      </c>
      <c r="E155" s="8"/>
      <c r="F155" s="8"/>
      <c r="G155" s="9"/>
      <c r="H155" s="9"/>
      <c r="I155" s="271" t="str">
        <f t="shared" si="4"/>
        <v/>
      </c>
      <c r="J155" s="8"/>
      <c r="K155" s="8"/>
      <c r="L155" s="8"/>
      <c r="M155" s="8"/>
      <c r="N155" s="10" t="str">
        <f t="shared" si="5"/>
        <v/>
      </c>
      <c r="O155" s="8"/>
    </row>
    <row r="156" spans="1:15" ht="15">
      <c r="A156" s="20" t="s">
        <v>899</v>
      </c>
      <c r="B156" s="7">
        <v>155</v>
      </c>
      <c r="C156" s="17" t="s">
        <v>901</v>
      </c>
      <c r="D156" s="8" t="s">
        <v>77</v>
      </c>
      <c r="E156" s="8"/>
      <c r="F156" s="8"/>
      <c r="G156" s="9"/>
      <c r="H156" s="9"/>
      <c r="I156" s="271" t="str">
        <f t="shared" si="4"/>
        <v/>
      </c>
      <c r="J156" s="8"/>
      <c r="K156" s="8"/>
      <c r="L156" s="8"/>
      <c r="M156" s="8"/>
      <c r="N156" s="10" t="str">
        <f t="shared" si="5"/>
        <v/>
      </c>
      <c r="O156" s="8"/>
    </row>
    <row r="157" spans="1:15" ht="15">
      <c r="A157" s="20" t="s">
        <v>899</v>
      </c>
      <c r="B157" s="7">
        <v>156</v>
      </c>
      <c r="C157" s="17" t="s">
        <v>902</v>
      </c>
      <c r="D157" s="8" t="s">
        <v>436</v>
      </c>
      <c r="E157" s="8"/>
      <c r="F157" s="8"/>
      <c r="G157" s="9"/>
      <c r="H157" s="9"/>
      <c r="I157" s="271" t="str">
        <f t="shared" si="4"/>
        <v/>
      </c>
      <c r="J157" s="8"/>
      <c r="K157" s="8"/>
      <c r="L157" s="8"/>
      <c r="M157" s="8"/>
      <c r="N157" s="10" t="str">
        <f t="shared" si="5"/>
        <v/>
      </c>
      <c r="O157" s="8"/>
    </row>
    <row r="158" spans="1:15" ht="15">
      <c r="A158" s="19" t="s">
        <v>223</v>
      </c>
      <c r="B158" s="7">
        <v>157</v>
      </c>
      <c r="C158" s="17" t="s">
        <v>903</v>
      </c>
      <c r="D158" s="8" t="s">
        <v>27</v>
      </c>
      <c r="E158" s="8"/>
      <c r="F158" s="8"/>
      <c r="G158" s="9"/>
      <c r="H158" s="9"/>
      <c r="I158" s="271" t="str">
        <f t="shared" si="4"/>
        <v/>
      </c>
      <c r="J158" s="8"/>
      <c r="K158" s="8"/>
      <c r="L158" s="8"/>
      <c r="M158" s="8"/>
      <c r="N158" s="10" t="str">
        <f t="shared" si="5"/>
        <v/>
      </c>
      <c r="O158" s="8"/>
    </row>
    <row r="159" spans="1:15" ht="15">
      <c r="A159" s="19" t="s">
        <v>223</v>
      </c>
      <c r="B159" s="7">
        <v>158</v>
      </c>
      <c r="C159" s="17" t="s">
        <v>904</v>
      </c>
      <c r="D159" s="8" t="s">
        <v>27</v>
      </c>
      <c r="E159" s="8"/>
      <c r="F159" s="8"/>
      <c r="G159" s="9"/>
      <c r="H159" s="9"/>
      <c r="I159" s="271" t="str">
        <f t="shared" si="4"/>
        <v/>
      </c>
      <c r="J159" s="8"/>
      <c r="K159" s="8"/>
      <c r="L159" s="8"/>
      <c r="M159" s="8"/>
      <c r="N159" s="10" t="str">
        <f t="shared" si="5"/>
        <v/>
      </c>
      <c r="O159" s="8"/>
    </row>
    <row r="160" spans="1:15" ht="15">
      <c r="A160" s="19" t="s">
        <v>223</v>
      </c>
      <c r="B160" s="7">
        <v>159</v>
      </c>
      <c r="C160" s="17" t="s">
        <v>905</v>
      </c>
      <c r="D160" s="8" t="s">
        <v>27</v>
      </c>
      <c r="E160" s="8"/>
      <c r="F160" s="8"/>
      <c r="G160" s="9"/>
      <c r="H160" s="9"/>
      <c r="I160" s="271" t="str">
        <f t="shared" si="4"/>
        <v/>
      </c>
      <c r="J160" s="8"/>
      <c r="K160" s="8"/>
      <c r="L160" s="8"/>
      <c r="M160" s="8"/>
      <c r="N160" s="10" t="str">
        <f t="shared" si="5"/>
        <v/>
      </c>
      <c r="O160" s="8"/>
    </row>
    <row r="161" spans="1:15" ht="15">
      <c r="A161" s="22" t="s">
        <v>299</v>
      </c>
      <c r="B161" s="7">
        <v>160</v>
      </c>
      <c r="C161" s="17" t="s">
        <v>906</v>
      </c>
      <c r="D161" s="8" t="s">
        <v>27</v>
      </c>
      <c r="E161" s="8"/>
      <c r="F161" s="8"/>
      <c r="G161" s="9"/>
      <c r="H161" s="9"/>
      <c r="I161" s="271" t="str">
        <f t="shared" si="4"/>
        <v/>
      </c>
      <c r="J161" s="8"/>
      <c r="K161" s="8"/>
      <c r="L161" s="8"/>
      <c r="M161" s="8"/>
      <c r="N161" s="10" t="str">
        <f t="shared" si="5"/>
        <v/>
      </c>
      <c r="O161" s="8"/>
    </row>
    <row r="162" spans="1:15" ht="15">
      <c r="A162" s="22" t="s">
        <v>299</v>
      </c>
      <c r="B162" s="7">
        <v>161</v>
      </c>
      <c r="C162" s="17" t="s">
        <v>907</v>
      </c>
      <c r="D162" s="8" t="s">
        <v>16</v>
      </c>
      <c r="E162" s="8"/>
      <c r="F162" s="8"/>
      <c r="G162" s="9"/>
      <c r="H162" s="9"/>
      <c r="I162" s="271" t="str">
        <f t="shared" si="4"/>
        <v/>
      </c>
      <c r="J162" s="8"/>
      <c r="K162" s="8"/>
      <c r="L162" s="8"/>
      <c r="M162" s="8"/>
      <c r="N162" s="10" t="str">
        <f t="shared" si="5"/>
        <v/>
      </c>
      <c r="O162" s="8"/>
    </row>
    <row r="163" spans="1:15" ht="15">
      <c r="A163" s="22" t="s">
        <v>299</v>
      </c>
      <c r="B163" s="7">
        <v>162</v>
      </c>
      <c r="C163" s="17" t="s">
        <v>908</v>
      </c>
      <c r="D163" s="8" t="s">
        <v>16</v>
      </c>
      <c r="E163" s="8"/>
      <c r="F163" s="8"/>
      <c r="G163" s="9"/>
      <c r="H163" s="9"/>
      <c r="I163" s="271" t="str">
        <f t="shared" si="4"/>
        <v/>
      </c>
      <c r="J163" s="8"/>
      <c r="K163" s="8"/>
      <c r="L163" s="8"/>
      <c r="M163" s="8"/>
      <c r="N163" s="10" t="str">
        <f t="shared" si="5"/>
        <v/>
      </c>
      <c r="O163" s="8"/>
    </row>
    <row r="164" spans="1:15" ht="15">
      <c r="C164" s="25"/>
      <c r="D164" s="26"/>
      <c r="E164" s="26"/>
      <c r="F164" s="26"/>
      <c r="G164" s="27"/>
      <c r="H164" s="27"/>
      <c r="I164" s="245"/>
      <c r="J164" s="26"/>
      <c r="K164" s="26"/>
      <c r="L164" s="26"/>
      <c r="M164" s="26"/>
      <c r="N164" s="28"/>
      <c r="O164" s="26"/>
    </row>
    <row r="165" spans="1:15" ht="15">
      <c r="C165" s="25"/>
      <c r="D165" s="26"/>
      <c r="E165" s="26"/>
      <c r="F165" s="26"/>
      <c r="G165" s="27"/>
      <c r="H165" s="27"/>
      <c r="I165" s="245"/>
      <c r="J165" s="26"/>
      <c r="K165" s="26"/>
      <c r="L165" s="26"/>
      <c r="M165" s="26"/>
      <c r="N165" s="28"/>
      <c r="O165" s="26"/>
    </row>
    <row r="166" spans="1:15" ht="15">
      <c r="C166" s="25"/>
      <c r="D166" s="26"/>
      <c r="E166" s="26"/>
      <c r="F166" s="26"/>
      <c r="G166" s="27"/>
      <c r="H166" s="27"/>
      <c r="I166" s="245"/>
      <c r="J166" s="26"/>
      <c r="K166" s="26"/>
      <c r="L166" s="26"/>
      <c r="M166" s="26"/>
      <c r="N166" s="28"/>
      <c r="O166" s="26"/>
    </row>
    <row r="167" spans="1:15" ht="15">
      <c r="C167" s="25"/>
      <c r="D167" s="26"/>
      <c r="E167" s="26"/>
      <c r="F167" s="26"/>
      <c r="G167" s="27"/>
      <c r="H167" s="27"/>
      <c r="I167" s="245"/>
      <c r="J167" s="26"/>
      <c r="K167" s="26"/>
      <c r="L167" s="26"/>
      <c r="M167" s="26"/>
      <c r="N167" s="28"/>
      <c r="O167" s="26"/>
    </row>
    <row r="168" spans="1:15" ht="15">
      <c r="C168" s="25"/>
      <c r="D168" s="26"/>
      <c r="E168" s="26"/>
      <c r="F168" s="26"/>
      <c r="G168" s="27"/>
      <c r="H168" s="27"/>
      <c r="I168" s="245"/>
      <c r="J168" s="26"/>
      <c r="K168" s="26"/>
      <c r="L168" s="26"/>
      <c r="M168" s="26"/>
      <c r="N168" s="28"/>
      <c r="O168" s="26"/>
    </row>
    <row r="169" spans="1:15" ht="15">
      <c r="C169" s="25"/>
      <c r="D169" s="26"/>
      <c r="E169" s="26"/>
      <c r="F169" s="26"/>
      <c r="G169" s="27"/>
      <c r="H169" s="27"/>
      <c r="I169" s="245"/>
      <c r="J169" s="26"/>
      <c r="K169" s="26"/>
      <c r="L169" s="26"/>
      <c r="M169" s="26"/>
      <c r="N169" s="28"/>
      <c r="O169" s="26"/>
    </row>
    <row r="170" spans="1:15" ht="15">
      <c r="C170" s="25"/>
      <c r="D170" s="26"/>
      <c r="E170" s="26"/>
      <c r="F170" s="26"/>
      <c r="G170" s="27"/>
      <c r="H170" s="27"/>
      <c r="I170" s="245"/>
      <c r="J170" s="26"/>
      <c r="K170" s="26"/>
      <c r="L170" s="26"/>
      <c r="M170" s="26"/>
      <c r="N170" s="28"/>
      <c r="O170" s="26"/>
    </row>
    <row r="171" spans="1:15" ht="15">
      <c r="C171" s="25"/>
      <c r="D171" s="26"/>
      <c r="E171" s="26"/>
      <c r="F171" s="26"/>
      <c r="G171" s="27"/>
      <c r="H171" s="27"/>
      <c r="I171" s="245"/>
      <c r="J171" s="26"/>
      <c r="K171" s="26"/>
      <c r="L171" s="26"/>
      <c r="M171" s="26"/>
      <c r="N171" s="28"/>
      <c r="O171" s="26"/>
    </row>
    <row r="172" spans="1:15" ht="15">
      <c r="C172" s="25"/>
      <c r="D172" s="26"/>
      <c r="E172" s="26"/>
      <c r="F172" s="26"/>
      <c r="G172" s="27"/>
      <c r="H172" s="27"/>
      <c r="I172" s="245"/>
      <c r="J172" s="26"/>
      <c r="K172" s="26"/>
      <c r="L172" s="26"/>
      <c r="M172" s="26"/>
      <c r="N172" s="28"/>
      <c r="O172" s="26"/>
    </row>
    <row r="173" spans="1:15" ht="15">
      <c r="C173" s="25"/>
      <c r="D173" s="26"/>
      <c r="E173" s="26"/>
      <c r="F173" s="26"/>
      <c r="G173" s="27"/>
      <c r="H173" s="27"/>
      <c r="I173" s="245"/>
      <c r="J173" s="26"/>
      <c r="K173" s="26"/>
      <c r="L173" s="26"/>
      <c r="M173" s="26"/>
      <c r="N173" s="28"/>
      <c r="O173" s="26"/>
    </row>
    <row r="174" spans="1:15" ht="15">
      <c r="C174" s="25"/>
      <c r="D174" s="26"/>
      <c r="E174" s="26"/>
      <c r="F174" s="26"/>
      <c r="G174" s="27"/>
      <c r="H174" s="27"/>
      <c r="I174" s="245"/>
      <c r="J174" s="26"/>
      <c r="K174" s="26"/>
      <c r="L174" s="26"/>
      <c r="M174" s="26"/>
      <c r="N174" s="28"/>
      <c r="O174" s="26"/>
    </row>
    <row r="175" spans="1:15" ht="15">
      <c r="C175" s="25"/>
      <c r="D175" s="26"/>
      <c r="E175" s="26"/>
      <c r="F175" s="26"/>
      <c r="G175" s="27"/>
      <c r="H175" s="27"/>
      <c r="I175" s="245"/>
      <c r="J175" s="26"/>
      <c r="K175" s="26"/>
      <c r="L175" s="26"/>
      <c r="M175" s="26"/>
      <c r="N175" s="28"/>
      <c r="O175" s="26"/>
    </row>
    <row r="176" spans="1:15" ht="15">
      <c r="C176" s="25"/>
      <c r="D176" s="26"/>
      <c r="E176" s="26"/>
      <c r="F176" s="26"/>
      <c r="G176" s="27"/>
      <c r="H176" s="27"/>
      <c r="I176" s="245"/>
      <c r="J176" s="26"/>
      <c r="K176" s="26"/>
      <c r="L176" s="26"/>
      <c r="M176" s="26"/>
      <c r="N176" s="28"/>
      <c r="O176" s="26"/>
    </row>
    <row r="177" spans="3:15" ht="15">
      <c r="C177" s="25"/>
      <c r="D177" s="26"/>
      <c r="E177" s="26"/>
      <c r="F177" s="26"/>
      <c r="G177" s="27"/>
      <c r="H177" s="27"/>
      <c r="I177" s="245"/>
      <c r="J177" s="26"/>
      <c r="K177" s="26"/>
      <c r="L177" s="26"/>
      <c r="M177" s="26"/>
      <c r="N177" s="28"/>
      <c r="O177" s="26"/>
    </row>
    <row r="178" spans="3:15" ht="15">
      <c r="C178" s="25"/>
      <c r="D178" s="26"/>
      <c r="E178" s="26"/>
      <c r="F178" s="26"/>
      <c r="G178" s="27"/>
      <c r="H178" s="27"/>
      <c r="I178" s="245"/>
      <c r="J178" s="26"/>
      <c r="K178" s="26"/>
      <c r="L178" s="26"/>
      <c r="M178" s="26"/>
      <c r="N178" s="28"/>
      <c r="O178" s="26"/>
    </row>
    <row r="179" spans="3:15" ht="15">
      <c r="C179" s="25"/>
      <c r="D179" s="26"/>
      <c r="E179" s="26"/>
      <c r="F179" s="26"/>
      <c r="G179" s="27"/>
      <c r="H179" s="27"/>
      <c r="I179" s="245"/>
      <c r="J179" s="26"/>
      <c r="K179" s="26"/>
      <c r="L179" s="26"/>
      <c r="M179" s="26"/>
      <c r="N179" s="28"/>
      <c r="O179" s="26"/>
    </row>
    <row r="180" spans="3:15" ht="15">
      <c r="C180" s="25"/>
      <c r="D180" s="26"/>
      <c r="E180" s="26"/>
      <c r="F180" s="26"/>
      <c r="G180" s="27"/>
      <c r="H180" s="27"/>
      <c r="I180" s="245"/>
      <c r="J180" s="26"/>
      <c r="K180" s="26"/>
      <c r="L180" s="26"/>
      <c r="M180" s="26"/>
      <c r="N180" s="28"/>
      <c r="O180" s="26"/>
    </row>
    <row r="181" spans="3:15" ht="15">
      <c r="C181" s="25"/>
      <c r="D181" s="26"/>
      <c r="E181" s="26"/>
      <c r="F181" s="26"/>
      <c r="G181" s="27"/>
      <c r="H181" s="27"/>
      <c r="I181" s="245"/>
      <c r="J181" s="26"/>
      <c r="K181" s="26"/>
      <c r="L181" s="26"/>
      <c r="M181" s="26"/>
      <c r="N181" s="28"/>
      <c r="O181" s="26"/>
    </row>
    <row r="182" spans="3:15" ht="15">
      <c r="C182" s="25"/>
      <c r="D182" s="26"/>
      <c r="E182" s="26"/>
      <c r="F182" s="26"/>
      <c r="G182" s="27"/>
      <c r="H182" s="27"/>
      <c r="I182" s="245"/>
      <c r="J182" s="26"/>
      <c r="K182" s="26"/>
      <c r="L182" s="26"/>
      <c r="M182" s="26"/>
      <c r="N182" s="28"/>
      <c r="O182" s="26"/>
    </row>
    <row r="183" spans="3:15" ht="15">
      <c r="C183" s="25"/>
      <c r="D183" s="26"/>
      <c r="E183" s="26"/>
      <c r="F183" s="26"/>
      <c r="G183" s="27"/>
      <c r="H183" s="27"/>
      <c r="I183" s="245"/>
      <c r="J183" s="26"/>
      <c r="K183" s="26"/>
      <c r="L183" s="26"/>
      <c r="M183" s="26"/>
      <c r="N183" s="28"/>
      <c r="O183" s="26"/>
    </row>
    <row r="184" spans="3:15" ht="15">
      <c r="C184" s="25"/>
      <c r="D184" s="26"/>
      <c r="E184" s="26"/>
      <c r="F184" s="26"/>
      <c r="G184" s="27"/>
      <c r="H184" s="27"/>
      <c r="I184" s="245"/>
      <c r="J184" s="26"/>
      <c r="K184" s="26"/>
      <c r="L184" s="26"/>
      <c r="M184" s="26"/>
      <c r="N184" s="28"/>
      <c r="O184" s="26"/>
    </row>
    <row r="185" spans="3:15" ht="15">
      <c r="C185" s="25"/>
      <c r="D185" s="26"/>
      <c r="E185" s="26"/>
      <c r="F185" s="26"/>
      <c r="G185" s="27"/>
      <c r="H185" s="27"/>
      <c r="I185" s="245"/>
      <c r="J185" s="26"/>
      <c r="K185" s="26"/>
      <c r="L185" s="26"/>
      <c r="M185" s="26"/>
      <c r="N185" s="28"/>
      <c r="O185" s="26"/>
    </row>
    <row r="186" spans="3:15" ht="15">
      <c r="C186" s="25"/>
      <c r="D186" s="26"/>
      <c r="E186" s="26"/>
      <c r="F186" s="26"/>
      <c r="G186" s="27"/>
      <c r="H186" s="27"/>
      <c r="I186" s="245"/>
      <c r="J186" s="26"/>
      <c r="K186" s="26"/>
      <c r="L186" s="26"/>
      <c r="M186" s="26"/>
      <c r="N186" s="28"/>
      <c r="O186" s="26"/>
    </row>
    <row r="187" spans="3:15" ht="15">
      <c r="C187" s="25"/>
      <c r="D187" s="26"/>
      <c r="E187" s="26"/>
      <c r="F187" s="26"/>
      <c r="G187" s="27"/>
      <c r="H187" s="27"/>
      <c r="I187" s="245"/>
      <c r="J187" s="26"/>
      <c r="K187" s="26"/>
      <c r="L187" s="26"/>
      <c r="M187" s="26"/>
      <c r="N187" s="28"/>
      <c r="O187" s="26"/>
    </row>
    <row r="188" spans="3:15" ht="15">
      <c r="C188" s="25"/>
      <c r="D188" s="26"/>
      <c r="E188" s="26"/>
      <c r="F188" s="26"/>
      <c r="G188" s="27"/>
      <c r="H188" s="27"/>
      <c r="I188" s="245"/>
      <c r="J188" s="26"/>
      <c r="K188" s="26"/>
      <c r="L188" s="26"/>
      <c r="M188" s="26"/>
      <c r="N188" s="28"/>
      <c r="O188" s="26"/>
    </row>
    <row r="189" spans="3:15" ht="15">
      <c r="C189" s="25"/>
      <c r="D189" s="26"/>
      <c r="E189" s="26"/>
      <c r="F189" s="26"/>
      <c r="G189" s="27"/>
      <c r="H189" s="27"/>
      <c r="I189" s="245"/>
      <c r="J189" s="26"/>
      <c r="K189" s="26"/>
      <c r="L189" s="26"/>
      <c r="M189" s="26"/>
      <c r="N189" s="28"/>
      <c r="O189" s="26"/>
    </row>
    <row r="190" spans="3:15" ht="15">
      <c r="C190" s="25"/>
      <c r="D190" s="26"/>
      <c r="E190" s="26"/>
      <c r="F190" s="26"/>
      <c r="G190" s="27"/>
      <c r="H190" s="27"/>
      <c r="I190" s="245"/>
      <c r="J190" s="26"/>
      <c r="K190" s="26"/>
      <c r="L190" s="26"/>
      <c r="M190" s="26"/>
      <c r="N190" s="28"/>
      <c r="O190" s="26"/>
    </row>
    <row r="191" spans="3:15" ht="15">
      <c r="C191" s="25"/>
      <c r="D191" s="26"/>
      <c r="E191" s="26"/>
      <c r="F191" s="26"/>
      <c r="G191" s="27"/>
      <c r="H191" s="27"/>
      <c r="I191" s="245"/>
      <c r="J191" s="26"/>
      <c r="K191" s="26"/>
      <c r="L191" s="26"/>
      <c r="M191" s="26"/>
      <c r="N191" s="28"/>
      <c r="O191" s="26"/>
    </row>
    <row r="192" spans="3:15" ht="15">
      <c r="C192" s="25"/>
      <c r="D192" s="26"/>
      <c r="E192" s="26"/>
      <c r="F192" s="26"/>
      <c r="G192" s="27"/>
      <c r="H192" s="27"/>
      <c r="I192" s="245"/>
      <c r="J192" s="26"/>
      <c r="K192" s="26"/>
      <c r="L192" s="26"/>
      <c r="M192" s="26"/>
      <c r="N192" s="28"/>
      <c r="O192" s="26"/>
    </row>
    <row r="193" spans="3:15" ht="15">
      <c r="C193" s="25"/>
      <c r="D193" s="26"/>
      <c r="E193" s="26"/>
      <c r="F193" s="26"/>
      <c r="G193" s="27"/>
      <c r="H193" s="27"/>
      <c r="I193" s="245"/>
      <c r="J193" s="26"/>
      <c r="K193" s="26"/>
      <c r="L193" s="26"/>
      <c r="M193" s="26"/>
      <c r="N193" s="28"/>
      <c r="O193" s="26"/>
    </row>
    <row r="194" spans="3:15" ht="15">
      <c r="C194" s="25"/>
      <c r="D194" s="26"/>
      <c r="E194" s="26"/>
      <c r="F194" s="26"/>
      <c r="G194" s="27"/>
      <c r="H194" s="27"/>
      <c r="I194" s="245"/>
      <c r="J194" s="26"/>
      <c r="K194" s="26"/>
      <c r="L194" s="26"/>
      <c r="M194" s="26"/>
      <c r="N194" s="28"/>
      <c r="O194" s="26"/>
    </row>
    <row r="195" spans="3:15" ht="15">
      <c r="C195" s="25"/>
      <c r="D195" s="26"/>
      <c r="E195" s="26"/>
      <c r="F195" s="26"/>
      <c r="G195" s="27"/>
      <c r="H195" s="27"/>
      <c r="I195" s="245"/>
      <c r="J195" s="26"/>
      <c r="K195" s="26"/>
      <c r="L195" s="26"/>
      <c r="M195" s="26"/>
      <c r="N195" s="28"/>
      <c r="O195" s="26"/>
    </row>
    <row r="196" spans="3:15" ht="15">
      <c r="C196" s="25"/>
      <c r="D196" s="26"/>
      <c r="E196" s="26"/>
      <c r="F196" s="26"/>
      <c r="G196" s="27"/>
      <c r="H196" s="27"/>
      <c r="I196" s="245"/>
      <c r="J196" s="26"/>
      <c r="K196" s="26"/>
      <c r="L196" s="26"/>
      <c r="M196" s="26"/>
      <c r="N196" s="28"/>
      <c r="O196" s="26"/>
    </row>
    <row r="197" spans="3:15" ht="15">
      <c r="C197" s="25"/>
      <c r="D197" s="26"/>
      <c r="E197" s="26"/>
      <c r="F197" s="26"/>
      <c r="G197" s="27"/>
      <c r="H197" s="27"/>
      <c r="I197" s="245"/>
      <c r="J197" s="26"/>
      <c r="K197" s="26"/>
      <c r="L197" s="26"/>
      <c r="M197" s="26"/>
      <c r="N197" s="28"/>
      <c r="O197" s="26"/>
    </row>
    <row r="198" spans="3:15" ht="15">
      <c r="C198" s="25"/>
      <c r="D198" s="26"/>
      <c r="E198" s="26"/>
      <c r="F198" s="26"/>
      <c r="G198" s="27"/>
      <c r="H198" s="27"/>
      <c r="I198" s="245"/>
      <c r="J198" s="26"/>
      <c r="K198" s="26"/>
      <c r="L198" s="26"/>
      <c r="M198" s="26"/>
      <c r="N198" s="28"/>
      <c r="O198" s="26"/>
    </row>
    <row r="199" spans="3:15" ht="15">
      <c r="C199" s="25"/>
      <c r="D199" s="26"/>
      <c r="E199" s="26"/>
      <c r="F199" s="26"/>
      <c r="G199" s="27"/>
      <c r="H199" s="27"/>
      <c r="I199" s="245"/>
      <c r="J199" s="26"/>
      <c r="K199" s="26"/>
      <c r="L199" s="26"/>
      <c r="M199" s="26"/>
      <c r="N199" s="28"/>
      <c r="O199" s="26"/>
    </row>
    <row r="200" spans="3:15" ht="15">
      <c r="C200" s="25"/>
      <c r="D200" s="26"/>
      <c r="E200" s="26"/>
      <c r="F200" s="26"/>
      <c r="G200" s="27"/>
      <c r="H200" s="27"/>
      <c r="I200" s="245"/>
      <c r="J200" s="26"/>
      <c r="K200" s="26"/>
      <c r="L200" s="26"/>
      <c r="M200" s="26"/>
      <c r="N200" s="28"/>
      <c r="O200" s="26"/>
    </row>
    <row r="201" spans="3:15" ht="15">
      <c r="C201" s="25"/>
      <c r="D201" s="26"/>
      <c r="E201" s="26"/>
      <c r="F201" s="26"/>
      <c r="G201" s="27"/>
      <c r="H201" s="27"/>
      <c r="I201" s="245"/>
      <c r="J201" s="26"/>
      <c r="K201" s="26"/>
      <c r="L201" s="26"/>
      <c r="M201" s="26"/>
      <c r="N201" s="28"/>
      <c r="O201" s="26"/>
    </row>
    <row r="202" spans="3:15" ht="15">
      <c r="C202" s="25"/>
      <c r="D202" s="26"/>
      <c r="E202" s="26"/>
      <c r="F202" s="26"/>
      <c r="G202" s="27"/>
      <c r="H202" s="27"/>
      <c r="I202" s="245"/>
      <c r="J202" s="26"/>
      <c r="K202" s="26"/>
      <c r="L202" s="26"/>
      <c r="M202" s="26"/>
      <c r="N202" s="28"/>
      <c r="O202" s="26"/>
    </row>
    <row r="203" spans="3:15" ht="15">
      <c r="C203" s="25"/>
      <c r="D203" s="26"/>
      <c r="E203" s="26"/>
      <c r="F203" s="26"/>
      <c r="G203" s="27"/>
      <c r="H203" s="27"/>
      <c r="I203" s="245"/>
      <c r="J203" s="26"/>
      <c r="K203" s="26"/>
      <c r="L203" s="26"/>
      <c r="M203" s="26"/>
      <c r="N203" s="28"/>
      <c r="O203" s="26"/>
    </row>
    <row r="204" spans="3:15" ht="15">
      <c r="C204" s="25"/>
      <c r="D204" s="26"/>
      <c r="E204" s="26"/>
      <c r="F204" s="26"/>
      <c r="G204" s="27"/>
      <c r="H204" s="27"/>
      <c r="I204" s="245"/>
      <c r="J204" s="26"/>
      <c r="K204" s="26"/>
      <c r="L204" s="26"/>
      <c r="M204" s="26"/>
      <c r="N204" s="28"/>
      <c r="O204" s="26"/>
    </row>
    <row r="205" spans="3:15" ht="15">
      <c r="C205" s="25"/>
      <c r="D205" s="26"/>
      <c r="E205" s="26"/>
      <c r="F205" s="26"/>
      <c r="G205" s="27"/>
      <c r="H205" s="27"/>
      <c r="I205" s="245"/>
      <c r="J205" s="26"/>
      <c r="K205" s="26"/>
      <c r="L205" s="26"/>
      <c r="M205" s="26"/>
      <c r="N205" s="28"/>
      <c r="O205" s="26"/>
    </row>
    <row r="206" spans="3:15" ht="15">
      <c r="C206" s="25"/>
      <c r="D206" s="26"/>
      <c r="E206" s="26"/>
      <c r="F206" s="26"/>
      <c r="G206" s="27"/>
      <c r="H206" s="27"/>
      <c r="I206" s="245"/>
      <c r="J206" s="26"/>
      <c r="K206" s="26"/>
      <c r="L206" s="26"/>
      <c r="M206" s="26"/>
      <c r="N206" s="28"/>
      <c r="O206" s="26"/>
    </row>
    <row r="207" spans="3:15" ht="15">
      <c r="C207" s="25"/>
      <c r="D207" s="26"/>
      <c r="E207" s="26"/>
      <c r="F207" s="26"/>
      <c r="G207" s="27"/>
      <c r="H207" s="27"/>
      <c r="I207" s="245"/>
      <c r="J207" s="26"/>
      <c r="K207" s="26"/>
      <c r="L207" s="26"/>
      <c r="M207" s="26"/>
      <c r="N207" s="28"/>
      <c r="O207" s="26"/>
    </row>
    <row r="208" spans="3:15" ht="15">
      <c r="C208" s="25"/>
      <c r="D208" s="26"/>
      <c r="E208" s="26"/>
      <c r="F208" s="26"/>
      <c r="G208" s="27"/>
      <c r="H208" s="27"/>
      <c r="I208" s="245"/>
      <c r="J208" s="26"/>
      <c r="K208" s="26"/>
      <c r="L208" s="26"/>
      <c r="M208" s="26"/>
      <c r="N208" s="28"/>
      <c r="O208" s="26"/>
    </row>
    <row r="209" spans="3:15" ht="15">
      <c r="C209" s="25"/>
      <c r="D209" s="26"/>
      <c r="E209" s="26"/>
      <c r="F209" s="26"/>
      <c r="G209" s="27"/>
      <c r="H209" s="27"/>
      <c r="I209" s="245"/>
      <c r="J209" s="26"/>
      <c r="K209" s="26"/>
      <c r="L209" s="26"/>
      <c r="M209" s="26"/>
      <c r="N209" s="28"/>
      <c r="O209" s="26"/>
    </row>
    <row r="210" spans="3:15" ht="15">
      <c r="C210" s="25"/>
      <c r="D210" s="26"/>
      <c r="E210" s="26"/>
      <c r="F210" s="26"/>
      <c r="G210" s="27"/>
      <c r="H210" s="27"/>
      <c r="I210" s="245"/>
      <c r="J210" s="26"/>
      <c r="K210" s="26"/>
      <c r="L210" s="26"/>
      <c r="M210" s="26"/>
      <c r="N210" s="28"/>
      <c r="O210" s="26"/>
    </row>
    <row r="211" spans="3:15" ht="15">
      <c r="C211" s="25"/>
      <c r="D211" s="26"/>
      <c r="E211" s="26"/>
      <c r="F211" s="26"/>
      <c r="G211" s="27"/>
      <c r="H211" s="27"/>
      <c r="I211" s="245"/>
      <c r="J211" s="26"/>
      <c r="K211" s="26"/>
      <c r="L211" s="26"/>
      <c r="M211" s="26"/>
      <c r="N211" s="28"/>
      <c r="O211" s="26"/>
    </row>
    <row r="212" spans="3:15" ht="15">
      <c r="C212" s="25"/>
      <c r="D212" s="26"/>
      <c r="E212" s="26"/>
      <c r="F212" s="26"/>
      <c r="G212" s="27"/>
      <c r="H212" s="27"/>
      <c r="I212" s="245"/>
      <c r="J212" s="26"/>
      <c r="K212" s="26"/>
      <c r="L212" s="26"/>
      <c r="M212" s="26"/>
      <c r="N212" s="28"/>
      <c r="O212" s="26"/>
    </row>
    <row r="213" spans="3:15" ht="15">
      <c r="C213" s="25"/>
      <c r="D213" s="26"/>
      <c r="E213" s="26"/>
      <c r="F213" s="26"/>
      <c r="G213" s="27"/>
      <c r="H213" s="27"/>
      <c r="I213" s="245"/>
      <c r="J213" s="26"/>
      <c r="K213" s="26"/>
      <c r="L213" s="26"/>
      <c r="M213" s="26"/>
      <c r="N213" s="28"/>
      <c r="O213" s="26"/>
    </row>
    <row r="214" spans="3:15" ht="15">
      <c r="C214" s="25"/>
      <c r="D214" s="26"/>
      <c r="E214" s="26"/>
      <c r="F214" s="26"/>
      <c r="G214" s="27"/>
      <c r="H214" s="27"/>
      <c r="I214" s="245"/>
      <c r="J214" s="26"/>
      <c r="K214" s="26"/>
      <c r="L214" s="26"/>
      <c r="M214" s="26"/>
      <c r="N214" s="28"/>
      <c r="O214" s="26"/>
    </row>
    <row r="215" spans="3:15" ht="15">
      <c r="C215" s="25"/>
      <c r="D215" s="26"/>
      <c r="E215" s="26"/>
      <c r="F215" s="26"/>
      <c r="G215" s="27"/>
      <c r="H215" s="27"/>
      <c r="I215" s="245"/>
      <c r="J215" s="26"/>
      <c r="K215" s="26"/>
      <c r="L215" s="26"/>
      <c r="M215" s="26"/>
      <c r="N215" s="28"/>
      <c r="O215" s="26"/>
    </row>
    <row r="216" spans="3:15" ht="15">
      <c r="C216" s="25"/>
      <c r="D216" s="26"/>
      <c r="E216" s="26"/>
      <c r="F216" s="26"/>
      <c r="G216" s="27"/>
      <c r="H216" s="27"/>
      <c r="I216" s="245"/>
      <c r="J216" s="26"/>
      <c r="K216" s="26"/>
      <c r="L216" s="26"/>
      <c r="M216" s="26"/>
      <c r="N216" s="28"/>
      <c r="O216" s="26"/>
    </row>
    <row r="217" spans="3:15" ht="15">
      <c r="C217" s="25"/>
      <c r="D217" s="26"/>
      <c r="E217" s="26"/>
      <c r="F217" s="26"/>
      <c r="G217" s="27"/>
      <c r="H217" s="27"/>
      <c r="I217" s="245"/>
      <c r="J217" s="26"/>
      <c r="K217" s="26"/>
      <c r="L217" s="26"/>
      <c r="M217" s="26"/>
      <c r="N217" s="28"/>
      <c r="O217" s="26"/>
    </row>
    <row r="218" spans="3:15" ht="15">
      <c r="C218" s="25"/>
      <c r="D218" s="26"/>
      <c r="E218" s="26"/>
      <c r="F218" s="26"/>
      <c r="G218" s="27"/>
      <c r="H218" s="27"/>
      <c r="I218" s="245"/>
      <c r="J218" s="26"/>
      <c r="K218" s="26"/>
      <c r="L218" s="26"/>
      <c r="M218" s="26"/>
      <c r="N218" s="28"/>
      <c r="O218" s="26"/>
    </row>
    <row r="219" spans="3:15" ht="15">
      <c r="C219" s="25"/>
      <c r="D219" s="26"/>
      <c r="E219" s="26"/>
      <c r="F219" s="26"/>
      <c r="G219" s="27"/>
      <c r="H219" s="27"/>
      <c r="I219" s="245"/>
      <c r="J219" s="26"/>
      <c r="K219" s="26"/>
      <c r="L219" s="26"/>
      <c r="M219" s="26"/>
      <c r="N219" s="28"/>
      <c r="O219" s="26"/>
    </row>
    <row r="220" spans="3:15" ht="15">
      <c r="C220" s="25"/>
      <c r="D220" s="26"/>
      <c r="E220" s="26"/>
      <c r="F220" s="26"/>
      <c r="G220" s="27"/>
      <c r="H220" s="27"/>
      <c r="I220" s="245"/>
      <c r="J220" s="26"/>
      <c r="K220" s="26"/>
      <c r="L220" s="26"/>
      <c r="M220" s="26"/>
      <c r="N220" s="28"/>
      <c r="O220" s="26"/>
    </row>
    <row r="221" spans="3:15" ht="15">
      <c r="C221" s="25"/>
      <c r="D221" s="26"/>
      <c r="E221" s="26"/>
      <c r="F221" s="26"/>
      <c r="G221" s="27"/>
      <c r="H221" s="27"/>
      <c r="I221" s="245"/>
      <c r="J221" s="26"/>
      <c r="K221" s="26"/>
      <c r="L221" s="26"/>
      <c r="M221" s="26"/>
      <c r="N221" s="28"/>
      <c r="O221" s="26"/>
    </row>
    <row r="222" spans="3:15" ht="15">
      <c r="C222" s="25"/>
      <c r="D222" s="26"/>
      <c r="E222" s="26"/>
      <c r="F222" s="26"/>
      <c r="G222" s="27"/>
      <c r="H222" s="27"/>
      <c r="I222" s="245"/>
      <c r="J222" s="26"/>
      <c r="K222" s="26"/>
      <c r="L222" s="26"/>
      <c r="M222" s="26"/>
      <c r="N222" s="28"/>
      <c r="O222" s="26"/>
    </row>
    <row r="223" spans="3:15" ht="15">
      <c r="C223" s="25"/>
      <c r="D223" s="26"/>
      <c r="E223" s="26"/>
      <c r="F223" s="26"/>
      <c r="G223" s="27"/>
      <c r="H223" s="27"/>
      <c r="I223" s="245"/>
      <c r="J223" s="26"/>
      <c r="K223" s="26"/>
      <c r="L223" s="26"/>
      <c r="M223" s="26"/>
      <c r="N223" s="28"/>
      <c r="O223" s="26"/>
    </row>
    <row r="224" spans="3:15" ht="15">
      <c r="C224" s="25"/>
      <c r="D224" s="26"/>
      <c r="E224" s="26"/>
      <c r="F224" s="26"/>
      <c r="G224" s="27"/>
      <c r="H224" s="27"/>
      <c r="I224" s="245"/>
      <c r="J224" s="26"/>
      <c r="K224" s="26"/>
      <c r="L224" s="26"/>
      <c r="M224" s="26"/>
      <c r="N224" s="28"/>
      <c r="O224" s="26"/>
    </row>
    <row r="225" spans="3:15" ht="15">
      <c r="C225" s="25"/>
      <c r="D225" s="26"/>
      <c r="E225" s="26"/>
      <c r="F225" s="26"/>
      <c r="G225" s="27"/>
      <c r="H225" s="27"/>
      <c r="I225" s="245"/>
      <c r="J225" s="26"/>
      <c r="K225" s="26"/>
      <c r="L225" s="26"/>
      <c r="M225" s="26"/>
      <c r="N225" s="28"/>
      <c r="O225" s="26"/>
    </row>
    <row r="226" spans="3:15" ht="15">
      <c r="C226" s="25"/>
      <c r="D226" s="26"/>
      <c r="E226" s="26"/>
      <c r="F226" s="26"/>
      <c r="G226" s="27"/>
      <c r="H226" s="27"/>
      <c r="I226" s="245"/>
      <c r="J226" s="26"/>
      <c r="K226" s="26"/>
      <c r="L226" s="26"/>
      <c r="M226" s="26"/>
      <c r="N226" s="28"/>
      <c r="O226" s="26"/>
    </row>
    <row r="227" spans="3:15" ht="15">
      <c r="C227" s="25"/>
      <c r="D227" s="26"/>
      <c r="E227" s="26"/>
      <c r="F227" s="26"/>
      <c r="G227" s="27"/>
      <c r="H227" s="27"/>
      <c r="I227" s="245"/>
      <c r="J227" s="26"/>
      <c r="K227" s="26"/>
      <c r="L227" s="26"/>
      <c r="M227" s="26"/>
      <c r="N227" s="28"/>
      <c r="O227" s="26"/>
    </row>
    <row r="228" spans="3:15" ht="15">
      <c r="C228" s="25"/>
      <c r="D228" s="26"/>
      <c r="E228" s="26"/>
      <c r="F228" s="26"/>
      <c r="G228" s="27"/>
      <c r="H228" s="27"/>
      <c r="I228" s="245"/>
      <c r="J228" s="26"/>
      <c r="K228" s="26"/>
      <c r="L228" s="26"/>
      <c r="M228" s="26"/>
      <c r="N228" s="28"/>
      <c r="O228" s="26"/>
    </row>
    <row r="229" spans="3:15" ht="15">
      <c r="C229" s="25"/>
      <c r="D229" s="26"/>
      <c r="E229" s="26"/>
      <c r="F229" s="26"/>
      <c r="G229" s="27"/>
      <c r="H229" s="27"/>
      <c r="I229" s="245"/>
      <c r="J229" s="26"/>
      <c r="K229" s="26"/>
      <c r="L229" s="26"/>
      <c r="M229" s="26"/>
      <c r="N229" s="28"/>
      <c r="O229" s="26"/>
    </row>
    <row r="230" spans="3:15" ht="15">
      <c r="C230" s="25"/>
      <c r="D230" s="26"/>
      <c r="E230" s="26"/>
      <c r="F230" s="26"/>
      <c r="G230" s="27"/>
      <c r="H230" s="27"/>
      <c r="I230" s="245"/>
      <c r="J230" s="26"/>
      <c r="K230" s="26"/>
      <c r="L230" s="26"/>
      <c r="M230" s="26"/>
      <c r="N230" s="28"/>
      <c r="O230" s="26"/>
    </row>
    <row r="231" spans="3:15" ht="15">
      <c r="C231" s="25"/>
      <c r="D231" s="26"/>
      <c r="E231" s="26"/>
      <c r="F231" s="26"/>
      <c r="G231" s="27"/>
      <c r="H231" s="27"/>
      <c r="I231" s="245"/>
      <c r="J231" s="26"/>
      <c r="K231" s="26"/>
      <c r="L231" s="26"/>
      <c r="M231" s="26"/>
      <c r="N231" s="28"/>
      <c r="O231" s="26"/>
    </row>
    <row r="232" spans="3:15" ht="15">
      <c r="C232" s="25"/>
      <c r="D232" s="26"/>
      <c r="E232" s="26"/>
      <c r="F232" s="26"/>
      <c r="G232" s="27"/>
      <c r="H232" s="27"/>
      <c r="I232" s="245"/>
      <c r="J232" s="26"/>
      <c r="K232" s="26"/>
      <c r="L232" s="26"/>
      <c r="M232" s="26"/>
      <c r="N232" s="28"/>
      <c r="O232" s="26"/>
    </row>
    <row r="233" spans="3:15" ht="15">
      <c r="C233" s="25"/>
      <c r="D233" s="26"/>
      <c r="E233" s="26"/>
      <c r="F233" s="26"/>
      <c r="G233" s="27"/>
      <c r="H233" s="27"/>
      <c r="I233" s="245"/>
      <c r="J233" s="26"/>
      <c r="K233" s="26"/>
      <c r="L233" s="26"/>
      <c r="M233" s="26"/>
      <c r="N233" s="28"/>
      <c r="O233" s="26"/>
    </row>
    <row r="234" spans="3:15" ht="15">
      <c r="C234" s="25"/>
      <c r="D234" s="26"/>
      <c r="E234" s="26"/>
      <c r="F234" s="26"/>
      <c r="G234" s="27"/>
      <c r="H234" s="27"/>
      <c r="I234" s="245"/>
      <c r="J234" s="26"/>
      <c r="K234" s="26"/>
      <c r="L234" s="26"/>
      <c r="M234" s="26"/>
      <c r="N234" s="28"/>
      <c r="O234" s="26"/>
    </row>
    <row r="235" spans="3:15" ht="15">
      <c r="C235" s="25"/>
      <c r="D235" s="26"/>
      <c r="E235" s="26"/>
      <c r="F235" s="26"/>
      <c r="G235" s="27"/>
      <c r="H235" s="27"/>
      <c r="I235" s="245"/>
      <c r="J235" s="26"/>
      <c r="K235" s="26"/>
      <c r="L235" s="26"/>
      <c r="M235" s="26"/>
      <c r="N235" s="28"/>
      <c r="O235" s="26"/>
    </row>
    <row r="236" spans="3:15" ht="15">
      <c r="C236" s="25"/>
      <c r="D236" s="26"/>
      <c r="E236" s="26"/>
      <c r="F236" s="26"/>
      <c r="G236" s="27"/>
      <c r="H236" s="27"/>
      <c r="I236" s="245"/>
      <c r="J236" s="26"/>
      <c r="K236" s="26"/>
      <c r="L236" s="26"/>
      <c r="M236" s="26"/>
      <c r="N236" s="28"/>
      <c r="O236" s="26"/>
    </row>
    <row r="237" spans="3:15" ht="15">
      <c r="C237" s="25"/>
      <c r="D237" s="26"/>
      <c r="E237" s="26"/>
      <c r="F237" s="26"/>
      <c r="G237" s="27"/>
      <c r="H237" s="27"/>
      <c r="I237" s="245"/>
      <c r="J237" s="26"/>
      <c r="K237" s="26"/>
      <c r="L237" s="26"/>
      <c r="M237" s="26"/>
      <c r="N237" s="28"/>
      <c r="O237" s="26"/>
    </row>
    <row r="238" spans="3:15" ht="15">
      <c r="C238" s="25"/>
      <c r="D238" s="26"/>
      <c r="E238" s="26"/>
      <c r="F238" s="26"/>
      <c r="G238" s="27"/>
      <c r="H238" s="27"/>
      <c r="I238" s="245"/>
      <c r="J238" s="26"/>
      <c r="K238" s="26"/>
      <c r="L238" s="26"/>
      <c r="M238" s="26"/>
      <c r="N238" s="28"/>
      <c r="O238" s="26"/>
    </row>
    <row r="239" spans="3:15" ht="15">
      <c r="C239" s="25"/>
      <c r="D239" s="26"/>
      <c r="E239" s="26"/>
      <c r="F239" s="26"/>
      <c r="G239" s="27"/>
      <c r="H239" s="27"/>
      <c r="I239" s="245"/>
      <c r="J239" s="26"/>
      <c r="K239" s="26"/>
      <c r="L239" s="26"/>
      <c r="M239" s="26"/>
      <c r="N239" s="28"/>
      <c r="O239" s="26"/>
    </row>
    <row r="240" spans="3:15" ht="15">
      <c r="C240" s="25"/>
      <c r="D240" s="26"/>
      <c r="E240" s="26"/>
      <c r="F240" s="26"/>
      <c r="G240" s="27"/>
      <c r="H240" s="27"/>
      <c r="I240" s="245"/>
      <c r="J240" s="26"/>
      <c r="K240" s="26"/>
      <c r="L240" s="26"/>
      <c r="M240" s="26"/>
      <c r="N240" s="28"/>
      <c r="O240" s="26"/>
    </row>
    <row r="241" spans="3:15" ht="15">
      <c r="C241" s="25"/>
      <c r="D241" s="26"/>
      <c r="E241" s="26"/>
      <c r="F241" s="26"/>
      <c r="G241" s="27"/>
      <c r="H241" s="27"/>
      <c r="I241" s="245"/>
      <c r="J241" s="26"/>
      <c r="K241" s="26"/>
      <c r="L241" s="26"/>
      <c r="M241" s="26"/>
      <c r="N241" s="28"/>
      <c r="O241" s="26"/>
    </row>
    <row r="242" spans="3:15" ht="15">
      <c r="C242" s="25"/>
      <c r="D242" s="26"/>
      <c r="E242" s="26"/>
      <c r="F242" s="26"/>
      <c r="G242" s="27"/>
      <c r="H242" s="27"/>
      <c r="I242" s="245"/>
      <c r="J242" s="26"/>
      <c r="K242" s="26"/>
      <c r="L242" s="26"/>
      <c r="M242" s="26"/>
      <c r="N242" s="28"/>
      <c r="O242" s="26"/>
    </row>
    <row r="243" spans="3:15" ht="15">
      <c r="C243" s="25"/>
      <c r="D243" s="26"/>
      <c r="E243" s="26"/>
      <c r="F243" s="26"/>
      <c r="G243" s="27"/>
      <c r="H243" s="27"/>
      <c r="I243" s="245"/>
      <c r="J243" s="26"/>
      <c r="K243" s="26"/>
      <c r="L243" s="26"/>
      <c r="M243" s="26"/>
      <c r="N243" s="28"/>
      <c r="O243" s="26"/>
    </row>
    <row r="244" spans="3:15" ht="15">
      <c r="C244" s="25"/>
      <c r="D244" s="26"/>
      <c r="E244" s="26"/>
      <c r="F244" s="26"/>
      <c r="G244" s="27"/>
      <c r="H244" s="27"/>
      <c r="I244" s="245"/>
      <c r="J244" s="26"/>
      <c r="K244" s="26"/>
      <c r="L244" s="26"/>
      <c r="M244" s="26"/>
      <c r="N244" s="28"/>
      <c r="O244" s="26"/>
    </row>
    <row r="245" spans="3:15" ht="15">
      <c r="C245" s="25"/>
      <c r="D245" s="26"/>
      <c r="E245" s="26"/>
      <c r="F245" s="26"/>
      <c r="G245" s="27"/>
      <c r="H245" s="27"/>
      <c r="I245" s="245"/>
      <c r="J245" s="26"/>
      <c r="K245" s="26"/>
      <c r="L245" s="26"/>
      <c r="M245" s="26"/>
      <c r="N245" s="28"/>
      <c r="O245" s="26"/>
    </row>
    <row r="246" spans="3:15" ht="15">
      <c r="C246" s="25"/>
      <c r="D246" s="26"/>
      <c r="E246" s="26"/>
      <c r="F246" s="26"/>
      <c r="G246" s="27"/>
      <c r="H246" s="27"/>
      <c r="I246" s="245"/>
      <c r="J246" s="26"/>
      <c r="K246" s="26"/>
      <c r="L246" s="26"/>
      <c r="M246" s="26"/>
      <c r="N246" s="28"/>
      <c r="O246" s="26"/>
    </row>
    <row r="247" spans="3:15" ht="15">
      <c r="C247" s="25"/>
      <c r="D247" s="26"/>
      <c r="E247" s="26"/>
      <c r="F247" s="26"/>
      <c r="G247" s="27"/>
      <c r="H247" s="27"/>
      <c r="I247" s="245"/>
      <c r="J247" s="26"/>
      <c r="K247" s="26"/>
      <c r="L247" s="26"/>
      <c r="M247" s="26"/>
      <c r="N247" s="28"/>
      <c r="O247" s="26"/>
    </row>
    <row r="248" spans="3:15" ht="15">
      <c r="C248" s="25"/>
      <c r="D248" s="26"/>
      <c r="E248" s="26"/>
      <c r="F248" s="26"/>
      <c r="G248" s="27"/>
      <c r="H248" s="27"/>
      <c r="I248" s="245"/>
      <c r="J248" s="26"/>
      <c r="K248" s="26"/>
      <c r="L248" s="26"/>
      <c r="M248" s="26"/>
      <c r="N248" s="28"/>
      <c r="O248" s="26"/>
    </row>
    <row r="249" spans="3:15" ht="15">
      <c r="C249" s="25"/>
      <c r="D249" s="26"/>
      <c r="E249" s="26"/>
      <c r="F249" s="26"/>
      <c r="G249" s="27"/>
      <c r="H249" s="27"/>
      <c r="I249" s="245"/>
      <c r="J249" s="26"/>
      <c r="K249" s="26"/>
      <c r="L249" s="26"/>
      <c r="M249" s="26"/>
      <c r="N249" s="28"/>
      <c r="O249" s="26"/>
    </row>
    <row r="250" spans="3:15" ht="15">
      <c r="C250" s="25"/>
      <c r="D250" s="26"/>
      <c r="E250" s="26"/>
      <c r="F250" s="26"/>
      <c r="G250" s="27"/>
      <c r="H250" s="27"/>
      <c r="I250" s="245"/>
      <c r="J250" s="26"/>
      <c r="K250" s="26"/>
      <c r="L250" s="26"/>
      <c r="M250" s="26"/>
      <c r="N250" s="28"/>
      <c r="O250" s="26"/>
    </row>
    <row r="251" spans="3:15" ht="15">
      <c r="C251" s="25"/>
      <c r="D251" s="26"/>
      <c r="E251" s="26"/>
      <c r="F251" s="26"/>
      <c r="G251" s="27"/>
      <c r="H251" s="27"/>
      <c r="I251" s="245"/>
      <c r="J251" s="26"/>
      <c r="K251" s="26"/>
      <c r="L251" s="26"/>
      <c r="M251" s="26"/>
      <c r="N251" s="28"/>
      <c r="O251" s="26"/>
    </row>
    <row r="252" spans="3:15" ht="15">
      <c r="C252" s="25"/>
      <c r="D252" s="26"/>
      <c r="E252" s="26"/>
      <c r="F252" s="26"/>
      <c r="G252" s="27"/>
      <c r="H252" s="27"/>
      <c r="I252" s="245"/>
      <c r="J252" s="26"/>
      <c r="K252" s="26"/>
      <c r="L252" s="26"/>
      <c r="M252" s="26"/>
      <c r="N252" s="28"/>
      <c r="O252" s="26"/>
    </row>
    <row r="253" spans="3:15" ht="15">
      <c r="C253" s="25"/>
      <c r="D253" s="26"/>
      <c r="E253" s="26"/>
      <c r="F253" s="26"/>
      <c r="G253" s="27"/>
      <c r="H253" s="27"/>
      <c r="I253" s="245"/>
      <c r="J253" s="26"/>
      <c r="K253" s="26"/>
      <c r="L253" s="26"/>
      <c r="M253" s="26"/>
      <c r="N253" s="28"/>
      <c r="O253" s="26"/>
    </row>
    <row r="254" spans="3:15" ht="15">
      <c r="C254" s="25"/>
      <c r="D254" s="26"/>
      <c r="E254" s="26"/>
      <c r="F254" s="26"/>
      <c r="G254" s="27"/>
      <c r="H254" s="27"/>
      <c r="I254" s="245"/>
      <c r="J254" s="26"/>
      <c r="K254" s="26"/>
      <c r="L254" s="26"/>
      <c r="M254" s="26"/>
      <c r="N254" s="28"/>
      <c r="O254" s="26"/>
    </row>
    <row r="255" spans="3:15" ht="15">
      <c r="C255" s="25"/>
      <c r="D255" s="26"/>
      <c r="E255" s="26"/>
      <c r="F255" s="26"/>
      <c r="G255" s="27"/>
      <c r="H255" s="27"/>
      <c r="I255" s="245"/>
      <c r="J255" s="26"/>
      <c r="K255" s="26"/>
      <c r="L255" s="26"/>
      <c r="M255" s="26"/>
      <c r="N255" s="28"/>
      <c r="O255" s="26"/>
    </row>
    <row r="256" spans="3:15" ht="15">
      <c r="C256" s="25"/>
      <c r="D256" s="26"/>
      <c r="E256" s="26"/>
      <c r="F256" s="26"/>
      <c r="G256" s="27"/>
      <c r="H256" s="27"/>
      <c r="I256" s="245"/>
      <c r="J256" s="26"/>
      <c r="K256" s="26"/>
      <c r="L256" s="26"/>
      <c r="M256" s="26"/>
      <c r="N256" s="28"/>
      <c r="O256" s="26"/>
    </row>
    <row r="257" spans="3:15" ht="15">
      <c r="C257" s="25"/>
      <c r="D257" s="26"/>
      <c r="E257" s="26"/>
      <c r="F257" s="26"/>
      <c r="G257" s="27"/>
      <c r="H257" s="27"/>
      <c r="I257" s="245"/>
      <c r="J257" s="26"/>
      <c r="K257" s="26"/>
      <c r="L257" s="26"/>
      <c r="M257" s="26"/>
      <c r="N257" s="28"/>
      <c r="O257" s="26"/>
    </row>
    <row r="258" spans="3:15" ht="15">
      <c r="C258" s="25"/>
      <c r="D258" s="26"/>
      <c r="E258" s="26"/>
      <c r="F258" s="26"/>
      <c r="G258" s="27"/>
      <c r="H258" s="27"/>
      <c r="I258" s="245"/>
      <c r="J258" s="26"/>
      <c r="K258" s="26"/>
      <c r="L258" s="26"/>
      <c r="M258" s="26"/>
      <c r="N258" s="28"/>
      <c r="O258" s="26"/>
    </row>
    <row r="259" spans="3:15" ht="15">
      <c r="C259" s="25"/>
      <c r="D259" s="26"/>
      <c r="E259" s="26"/>
      <c r="F259" s="26"/>
      <c r="G259" s="27"/>
      <c r="H259" s="27"/>
      <c r="I259" s="245"/>
      <c r="J259" s="26"/>
      <c r="K259" s="26"/>
      <c r="L259" s="26"/>
      <c r="M259" s="26"/>
      <c r="N259" s="28"/>
      <c r="O259" s="26"/>
    </row>
    <row r="260" spans="3:15" ht="15">
      <c r="C260" s="25"/>
      <c r="D260" s="26"/>
      <c r="E260" s="26"/>
      <c r="F260" s="26"/>
      <c r="G260" s="27"/>
      <c r="H260" s="27"/>
      <c r="I260" s="245"/>
      <c r="J260" s="26"/>
      <c r="K260" s="26"/>
      <c r="L260" s="26"/>
      <c r="M260" s="26"/>
      <c r="N260" s="28"/>
      <c r="O260" s="26"/>
    </row>
    <row r="261" spans="3:15" ht="15">
      <c r="C261" s="25"/>
      <c r="D261" s="26"/>
      <c r="E261" s="26"/>
      <c r="F261" s="26"/>
      <c r="G261" s="27"/>
      <c r="H261" s="27"/>
      <c r="I261" s="245"/>
      <c r="J261" s="26"/>
      <c r="K261" s="26"/>
      <c r="L261" s="26"/>
      <c r="M261" s="26"/>
      <c r="N261" s="28"/>
      <c r="O261" s="26"/>
    </row>
    <row r="262" spans="3:15" ht="15">
      <c r="C262" s="25"/>
      <c r="D262" s="26"/>
      <c r="E262" s="26"/>
      <c r="F262" s="26"/>
      <c r="G262" s="27"/>
      <c r="H262" s="27"/>
      <c r="I262" s="245"/>
      <c r="J262" s="26"/>
      <c r="K262" s="26"/>
      <c r="L262" s="26"/>
      <c r="M262" s="26"/>
      <c r="N262" s="28"/>
      <c r="O262" s="26"/>
    </row>
    <row r="263" spans="3:15" ht="15">
      <c r="C263" s="25"/>
      <c r="D263" s="26"/>
      <c r="E263" s="26"/>
      <c r="F263" s="26"/>
      <c r="G263" s="27"/>
      <c r="H263" s="27"/>
      <c r="I263" s="245"/>
      <c r="J263" s="26"/>
      <c r="K263" s="26"/>
      <c r="L263" s="26"/>
      <c r="M263" s="26"/>
      <c r="N263" s="28"/>
      <c r="O263" s="26"/>
    </row>
    <row r="264" spans="3:15" ht="15">
      <c r="C264" s="25"/>
      <c r="D264" s="26"/>
      <c r="E264" s="26"/>
      <c r="F264" s="26"/>
      <c r="G264" s="27"/>
      <c r="H264" s="27"/>
      <c r="I264" s="245"/>
      <c r="J264" s="26"/>
      <c r="K264" s="26"/>
      <c r="L264" s="26"/>
      <c r="M264" s="26"/>
      <c r="N264" s="28"/>
      <c r="O264" s="26"/>
    </row>
    <row r="265" spans="3:15" ht="15">
      <c r="C265" s="25"/>
      <c r="D265" s="26"/>
      <c r="E265" s="26"/>
      <c r="F265" s="26"/>
      <c r="G265" s="27"/>
      <c r="H265" s="27"/>
      <c r="I265" s="245"/>
      <c r="J265" s="26"/>
      <c r="K265" s="26"/>
      <c r="L265" s="26"/>
      <c r="M265" s="26"/>
      <c r="N265" s="28"/>
      <c r="O265" s="26"/>
    </row>
    <row r="266" spans="3:15" ht="15">
      <c r="C266" s="25"/>
      <c r="D266" s="26"/>
      <c r="E266" s="26"/>
      <c r="F266" s="26"/>
      <c r="G266" s="27"/>
      <c r="H266" s="27"/>
      <c r="I266" s="245"/>
      <c r="J266" s="26"/>
      <c r="K266" s="26"/>
      <c r="L266" s="26"/>
      <c r="M266" s="26"/>
      <c r="N266" s="28"/>
      <c r="O266" s="26"/>
    </row>
    <row r="267" spans="3:15" ht="15">
      <c r="C267" s="25"/>
      <c r="D267" s="26"/>
      <c r="E267" s="26"/>
      <c r="F267" s="26"/>
      <c r="G267" s="27"/>
      <c r="H267" s="27"/>
      <c r="I267" s="245"/>
      <c r="J267" s="26"/>
      <c r="K267" s="26"/>
      <c r="L267" s="26"/>
      <c r="M267" s="26"/>
      <c r="N267" s="28"/>
      <c r="O267" s="26"/>
    </row>
    <row r="268" spans="3:15" ht="15">
      <c r="C268" s="25"/>
      <c r="D268" s="26"/>
      <c r="E268" s="26"/>
      <c r="F268" s="26"/>
      <c r="G268" s="27"/>
      <c r="H268" s="27"/>
      <c r="I268" s="245"/>
      <c r="J268" s="26"/>
      <c r="K268" s="26"/>
      <c r="L268" s="26"/>
      <c r="M268" s="26"/>
      <c r="N268" s="28"/>
      <c r="O268" s="26"/>
    </row>
    <row r="269" spans="3:15" ht="15">
      <c r="C269" s="25"/>
      <c r="D269" s="26"/>
      <c r="E269" s="26"/>
      <c r="F269" s="26"/>
      <c r="G269" s="27"/>
      <c r="H269" s="27"/>
      <c r="I269" s="245"/>
      <c r="J269" s="26"/>
      <c r="K269" s="26"/>
      <c r="L269" s="26"/>
      <c r="M269" s="26"/>
      <c r="N269" s="28"/>
      <c r="O269" s="26"/>
    </row>
    <row r="270" spans="3:15" ht="15">
      <c r="C270" s="25"/>
      <c r="D270" s="26"/>
      <c r="E270" s="26"/>
      <c r="F270" s="26"/>
      <c r="G270" s="27"/>
      <c r="H270" s="27"/>
      <c r="I270" s="245"/>
      <c r="J270" s="26"/>
      <c r="K270" s="26"/>
      <c r="L270" s="26"/>
      <c r="M270" s="26"/>
      <c r="N270" s="28"/>
      <c r="O270" s="26"/>
    </row>
    <row r="271" spans="3:15" ht="15">
      <c r="C271" s="25"/>
      <c r="D271" s="26"/>
      <c r="E271" s="26"/>
      <c r="F271" s="26"/>
      <c r="G271" s="27"/>
      <c r="H271" s="27"/>
      <c r="I271" s="245"/>
      <c r="J271" s="26"/>
      <c r="K271" s="26"/>
      <c r="L271" s="26"/>
      <c r="M271" s="26"/>
      <c r="N271" s="28"/>
      <c r="O271" s="26"/>
    </row>
    <row r="272" spans="3:15" ht="15">
      <c r="C272" s="25"/>
      <c r="D272" s="26"/>
      <c r="E272" s="26"/>
      <c r="F272" s="26"/>
      <c r="G272" s="27"/>
      <c r="H272" s="27"/>
      <c r="I272" s="245"/>
      <c r="J272" s="26"/>
      <c r="K272" s="26"/>
      <c r="L272" s="26"/>
      <c r="M272" s="26"/>
      <c r="N272" s="28"/>
      <c r="O272" s="26"/>
    </row>
    <row r="273" spans="3:15" ht="15">
      <c r="C273" s="25"/>
      <c r="D273" s="26"/>
      <c r="E273" s="26"/>
      <c r="F273" s="26"/>
      <c r="G273" s="27"/>
      <c r="H273" s="27"/>
      <c r="I273" s="245"/>
      <c r="J273" s="26"/>
      <c r="K273" s="26"/>
      <c r="L273" s="26"/>
      <c r="M273" s="26"/>
      <c r="N273" s="28"/>
      <c r="O273" s="26"/>
    </row>
    <row r="274" spans="3:15" ht="15">
      <c r="C274" s="25"/>
      <c r="D274" s="26"/>
      <c r="E274" s="26"/>
      <c r="F274" s="26"/>
      <c r="G274" s="27"/>
      <c r="H274" s="27"/>
      <c r="I274" s="245"/>
      <c r="J274" s="26"/>
      <c r="K274" s="26"/>
      <c r="L274" s="26"/>
      <c r="M274" s="26"/>
      <c r="N274" s="28"/>
      <c r="O274" s="26"/>
    </row>
    <row r="275" spans="3:15" ht="15">
      <c r="C275" s="25"/>
      <c r="D275" s="26"/>
      <c r="E275" s="26"/>
      <c r="F275" s="26"/>
      <c r="G275" s="27"/>
      <c r="H275" s="27"/>
      <c r="I275" s="245"/>
      <c r="J275" s="26"/>
      <c r="K275" s="26"/>
      <c r="L275" s="26"/>
      <c r="M275" s="26"/>
      <c r="N275" s="28"/>
      <c r="O275" s="26"/>
    </row>
    <row r="276" spans="3:15" ht="15">
      <c r="C276" s="25"/>
      <c r="D276" s="26"/>
      <c r="E276" s="26"/>
      <c r="F276" s="26"/>
      <c r="G276" s="27"/>
      <c r="H276" s="27"/>
      <c r="I276" s="245"/>
      <c r="J276" s="26"/>
      <c r="K276" s="26"/>
      <c r="L276" s="26"/>
      <c r="M276" s="26"/>
      <c r="N276" s="28"/>
      <c r="O276" s="26"/>
    </row>
    <row r="277" spans="3:15" ht="15">
      <c r="C277" s="25"/>
      <c r="D277" s="26"/>
      <c r="E277" s="26"/>
      <c r="F277" s="26"/>
      <c r="G277" s="27"/>
      <c r="H277" s="27"/>
      <c r="I277" s="245"/>
      <c r="J277" s="26"/>
      <c r="K277" s="26"/>
      <c r="L277" s="26"/>
      <c r="M277" s="26"/>
      <c r="N277" s="28"/>
      <c r="O277" s="26"/>
    </row>
    <row r="278" spans="3:15" ht="15">
      <c r="C278" s="25"/>
      <c r="D278" s="26"/>
      <c r="E278" s="26"/>
      <c r="F278" s="26"/>
      <c r="G278" s="27"/>
      <c r="H278" s="27"/>
      <c r="I278" s="245"/>
      <c r="J278" s="26"/>
      <c r="K278" s="26"/>
      <c r="L278" s="26"/>
      <c r="M278" s="26"/>
      <c r="N278" s="28"/>
      <c r="O278" s="26"/>
    </row>
    <row r="279" spans="3:15" ht="15">
      <c r="C279" s="25"/>
      <c r="D279" s="26"/>
      <c r="E279" s="26"/>
      <c r="F279" s="26"/>
      <c r="G279" s="27"/>
      <c r="H279" s="27"/>
      <c r="I279" s="245"/>
      <c r="J279" s="26"/>
      <c r="K279" s="26"/>
      <c r="L279" s="26"/>
      <c r="M279" s="26"/>
      <c r="N279" s="28"/>
      <c r="O279" s="26"/>
    </row>
    <row r="280" spans="3:15" ht="15">
      <c r="C280" s="25"/>
      <c r="D280" s="26"/>
      <c r="E280" s="26"/>
      <c r="F280" s="26"/>
      <c r="G280" s="27"/>
      <c r="H280" s="27"/>
      <c r="I280" s="245"/>
      <c r="J280" s="26"/>
      <c r="K280" s="26"/>
      <c r="L280" s="26"/>
      <c r="M280" s="26"/>
      <c r="N280" s="28"/>
      <c r="O280" s="26"/>
    </row>
    <row r="281" spans="3:15" ht="15">
      <c r="C281" s="25"/>
      <c r="D281" s="26"/>
      <c r="E281" s="26"/>
      <c r="F281" s="26"/>
      <c r="G281" s="27"/>
      <c r="H281" s="27"/>
      <c r="I281" s="245"/>
      <c r="J281" s="26"/>
      <c r="K281" s="26"/>
      <c r="L281" s="26"/>
      <c r="M281" s="26"/>
      <c r="N281" s="28"/>
      <c r="O281" s="26"/>
    </row>
    <row r="282" spans="3:15" ht="15">
      <c r="C282" s="25"/>
      <c r="D282" s="26"/>
      <c r="E282" s="26"/>
      <c r="F282" s="26"/>
      <c r="G282" s="27"/>
      <c r="H282" s="27"/>
      <c r="I282" s="245"/>
      <c r="J282" s="26"/>
      <c r="K282" s="26"/>
      <c r="L282" s="26"/>
      <c r="M282" s="26"/>
      <c r="N282" s="28"/>
      <c r="O282" s="26"/>
    </row>
    <row r="283" spans="3:15" ht="15">
      <c r="C283" s="25"/>
      <c r="D283" s="26"/>
      <c r="E283" s="26"/>
      <c r="F283" s="26"/>
      <c r="G283" s="27"/>
      <c r="H283" s="27"/>
      <c r="I283" s="245"/>
      <c r="J283" s="26"/>
      <c r="K283" s="26"/>
      <c r="L283" s="26"/>
      <c r="M283" s="26"/>
      <c r="N283" s="28"/>
      <c r="O283" s="26"/>
    </row>
    <row r="284" spans="3:15" ht="15">
      <c r="C284" s="25"/>
      <c r="D284" s="26"/>
      <c r="E284" s="26"/>
      <c r="F284" s="26"/>
      <c r="G284" s="27"/>
      <c r="H284" s="27"/>
      <c r="I284" s="245"/>
      <c r="J284" s="26"/>
      <c r="K284" s="26"/>
      <c r="L284" s="26"/>
      <c r="M284" s="26"/>
      <c r="N284" s="28"/>
      <c r="O284" s="26"/>
    </row>
    <row r="285" spans="3:15" ht="15">
      <c r="C285" s="25"/>
      <c r="D285" s="26"/>
      <c r="E285" s="26"/>
      <c r="F285" s="26"/>
      <c r="G285" s="27"/>
      <c r="H285" s="27"/>
      <c r="I285" s="245"/>
      <c r="J285" s="26"/>
      <c r="K285" s="26"/>
      <c r="L285" s="26"/>
      <c r="M285" s="26"/>
      <c r="N285" s="28"/>
      <c r="O285" s="26"/>
    </row>
    <row r="286" spans="3:15" ht="15">
      <c r="C286" s="25"/>
      <c r="D286" s="26"/>
      <c r="E286" s="26"/>
      <c r="F286" s="26"/>
      <c r="G286" s="27"/>
      <c r="H286" s="27"/>
      <c r="I286" s="245"/>
      <c r="J286" s="26"/>
      <c r="K286" s="26"/>
      <c r="L286" s="26"/>
      <c r="M286" s="26"/>
      <c r="N286" s="28"/>
      <c r="O286" s="26"/>
    </row>
    <row r="287" spans="3:15" ht="15">
      <c r="C287" s="25"/>
      <c r="D287" s="26"/>
      <c r="E287" s="26"/>
      <c r="F287" s="26"/>
      <c r="G287" s="27"/>
      <c r="H287" s="27"/>
      <c r="I287" s="245"/>
      <c r="J287" s="26"/>
      <c r="K287" s="26"/>
      <c r="L287" s="26"/>
      <c r="M287" s="26"/>
      <c r="N287" s="28"/>
      <c r="O287" s="26"/>
    </row>
    <row r="288" spans="3:15" ht="15">
      <c r="C288" s="25"/>
      <c r="D288" s="26"/>
      <c r="E288" s="26"/>
      <c r="F288" s="26"/>
      <c r="G288" s="27"/>
      <c r="H288" s="27"/>
      <c r="I288" s="245"/>
      <c r="J288" s="26"/>
      <c r="K288" s="26"/>
      <c r="L288" s="26"/>
      <c r="M288" s="26"/>
      <c r="N288" s="28"/>
      <c r="O288" s="26"/>
    </row>
    <row r="289" spans="3:15" ht="15">
      <c r="C289" s="25"/>
      <c r="D289" s="26"/>
      <c r="E289" s="26"/>
      <c r="F289" s="26"/>
      <c r="G289" s="27"/>
      <c r="H289" s="27"/>
      <c r="I289" s="245"/>
      <c r="J289" s="26"/>
      <c r="K289" s="26"/>
      <c r="L289" s="26"/>
      <c r="M289" s="26"/>
      <c r="N289" s="28"/>
      <c r="O289" s="26"/>
    </row>
    <row r="290" spans="3:15" ht="15">
      <c r="C290" s="25"/>
      <c r="D290" s="26"/>
      <c r="E290" s="26"/>
      <c r="F290" s="26"/>
      <c r="G290" s="27"/>
      <c r="H290" s="27"/>
      <c r="I290" s="245"/>
      <c r="J290" s="26"/>
      <c r="K290" s="26"/>
      <c r="L290" s="26"/>
      <c r="M290" s="26"/>
      <c r="N290" s="28"/>
      <c r="O290" s="26"/>
    </row>
    <row r="291" spans="3:15" ht="15">
      <c r="C291" s="25"/>
      <c r="D291" s="26"/>
      <c r="E291" s="26"/>
      <c r="F291" s="26"/>
      <c r="G291" s="27"/>
      <c r="H291" s="27"/>
      <c r="I291" s="245"/>
      <c r="J291" s="26"/>
      <c r="K291" s="26"/>
      <c r="L291" s="26"/>
      <c r="M291" s="26"/>
      <c r="N291" s="28"/>
      <c r="O291" s="26"/>
    </row>
    <row r="292" spans="3:15" ht="15">
      <c r="C292" s="25"/>
      <c r="D292" s="26"/>
      <c r="E292" s="26"/>
      <c r="F292" s="26"/>
      <c r="G292" s="27"/>
      <c r="H292" s="27"/>
      <c r="I292" s="245"/>
      <c r="J292" s="26"/>
      <c r="K292" s="26"/>
      <c r="L292" s="26"/>
      <c r="M292" s="26"/>
      <c r="N292" s="28"/>
      <c r="O292" s="26"/>
    </row>
    <row r="293" spans="3:15" ht="15">
      <c r="C293" s="25"/>
      <c r="D293" s="26"/>
      <c r="E293" s="26"/>
      <c r="F293" s="26"/>
      <c r="G293" s="27"/>
      <c r="H293" s="27"/>
      <c r="I293" s="245"/>
      <c r="J293" s="26"/>
      <c r="K293" s="26"/>
      <c r="L293" s="26"/>
      <c r="M293" s="26"/>
      <c r="N293" s="28"/>
      <c r="O293" s="26"/>
    </row>
    <row r="294" spans="3:15" ht="15">
      <c r="C294" s="25"/>
      <c r="D294" s="26"/>
      <c r="E294" s="26"/>
      <c r="F294" s="26"/>
      <c r="G294" s="27"/>
      <c r="H294" s="27"/>
      <c r="I294" s="245"/>
      <c r="J294" s="26"/>
      <c r="K294" s="26"/>
      <c r="L294" s="26"/>
      <c r="M294" s="26"/>
      <c r="N294" s="28"/>
      <c r="O294" s="26"/>
    </row>
    <row r="295" spans="3:15" ht="15">
      <c r="C295" s="25"/>
      <c r="D295" s="26"/>
      <c r="E295" s="26"/>
      <c r="F295" s="26"/>
      <c r="G295" s="27"/>
      <c r="H295" s="27"/>
      <c r="I295" s="245"/>
      <c r="J295" s="26"/>
      <c r="K295" s="26"/>
      <c r="L295" s="26"/>
      <c r="M295" s="26"/>
      <c r="N295" s="28"/>
      <c r="O295" s="26"/>
    </row>
    <row r="296" spans="3:15" ht="15">
      <c r="C296" s="25"/>
      <c r="D296" s="26"/>
      <c r="E296" s="26"/>
      <c r="F296" s="26"/>
      <c r="G296" s="27"/>
      <c r="H296" s="27"/>
      <c r="I296" s="245"/>
      <c r="J296" s="26"/>
      <c r="K296" s="26"/>
      <c r="L296" s="26"/>
      <c r="M296" s="26"/>
      <c r="N296" s="28"/>
      <c r="O296" s="26"/>
    </row>
    <row r="297" spans="3:15" ht="15">
      <c r="C297" s="25"/>
      <c r="D297" s="26"/>
      <c r="E297" s="26"/>
      <c r="F297" s="26"/>
      <c r="G297" s="27"/>
      <c r="H297" s="27"/>
      <c r="I297" s="245"/>
      <c r="J297" s="26"/>
      <c r="K297" s="26"/>
      <c r="L297" s="26"/>
      <c r="M297" s="26"/>
      <c r="N297" s="28"/>
      <c r="O297" s="26"/>
    </row>
    <row r="298" spans="3:15" ht="15">
      <c r="C298" s="25"/>
      <c r="D298" s="26"/>
      <c r="E298" s="26"/>
      <c r="F298" s="26"/>
      <c r="G298" s="27"/>
      <c r="H298" s="27"/>
      <c r="I298" s="245"/>
      <c r="J298" s="26"/>
      <c r="K298" s="26"/>
      <c r="L298" s="26"/>
      <c r="M298" s="26"/>
      <c r="N298" s="28"/>
      <c r="O298" s="26"/>
    </row>
    <row r="299" spans="3:15" ht="15">
      <c r="C299" s="25"/>
      <c r="D299" s="26"/>
      <c r="E299" s="26"/>
      <c r="F299" s="26"/>
      <c r="G299" s="27"/>
      <c r="H299" s="27"/>
      <c r="I299" s="245"/>
      <c r="J299" s="26"/>
      <c r="K299" s="26"/>
      <c r="L299" s="26"/>
      <c r="M299" s="26"/>
      <c r="N299" s="28"/>
      <c r="O299" s="26"/>
    </row>
    <row r="300" spans="3:15" ht="15">
      <c r="C300" s="25"/>
      <c r="D300" s="26"/>
      <c r="E300" s="26"/>
      <c r="F300" s="26"/>
      <c r="G300" s="27"/>
      <c r="H300" s="27"/>
      <c r="I300" s="245"/>
      <c r="J300" s="26"/>
      <c r="K300" s="26"/>
      <c r="L300" s="26"/>
      <c r="M300" s="26"/>
      <c r="N300" s="28"/>
      <c r="O300" s="26"/>
    </row>
    <row r="301" spans="3:15" ht="15">
      <c r="C301" s="25"/>
      <c r="D301" s="26"/>
      <c r="E301" s="26"/>
      <c r="F301" s="26"/>
      <c r="G301" s="27"/>
      <c r="H301" s="27"/>
      <c r="I301" s="245"/>
      <c r="J301" s="26"/>
      <c r="K301" s="26"/>
      <c r="L301" s="26"/>
      <c r="M301" s="26"/>
      <c r="N301" s="28"/>
      <c r="O301" s="26"/>
    </row>
    <row r="302" spans="3:15" ht="15">
      <c r="C302" s="25"/>
      <c r="D302" s="26"/>
      <c r="E302" s="26"/>
      <c r="F302" s="26"/>
      <c r="G302" s="27"/>
      <c r="H302" s="27"/>
      <c r="I302" s="245"/>
      <c r="J302" s="26"/>
      <c r="K302" s="26"/>
      <c r="L302" s="26"/>
      <c r="M302" s="26"/>
      <c r="N302" s="28"/>
      <c r="O302" s="26"/>
    </row>
    <row r="303" spans="3:15" ht="15">
      <c r="C303" s="25"/>
      <c r="D303" s="26"/>
      <c r="E303" s="26"/>
      <c r="F303" s="26"/>
      <c r="G303" s="27"/>
      <c r="H303" s="27"/>
      <c r="I303" s="245"/>
      <c r="J303" s="26"/>
      <c r="K303" s="26"/>
      <c r="L303" s="26"/>
      <c r="M303" s="26"/>
      <c r="N303" s="28"/>
      <c r="O303" s="26"/>
    </row>
    <row r="304" spans="3:15" ht="15">
      <c r="C304" s="25"/>
      <c r="D304" s="26"/>
      <c r="E304" s="26"/>
      <c r="F304" s="26"/>
      <c r="G304" s="27"/>
      <c r="H304" s="27"/>
      <c r="I304" s="245"/>
      <c r="J304" s="26"/>
      <c r="K304" s="26"/>
      <c r="L304" s="26"/>
      <c r="M304" s="26"/>
      <c r="N304" s="28"/>
      <c r="O304" s="26"/>
    </row>
    <row r="305" spans="3:15" ht="15">
      <c r="C305" s="25"/>
      <c r="D305" s="26"/>
      <c r="E305" s="26"/>
      <c r="F305" s="26"/>
      <c r="G305" s="27"/>
      <c r="H305" s="27"/>
      <c r="I305" s="245"/>
      <c r="J305" s="26"/>
      <c r="K305" s="26"/>
      <c r="L305" s="26"/>
      <c r="M305" s="26"/>
      <c r="N305" s="28"/>
      <c r="O305" s="26"/>
    </row>
    <row r="306" spans="3:15" ht="15">
      <c r="C306" s="25"/>
      <c r="D306" s="26"/>
      <c r="E306" s="26"/>
      <c r="F306" s="26"/>
      <c r="G306" s="27"/>
      <c r="H306" s="27"/>
      <c r="I306" s="245"/>
      <c r="J306" s="26"/>
      <c r="K306" s="26"/>
      <c r="L306" s="26"/>
      <c r="M306" s="26"/>
      <c r="N306" s="28"/>
      <c r="O306" s="26"/>
    </row>
    <row r="307" spans="3:15" ht="15">
      <c r="C307" s="25"/>
      <c r="D307" s="26"/>
      <c r="E307" s="26"/>
      <c r="F307" s="26"/>
      <c r="G307" s="27"/>
      <c r="H307" s="27"/>
      <c r="I307" s="245"/>
      <c r="J307" s="26"/>
      <c r="K307" s="26"/>
      <c r="L307" s="26"/>
      <c r="M307" s="26"/>
      <c r="N307" s="28"/>
      <c r="O307" s="26"/>
    </row>
    <row r="308" spans="3:15" ht="15">
      <c r="C308" s="25"/>
      <c r="D308" s="26"/>
      <c r="E308" s="26"/>
      <c r="F308" s="26"/>
      <c r="G308" s="27"/>
      <c r="H308" s="27"/>
      <c r="I308" s="245"/>
      <c r="J308" s="26"/>
      <c r="K308" s="26"/>
      <c r="L308" s="26"/>
      <c r="M308" s="26"/>
      <c r="N308" s="28"/>
      <c r="O308" s="26"/>
    </row>
    <row r="309" spans="3:15" ht="15">
      <c r="C309" s="25"/>
      <c r="D309" s="26"/>
      <c r="E309" s="26"/>
      <c r="F309" s="26"/>
      <c r="G309" s="27"/>
      <c r="H309" s="27"/>
      <c r="I309" s="245"/>
      <c r="J309" s="26"/>
      <c r="K309" s="26"/>
      <c r="L309" s="26"/>
      <c r="M309" s="26"/>
      <c r="N309" s="28"/>
      <c r="O309" s="26"/>
    </row>
    <row r="310" spans="3:15" ht="15">
      <c r="C310" s="25"/>
      <c r="D310" s="26"/>
      <c r="E310" s="26"/>
      <c r="F310" s="26"/>
      <c r="G310" s="27"/>
      <c r="H310" s="27"/>
      <c r="I310" s="245"/>
      <c r="J310" s="26"/>
      <c r="K310" s="26"/>
      <c r="L310" s="26"/>
      <c r="M310" s="26"/>
      <c r="N310" s="28"/>
      <c r="O310" s="26"/>
    </row>
    <row r="311" spans="3:15" ht="15">
      <c r="C311" s="25"/>
      <c r="D311" s="26"/>
      <c r="E311" s="26"/>
      <c r="F311" s="26"/>
      <c r="G311" s="27"/>
      <c r="H311" s="27"/>
      <c r="I311" s="245"/>
      <c r="J311" s="26"/>
      <c r="K311" s="26"/>
      <c r="L311" s="26"/>
      <c r="M311" s="26"/>
      <c r="N311" s="28"/>
      <c r="O311" s="26"/>
    </row>
    <row r="312" spans="3:15" ht="15">
      <c r="C312" s="25"/>
      <c r="D312" s="26"/>
      <c r="E312" s="26"/>
      <c r="F312" s="26"/>
      <c r="G312" s="27"/>
      <c r="H312" s="27"/>
      <c r="I312" s="245"/>
      <c r="J312" s="26"/>
      <c r="K312" s="26"/>
      <c r="L312" s="26"/>
      <c r="M312" s="26"/>
      <c r="N312" s="28"/>
      <c r="O312" s="26"/>
    </row>
    <row r="313" spans="3:15" ht="15">
      <c r="C313" s="25"/>
      <c r="D313" s="26"/>
      <c r="E313" s="26"/>
      <c r="F313" s="26"/>
      <c r="G313" s="27"/>
      <c r="H313" s="27"/>
      <c r="I313" s="245"/>
      <c r="J313" s="26"/>
      <c r="K313" s="26"/>
      <c r="L313" s="26"/>
      <c r="M313" s="26"/>
      <c r="N313" s="28"/>
      <c r="O313" s="26"/>
    </row>
    <row r="314" spans="3:15" ht="15">
      <c r="C314" s="25"/>
      <c r="D314" s="26"/>
      <c r="E314" s="26"/>
      <c r="F314" s="26"/>
      <c r="G314" s="27"/>
      <c r="H314" s="27"/>
      <c r="I314" s="245"/>
      <c r="J314" s="26"/>
      <c r="K314" s="26"/>
      <c r="L314" s="26"/>
      <c r="M314" s="26"/>
      <c r="N314" s="28"/>
      <c r="O314" s="26"/>
    </row>
    <row r="315" spans="3:15" ht="15">
      <c r="C315" s="25"/>
      <c r="D315" s="26"/>
      <c r="E315" s="26"/>
      <c r="F315" s="26"/>
      <c r="G315" s="27"/>
      <c r="H315" s="27"/>
      <c r="I315" s="245"/>
      <c r="J315" s="26"/>
      <c r="K315" s="26"/>
      <c r="L315" s="26"/>
      <c r="M315" s="26"/>
      <c r="N315" s="28"/>
      <c r="O315" s="26"/>
    </row>
    <row r="316" spans="3:15" ht="15">
      <c r="C316" s="25"/>
      <c r="D316" s="26"/>
      <c r="E316" s="26"/>
      <c r="F316" s="26"/>
      <c r="G316" s="27"/>
      <c r="H316" s="27"/>
      <c r="I316" s="245"/>
      <c r="J316" s="26"/>
      <c r="K316" s="26"/>
      <c r="L316" s="26"/>
      <c r="M316" s="26"/>
      <c r="N316" s="28"/>
      <c r="O316" s="26"/>
    </row>
    <row r="317" spans="3:15" ht="15">
      <c r="C317" s="25"/>
      <c r="D317" s="26"/>
      <c r="E317" s="26"/>
      <c r="F317" s="26"/>
      <c r="G317" s="27"/>
      <c r="H317" s="27"/>
      <c r="I317" s="245"/>
      <c r="J317" s="26"/>
      <c r="K317" s="26"/>
      <c r="L317" s="26"/>
      <c r="M317" s="26"/>
      <c r="N317" s="28"/>
      <c r="O317" s="26"/>
    </row>
    <row r="318" spans="3:15" ht="15">
      <c r="C318" s="25"/>
      <c r="D318" s="26"/>
      <c r="E318" s="26"/>
      <c r="F318" s="26"/>
      <c r="G318" s="27"/>
      <c r="H318" s="27"/>
      <c r="I318" s="245"/>
      <c r="J318" s="26"/>
      <c r="K318" s="26"/>
      <c r="L318" s="26"/>
      <c r="M318" s="26"/>
      <c r="N318" s="28"/>
      <c r="O318" s="26"/>
    </row>
    <row r="319" spans="3:15" ht="15">
      <c r="C319" s="25"/>
      <c r="D319" s="26"/>
      <c r="E319" s="26"/>
      <c r="F319" s="26"/>
      <c r="G319" s="27"/>
      <c r="H319" s="27"/>
      <c r="I319" s="245"/>
      <c r="J319" s="26"/>
      <c r="K319" s="26"/>
      <c r="L319" s="26"/>
      <c r="M319" s="26"/>
      <c r="N319" s="28"/>
      <c r="O319" s="26"/>
    </row>
    <row r="320" spans="3:15" ht="15">
      <c r="C320" s="25"/>
      <c r="D320" s="26"/>
      <c r="E320" s="26"/>
      <c r="F320" s="26"/>
      <c r="G320" s="27"/>
      <c r="H320" s="27"/>
      <c r="I320" s="245"/>
      <c r="J320" s="26"/>
      <c r="K320" s="26"/>
      <c r="L320" s="26"/>
      <c r="M320" s="26"/>
      <c r="N320" s="28"/>
      <c r="O320" s="26"/>
    </row>
    <row r="321" spans="3:15" ht="15">
      <c r="C321" s="25"/>
      <c r="D321" s="26"/>
      <c r="E321" s="26"/>
      <c r="F321" s="26"/>
      <c r="G321" s="27"/>
      <c r="H321" s="27"/>
      <c r="I321" s="245"/>
      <c r="J321" s="26"/>
      <c r="K321" s="26"/>
      <c r="L321" s="26"/>
      <c r="M321" s="26"/>
      <c r="N321" s="28"/>
      <c r="O321" s="26"/>
    </row>
    <row r="322" spans="3:15" ht="15">
      <c r="C322" s="25"/>
      <c r="D322" s="26"/>
      <c r="E322" s="26"/>
      <c r="F322" s="26"/>
      <c r="G322" s="27"/>
      <c r="H322" s="27"/>
      <c r="I322" s="245"/>
      <c r="J322" s="26"/>
      <c r="K322" s="26"/>
      <c r="L322" s="26"/>
      <c r="M322" s="26"/>
      <c r="N322" s="28"/>
      <c r="O322" s="26"/>
    </row>
    <row r="323" spans="3:15" ht="15">
      <c r="C323" s="25"/>
      <c r="D323" s="26"/>
      <c r="E323" s="26"/>
      <c r="F323" s="26"/>
      <c r="G323" s="27"/>
      <c r="H323" s="27"/>
      <c r="I323" s="245"/>
      <c r="J323" s="26"/>
      <c r="K323" s="26"/>
      <c r="L323" s="26"/>
      <c r="M323" s="26"/>
      <c r="N323" s="28"/>
      <c r="O323" s="26"/>
    </row>
    <row r="324" spans="3:15" ht="15">
      <c r="C324" s="25"/>
      <c r="D324" s="26"/>
      <c r="E324" s="26"/>
      <c r="F324" s="26"/>
      <c r="G324" s="27"/>
      <c r="H324" s="27"/>
      <c r="I324" s="245"/>
      <c r="J324" s="26"/>
      <c r="K324" s="26"/>
      <c r="L324" s="26"/>
      <c r="M324" s="26"/>
      <c r="N324" s="28"/>
      <c r="O324" s="26"/>
    </row>
    <row r="325" spans="3:15" ht="15">
      <c r="C325" s="25"/>
      <c r="D325" s="26"/>
      <c r="E325" s="26"/>
      <c r="F325" s="26"/>
      <c r="G325" s="27"/>
      <c r="H325" s="27"/>
      <c r="I325" s="245"/>
      <c r="J325" s="26"/>
      <c r="K325" s="26"/>
      <c r="L325" s="26"/>
      <c r="M325" s="26"/>
      <c r="N325" s="28"/>
      <c r="O325" s="26"/>
    </row>
    <row r="326" spans="3:15" ht="15">
      <c r="C326" s="25"/>
      <c r="D326" s="26"/>
      <c r="E326" s="26"/>
      <c r="F326" s="26"/>
      <c r="G326" s="27"/>
      <c r="H326" s="27"/>
      <c r="I326" s="245"/>
      <c r="J326" s="26"/>
      <c r="K326" s="26"/>
      <c r="L326" s="26"/>
      <c r="M326" s="26"/>
      <c r="N326" s="28"/>
      <c r="O326" s="26"/>
    </row>
    <row r="327" spans="3:15" ht="15">
      <c r="C327" s="25"/>
      <c r="D327" s="26"/>
      <c r="E327" s="26"/>
      <c r="F327" s="26"/>
      <c r="G327" s="27"/>
      <c r="H327" s="27"/>
      <c r="I327" s="245"/>
      <c r="J327" s="26"/>
      <c r="K327" s="26"/>
      <c r="L327" s="26"/>
      <c r="M327" s="26"/>
      <c r="N327" s="28"/>
      <c r="O327" s="26"/>
    </row>
    <row r="328" spans="3:15" ht="15">
      <c r="C328" s="25"/>
      <c r="D328" s="26"/>
      <c r="E328" s="26"/>
      <c r="F328" s="26"/>
      <c r="G328" s="27"/>
      <c r="H328" s="27"/>
      <c r="I328" s="245"/>
      <c r="J328" s="26"/>
      <c r="K328" s="26"/>
      <c r="L328" s="26"/>
      <c r="M328" s="26"/>
      <c r="N328" s="28"/>
      <c r="O328" s="26"/>
    </row>
    <row r="329" spans="3:15" ht="15">
      <c r="C329" s="25"/>
      <c r="D329" s="26"/>
      <c r="E329" s="26"/>
      <c r="F329" s="26"/>
      <c r="G329" s="27"/>
      <c r="H329" s="27"/>
      <c r="I329" s="245"/>
      <c r="J329" s="26"/>
      <c r="K329" s="26"/>
      <c r="L329" s="26"/>
      <c r="M329" s="26"/>
      <c r="N329" s="28"/>
      <c r="O329" s="26"/>
    </row>
    <row r="330" spans="3:15" ht="15">
      <c r="C330" s="25"/>
      <c r="D330" s="26"/>
      <c r="E330" s="26"/>
      <c r="F330" s="26"/>
      <c r="G330" s="27"/>
      <c r="H330" s="27"/>
      <c r="I330" s="245"/>
      <c r="J330" s="26"/>
      <c r="K330" s="26"/>
      <c r="L330" s="26"/>
      <c r="M330" s="26"/>
      <c r="N330" s="28"/>
      <c r="O330" s="26"/>
    </row>
    <row r="331" spans="3:15" ht="15">
      <c r="C331" s="25"/>
      <c r="D331" s="26"/>
      <c r="E331" s="26"/>
      <c r="F331" s="26"/>
      <c r="G331" s="27"/>
      <c r="H331" s="27"/>
      <c r="I331" s="245"/>
      <c r="J331" s="26"/>
      <c r="K331" s="26"/>
      <c r="L331" s="26"/>
      <c r="M331" s="26"/>
      <c r="N331" s="28"/>
      <c r="O331" s="26"/>
    </row>
    <row r="332" spans="3:15" ht="15">
      <c r="C332" s="25"/>
      <c r="D332" s="26"/>
      <c r="E332" s="26"/>
      <c r="F332" s="26"/>
      <c r="G332" s="27"/>
      <c r="H332" s="27"/>
      <c r="I332" s="245"/>
      <c r="J332" s="26"/>
      <c r="K332" s="26"/>
      <c r="L332" s="26"/>
      <c r="M332" s="26"/>
      <c r="N332" s="28"/>
      <c r="O332" s="26"/>
    </row>
    <row r="333" spans="3:15" ht="15">
      <c r="C333" s="25"/>
      <c r="D333" s="26"/>
      <c r="E333" s="26"/>
      <c r="F333" s="26"/>
      <c r="G333" s="27"/>
      <c r="H333" s="27"/>
      <c r="I333" s="245"/>
      <c r="J333" s="26"/>
      <c r="K333" s="26"/>
      <c r="L333" s="26"/>
      <c r="M333" s="26"/>
      <c r="N333" s="28"/>
      <c r="O333" s="26"/>
    </row>
    <row r="334" spans="3:15" ht="15">
      <c r="C334" s="25"/>
      <c r="D334" s="26"/>
      <c r="E334" s="26"/>
      <c r="F334" s="26"/>
      <c r="G334" s="27"/>
      <c r="H334" s="27"/>
      <c r="I334" s="245"/>
      <c r="J334" s="26"/>
      <c r="K334" s="26"/>
      <c r="L334" s="26"/>
      <c r="M334" s="26"/>
      <c r="N334" s="28"/>
      <c r="O334" s="26"/>
    </row>
    <row r="335" spans="3:15" ht="15">
      <c r="C335" s="25"/>
      <c r="D335" s="26"/>
      <c r="E335" s="26"/>
      <c r="F335" s="26"/>
      <c r="G335" s="27"/>
      <c r="H335" s="27"/>
      <c r="I335" s="245"/>
      <c r="J335" s="26"/>
      <c r="K335" s="26"/>
      <c r="L335" s="26"/>
      <c r="M335" s="26"/>
      <c r="N335" s="28"/>
      <c r="O335" s="26"/>
    </row>
    <row r="336" spans="3:15" ht="15">
      <c r="C336" s="25"/>
      <c r="D336" s="26"/>
      <c r="E336" s="26"/>
      <c r="F336" s="26"/>
      <c r="G336" s="27"/>
      <c r="H336" s="27"/>
      <c r="I336" s="245"/>
      <c r="J336" s="26"/>
      <c r="K336" s="26"/>
      <c r="L336" s="26"/>
      <c r="M336" s="26"/>
      <c r="N336" s="28"/>
      <c r="O336" s="26"/>
    </row>
    <row r="337" spans="3:15" ht="15">
      <c r="C337" s="25"/>
      <c r="D337" s="26"/>
      <c r="E337" s="26"/>
      <c r="F337" s="26"/>
      <c r="G337" s="27"/>
      <c r="H337" s="27"/>
      <c r="I337" s="245"/>
      <c r="J337" s="26"/>
      <c r="K337" s="26"/>
      <c r="L337" s="26"/>
      <c r="M337" s="26"/>
      <c r="N337" s="28"/>
      <c r="O337" s="26"/>
    </row>
    <row r="338" spans="3:15" ht="15">
      <c r="C338" s="25"/>
      <c r="D338" s="26"/>
      <c r="E338" s="26"/>
      <c r="F338" s="26"/>
      <c r="G338" s="27"/>
      <c r="H338" s="27"/>
      <c r="I338" s="245"/>
      <c r="J338" s="26"/>
      <c r="K338" s="26"/>
      <c r="L338" s="26"/>
      <c r="M338" s="26"/>
      <c r="N338" s="28"/>
      <c r="O338" s="26"/>
    </row>
    <row r="339" spans="3:15" ht="15">
      <c r="C339" s="25"/>
      <c r="D339" s="26"/>
      <c r="E339" s="26"/>
      <c r="F339" s="26"/>
      <c r="G339" s="27"/>
      <c r="H339" s="27"/>
      <c r="I339" s="245"/>
      <c r="J339" s="26"/>
      <c r="K339" s="26"/>
      <c r="L339" s="26"/>
      <c r="M339" s="26"/>
      <c r="N339" s="28"/>
      <c r="O339" s="26"/>
    </row>
    <row r="340" spans="3:15" ht="15">
      <c r="C340" s="25"/>
      <c r="D340" s="26"/>
      <c r="E340" s="26"/>
      <c r="F340" s="26"/>
      <c r="G340" s="27"/>
      <c r="H340" s="27"/>
      <c r="I340" s="245"/>
      <c r="J340" s="26"/>
      <c r="K340" s="26"/>
      <c r="L340" s="26"/>
      <c r="M340" s="26"/>
      <c r="N340" s="28"/>
      <c r="O340" s="26"/>
    </row>
    <row r="341" spans="3:15" ht="15">
      <c r="C341" s="25"/>
      <c r="D341" s="26"/>
      <c r="E341" s="26"/>
      <c r="F341" s="26"/>
      <c r="G341" s="27"/>
      <c r="H341" s="27"/>
      <c r="I341" s="245"/>
      <c r="J341" s="26"/>
      <c r="K341" s="26"/>
      <c r="L341" s="26"/>
      <c r="M341" s="26"/>
      <c r="N341" s="28"/>
      <c r="O341" s="26"/>
    </row>
    <row r="342" spans="3:15" ht="15">
      <c r="C342" s="25"/>
      <c r="D342" s="26"/>
      <c r="E342" s="26"/>
      <c r="F342" s="26"/>
      <c r="G342" s="27"/>
      <c r="H342" s="27"/>
      <c r="I342" s="245"/>
      <c r="J342" s="26"/>
      <c r="K342" s="26"/>
      <c r="L342" s="26"/>
      <c r="M342" s="26"/>
      <c r="N342" s="28"/>
      <c r="O342" s="26"/>
    </row>
    <row r="343" spans="3:15" ht="15">
      <c r="C343" s="25"/>
      <c r="D343" s="26"/>
      <c r="E343" s="26"/>
      <c r="F343" s="26"/>
      <c r="G343" s="27"/>
      <c r="H343" s="27"/>
      <c r="I343" s="245"/>
      <c r="J343" s="26"/>
      <c r="K343" s="26"/>
      <c r="L343" s="26"/>
      <c r="M343" s="26"/>
      <c r="N343" s="28"/>
      <c r="O343" s="26"/>
    </row>
    <row r="344" spans="3:15" ht="15">
      <c r="C344" s="25"/>
      <c r="D344" s="26"/>
      <c r="E344" s="26"/>
      <c r="F344" s="26"/>
      <c r="G344" s="27"/>
      <c r="H344" s="27"/>
      <c r="I344" s="245"/>
      <c r="J344" s="26"/>
      <c r="K344" s="26"/>
      <c r="L344" s="26"/>
      <c r="M344" s="26"/>
      <c r="N344" s="28"/>
      <c r="O344" s="26"/>
    </row>
    <row r="345" spans="3:15" ht="15">
      <c r="C345" s="25"/>
      <c r="D345" s="26"/>
      <c r="E345" s="26"/>
      <c r="F345" s="26"/>
      <c r="G345" s="27"/>
      <c r="H345" s="27"/>
      <c r="I345" s="245"/>
      <c r="J345" s="26"/>
      <c r="K345" s="26"/>
      <c r="L345" s="26"/>
      <c r="M345" s="26"/>
      <c r="N345" s="28"/>
      <c r="O345" s="26"/>
    </row>
    <row r="346" spans="3:15" ht="15">
      <c r="C346" s="25"/>
      <c r="D346" s="26"/>
      <c r="E346" s="26"/>
      <c r="F346" s="26"/>
      <c r="G346" s="27"/>
      <c r="H346" s="27"/>
      <c r="I346" s="245"/>
      <c r="J346" s="26"/>
      <c r="K346" s="26"/>
      <c r="L346" s="26"/>
      <c r="M346" s="26"/>
      <c r="N346" s="28"/>
      <c r="O346" s="26"/>
    </row>
    <row r="347" spans="3:15" ht="15">
      <c r="C347" s="25"/>
      <c r="D347" s="26"/>
      <c r="E347" s="26"/>
      <c r="F347" s="26"/>
      <c r="G347" s="27"/>
      <c r="H347" s="27"/>
      <c r="I347" s="245"/>
      <c r="J347" s="26"/>
      <c r="K347" s="26"/>
      <c r="L347" s="26"/>
      <c r="M347" s="26"/>
      <c r="N347" s="28"/>
      <c r="O347" s="26"/>
    </row>
    <row r="348" spans="3:15" ht="15">
      <c r="C348" s="25"/>
      <c r="D348" s="26"/>
      <c r="E348" s="26"/>
      <c r="F348" s="26"/>
      <c r="G348" s="27"/>
      <c r="H348" s="27"/>
      <c r="I348" s="245"/>
      <c r="J348" s="26"/>
      <c r="K348" s="26"/>
      <c r="L348" s="26"/>
      <c r="M348" s="26"/>
      <c r="N348" s="28"/>
      <c r="O348" s="26"/>
    </row>
    <row r="349" spans="3:15" ht="15">
      <c r="C349" s="25"/>
      <c r="D349" s="26"/>
      <c r="E349" s="26"/>
      <c r="F349" s="26"/>
      <c r="G349" s="27"/>
      <c r="H349" s="27"/>
      <c r="I349" s="245"/>
      <c r="J349" s="26"/>
      <c r="K349" s="26"/>
      <c r="L349" s="26"/>
      <c r="M349" s="26"/>
      <c r="N349" s="28"/>
      <c r="O349" s="26"/>
    </row>
    <row r="350" spans="3:15" ht="15">
      <c r="C350" s="25"/>
      <c r="D350" s="26"/>
      <c r="E350" s="26"/>
      <c r="F350" s="26"/>
      <c r="G350" s="27"/>
      <c r="H350" s="27"/>
      <c r="I350" s="245"/>
      <c r="J350" s="26"/>
      <c r="K350" s="26"/>
      <c r="L350" s="26"/>
      <c r="M350" s="26"/>
      <c r="N350" s="28"/>
      <c r="O350" s="26"/>
    </row>
    <row r="351" spans="3:15" ht="15">
      <c r="C351" s="25"/>
      <c r="D351" s="26"/>
      <c r="E351" s="26"/>
      <c r="F351" s="26"/>
      <c r="G351" s="27"/>
      <c r="H351" s="27"/>
      <c r="I351" s="245"/>
      <c r="J351" s="26"/>
      <c r="K351" s="26"/>
      <c r="L351" s="26"/>
      <c r="M351" s="26"/>
      <c r="N351" s="28"/>
      <c r="O351" s="26"/>
    </row>
    <row r="352" spans="3:15" ht="15">
      <c r="C352" s="25"/>
      <c r="D352" s="26"/>
      <c r="E352" s="26"/>
      <c r="F352" s="26"/>
      <c r="G352" s="27"/>
      <c r="H352" s="27"/>
      <c r="I352" s="245"/>
      <c r="J352" s="26"/>
      <c r="K352" s="26"/>
      <c r="L352" s="26"/>
      <c r="M352" s="26"/>
      <c r="N352" s="28"/>
      <c r="O352" s="26"/>
    </row>
    <row r="353" spans="3:15" ht="15">
      <c r="C353" s="25"/>
      <c r="D353" s="26"/>
      <c r="E353" s="26"/>
      <c r="F353" s="26"/>
      <c r="G353" s="27"/>
      <c r="H353" s="27"/>
      <c r="I353" s="245"/>
      <c r="J353" s="26"/>
      <c r="K353" s="26"/>
      <c r="L353" s="26"/>
      <c r="M353" s="26"/>
      <c r="N353" s="28"/>
      <c r="O353" s="26"/>
    </row>
    <row r="354" spans="3:15" ht="15">
      <c r="C354" s="25"/>
      <c r="D354" s="26"/>
      <c r="E354" s="26"/>
      <c r="F354" s="26"/>
      <c r="G354" s="27"/>
      <c r="H354" s="27"/>
      <c r="I354" s="245"/>
      <c r="J354" s="26"/>
      <c r="K354" s="26"/>
      <c r="L354" s="26"/>
      <c r="M354" s="26"/>
      <c r="N354" s="28"/>
      <c r="O354" s="26"/>
    </row>
    <row r="355" spans="3:15" ht="15">
      <c r="C355" s="25"/>
      <c r="D355" s="26"/>
      <c r="E355" s="26"/>
      <c r="F355" s="26"/>
      <c r="G355" s="27"/>
      <c r="H355" s="27"/>
      <c r="I355" s="245"/>
      <c r="J355" s="26"/>
      <c r="K355" s="26"/>
      <c r="L355" s="26"/>
      <c r="M355" s="26"/>
      <c r="N355" s="28"/>
      <c r="O355" s="26"/>
    </row>
    <row r="356" spans="3:15" ht="15">
      <c r="C356" s="25"/>
      <c r="D356" s="26"/>
      <c r="E356" s="26"/>
      <c r="F356" s="26"/>
      <c r="G356" s="27"/>
      <c r="H356" s="27"/>
      <c r="I356" s="245"/>
      <c r="J356" s="26"/>
      <c r="K356" s="26"/>
      <c r="L356" s="26"/>
      <c r="M356" s="26"/>
      <c r="N356" s="28"/>
      <c r="O356" s="26"/>
    </row>
    <row r="357" spans="3:15" ht="15">
      <c r="C357" s="25"/>
      <c r="D357" s="26"/>
      <c r="E357" s="26"/>
      <c r="F357" s="26"/>
      <c r="G357" s="27"/>
      <c r="H357" s="27"/>
      <c r="I357" s="245"/>
      <c r="J357" s="26"/>
      <c r="K357" s="26"/>
      <c r="L357" s="26"/>
      <c r="M357" s="26"/>
      <c r="N357" s="28"/>
      <c r="O357" s="26"/>
    </row>
    <row r="358" spans="3:15" ht="15">
      <c r="C358" s="25"/>
      <c r="D358" s="26"/>
      <c r="E358" s="26"/>
      <c r="F358" s="26"/>
      <c r="G358" s="27"/>
      <c r="H358" s="27"/>
      <c r="I358" s="245"/>
      <c r="J358" s="26"/>
      <c r="K358" s="26"/>
      <c r="L358" s="26"/>
      <c r="M358" s="26"/>
      <c r="N358" s="28"/>
      <c r="O358" s="26"/>
    </row>
    <row r="359" spans="3:15" ht="15">
      <c r="C359" s="25"/>
      <c r="D359" s="26"/>
      <c r="E359" s="26"/>
      <c r="F359" s="26"/>
      <c r="G359" s="27"/>
      <c r="H359" s="27"/>
      <c r="I359" s="245"/>
      <c r="J359" s="26"/>
      <c r="K359" s="26"/>
      <c r="L359" s="26"/>
      <c r="M359" s="26"/>
      <c r="N359" s="28"/>
      <c r="O359" s="26"/>
    </row>
    <row r="360" spans="3:15" ht="15">
      <c r="C360" s="25"/>
      <c r="D360" s="26"/>
      <c r="E360" s="26"/>
      <c r="F360" s="26"/>
      <c r="G360" s="27"/>
      <c r="H360" s="27"/>
      <c r="I360" s="245"/>
      <c r="J360" s="26"/>
      <c r="K360" s="26"/>
      <c r="L360" s="26"/>
      <c r="M360" s="26"/>
      <c r="N360" s="28"/>
      <c r="O360" s="26"/>
    </row>
    <row r="361" spans="3:15" ht="15">
      <c r="C361" s="25"/>
      <c r="D361" s="26"/>
      <c r="E361" s="26"/>
      <c r="F361" s="26"/>
      <c r="G361" s="27"/>
      <c r="H361" s="27"/>
      <c r="I361" s="245"/>
      <c r="J361" s="26"/>
      <c r="K361" s="26"/>
      <c r="L361" s="26"/>
      <c r="M361" s="26"/>
      <c r="N361" s="28"/>
      <c r="O361" s="26"/>
    </row>
    <row r="362" spans="3:15" ht="15">
      <c r="C362" s="25"/>
      <c r="D362" s="26"/>
      <c r="E362" s="26"/>
      <c r="F362" s="26"/>
      <c r="G362" s="27"/>
      <c r="H362" s="27"/>
      <c r="I362" s="245"/>
      <c r="J362" s="26"/>
      <c r="K362" s="26"/>
      <c r="L362" s="26"/>
      <c r="M362" s="26"/>
      <c r="N362" s="28"/>
      <c r="O362" s="26"/>
    </row>
    <row r="363" spans="3:15" ht="15">
      <c r="C363" s="25"/>
      <c r="D363" s="26"/>
      <c r="E363" s="26"/>
      <c r="F363" s="26"/>
      <c r="G363" s="27"/>
      <c r="H363" s="27"/>
      <c r="I363" s="245"/>
      <c r="J363" s="26"/>
      <c r="K363" s="26"/>
      <c r="L363" s="26"/>
      <c r="M363" s="26"/>
      <c r="N363" s="28"/>
      <c r="O363" s="26"/>
    </row>
    <row r="364" spans="3:15" ht="15">
      <c r="C364" s="25"/>
      <c r="D364" s="26"/>
      <c r="E364" s="26"/>
      <c r="F364" s="26"/>
      <c r="G364" s="27"/>
      <c r="H364" s="27"/>
      <c r="I364" s="245"/>
      <c r="J364" s="26"/>
      <c r="K364" s="26"/>
      <c r="L364" s="26"/>
      <c r="M364" s="26"/>
      <c r="N364" s="28"/>
      <c r="O364" s="26"/>
    </row>
    <row r="365" spans="3:15" ht="15">
      <c r="C365" s="25"/>
      <c r="D365" s="26"/>
      <c r="E365" s="26"/>
      <c r="F365" s="26"/>
      <c r="G365" s="27"/>
      <c r="H365" s="27"/>
      <c r="I365" s="245"/>
      <c r="J365" s="26"/>
      <c r="K365" s="26"/>
      <c r="L365" s="26"/>
      <c r="M365" s="26"/>
      <c r="N365" s="28"/>
      <c r="O365" s="26"/>
    </row>
    <row r="366" spans="3:15" ht="15">
      <c r="C366" s="25"/>
      <c r="D366" s="26"/>
      <c r="E366" s="26"/>
      <c r="F366" s="26"/>
      <c r="G366" s="27"/>
      <c r="H366" s="27"/>
      <c r="I366" s="245"/>
      <c r="J366" s="26"/>
      <c r="K366" s="26"/>
      <c r="L366" s="26"/>
      <c r="M366" s="26"/>
      <c r="N366" s="28"/>
      <c r="O366" s="26"/>
    </row>
    <row r="367" spans="3:15" ht="15">
      <c r="C367" s="25"/>
      <c r="D367" s="26"/>
      <c r="E367" s="26"/>
      <c r="F367" s="26"/>
      <c r="G367" s="27"/>
      <c r="H367" s="27"/>
      <c r="I367" s="245"/>
      <c r="J367" s="26"/>
      <c r="K367" s="26"/>
      <c r="L367" s="26"/>
      <c r="M367" s="26"/>
      <c r="N367" s="28"/>
      <c r="O367" s="26"/>
    </row>
    <row r="368" spans="3:15" ht="15">
      <c r="C368" s="25"/>
      <c r="D368" s="26"/>
      <c r="E368" s="26"/>
      <c r="F368" s="26"/>
      <c r="G368" s="27"/>
      <c r="H368" s="27"/>
      <c r="I368" s="245"/>
      <c r="J368" s="26"/>
      <c r="K368" s="26"/>
      <c r="L368" s="26"/>
      <c r="M368" s="26"/>
      <c r="N368" s="28"/>
      <c r="O368" s="26"/>
    </row>
    <row r="369" spans="3:15" ht="15">
      <c r="C369" s="25"/>
      <c r="D369" s="26"/>
      <c r="E369" s="26"/>
      <c r="F369" s="26"/>
      <c r="G369" s="27"/>
      <c r="H369" s="27"/>
      <c r="I369" s="245"/>
      <c r="J369" s="26"/>
      <c r="K369" s="26"/>
      <c r="L369" s="26"/>
      <c r="M369" s="26"/>
      <c r="N369" s="28"/>
      <c r="O369" s="26"/>
    </row>
    <row r="370" spans="3:15" ht="15">
      <c r="C370" s="25"/>
      <c r="D370" s="26"/>
      <c r="E370" s="26"/>
      <c r="F370" s="26"/>
      <c r="G370" s="27"/>
      <c r="H370" s="27"/>
      <c r="I370" s="245"/>
      <c r="J370" s="26"/>
      <c r="K370" s="26"/>
      <c r="L370" s="26"/>
      <c r="M370" s="26"/>
      <c r="N370" s="28"/>
      <c r="O370" s="26"/>
    </row>
    <row r="371" spans="3:15" ht="15">
      <c r="C371" s="25"/>
      <c r="D371" s="26"/>
      <c r="E371" s="26"/>
      <c r="F371" s="26"/>
      <c r="G371" s="27"/>
      <c r="H371" s="27"/>
      <c r="I371" s="245"/>
      <c r="J371" s="26"/>
      <c r="K371" s="26"/>
      <c r="L371" s="26"/>
      <c r="M371" s="26"/>
      <c r="N371" s="28"/>
      <c r="O371" s="26"/>
    </row>
    <row r="372" spans="3:15" ht="15">
      <c r="C372" s="25"/>
      <c r="D372" s="26"/>
      <c r="E372" s="26"/>
      <c r="F372" s="26"/>
      <c r="G372" s="27"/>
      <c r="H372" s="27"/>
      <c r="I372" s="245"/>
      <c r="J372" s="26"/>
      <c r="K372" s="26"/>
      <c r="L372" s="26"/>
      <c r="M372" s="26"/>
      <c r="N372" s="28"/>
      <c r="O372" s="26"/>
    </row>
    <row r="373" spans="3:15" ht="15">
      <c r="C373" s="25"/>
      <c r="D373" s="26"/>
      <c r="E373" s="26"/>
      <c r="F373" s="26"/>
      <c r="G373" s="27"/>
      <c r="H373" s="27"/>
      <c r="I373" s="245"/>
      <c r="J373" s="26"/>
      <c r="K373" s="26"/>
      <c r="L373" s="26"/>
      <c r="M373" s="26"/>
      <c r="N373" s="28"/>
      <c r="O373" s="26"/>
    </row>
    <row r="374" spans="3:15" ht="15">
      <c r="C374" s="25"/>
      <c r="D374" s="26"/>
      <c r="E374" s="26"/>
      <c r="F374" s="26"/>
      <c r="G374" s="27"/>
      <c r="H374" s="27"/>
      <c r="I374" s="245"/>
      <c r="J374" s="26"/>
      <c r="K374" s="26"/>
      <c r="L374" s="26"/>
      <c r="M374" s="26"/>
      <c r="N374" s="28"/>
      <c r="O374" s="26"/>
    </row>
    <row r="375" spans="3:15" ht="15">
      <c r="C375" s="25"/>
      <c r="D375" s="26"/>
      <c r="E375" s="26"/>
      <c r="F375" s="26"/>
      <c r="G375" s="27"/>
      <c r="H375" s="27"/>
      <c r="I375" s="245"/>
      <c r="J375" s="26"/>
      <c r="K375" s="26"/>
      <c r="L375" s="26"/>
      <c r="M375" s="26"/>
      <c r="N375" s="28"/>
      <c r="O375" s="26"/>
    </row>
    <row r="376" spans="3:15" ht="15">
      <c r="C376" s="25"/>
      <c r="D376" s="26"/>
      <c r="E376" s="26"/>
      <c r="F376" s="26"/>
      <c r="G376" s="27"/>
      <c r="H376" s="27"/>
      <c r="I376" s="245"/>
      <c r="J376" s="26"/>
      <c r="K376" s="26"/>
      <c r="L376" s="26"/>
      <c r="M376" s="26"/>
      <c r="N376" s="28"/>
      <c r="O376" s="26"/>
    </row>
    <row r="377" spans="3:15" ht="15">
      <c r="C377" s="25"/>
      <c r="D377" s="26"/>
      <c r="E377" s="26"/>
      <c r="F377" s="26"/>
      <c r="G377" s="27"/>
      <c r="H377" s="27"/>
      <c r="I377" s="245"/>
      <c r="J377" s="26"/>
      <c r="K377" s="26"/>
      <c r="L377" s="26"/>
      <c r="M377" s="26"/>
      <c r="N377" s="28"/>
      <c r="O377" s="26"/>
    </row>
    <row r="378" spans="3:15" ht="15">
      <c r="C378" s="25"/>
      <c r="D378" s="26"/>
      <c r="E378" s="26"/>
      <c r="F378" s="26"/>
      <c r="G378" s="27"/>
      <c r="H378" s="27"/>
      <c r="I378" s="245"/>
      <c r="J378" s="26"/>
      <c r="K378" s="26"/>
      <c r="L378" s="26"/>
      <c r="M378" s="26"/>
      <c r="N378" s="28"/>
      <c r="O378" s="26"/>
    </row>
    <row r="379" spans="3:15" ht="15">
      <c r="C379" s="25"/>
      <c r="D379" s="26"/>
      <c r="E379" s="26"/>
      <c r="F379" s="26"/>
      <c r="G379" s="27"/>
      <c r="H379" s="27"/>
      <c r="I379" s="245"/>
      <c r="J379" s="26"/>
      <c r="K379" s="26"/>
      <c r="L379" s="26"/>
      <c r="M379" s="26"/>
      <c r="N379" s="28"/>
      <c r="O379" s="26"/>
    </row>
    <row r="380" spans="3:15" ht="15">
      <c r="C380" s="25"/>
      <c r="D380" s="26"/>
      <c r="E380" s="26"/>
      <c r="F380" s="26"/>
      <c r="G380" s="27"/>
      <c r="H380" s="27"/>
      <c r="I380" s="245"/>
      <c r="J380" s="26"/>
      <c r="K380" s="26"/>
      <c r="L380" s="26"/>
      <c r="M380" s="26"/>
      <c r="N380" s="28"/>
      <c r="O380" s="26"/>
    </row>
    <row r="381" spans="3:15" ht="15">
      <c r="C381" s="25"/>
      <c r="D381" s="26"/>
      <c r="E381" s="26"/>
      <c r="F381" s="26"/>
      <c r="G381" s="27"/>
      <c r="H381" s="27"/>
      <c r="I381" s="245"/>
      <c r="J381" s="26"/>
      <c r="K381" s="26"/>
      <c r="L381" s="26"/>
      <c r="M381" s="26"/>
      <c r="N381" s="28"/>
      <c r="O381" s="26"/>
    </row>
    <row r="382" spans="3:15" ht="15">
      <c r="C382" s="25"/>
      <c r="D382" s="26"/>
      <c r="E382" s="26"/>
      <c r="F382" s="26"/>
      <c r="G382" s="27"/>
      <c r="H382" s="27"/>
      <c r="I382" s="245"/>
      <c r="J382" s="26"/>
      <c r="K382" s="26"/>
      <c r="L382" s="26"/>
      <c r="M382" s="26"/>
      <c r="N382" s="28"/>
      <c r="O382" s="26"/>
    </row>
    <row r="383" spans="3:15" ht="15">
      <c r="C383" s="25"/>
      <c r="D383" s="26"/>
      <c r="E383" s="26"/>
      <c r="F383" s="26"/>
      <c r="G383" s="27"/>
      <c r="H383" s="27"/>
      <c r="I383" s="245"/>
      <c r="J383" s="26"/>
      <c r="K383" s="26"/>
      <c r="L383" s="26"/>
      <c r="M383" s="26"/>
      <c r="N383" s="28"/>
      <c r="O383" s="26"/>
    </row>
    <row r="384" spans="3:15" ht="15">
      <c r="C384" s="25"/>
      <c r="D384" s="26"/>
      <c r="E384" s="26"/>
      <c r="F384" s="26"/>
      <c r="G384" s="27"/>
      <c r="H384" s="27"/>
      <c r="I384" s="245"/>
      <c r="J384" s="26"/>
      <c r="K384" s="26"/>
      <c r="L384" s="26"/>
      <c r="M384" s="26"/>
      <c r="N384" s="28"/>
      <c r="O384" s="26"/>
    </row>
    <row r="385" spans="3:15" ht="15">
      <c r="C385" s="25"/>
      <c r="D385" s="26"/>
      <c r="E385" s="26"/>
      <c r="F385" s="26"/>
      <c r="G385" s="27"/>
      <c r="H385" s="27"/>
      <c r="I385" s="245"/>
      <c r="J385" s="26"/>
      <c r="K385" s="26"/>
      <c r="L385" s="26"/>
      <c r="M385" s="26"/>
      <c r="N385" s="28"/>
      <c r="O385" s="26"/>
    </row>
    <row r="386" spans="3:15" ht="15">
      <c r="C386" s="25"/>
      <c r="D386" s="26"/>
      <c r="E386" s="26"/>
      <c r="F386" s="26"/>
      <c r="G386" s="27"/>
      <c r="H386" s="27"/>
      <c r="I386" s="245"/>
      <c r="J386" s="26"/>
      <c r="K386" s="26"/>
      <c r="L386" s="26"/>
      <c r="M386" s="26"/>
      <c r="N386" s="28"/>
      <c r="O386" s="26"/>
    </row>
    <row r="387" spans="3:15" ht="15">
      <c r="C387" s="25"/>
      <c r="D387" s="26"/>
      <c r="E387" s="26"/>
      <c r="F387" s="26"/>
      <c r="G387" s="27"/>
      <c r="H387" s="27"/>
      <c r="I387" s="245"/>
      <c r="J387" s="26"/>
      <c r="K387" s="26"/>
      <c r="L387" s="26"/>
      <c r="M387" s="26"/>
      <c r="N387" s="28"/>
      <c r="O387" s="26"/>
    </row>
    <row r="388" spans="3:15" ht="15">
      <c r="C388" s="25"/>
      <c r="D388" s="26"/>
      <c r="E388" s="26"/>
      <c r="F388" s="26"/>
      <c r="G388" s="27"/>
      <c r="H388" s="27"/>
      <c r="I388" s="245"/>
      <c r="J388" s="26"/>
      <c r="K388" s="26"/>
      <c r="L388" s="26"/>
      <c r="M388" s="26"/>
      <c r="N388" s="28"/>
      <c r="O388" s="26"/>
    </row>
    <row r="389" spans="3:15" ht="15">
      <c r="C389" s="25"/>
      <c r="D389" s="26"/>
      <c r="E389" s="26"/>
      <c r="F389" s="26"/>
      <c r="G389" s="27"/>
      <c r="H389" s="27"/>
      <c r="I389" s="245"/>
      <c r="J389" s="26"/>
      <c r="K389" s="26"/>
      <c r="L389" s="26"/>
      <c r="M389" s="26"/>
      <c r="N389" s="28"/>
      <c r="O389" s="26"/>
    </row>
    <row r="390" spans="3:15" ht="15">
      <c r="C390" s="25"/>
      <c r="D390" s="26"/>
      <c r="E390" s="26"/>
      <c r="F390" s="26"/>
      <c r="G390" s="27"/>
      <c r="H390" s="27"/>
      <c r="I390" s="245"/>
      <c r="J390" s="26"/>
      <c r="K390" s="26"/>
      <c r="L390" s="26"/>
      <c r="M390" s="26"/>
      <c r="N390" s="28"/>
      <c r="O390" s="26"/>
    </row>
    <row r="391" spans="3:15" ht="15">
      <c r="C391" s="25"/>
      <c r="D391" s="26"/>
      <c r="E391" s="26"/>
      <c r="F391" s="26"/>
      <c r="G391" s="27"/>
      <c r="H391" s="27"/>
      <c r="I391" s="245"/>
      <c r="J391" s="26"/>
      <c r="K391" s="26"/>
      <c r="L391" s="26"/>
      <c r="M391" s="26"/>
      <c r="N391" s="28"/>
      <c r="O391" s="26"/>
    </row>
    <row r="392" spans="3:15" ht="15">
      <c r="C392" s="25"/>
      <c r="D392" s="26"/>
      <c r="E392" s="26"/>
      <c r="F392" s="26"/>
      <c r="G392" s="27"/>
      <c r="H392" s="27"/>
      <c r="I392" s="245"/>
      <c r="J392" s="26"/>
      <c r="K392" s="26"/>
      <c r="L392" s="26"/>
      <c r="M392" s="26"/>
      <c r="N392" s="28"/>
      <c r="O392" s="26"/>
    </row>
    <row r="393" spans="3:15" ht="15">
      <c r="C393" s="25"/>
      <c r="D393" s="26"/>
      <c r="E393" s="26"/>
      <c r="F393" s="26"/>
      <c r="G393" s="27"/>
      <c r="H393" s="27"/>
      <c r="I393" s="245"/>
      <c r="J393" s="26"/>
      <c r="K393" s="26"/>
      <c r="L393" s="26"/>
      <c r="M393" s="26"/>
      <c r="N393" s="28"/>
      <c r="O393" s="26"/>
    </row>
    <row r="394" spans="3:15" ht="15">
      <c r="C394" s="25"/>
      <c r="D394" s="26"/>
      <c r="E394" s="26"/>
      <c r="F394" s="26"/>
      <c r="G394" s="27"/>
      <c r="H394" s="27"/>
      <c r="I394" s="245"/>
      <c r="J394" s="26"/>
      <c r="K394" s="26"/>
      <c r="L394" s="26"/>
      <c r="M394" s="26"/>
      <c r="N394" s="28"/>
      <c r="O394" s="26"/>
    </row>
    <row r="395" spans="3:15" ht="15">
      <c r="C395" s="25"/>
      <c r="D395" s="26"/>
      <c r="E395" s="26"/>
      <c r="F395" s="26"/>
      <c r="G395" s="27"/>
      <c r="H395" s="27"/>
      <c r="I395" s="245"/>
      <c r="J395" s="26"/>
      <c r="K395" s="26"/>
      <c r="L395" s="26"/>
      <c r="M395" s="26"/>
      <c r="N395" s="28"/>
      <c r="O395" s="26"/>
    </row>
    <row r="396" spans="3:15" ht="15">
      <c r="C396" s="25"/>
      <c r="D396" s="26"/>
      <c r="E396" s="26"/>
      <c r="F396" s="26"/>
      <c r="G396" s="27"/>
      <c r="H396" s="27"/>
      <c r="I396" s="245"/>
      <c r="J396" s="26"/>
      <c r="K396" s="26"/>
      <c r="L396" s="26"/>
      <c r="M396" s="26"/>
      <c r="N396" s="28"/>
      <c r="O396" s="26"/>
    </row>
    <row r="397" spans="3:15" ht="15">
      <c r="C397" s="25"/>
      <c r="D397" s="26"/>
      <c r="E397" s="26"/>
      <c r="F397" s="26"/>
      <c r="G397" s="27"/>
      <c r="H397" s="27"/>
      <c r="I397" s="245"/>
      <c r="J397" s="26"/>
      <c r="K397" s="26"/>
      <c r="L397" s="26"/>
      <c r="M397" s="26"/>
      <c r="N397" s="28"/>
      <c r="O397" s="26"/>
    </row>
    <row r="398" spans="3:15" ht="15">
      <c r="C398" s="25"/>
      <c r="D398" s="26"/>
      <c r="E398" s="26"/>
      <c r="F398" s="26"/>
      <c r="G398" s="27"/>
      <c r="H398" s="27"/>
      <c r="I398" s="245"/>
      <c r="J398" s="26"/>
      <c r="K398" s="26"/>
      <c r="L398" s="26"/>
      <c r="M398" s="26"/>
      <c r="N398" s="28"/>
      <c r="O398" s="26"/>
    </row>
    <row r="399" spans="3:15" ht="15">
      <c r="C399" s="25"/>
      <c r="D399" s="26"/>
      <c r="E399" s="26"/>
      <c r="F399" s="26"/>
      <c r="G399" s="27"/>
      <c r="H399" s="27"/>
      <c r="I399" s="245"/>
      <c r="J399" s="26"/>
      <c r="K399" s="26"/>
      <c r="L399" s="26"/>
      <c r="M399" s="26"/>
      <c r="N399" s="28"/>
      <c r="O399" s="26"/>
    </row>
    <row r="400" spans="3:15" ht="15">
      <c r="C400" s="25"/>
      <c r="D400" s="26"/>
      <c r="E400" s="26"/>
      <c r="F400" s="26"/>
      <c r="G400" s="27"/>
      <c r="H400" s="27"/>
      <c r="I400" s="245"/>
      <c r="J400" s="26"/>
      <c r="K400" s="26"/>
      <c r="L400" s="26"/>
      <c r="M400" s="26"/>
      <c r="N400" s="28"/>
      <c r="O400" s="26"/>
    </row>
    <row r="401" spans="3:15" ht="15">
      <c r="C401" s="25"/>
      <c r="D401" s="26"/>
      <c r="E401" s="26"/>
      <c r="F401" s="26"/>
      <c r="G401" s="27"/>
      <c r="H401" s="27"/>
      <c r="I401" s="245"/>
      <c r="J401" s="26"/>
      <c r="K401" s="26"/>
      <c r="L401" s="26"/>
      <c r="M401" s="26"/>
      <c r="N401" s="28"/>
      <c r="O401" s="26"/>
    </row>
    <row r="402" spans="3:15" ht="15">
      <c r="C402" s="25"/>
      <c r="D402" s="26"/>
      <c r="E402" s="26"/>
      <c r="F402" s="26"/>
      <c r="G402" s="27"/>
      <c r="H402" s="27"/>
      <c r="I402" s="245"/>
      <c r="J402" s="26"/>
      <c r="K402" s="26"/>
      <c r="L402" s="26"/>
      <c r="M402" s="26"/>
      <c r="N402" s="28"/>
      <c r="O402" s="26"/>
    </row>
    <row r="403" spans="3:15" ht="15">
      <c r="C403" s="25"/>
      <c r="D403" s="26"/>
      <c r="E403" s="26"/>
      <c r="F403" s="26"/>
      <c r="G403" s="27"/>
      <c r="H403" s="27"/>
      <c r="I403" s="245"/>
      <c r="J403" s="26"/>
      <c r="K403" s="26"/>
      <c r="L403" s="26"/>
      <c r="M403" s="26"/>
      <c r="N403" s="28"/>
      <c r="O403" s="26"/>
    </row>
    <row r="404" spans="3:15" ht="15">
      <c r="C404" s="25"/>
      <c r="D404" s="26"/>
      <c r="E404" s="26"/>
      <c r="F404" s="26"/>
      <c r="G404" s="27"/>
      <c r="H404" s="27"/>
      <c r="I404" s="245"/>
      <c r="J404" s="26"/>
      <c r="K404" s="26"/>
      <c r="L404" s="26"/>
      <c r="M404" s="26"/>
      <c r="N404" s="28"/>
      <c r="O404" s="26"/>
    </row>
    <row r="405" spans="3:15" ht="15">
      <c r="C405" s="25"/>
      <c r="D405" s="26"/>
      <c r="E405" s="26"/>
      <c r="F405" s="26"/>
      <c r="G405" s="27"/>
      <c r="H405" s="27"/>
      <c r="I405" s="245"/>
      <c r="J405" s="26"/>
      <c r="K405" s="26"/>
      <c r="L405" s="26"/>
      <c r="M405" s="26"/>
      <c r="N405" s="28"/>
      <c r="O405" s="26"/>
    </row>
    <row r="406" spans="3:15" ht="15">
      <c r="C406" s="25"/>
      <c r="D406" s="26"/>
      <c r="E406" s="26"/>
      <c r="F406" s="26"/>
      <c r="G406" s="27"/>
      <c r="H406" s="27"/>
      <c r="I406" s="245"/>
      <c r="J406" s="26"/>
      <c r="K406" s="26"/>
      <c r="L406" s="26"/>
      <c r="M406" s="26"/>
      <c r="N406" s="28"/>
      <c r="O406" s="26"/>
    </row>
    <row r="407" spans="3:15" ht="15">
      <c r="C407" s="25"/>
      <c r="D407" s="26"/>
      <c r="E407" s="26"/>
      <c r="F407" s="26"/>
      <c r="G407" s="27"/>
      <c r="H407" s="27"/>
      <c r="I407" s="245"/>
      <c r="J407" s="26"/>
      <c r="K407" s="26"/>
      <c r="L407" s="26"/>
      <c r="M407" s="26"/>
      <c r="N407" s="28"/>
      <c r="O407" s="26"/>
    </row>
    <row r="408" spans="3:15" ht="15">
      <c r="C408" s="25"/>
      <c r="D408" s="26"/>
      <c r="E408" s="26"/>
      <c r="F408" s="26"/>
      <c r="G408" s="27"/>
      <c r="H408" s="27"/>
      <c r="I408" s="245"/>
      <c r="J408" s="26"/>
      <c r="K408" s="26"/>
      <c r="L408" s="26"/>
      <c r="M408" s="26"/>
      <c r="N408" s="28"/>
      <c r="O408" s="26"/>
    </row>
    <row r="409" spans="3:15" ht="15">
      <c r="C409" s="25"/>
      <c r="D409" s="26"/>
      <c r="E409" s="26"/>
      <c r="F409" s="26"/>
      <c r="G409" s="27"/>
      <c r="H409" s="27"/>
      <c r="I409" s="245"/>
      <c r="J409" s="26"/>
      <c r="K409" s="26"/>
      <c r="L409" s="26"/>
      <c r="M409" s="26"/>
      <c r="N409" s="28"/>
      <c r="O409" s="26"/>
    </row>
    <row r="410" spans="3:15" ht="15">
      <c r="C410" s="25"/>
      <c r="D410" s="26"/>
      <c r="E410" s="26"/>
      <c r="F410" s="26"/>
      <c r="G410" s="27"/>
      <c r="H410" s="27"/>
      <c r="I410" s="245"/>
      <c r="J410" s="26"/>
      <c r="K410" s="26"/>
      <c r="L410" s="26"/>
      <c r="M410" s="26"/>
      <c r="N410" s="28"/>
      <c r="O410" s="26"/>
    </row>
    <row r="411" spans="3:15" ht="15">
      <c r="C411" s="25"/>
      <c r="D411" s="26"/>
      <c r="E411" s="26"/>
      <c r="F411" s="26"/>
      <c r="G411" s="27"/>
      <c r="H411" s="27"/>
      <c r="I411" s="245"/>
      <c r="J411" s="26"/>
      <c r="K411" s="26"/>
      <c r="L411" s="26"/>
      <c r="M411" s="26"/>
      <c r="N411" s="28"/>
      <c r="O411" s="26"/>
    </row>
    <row r="412" spans="3:15" ht="15">
      <c r="C412" s="25"/>
      <c r="D412" s="26"/>
      <c r="E412" s="26"/>
      <c r="F412" s="26"/>
      <c r="G412" s="27"/>
      <c r="H412" s="27"/>
      <c r="I412" s="245"/>
      <c r="J412" s="26"/>
      <c r="K412" s="26"/>
      <c r="L412" s="26"/>
      <c r="M412" s="26"/>
      <c r="N412" s="28"/>
      <c r="O412" s="26"/>
    </row>
    <row r="413" spans="3:15" ht="15">
      <c r="C413" s="25"/>
      <c r="D413" s="26"/>
      <c r="E413" s="26"/>
      <c r="F413" s="26"/>
      <c r="G413" s="27"/>
      <c r="H413" s="27"/>
      <c r="I413" s="245"/>
      <c r="J413" s="26"/>
      <c r="K413" s="26"/>
      <c r="L413" s="26"/>
      <c r="M413" s="26"/>
      <c r="N413" s="28"/>
      <c r="O413" s="26"/>
    </row>
    <row r="414" spans="3:15" ht="15">
      <c r="C414" s="25"/>
      <c r="D414" s="26"/>
      <c r="E414" s="26"/>
      <c r="F414" s="26"/>
      <c r="G414" s="27"/>
      <c r="H414" s="27"/>
      <c r="I414" s="245"/>
      <c r="J414" s="26"/>
      <c r="K414" s="26"/>
      <c r="L414" s="26"/>
      <c r="M414" s="26"/>
      <c r="N414" s="28"/>
      <c r="O414" s="26"/>
    </row>
    <row r="415" spans="3:15" ht="15">
      <c r="C415" s="25"/>
      <c r="D415" s="26"/>
      <c r="E415" s="26"/>
      <c r="F415" s="26"/>
      <c r="G415" s="27"/>
      <c r="H415" s="27"/>
      <c r="I415" s="245"/>
      <c r="J415" s="26"/>
      <c r="K415" s="26"/>
      <c r="L415" s="26"/>
      <c r="M415" s="26"/>
      <c r="N415" s="28"/>
      <c r="O415" s="26"/>
    </row>
    <row r="416" spans="3:15" ht="15">
      <c r="C416" s="25"/>
      <c r="D416" s="26"/>
      <c r="E416" s="26"/>
      <c r="F416" s="26"/>
      <c r="G416" s="27"/>
      <c r="H416" s="27"/>
      <c r="I416" s="245"/>
      <c r="J416" s="26"/>
      <c r="K416" s="26"/>
      <c r="L416" s="26"/>
      <c r="M416" s="26"/>
      <c r="N416" s="28"/>
      <c r="O416" s="26"/>
    </row>
    <row r="417" spans="3:15" ht="15">
      <c r="C417" s="25"/>
      <c r="D417" s="26"/>
      <c r="E417" s="26"/>
      <c r="F417" s="26"/>
      <c r="G417" s="27"/>
      <c r="H417" s="27"/>
      <c r="I417" s="245"/>
      <c r="J417" s="26"/>
      <c r="K417" s="26"/>
      <c r="L417" s="26"/>
      <c r="M417" s="26"/>
      <c r="N417" s="28"/>
      <c r="O417" s="26"/>
    </row>
    <row r="418" spans="3:15" ht="15">
      <c r="C418" s="25"/>
      <c r="D418" s="26"/>
      <c r="E418" s="26"/>
      <c r="F418" s="26"/>
      <c r="G418" s="27"/>
      <c r="H418" s="27"/>
      <c r="I418" s="245"/>
      <c r="J418" s="26"/>
      <c r="K418" s="26"/>
      <c r="L418" s="26"/>
      <c r="M418" s="26"/>
      <c r="N418" s="28"/>
      <c r="O418" s="26"/>
    </row>
    <row r="419" spans="3:15" ht="15">
      <c r="C419" s="25"/>
      <c r="D419" s="26"/>
      <c r="E419" s="26"/>
      <c r="F419" s="26"/>
      <c r="G419" s="27"/>
      <c r="H419" s="27"/>
      <c r="I419" s="245"/>
      <c r="J419" s="26"/>
      <c r="K419" s="26"/>
      <c r="L419" s="26"/>
      <c r="M419" s="26"/>
      <c r="N419" s="28"/>
      <c r="O419" s="26"/>
    </row>
    <row r="420" spans="3:15" ht="15">
      <c r="C420" s="25"/>
      <c r="D420" s="26"/>
      <c r="E420" s="26"/>
      <c r="F420" s="26"/>
      <c r="G420" s="27"/>
      <c r="H420" s="27"/>
      <c r="I420" s="245"/>
      <c r="J420" s="26"/>
      <c r="K420" s="26"/>
      <c r="L420" s="26"/>
      <c r="M420" s="26"/>
      <c r="N420" s="28"/>
      <c r="O420" s="26"/>
    </row>
    <row r="421" spans="3:15" ht="15">
      <c r="C421" s="25"/>
      <c r="D421" s="26"/>
      <c r="E421" s="26"/>
      <c r="F421" s="26"/>
      <c r="G421" s="27"/>
      <c r="H421" s="27"/>
      <c r="I421" s="245"/>
      <c r="J421" s="26"/>
      <c r="K421" s="26"/>
      <c r="L421" s="26"/>
      <c r="M421" s="26"/>
      <c r="N421" s="28"/>
      <c r="O421" s="26"/>
    </row>
    <row r="422" spans="3:15" ht="15">
      <c r="C422" s="25"/>
      <c r="D422" s="26"/>
      <c r="E422" s="26"/>
      <c r="F422" s="26"/>
      <c r="G422" s="27"/>
      <c r="H422" s="27"/>
      <c r="I422" s="245"/>
      <c r="J422" s="26"/>
      <c r="K422" s="26"/>
      <c r="L422" s="26"/>
      <c r="M422" s="26"/>
      <c r="N422" s="28"/>
      <c r="O422" s="26"/>
    </row>
    <row r="423" spans="3:15" ht="15">
      <c r="C423" s="25"/>
      <c r="D423" s="26"/>
      <c r="E423" s="26"/>
      <c r="F423" s="26"/>
      <c r="G423" s="27"/>
      <c r="H423" s="27"/>
      <c r="I423" s="245"/>
      <c r="J423" s="26"/>
      <c r="K423" s="26"/>
      <c r="L423" s="26"/>
      <c r="M423" s="26"/>
      <c r="N423" s="28"/>
      <c r="O423" s="26"/>
    </row>
    <row r="424" spans="3:15" ht="15">
      <c r="C424" s="25"/>
      <c r="D424" s="26"/>
      <c r="E424" s="26"/>
      <c r="F424" s="26"/>
      <c r="G424" s="27"/>
      <c r="H424" s="27"/>
      <c r="I424" s="245"/>
      <c r="J424" s="26"/>
      <c r="K424" s="26"/>
      <c r="L424" s="26"/>
      <c r="M424" s="26"/>
      <c r="N424" s="28"/>
      <c r="O424" s="26"/>
    </row>
    <row r="425" spans="3:15" ht="15">
      <c r="C425" s="25"/>
      <c r="D425" s="26"/>
      <c r="E425" s="26"/>
      <c r="F425" s="26"/>
      <c r="G425" s="27"/>
      <c r="H425" s="27"/>
      <c r="I425" s="245"/>
      <c r="J425" s="26"/>
      <c r="K425" s="26"/>
      <c r="L425" s="26"/>
      <c r="M425" s="26"/>
      <c r="N425" s="28"/>
      <c r="O425" s="26"/>
    </row>
    <row r="426" spans="3:15" ht="15">
      <c r="C426" s="25"/>
      <c r="D426" s="26"/>
      <c r="E426" s="26"/>
      <c r="F426" s="26"/>
      <c r="G426" s="27"/>
      <c r="H426" s="27"/>
      <c r="I426" s="245"/>
      <c r="J426" s="26"/>
      <c r="K426" s="26"/>
      <c r="L426" s="26"/>
      <c r="M426" s="26"/>
      <c r="N426" s="28"/>
      <c r="O426" s="26"/>
    </row>
    <row r="427" spans="3:15" ht="15">
      <c r="C427" s="25"/>
      <c r="D427" s="26"/>
      <c r="E427" s="26"/>
      <c r="F427" s="26"/>
      <c r="G427" s="27"/>
      <c r="H427" s="27"/>
      <c r="I427" s="245"/>
      <c r="J427" s="26"/>
      <c r="K427" s="26"/>
      <c r="L427" s="26"/>
      <c r="M427" s="26"/>
      <c r="N427" s="28"/>
      <c r="O427" s="26"/>
    </row>
    <row r="428" spans="3:15" ht="15">
      <c r="C428" s="25"/>
      <c r="D428" s="26"/>
      <c r="E428" s="26"/>
      <c r="F428" s="26"/>
      <c r="G428" s="27"/>
      <c r="H428" s="27"/>
      <c r="I428" s="245"/>
      <c r="J428" s="26"/>
      <c r="K428" s="26"/>
      <c r="L428" s="26"/>
      <c r="M428" s="26"/>
      <c r="N428" s="28"/>
      <c r="O428" s="26"/>
    </row>
    <row r="429" spans="3:15" ht="15">
      <c r="C429" s="25"/>
      <c r="D429" s="26"/>
      <c r="E429" s="26"/>
      <c r="F429" s="26"/>
      <c r="G429" s="27"/>
      <c r="H429" s="27"/>
      <c r="I429" s="245"/>
      <c r="J429" s="26"/>
      <c r="K429" s="26"/>
      <c r="L429" s="26"/>
      <c r="M429" s="26"/>
      <c r="N429" s="28"/>
      <c r="O429" s="26"/>
    </row>
    <row r="430" spans="3:15" ht="15">
      <c r="C430" s="25"/>
      <c r="D430" s="26"/>
      <c r="E430" s="26"/>
      <c r="F430" s="26"/>
      <c r="G430" s="27"/>
      <c r="H430" s="27"/>
      <c r="I430" s="245"/>
      <c r="J430" s="26"/>
      <c r="K430" s="26"/>
      <c r="L430" s="26"/>
      <c r="M430" s="26"/>
      <c r="N430" s="28"/>
      <c r="O430" s="26"/>
    </row>
    <row r="431" spans="3:15" ht="15">
      <c r="C431" s="25"/>
      <c r="D431" s="26"/>
      <c r="E431" s="26"/>
      <c r="F431" s="26"/>
      <c r="G431" s="27"/>
      <c r="H431" s="27"/>
      <c r="I431" s="245"/>
      <c r="J431" s="26"/>
      <c r="K431" s="26"/>
      <c r="L431" s="26"/>
      <c r="M431" s="26"/>
      <c r="N431" s="28"/>
      <c r="O431" s="26"/>
    </row>
    <row r="432" spans="3:15" ht="15">
      <c r="C432" s="25"/>
      <c r="D432" s="26"/>
      <c r="E432" s="26"/>
      <c r="F432" s="26"/>
      <c r="G432" s="27"/>
      <c r="H432" s="27"/>
      <c r="I432" s="245"/>
      <c r="J432" s="26"/>
      <c r="K432" s="26"/>
      <c r="L432" s="26"/>
      <c r="M432" s="26"/>
      <c r="N432" s="28"/>
      <c r="O432" s="26"/>
    </row>
    <row r="433" spans="3:15" ht="15">
      <c r="C433" s="25"/>
      <c r="D433" s="26"/>
      <c r="E433" s="26"/>
      <c r="F433" s="26"/>
      <c r="G433" s="27"/>
      <c r="H433" s="27"/>
      <c r="I433" s="245"/>
      <c r="J433" s="26"/>
      <c r="K433" s="26"/>
      <c r="L433" s="26"/>
      <c r="M433" s="26"/>
      <c r="N433" s="28"/>
      <c r="O433" s="26"/>
    </row>
    <row r="434" spans="3:15" ht="15">
      <c r="C434" s="25"/>
      <c r="D434" s="26"/>
      <c r="E434" s="26"/>
      <c r="F434" s="26"/>
      <c r="G434" s="27"/>
      <c r="H434" s="27"/>
      <c r="I434" s="245"/>
      <c r="J434" s="26"/>
      <c r="K434" s="26"/>
      <c r="L434" s="26"/>
      <c r="M434" s="26"/>
      <c r="N434" s="28"/>
      <c r="O434" s="26"/>
    </row>
    <row r="435" spans="3:15" ht="15">
      <c r="C435" s="25"/>
      <c r="D435" s="26"/>
      <c r="E435" s="26"/>
      <c r="F435" s="26"/>
      <c r="G435" s="27"/>
      <c r="H435" s="27"/>
      <c r="I435" s="245"/>
      <c r="J435" s="26"/>
      <c r="K435" s="26"/>
      <c r="L435" s="26"/>
      <c r="M435" s="26"/>
      <c r="N435" s="28"/>
      <c r="O435" s="26"/>
    </row>
    <row r="436" spans="3:15" ht="15">
      <c r="C436" s="25"/>
      <c r="D436" s="26"/>
      <c r="E436" s="26"/>
      <c r="F436" s="26"/>
      <c r="G436" s="27"/>
      <c r="H436" s="27"/>
      <c r="I436" s="245"/>
      <c r="J436" s="26"/>
      <c r="K436" s="26"/>
      <c r="L436" s="26"/>
      <c r="M436" s="26"/>
      <c r="N436" s="28"/>
      <c r="O436" s="26"/>
    </row>
    <row r="437" spans="3:15" ht="15">
      <c r="C437" s="25"/>
      <c r="D437" s="26"/>
      <c r="E437" s="26"/>
      <c r="F437" s="26"/>
      <c r="G437" s="27"/>
      <c r="H437" s="27"/>
      <c r="I437" s="245"/>
      <c r="J437" s="26"/>
      <c r="K437" s="26"/>
      <c r="L437" s="26"/>
      <c r="M437" s="26"/>
      <c r="N437" s="28"/>
      <c r="O437" s="26"/>
    </row>
    <row r="438" spans="3:15" ht="15">
      <c r="C438" s="25"/>
      <c r="D438" s="26"/>
      <c r="E438" s="26"/>
      <c r="F438" s="26"/>
      <c r="G438" s="27"/>
      <c r="H438" s="27"/>
      <c r="I438" s="245"/>
      <c r="J438" s="26"/>
      <c r="K438" s="26"/>
      <c r="L438" s="26"/>
      <c r="M438" s="26"/>
      <c r="N438" s="28"/>
      <c r="O438" s="26"/>
    </row>
    <row r="439" spans="3:15" ht="15">
      <c r="C439" s="25"/>
      <c r="D439" s="26"/>
      <c r="E439" s="26"/>
      <c r="F439" s="26"/>
      <c r="G439" s="27"/>
      <c r="H439" s="27"/>
      <c r="I439" s="245"/>
      <c r="J439" s="26"/>
      <c r="K439" s="26"/>
      <c r="L439" s="26"/>
      <c r="M439" s="26"/>
      <c r="N439" s="28"/>
      <c r="O439" s="26"/>
    </row>
    <row r="440" spans="3:15" ht="15">
      <c r="C440" s="25"/>
      <c r="D440" s="26"/>
      <c r="E440" s="26"/>
      <c r="F440" s="26"/>
      <c r="G440" s="27"/>
      <c r="H440" s="27"/>
      <c r="I440" s="245"/>
      <c r="J440" s="26"/>
      <c r="K440" s="26"/>
      <c r="L440" s="26"/>
      <c r="M440" s="26"/>
      <c r="N440" s="28"/>
      <c r="O440" s="26"/>
    </row>
    <row r="441" spans="3:15" ht="15">
      <c r="C441" s="25"/>
      <c r="D441" s="26"/>
      <c r="E441" s="26"/>
      <c r="F441" s="26"/>
      <c r="G441" s="27"/>
      <c r="H441" s="27"/>
      <c r="I441" s="245"/>
      <c r="J441" s="26"/>
      <c r="K441" s="26"/>
      <c r="L441" s="26"/>
      <c r="M441" s="26"/>
      <c r="N441" s="28"/>
      <c r="O441" s="26"/>
    </row>
    <row r="442" spans="3:15" ht="15">
      <c r="C442" s="25"/>
      <c r="D442" s="26"/>
      <c r="E442" s="26"/>
      <c r="F442" s="26"/>
      <c r="G442" s="27"/>
      <c r="H442" s="27"/>
      <c r="I442" s="245"/>
      <c r="J442" s="26"/>
      <c r="K442" s="26"/>
      <c r="L442" s="26"/>
      <c r="M442" s="26"/>
      <c r="N442" s="28"/>
      <c r="O442" s="26"/>
    </row>
    <row r="443" spans="3:15" ht="15">
      <c r="C443" s="25"/>
      <c r="D443" s="26"/>
      <c r="E443" s="26"/>
      <c r="F443" s="26"/>
      <c r="G443" s="27"/>
      <c r="H443" s="27"/>
      <c r="I443" s="245"/>
      <c r="J443" s="26"/>
      <c r="K443" s="26"/>
      <c r="L443" s="26"/>
      <c r="M443" s="26"/>
      <c r="N443" s="28"/>
      <c r="O443" s="26"/>
    </row>
    <row r="444" spans="3:15" ht="15">
      <c r="C444" s="25"/>
      <c r="D444" s="26"/>
      <c r="E444" s="26"/>
      <c r="F444" s="26"/>
      <c r="G444" s="27"/>
      <c r="H444" s="27"/>
      <c r="I444" s="245"/>
      <c r="J444" s="26"/>
      <c r="K444" s="26"/>
      <c r="L444" s="26"/>
      <c r="M444" s="26"/>
      <c r="N444" s="28"/>
      <c r="O444" s="26"/>
    </row>
    <row r="445" spans="3:15" ht="15">
      <c r="C445" s="25"/>
      <c r="D445" s="26"/>
      <c r="E445" s="26"/>
      <c r="F445" s="26"/>
      <c r="G445" s="27"/>
      <c r="H445" s="27"/>
      <c r="I445" s="245"/>
      <c r="J445" s="26"/>
      <c r="K445" s="26"/>
      <c r="L445" s="26"/>
      <c r="M445" s="26"/>
      <c r="N445" s="28"/>
      <c r="O445" s="26"/>
    </row>
    <row r="446" spans="3:15" ht="15">
      <c r="C446" s="25"/>
      <c r="D446" s="26"/>
      <c r="E446" s="26"/>
      <c r="F446" s="26"/>
      <c r="G446" s="27"/>
      <c r="H446" s="27"/>
      <c r="I446" s="245"/>
      <c r="J446" s="26"/>
      <c r="K446" s="26"/>
      <c r="L446" s="26"/>
      <c r="M446" s="26"/>
      <c r="N446" s="28"/>
      <c r="O446" s="26"/>
    </row>
    <row r="447" spans="3:15" ht="15">
      <c r="C447" s="25"/>
      <c r="D447" s="26"/>
      <c r="E447" s="26"/>
      <c r="F447" s="26"/>
      <c r="G447" s="27"/>
      <c r="H447" s="27"/>
      <c r="I447" s="245"/>
      <c r="J447" s="26"/>
      <c r="K447" s="26"/>
      <c r="L447" s="26"/>
      <c r="M447" s="26"/>
      <c r="N447" s="28"/>
      <c r="O447" s="26"/>
    </row>
    <row r="448" spans="3:15" ht="15">
      <c r="C448" s="25"/>
      <c r="D448" s="26"/>
      <c r="E448" s="26"/>
      <c r="F448" s="26"/>
      <c r="G448" s="27"/>
      <c r="H448" s="27"/>
      <c r="I448" s="245"/>
      <c r="J448" s="26"/>
      <c r="K448" s="26"/>
      <c r="L448" s="26"/>
      <c r="M448" s="26"/>
      <c r="N448" s="28"/>
      <c r="O448" s="26"/>
    </row>
    <row r="449" spans="3:15" ht="15">
      <c r="C449" s="25"/>
      <c r="D449" s="26"/>
      <c r="E449" s="26"/>
      <c r="F449" s="26"/>
      <c r="G449" s="27"/>
      <c r="H449" s="27"/>
      <c r="I449" s="245"/>
      <c r="J449" s="26"/>
      <c r="K449" s="26"/>
      <c r="L449" s="26"/>
      <c r="M449" s="26"/>
      <c r="N449" s="28"/>
      <c r="O449" s="26"/>
    </row>
    <row r="450" spans="3:15" ht="15">
      <c r="C450" s="25"/>
      <c r="D450" s="26"/>
      <c r="E450" s="26"/>
      <c r="F450" s="26"/>
      <c r="G450" s="27"/>
      <c r="H450" s="27"/>
      <c r="I450" s="245"/>
      <c r="J450" s="26"/>
      <c r="K450" s="26"/>
      <c r="L450" s="26"/>
      <c r="M450" s="26"/>
      <c r="N450" s="28"/>
      <c r="O450" s="26"/>
    </row>
    <row r="451" spans="3:15" ht="15">
      <c r="C451" s="25"/>
      <c r="D451" s="26"/>
      <c r="E451" s="26"/>
      <c r="F451" s="26"/>
      <c r="G451" s="27"/>
      <c r="H451" s="27"/>
      <c r="I451" s="245"/>
      <c r="J451" s="26"/>
      <c r="K451" s="26"/>
      <c r="L451" s="26"/>
      <c r="M451" s="26"/>
      <c r="N451" s="28"/>
      <c r="O451" s="26"/>
    </row>
    <row r="452" spans="3:15" ht="15">
      <c r="C452" s="25"/>
      <c r="D452" s="26"/>
      <c r="E452" s="26"/>
      <c r="F452" s="26"/>
      <c r="G452" s="27"/>
      <c r="H452" s="27"/>
      <c r="I452" s="245"/>
      <c r="J452" s="26"/>
      <c r="K452" s="26"/>
      <c r="L452" s="26"/>
      <c r="M452" s="26"/>
      <c r="N452" s="28"/>
      <c r="O452" s="26"/>
    </row>
    <row r="453" spans="3:15" ht="15">
      <c r="C453" s="25"/>
      <c r="D453" s="26"/>
      <c r="E453" s="26"/>
      <c r="F453" s="26"/>
      <c r="G453" s="27"/>
      <c r="H453" s="27"/>
      <c r="I453" s="245"/>
      <c r="J453" s="26"/>
      <c r="K453" s="26"/>
      <c r="L453" s="26"/>
      <c r="M453" s="26"/>
      <c r="N453" s="28"/>
      <c r="O453" s="26"/>
    </row>
    <row r="454" spans="3:15" ht="15">
      <c r="C454" s="25"/>
      <c r="D454" s="26"/>
      <c r="E454" s="26"/>
      <c r="F454" s="26"/>
      <c r="G454" s="27"/>
      <c r="H454" s="27"/>
      <c r="I454" s="245"/>
      <c r="J454" s="26"/>
      <c r="K454" s="26"/>
      <c r="L454" s="26"/>
      <c r="M454" s="26"/>
      <c r="N454" s="28"/>
      <c r="O454" s="26"/>
    </row>
    <row r="455" spans="3:15" ht="15">
      <c r="C455" s="25"/>
      <c r="D455" s="26"/>
      <c r="E455" s="26"/>
      <c r="F455" s="26"/>
      <c r="G455" s="27"/>
      <c r="H455" s="27"/>
      <c r="I455" s="245"/>
      <c r="J455" s="26"/>
      <c r="K455" s="26"/>
      <c r="L455" s="26"/>
      <c r="M455" s="26"/>
      <c r="N455" s="28"/>
      <c r="O455" s="26"/>
    </row>
    <row r="456" spans="3:15" ht="15">
      <c r="C456" s="25"/>
      <c r="D456" s="26"/>
      <c r="E456" s="26"/>
      <c r="F456" s="26"/>
      <c r="G456" s="27"/>
      <c r="H456" s="27"/>
      <c r="I456" s="245"/>
      <c r="J456" s="26"/>
      <c r="K456" s="26"/>
      <c r="L456" s="26"/>
      <c r="M456" s="26"/>
      <c r="N456" s="28"/>
      <c r="O456" s="26"/>
    </row>
    <row r="457" spans="3:15" ht="15">
      <c r="C457" s="25"/>
      <c r="D457" s="26"/>
      <c r="E457" s="26"/>
      <c r="F457" s="26"/>
      <c r="G457" s="27"/>
      <c r="H457" s="27"/>
      <c r="I457" s="245"/>
      <c r="J457" s="26"/>
      <c r="K457" s="26"/>
      <c r="L457" s="26"/>
      <c r="M457" s="26"/>
      <c r="N457" s="28"/>
      <c r="O457" s="26"/>
    </row>
    <row r="458" spans="3:15" ht="15">
      <c r="C458" s="25"/>
      <c r="D458" s="26"/>
      <c r="E458" s="26"/>
      <c r="F458" s="26"/>
      <c r="G458" s="27"/>
      <c r="H458" s="27"/>
      <c r="I458" s="245"/>
      <c r="J458" s="26"/>
      <c r="K458" s="26"/>
      <c r="L458" s="26"/>
      <c r="M458" s="26"/>
      <c r="N458" s="28"/>
      <c r="O458" s="26"/>
    </row>
    <row r="459" spans="3:15" ht="15">
      <c r="C459" s="25"/>
      <c r="D459" s="26"/>
      <c r="E459" s="26"/>
      <c r="F459" s="26"/>
      <c r="G459" s="27"/>
      <c r="H459" s="27"/>
      <c r="I459" s="245"/>
      <c r="J459" s="26"/>
      <c r="K459" s="26"/>
      <c r="L459" s="26"/>
      <c r="M459" s="26"/>
      <c r="N459" s="28"/>
      <c r="O459" s="26"/>
    </row>
    <row r="460" spans="3:15" ht="15">
      <c r="C460" s="25"/>
      <c r="D460" s="26"/>
      <c r="E460" s="26"/>
      <c r="F460" s="26"/>
      <c r="G460" s="27"/>
      <c r="H460" s="27"/>
      <c r="I460" s="245"/>
      <c r="J460" s="26"/>
      <c r="K460" s="26"/>
      <c r="L460" s="26"/>
      <c r="M460" s="26"/>
      <c r="N460" s="28"/>
      <c r="O460" s="26"/>
    </row>
    <row r="461" spans="3:15" ht="15">
      <c r="C461" s="25"/>
      <c r="D461" s="26"/>
      <c r="E461" s="26"/>
      <c r="F461" s="26"/>
      <c r="G461" s="27"/>
      <c r="H461" s="27"/>
      <c r="I461" s="245"/>
      <c r="J461" s="26"/>
      <c r="K461" s="26"/>
      <c r="L461" s="26"/>
      <c r="M461" s="26"/>
      <c r="N461" s="28"/>
      <c r="O461" s="26"/>
    </row>
    <row r="462" spans="3:15" ht="15">
      <c r="C462" s="25"/>
      <c r="D462" s="26"/>
      <c r="E462" s="26"/>
      <c r="F462" s="26"/>
      <c r="G462" s="27"/>
      <c r="H462" s="27"/>
      <c r="I462" s="245"/>
      <c r="J462" s="26"/>
      <c r="K462" s="26"/>
      <c r="L462" s="26"/>
      <c r="M462" s="26"/>
      <c r="N462" s="28"/>
      <c r="O462" s="26"/>
    </row>
    <row r="463" spans="3:15" ht="15">
      <c r="C463" s="25"/>
      <c r="D463" s="26"/>
      <c r="E463" s="26"/>
      <c r="F463" s="26"/>
      <c r="G463" s="27"/>
      <c r="H463" s="27"/>
      <c r="I463" s="245"/>
      <c r="J463" s="26"/>
      <c r="K463" s="26"/>
      <c r="L463" s="26"/>
      <c r="M463" s="26"/>
      <c r="N463" s="28"/>
      <c r="O463" s="26"/>
    </row>
    <row r="464" spans="3:15" ht="15">
      <c r="C464" s="25"/>
      <c r="D464" s="26"/>
      <c r="E464" s="26"/>
      <c r="F464" s="26"/>
      <c r="G464" s="27"/>
      <c r="H464" s="27"/>
      <c r="I464" s="245"/>
      <c r="J464" s="26"/>
      <c r="K464" s="26"/>
      <c r="L464" s="26"/>
      <c r="M464" s="26"/>
      <c r="N464" s="28"/>
      <c r="O464" s="26"/>
    </row>
    <row r="465" spans="3:15" ht="15">
      <c r="C465" s="25"/>
      <c r="D465" s="26"/>
      <c r="E465" s="26"/>
      <c r="F465" s="26"/>
      <c r="G465" s="27"/>
      <c r="H465" s="27"/>
      <c r="I465" s="245"/>
      <c r="J465" s="26"/>
      <c r="K465" s="26"/>
      <c r="L465" s="26"/>
      <c r="M465" s="26"/>
      <c r="N465" s="28"/>
      <c r="O465" s="26"/>
    </row>
    <row r="466" spans="3:15" ht="15">
      <c r="C466" s="25"/>
      <c r="D466" s="26"/>
      <c r="E466" s="26"/>
      <c r="F466" s="26"/>
      <c r="G466" s="27"/>
      <c r="H466" s="27"/>
      <c r="I466" s="245"/>
      <c r="J466" s="26"/>
      <c r="K466" s="26"/>
      <c r="L466" s="26"/>
      <c r="M466" s="26"/>
      <c r="N466" s="28"/>
      <c r="O466" s="26"/>
    </row>
    <row r="467" spans="3:15" ht="15">
      <c r="C467" s="25"/>
      <c r="D467" s="26"/>
      <c r="E467" s="26"/>
      <c r="F467" s="26"/>
      <c r="G467" s="27"/>
      <c r="H467" s="27"/>
      <c r="I467" s="245"/>
      <c r="J467" s="26"/>
      <c r="K467" s="26"/>
      <c r="L467" s="26"/>
      <c r="M467" s="26"/>
      <c r="N467" s="28"/>
      <c r="O467" s="26"/>
    </row>
    <row r="468" spans="3:15" ht="15">
      <c r="C468" s="25"/>
      <c r="D468" s="26"/>
      <c r="E468" s="26"/>
      <c r="F468" s="26"/>
      <c r="G468" s="27"/>
      <c r="H468" s="27"/>
      <c r="I468" s="245"/>
      <c r="J468" s="26"/>
      <c r="K468" s="26"/>
      <c r="L468" s="26"/>
      <c r="M468" s="26"/>
      <c r="N468" s="28"/>
      <c r="O468" s="26"/>
    </row>
    <row r="469" spans="3:15" ht="15">
      <c r="C469" s="25"/>
      <c r="D469" s="26"/>
      <c r="E469" s="26"/>
      <c r="F469" s="26"/>
      <c r="G469" s="27"/>
      <c r="H469" s="27"/>
      <c r="I469" s="245"/>
      <c r="J469" s="26"/>
      <c r="K469" s="26"/>
      <c r="L469" s="26"/>
      <c r="M469" s="26"/>
      <c r="N469" s="28"/>
      <c r="O469" s="26"/>
    </row>
    <row r="470" spans="3:15" ht="15">
      <c r="C470" s="25"/>
      <c r="D470" s="26"/>
      <c r="E470" s="26"/>
      <c r="F470" s="26"/>
      <c r="G470" s="27"/>
      <c r="H470" s="27"/>
      <c r="I470" s="245"/>
      <c r="J470" s="26"/>
      <c r="K470" s="26"/>
      <c r="L470" s="26"/>
      <c r="M470" s="26"/>
      <c r="N470" s="28"/>
      <c r="O470" s="26"/>
    </row>
    <row r="471" spans="3:15" ht="15">
      <c r="C471" s="25"/>
      <c r="D471" s="26"/>
      <c r="E471" s="26"/>
      <c r="F471" s="26"/>
      <c r="G471" s="27"/>
      <c r="H471" s="27"/>
      <c r="I471" s="245"/>
      <c r="J471" s="26"/>
      <c r="K471" s="26"/>
      <c r="L471" s="26"/>
      <c r="M471" s="26"/>
      <c r="N471" s="28"/>
      <c r="O471" s="26"/>
    </row>
    <row r="472" spans="3:15" ht="15">
      <c r="C472" s="25"/>
      <c r="D472" s="26"/>
      <c r="E472" s="26"/>
      <c r="F472" s="26"/>
      <c r="G472" s="27"/>
      <c r="H472" s="27"/>
      <c r="I472" s="245"/>
      <c r="J472" s="26"/>
      <c r="K472" s="26"/>
      <c r="L472" s="26"/>
      <c r="M472" s="26"/>
      <c r="N472" s="28"/>
      <c r="O472" s="26"/>
    </row>
    <row r="473" spans="3:15" ht="15">
      <c r="C473" s="25"/>
      <c r="D473" s="26"/>
      <c r="E473" s="26"/>
      <c r="F473" s="26"/>
      <c r="G473" s="27"/>
      <c r="H473" s="27"/>
      <c r="I473" s="245"/>
      <c r="J473" s="26"/>
      <c r="K473" s="26"/>
      <c r="L473" s="26"/>
      <c r="M473" s="26"/>
      <c r="N473" s="28"/>
      <c r="O473" s="26"/>
    </row>
    <row r="474" spans="3:15" ht="15">
      <c r="C474" s="25"/>
      <c r="D474" s="26"/>
      <c r="E474" s="26"/>
      <c r="F474" s="26"/>
      <c r="G474" s="27"/>
      <c r="H474" s="27"/>
      <c r="I474" s="245"/>
      <c r="J474" s="26"/>
      <c r="K474" s="26"/>
      <c r="L474" s="26"/>
      <c r="M474" s="26"/>
      <c r="N474" s="28"/>
      <c r="O474" s="26"/>
    </row>
    <row r="475" spans="3:15" ht="15">
      <c r="C475" s="25"/>
      <c r="D475" s="26"/>
      <c r="E475" s="26"/>
      <c r="F475" s="26"/>
      <c r="G475" s="27"/>
      <c r="H475" s="27"/>
      <c r="I475" s="245"/>
      <c r="J475" s="26"/>
      <c r="K475" s="26"/>
      <c r="L475" s="26"/>
      <c r="M475" s="26"/>
      <c r="N475" s="28"/>
      <c r="O475" s="26"/>
    </row>
    <row r="476" spans="3:15" ht="15">
      <c r="C476" s="25"/>
      <c r="D476" s="26"/>
      <c r="E476" s="26"/>
      <c r="F476" s="26"/>
      <c r="G476" s="27"/>
      <c r="H476" s="27"/>
      <c r="I476" s="245"/>
      <c r="J476" s="26"/>
      <c r="K476" s="26"/>
      <c r="L476" s="26"/>
      <c r="M476" s="26"/>
      <c r="N476" s="28"/>
      <c r="O476" s="26"/>
    </row>
    <row r="477" spans="3:15" ht="15">
      <c r="C477" s="25"/>
      <c r="D477" s="26"/>
      <c r="E477" s="26"/>
      <c r="F477" s="26"/>
      <c r="G477" s="27"/>
      <c r="H477" s="27"/>
      <c r="I477" s="245"/>
      <c r="J477" s="26"/>
      <c r="K477" s="26"/>
      <c r="L477" s="26"/>
      <c r="M477" s="26"/>
      <c r="N477" s="28"/>
      <c r="O477" s="26"/>
    </row>
    <row r="478" spans="3:15" ht="15">
      <c r="C478" s="25"/>
      <c r="D478" s="26"/>
      <c r="E478" s="26"/>
      <c r="F478" s="26"/>
      <c r="G478" s="27"/>
      <c r="H478" s="27"/>
      <c r="I478" s="245"/>
      <c r="J478" s="26"/>
      <c r="K478" s="26"/>
      <c r="L478" s="26"/>
      <c r="M478" s="26"/>
      <c r="N478" s="28"/>
      <c r="O478" s="26"/>
    </row>
    <row r="479" spans="3:15" ht="15">
      <c r="C479" s="25"/>
      <c r="D479" s="26"/>
      <c r="E479" s="26"/>
      <c r="F479" s="26"/>
      <c r="G479" s="27"/>
      <c r="H479" s="27"/>
      <c r="I479" s="245"/>
      <c r="J479" s="26"/>
      <c r="K479" s="26"/>
      <c r="L479" s="26"/>
      <c r="M479" s="26"/>
      <c r="N479" s="28"/>
      <c r="O479" s="26"/>
    </row>
    <row r="480" spans="3:15" ht="15">
      <c r="C480" s="25"/>
      <c r="D480" s="26"/>
      <c r="E480" s="26"/>
      <c r="F480" s="26"/>
      <c r="G480" s="27"/>
      <c r="H480" s="27"/>
      <c r="I480" s="245"/>
      <c r="J480" s="26"/>
      <c r="K480" s="26"/>
      <c r="L480" s="26"/>
      <c r="M480" s="26"/>
      <c r="N480" s="28"/>
      <c r="O480" s="26"/>
    </row>
    <row r="481" spans="3:15" ht="15">
      <c r="C481" s="25"/>
      <c r="D481" s="26"/>
      <c r="E481" s="26"/>
      <c r="F481" s="26"/>
      <c r="G481" s="27"/>
      <c r="H481" s="27"/>
      <c r="I481" s="245"/>
      <c r="J481" s="26"/>
      <c r="K481" s="26"/>
      <c r="L481" s="26"/>
      <c r="M481" s="26"/>
      <c r="N481" s="28"/>
      <c r="O481" s="26"/>
    </row>
    <row r="482" spans="3:15" ht="15">
      <c r="C482" s="25"/>
      <c r="D482" s="26"/>
      <c r="E482" s="26"/>
      <c r="F482" s="26"/>
      <c r="G482" s="27"/>
      <c r="H482" s="27"/>
      <c r="I482" s="245"/>
      <c r="J482" s="26"/>
      <c r="K482" s="26"/>
      <c r="L482" s="26"/>
      <c r="M482" s="26"/>
      <c r="N482" s="28"/>
      <c r="O482" s="26"/>
    </row>
    <row r="483" spans="3:15" ht="15">
      <c r="C483" s="25"/>
      <c r="D483" s="26"/>
      <c r="E483" s="26"/>
      <c r="F483" s="26"/>
      <c r="G483" s="27"/>
      <c r="H483" s="27"/>
      <c r="I483" s="245"/>
      <c r="J483" s="26"/>
      <c r="K483" s="26"/>
      <c r="L483" s="26"/>
      <c r="M483" s="26"/>
      <c r="N483" s="28"/>
      <c r="O483" s="26"/>
    </row>
    <row r="484" spans="3:15" ht="15">
      <c r="C484" s="25"/>
      <c r="D484" s="26"/>
      <c r="E484" s="26"/>
      <c r="F484" s="26"/>
      <c r="G484" s="27"/>
      <c r="H484" s="27"/>
      <c r="I484" s="245"/>
      <c r="J484" s="26"/>
      <c r="K484" s="26"/>
      <c r="L484" s="26"/>
      <c r="M484" s="26"/>
      <c r="N484" s="28"/>
      <c r="O484" s="26"/>
    </row>
    <row r="485" spans="3:15" ht="15">
      <c r="C485" s="25"/>
      <c r="D485" s="26"/>
      <c r="E485" s="26"/>
      <c r="F485" s="26"/>
      <c r="G485" s="27"/>
      <c r="H485" s="27"/>
      <c r="I485" s="245"/>
      <c r="J485" s="26"/>
      <c r="K485" s="26"/>
      <c r="L485" s="26"/>
      <c r="M485" s="26"/>
      <c r="N485" s="28"/>
      <c r="O485" s="26"/>
    </row>
    <row r="486" spans="3:15" ht="15">
      <c r="C486" s="25"/>
      <c r="D486" s="26"/>
      <c r="E486" s="26"/>
      <c r="F486" s="26"/>
      <c r="G486" s="27"/>
      <c r="H486" s="27"/>
      <c r="I486" s="245"/>
      <c r="J486" s="26"/>
      <c r="K486" s="26"/>
      <c r="L486" s="26"/>
      <c r="M486" s="26"/>
      <c r="N486" s="28"/>
      <c r="O486" s="26"/>
    </row>
    <row r="487" spans="3:15" ht="15">
      <c r="C487" s="25"/>
      <c r="D487" s="26"/>
      <c r="E487" s="26"/>
      <c r="F487" s="26"/>
      <c r="G487" s="27"/>
      <c r="H487" s="27"/>
      <c r="I487" s="245"/>
      <c r="J487" s="26"/>
      <c r="K487" s="26"/>
      <c r="L487" s="26"/>
      <c r="M487" s="26"/>
      <c r="N487" s="28"/>
      <c r="O487" s="26"/>
    </row>
    <row r="488" spans="3:15" ht="15">
      <c r="C488" s="25"/>
      <c r="D488" s="26"/>
      <c r="E488" s="26"/>
      <c r="F488" s="26"/>
      <c r="G488" s="27"/>
      <c r="H488" s="27"/>
      <c r="I488" s="245"/>
      <c r="J488" s="26"/>
      <c r="K488" s="26"/>
      <c r="L488" s="26"/>
      <c r="M488" s="26"/>
      <c r="N488" s="28"/>
      <c r="O488" s="26"/>
    </row>
    <row r="489" spans="3:15" ht="15">
      <c r="C489" s="25"/>
      <c r="D489" s="26"/>
      <c r="E489" s="26"/>
      <c r="F489" s="26"/>
      <c r="G489" s="27"/>
      <c r="H489" s="27"/>
      <c r="I489" s="245"/>
      <c r="J489" s="26"/>
      <c r="K489" s="26"/>
      <c r="L489" s="26"/>
      <c r="M489" s="26"/>
      <c r="N489" s="28"/>
      <c r="O489" s="26"/>
    </row>
    <row r="490" spans="3:15" ht="15">
      <c r="C490" s="25"/>
      <c r="D490" s="26"/>
      <c r="E490" s="26"/>
      <c r="F490" s="26"/>
      <c r="G490" s="27"/>
      <c r="H490" s="27"/>
      <c r="I490" s="245"/>
      <c r="J490" s="26"/>
      <c r="K490" s="26"/>
      <c r="L490" s="26"/>
      <c r="M490" s="26"/>
      <c r="N490" s="28"/>
      <c r="O490" s="26"/>
    </row>
    <row r="491" spans="3:15" ht="15">
      <c r="C491" s="25"/>
      <c r="D491" s="26"/>
      <c r="E491" s="26"/>
      <c r="F491" s="26"/>
      <c r="G491" s="27"/>
      <c r="H491" s="27"/>
      <c r="I491" s="245"/>
      <c r="J491" s="26"/>
      <c r="K491" s="26"/>
      <c r="L491" s="26"/>
      <c r="M491" s="26"/>
      <c r="N491" s="28"/>
      <c r="O491" s="26"/>
    </row>
    <row r="492" spans="3:15" ht="15">
      <c r="C492" s="25"/>
      <c r="D492" s="26"/>
      <c r="E492" s="26"/>
      <c r="F492" s="26"/>
      <c r="G492" s="27"/>
      <c r="H492" s="27"/>
      <c r="I492" s="245"/>
      <c r="J492" s="26"/>
      <c r="K492" s="26"/>
      <c r="L492" s="26"/>
      <c r="M492" s="26"/>
      <c r="N492" s="28"/>
      <c r="O492" s="26"/>
    </row>
    <row r="493" spans="3:15" ht="15">
      <c r="C493" s="25"/>
      <c r="D493" s="26"/>
      <c r="E493" s="26"/>
      <c r="F493" s="26"/>
      <c r="G493" s="27"/>
      <c r="H493" s="27"/>
      <c r="I493" s="245"/>
      <c r="J493" s="26"/>
      <c r="K493" s="26"/>
      <c r="L493" s="26"/>
      <c r="M493" s="26"/>
      <c r="N493" s="28"/>
      <c r="O493" s="26"/>
    </row>
    <row r="494" spans="3:15" ht="15">
      <c r="C494" s="25"/>
      <c r="D494" s="26"/>
      <c r="E494" s="26"/>
      <c r="F494" s="26"/>
      <c r="G494" s="27"/>
      <c r="H494" s="27"/>
      <c r="I494" s="245"/>
      <c r="J494" s="26"/>
      <c r="K494" s="26"/>
      <c r="L494" s="26"/>
      <c r="M494" s="26"/>
      <c r="N494" s="28"/>
      <c r="O494" s="26"/>
    </row>
    <row r="495" spans="3:15" ht="15">
      <c r="C495" s="25"/>
      <c r="D495" s="26"/>
      <c r="E495" s="26"/>
      <c r="F495" s="26"/>
      <c r="G495" s="27"/>
      <c r="H495" s="27"/>
      <c r="I495" s="245"/>
      <c r="J495" s="26"/>
      <c r="K495" s="26"/>
      <c r="L495" s="26"/>
      <c r="M495" s="26"/>
      <c r="N495" s="28"/>
      <c r="O495" s="26"/>
    </row>
    <row r="496" spans="3:15" ht="15">
      <c r="C496" s="25"/>
      <c r="D496" s="26"/>
      <c r="E496" s="26"/>
      <c r="F496" s="26"/>
      <c r="G496" s="27"/>
      <c r="H496" s="27"/>
      <c r="I496" s="245"/>
      <c r="J496" s="26"/>
      <c r="K496" s="26"/>
      <c r="L496" s="26"/>
      <c r="M496" s="26"/>
      <c r="N496" s="28"/>
      <c r="O496" s="26"/>
    </row>
    <row r="497" spans="3:15" ht="15">
      <c r="C497" s="25"/>
      <c r="D497" s="26"/>
      <c r="E497" s="26"/>
      <c r="F497" s="26"/>
      <c r="G497" s="27"/>
      <c r="H497" s="27"/>
      <c r="I497" s="245"/>
      <c r="J497" s="26"/>
      <c r="K497" s="26"/>
      <c r="L497" s="26"/>
      <c r="M497" s="26"/>
      <c r="N497" s="28"/>
      <c r="O497" s="26"/>
    </row>
    <row r="498" spans="3:15" ht="15">
      <c r="C498" s="25"/>
      <c r="D498" s="26"/>
      <c r="E498" s="26"/>
      <c r="F498" s="26"/>
      <c r="G498" s="27"/>
      <c r="H498" s="27"/>
      <c r="I498" s="245"/>
      <c r="J498" s="26"/>
      <c r="K498" s="26"/>
      <c r="L498" s="26"/>
      <c r="M498" s="26"/>
      <c r="N498" s="28"/>
      <c r="O498" s="26"/>
    </row>
    <row r="499" spans="3:15" ht="15">
      <c r="C499" s="25"/>
      <c r="D499" s="26"/>
      <c r="E499" s="26"/>
      <c r="F499" s="26"/>
      <c r="G499" s="27"/>
      <c r="H499" s="27"/>
      <c r="I499" s="245"/>
      <c r="J499" s="26"/>
      <c r="K499" s="26"/>
      <c r="L499" s="26"/>
      <c r="M499" s="26"/>
      <c r="N499" s="28"/>
      <c r="O499" s="26"/>
    </row>
    <row r="500" spans="3:15" ht="15">
      <c r="C500" s="25"/>
      <c r="D500" s="26"/>
      <c r="E500" s="26"/>
      <c r="F500" s="26"/>
      <c r="G500" s="27"/>
      <c r="H500" s="27"/>
      <c r="I500" s="245"/>
      <c r="J500" s="26"/>
      <c r="K500" s="26"/>
      <c r="L500" s="26"/>
      <c r="M500" s="26"/>
      <c r="N500" s="28"/>
      <c r="O500" s="26"/>
    </row>
    <row r="501" spans="3:15" ht="15">
      <c r="C501" s="25"/>
      <c r="D501" s="26"/>
      <c r="E501" s="26"/>
      <c r="F501" s="26"/>
      <c r="G501" s="27"/>
      <c r="H501" s="27"/>
      <c r="I501" s="245"/>
      <c r="J501" s="26"/>
      <c r="K501" s="26"/>
      <c r="L501" s="26"/>
      <c r="M501" s="26"/>
      <c r="N501" s="28"/>
      <c r="O501" s="26"/>
    </row>
    <row r="502" spans="3:15" ht="15">
      <c r="C502" s="25"/>
      <c r="D502" s="26"/>
      <c r="E502" s="26"/>
      <c r="F502" s="26"/>
      <c r="G502" s="27"/>
      <c r="H502" s="27"/>
      <c r="I502" s="245"/>
      <c r="J502" s="26"/>
      <c r="K502" s="26"/>
      <c r="L502" s="26"/>
      <c r="M502" s="26"/>
      <c r="N502" s="28"/>
      <c r="O502" s="26"/>
    </row>
    <row r="503" spans="3:15" ht="15">
      <c r="C503" s="25"/>
      <c r="D503" s="26"/>
      <c r="E503" s="26"/>
      <c r="F503" s="26"/>
      <c r="G503" s="27"/>
      <c r="H503" s="27"/>
      <c r="I503" s="245"/>
      <c r="J503" s="26"/>
      <c r="K503" s="26"/>
      <c r="L503" s="26"/>
      <c r="M503" s="26"/>
      <c r="N503" s="28"/>
      <c r="O503" s="26"/>
    </row>
    <row r="504" spans="3:15" ht="15">
      <c r="C504" s="25"/>
      <c r="D504" s="26"/>
      <c r="E504" s="26"/>
      <c r="F504" s="26"/>
      <c r="G504" s="27"/>
      <c r="H504" s="27"/>
      <c r="I504" s="245"/>
      <c r="J504" s="26"/>
      <c r="K504" s="26"/>
      <c r="L504" s="26"/>
      <c r="M504" s="26"/>
      <c r="N504" s="28"/>
      <c r="O504" s="26"/>
    </row>
    <row r="505" spans="3:15" ht="15">
      <c r="C505" s="25"/>
      <c r="D505" s="26"/>
      <c r="E505" s="26"/>
      <c r="F505" s="26"/>
      <c r="G505" s="27"/>
      <c r="H505" s="27"/>
      <c r="I505" s="245"/>
      <c r="J505" s="26"/>
      <c r="K505" s="26"/>
      <c r="L505" s="26"/>
      <c r="M505" s="26"/>
      <c r="N505" s="28"/>
      <c r="O505" s="26"/>
    </row>
    <row r="506" spans="3:15" ht="15">
      <c r="C506" s="25"/>
      <c r="D506" s="26"/>
      <c r="E506" s="26"/>
      <c r="F506" s="26"/>
      <c r="G506" s="27"/>
      <c r="H506" s="27"/>
      <c r="I506" s="245"/>
      <c r="J506" s="26"/>
      <c r="K506" s="26"/>
      <c r="L506" s="26"/>
      <c r="M506" s="26"/>
      <c r="N506" s="28"/>
      <c r="O506" s="26"/>
    </row>
    <row r="507" spans="3:15" ht="15">
      <c r="C507" s="25"/>
      <c r="D507" s="26"/>
      <c r="E507" s="26"/>
      <c r="F507" s="26"/>
      <c r="G507" s="27"/>
      <c r="H507" s="27"/>
      <c r="I507" s="245"/>
      <c r="J507" s="26"/>
      <c r="K507" s="26"/>
      <c r="L507" s="26"/>
      <c r="M507" s="26"/>
      <c r="N507" s="28"/>
      <c r="O507" s="26"/>
    </row>
    <row r="508" spans="3:15" ht="15">
      <c r="C508" s="25"/>
      <c r="D508" s="26"/>
      <c r="E508" s="26"/>
      <c r="F508" s="26"/>
      <c r="G508" s="27"/>
      <c r="H508" s="27"/>
      <c r="I508" s="245"/>
      <c r="J508" s="26"/>
      <c r="K508" s="26"/>
      <c r="L508" s="26"/>
      <c r="M508" s="26"/>
      <c r="N508" s="28"/>
      <c r="O508" s="26"/>
    </row>
    <row r="509" spans="3:15" ht="15">
      <c r="C509" s="25"/>
      <c r="D509" s="26"/>
      <c r="E509" s="26"/>
      <c r="F509" s="26"/>
      <c r="G509" s="27"/>
      <c r="H509" s="27"/>
      <c r="I509" s="245"/>
      <c r="J509" s="26"/>
      <c r="K509" s="26"/>
      <c r="L509" s="26"/>
      <c r="M509" s="26"/>
      <c r="N509" s="28"/>
      <c r="O509" s="26"/>
    </row>
    <row r="510" spans="3:15" ht="15">
      <c r="C510" s="25"/>
      <c r="D510" s="26"/>
      <c r="E510" s="26"/>
      <c r="F510" s="26"/>
      <c r="G510" s="27"/>
      <c r="H510" s="27"/>
      <c r="I510" s="245"/>
      <c r="J510" s="26"/>
      <c r="K510" s="26"/>
      <c r="L510" s="26"/>
      <c r="M510" s="26"/>
      <c r="N510" s="28"/>
      <c r="O510" s="26"/>
    </row>
    <row r="511" spans="3:15" ht="15">
      <c r="C511" s="25"/>
      <c r="D511" s="26"/>
      <c r="E511" s="26"/>
      <c r="F511" s="26"/>
      <c r="G511" s="27"/>
      <c r="H511" s="27"/>
      <c r="I511" s="245"/>
      <c r="J511" s="26"/>
      <c r="K511" s="26"/>
      <c r="L511" s="26"/>
      <c r="M511" s="26"/>
      <c r="N511" s="28"/>
      <c r="O511" s="26"/>
    </row>
    <row r="512" spans="3:15" ht="15">
      <c r="C512" s="25"/>
      <c r="D512" s="26"/>
      <c r="E512" s="26"/>
      <c r="F512" s="26"/>
      <c r="G512" s="27"/>
      <c r="H512" s="27"/>
      <c r="I512" s="245"/>
      <c r="J512" s="26"/>
      <c r="K512" s="26"/>
      <c r="L512" s="26"/>
      <c r="M512" s="26"/>
      <c r="N512" s="28"/>
      <c r="O512" s="26"/>
    </row>
    <row r="513" spans="3:15" ht="15">
      <c r="C513" s="25"/>
      <c r="D513" s="26"/>
      <c r="E513" s="26"/>
      <c r="F513" s="26"/>
      <c r="G513" s="27"/>
      <c r="H513" s="27"/>
      <c r="I513" s="245"/>
      <c r="J513" s="26"/>
      <c r="K513" s="26"/>
      <c r="L513" s="26"/>
      <c r="M513" s="26"/>
      <c r="N513" s="28"/>
      <c r="O513" s="26"/>
    </row>
    <row r="514" spans="3:15" ht="15">
      <c r="C514" s="25"/>
      <c r="D514" s="26"/>
      <c r="E514" s="26"/>
      <c r="F514" s="26"/>
      <c r="G514" s="27"/>
      <c r="H514" s="27"/>
      <c r="I514" s="245"/>
      <c r="J514" s="26"/>
      <c r="K514" s="26"/>
      <c r="L514" s="26"/>
      <c r="M514" s="26"/>
      <c r="N514" s="28"/>
      <c r="O514" s="26"/>
    </row>
    <row r="515" spans="3:15" ht="15">
      <c r="C515" s="25"/>
      <c r="D515" s="26"/>
      <c r="E515" s="26"/>
      <c r="F515" s="26"/>
      <c r="G515" s="27"/>
      <c r="H515" s="27"/>
      <c r="I515" s="245"/>
      <c r="J515" s="26"/>
      <c r="K515" s="26"/>
      <c r="L515" s="26"/>
      <c r="M515" s="26"/>
      <c r="N515" s="28"/>
      <c r="O515" s="26"/>
    </row>
    <row r="516" spans="3:15" ht="15">
      <c r="C516" s="25"/>
      <c r="D516" s="26"/>
      <c r="E516" s="26"/>
      <c r="F516" s="26"/>
      <c r="G516" s="27"/>
      <c r="H516" s="27"/>
      <c r="I516" s="245"/>
      <c r="J516" s="26"/>
      <c r="K516" s="26"/>
      <c r="L516" s="26"/>
      <c r="M516" s="26"/>
      <c r="N516" s="28"/>
      <c r="O516" s="26"/>
    </row>
    <row r="517" spans="3:15" ht="15">
      <c r="C517" s="25"/>
      <c r="D517" s="26"/>
      <c r="E517" s="26"/>
      <c r="F517" s="26"/>
      <c r="G517" s="27"/>
      <c r="H517" s="27"/>
      <c r="I517" s="245"/>
      <c r="J517" s="26"/>
      <c r="K517" s="26"/>
      <c r="L517" s="26"/>
      <c r="M517" s="26"/>
      <c r="N517" s="28"/>
      <c r="O517" s="26"/>
    </row>
    <row r="518" spans="3:15" ht="15">
      <c r="C518" s="25"/>
      <c r="D518" s="26"/>
      <c r="E518" s="26"/>
      <c r="F518" s="26"/>
      <c r="G518" s="27"/>
      <c r="H518" s="27"/>
      <c r="I518" s="245"/>
      <c r="J518" s="26"/>
      <c r="K518" s="26"/>
      <c r="L518" s="26"/>
      <c r="M518" s="26"/>
      <c r="N518" s="28"/>
      <c r="O518" s="26"/>
    </row>
    <row r="519" spans="3:15" ht="15">
      <c r="C519" s="25"/>
      <c r="D519" s="26"/>
      <c r="E519" s="26"/>
      <c r="F519" s="26"/>
      <c r="G519" s="27"/>
      <c r="H519" s="27"/>
      <c r="I519" s="245"/>
      <c r="J519" s="26"/>
      <c r="K519" s="26"/>
      <c r="L519" s="26"/>
      <c r="M519" s="26"/>
      <c r="N519" s="28"/>
      <c r="O519" s="26"/>
    </row>
    <row r="520" spans="3:15" ht="15">
      <c r="C520" s="25"/>
      <c r="D520" s="26"/>
      <c r="E520" s="26"/>
      <c r="F520" s="26"/>
      <c r="G520" s="27"/>
      <c r="H520" s="27"/>
      <c r="I520" s="245"/>
      <c r="J520" s="26"/>
      <c r="K520" s="26"/>
      <c r="L520" s="26"/>
      <c r="M520" s="26"/>
      <c r="N520" s="28"/>
      <c r="O520" s="26"/>
    </row>
    <row r="521" spans="3:15" ht="15">
      <c r="C521" s="25"/>
      <c r="D521" s="26"/>
      <c r="E521" s="26"/>
      <c r="F521" s="26"/>
      <c r="G521" s="27"/>
      <c r="H521" s="27"/>
      <c r="I521" s="245"/>
      <c r="J521" s="26"/>
      <c r="K521" s="26"/>
      <c r="L521" s="26"/>
      <c r="M521" s="26"/>
      <c r="N521" s="28"/>
      <c r="O521" s="26"/>
    </row>
    <row r="522" spans="3:15" ht="15">
      <c r="C522" s="25"/>
      <c r="D522" s="26"/>
      <c r="E522" s="26"/>
      <c r="F522" s="26"/>
      <c r="G522" s="27"/>
      <c r="H522" s="27"/>
      <c r="I522" s="245"/>
      <c r="J522" s="26"/>
      <c r="K522" s="26"/>
      <c r="L522" s="26"/>
      <c r="M522" s="26"/>
      <c r="N522" s="28"/>
      <c r="O522" s="26"/>
    </row>
    <row r="523" spans="3:15" ht="15">
      <c r="C523" s="25"/>
      <c r="D523" s="26"/>
      <c r="E523" s="26"/>
      <c r="F523" s="26"/>
      <c r="G523" s="27"/>
      <c r="H523" s="27"/>
      <c r="I523" s="245"/>
      <c r="J523" s="26"/>
      <c r="K523" s="26"/>
      <c r="L523" s="26"/>
      <c r="M523" s="26"/>
      <c r="N523" s="28"/>
      <c r="O523" s="26"/>
    </row>
    <row r="524" spans="3:15" ht="15">
      <c r="C524" s="25"/>
      <c r="D524" s="26"/>
      <c r="E524" s="26"/>
      <c r="F524" s="26"/>
      <c r="G524" s="27"/>
      <c r="H524" s="27"/>
      <c r="I524" s="245"/>
      <c r="J524" s="26"/>
      <c r="K524" s="26"/>
      <c r="L524" s="26"/>
      <c r="M524" s="26"/>
      <c r="N524" s="28"/>
      <c r="O524" s="26"/>
    </row>
    <row r="525" spans="3:15" ht="15">
      <c r="C525" s="25"/>
      <c r="D525" s="26"/>
      <c r="E525" s="26"/>
      <c r="F525" s="26"/>
      <c r="G525" s="27"/>
      <c r="H525" s="27"/>
      <c r="I525" s="245"/>
      <c r="J525" s="26"/>
      <c r="K525" s="26"/>
      <c r="L525" s="26"/>
      <c r="M525" s="26"/>
      <c r="N525" s="28"/>
      <c r="O525" s="26"/>
    </row>
    <row r="526" spans="3:15" ht="15">
      <c r="C526" s="25"/>
      <c r="D526" s="26"/>
      <c r="E526" s="26"/>
      <c r="F526" s="26"/>
      <c r="G526" s="27"/>
      <c r="H526" s="27"/>
      <c r="I526" s="245"/>
      <c r="J526" s="26"/>
      <c r="K526" s="26"/>
      <c r="L526" s="26"/>
      <c r="M526" s="26"/>
      <c r="N526" s="28"/>
      <c r="O526" s="26"/>
    </row>
    <row r="527" spans="3:15" ht="15">
      <c r="C527" s="25"/>
      <c r="D527" s="26"/>
      <c r="E527" s="26"/>
      <c r="F527" s="26"/>
      <c r="G527" s="27"/>
      <c r="H527" s="27"/>
      <c r="I527" s="245"/>
      <c r="J527" s="26"/>
      <c r="K527" s="26"/>
      <c r="L527" s="26"/>
      <c r="M527" s="26"/>
      <c r="N527" s="28"/>
      <c r="O527" s="26"/>
    </row>
    <row r="528" spans="3:15" ht="15">
      <c r="C528" s="25"/>
      <c r="D528" s="26"/>
      <c r="E528" s="26"/>
      <c r="F528" s="26"/>
      <c r="G528" s="27"/>
      <c r="H528" s="27"/>
      <c r="I528" s="245"/>
      <c r="J528" s="26"/>
      <c r="K528" s="26"/>
      <c r="L528" s="26"/>
      <c r="M528" s="26"/>
      <c r="N528" s="28"/>
      <c r="O528" s="26"/>
    </row>
    <row r="529" spans="3:15" ht="15">
      <c r="C529" s="25"/>
      <c r="D529" s="26"/>
      <c r="E529" s="26"/>
      <c r="F529" s="26"/>
      <c r="G529" s="27"/>
      <c r="H529" s="27"/>
      <c r="I529" s="245"/>
      <c r="J529" s="26"/>
      <c r="K529" s="26"/>
      <c r="L529" s="26"/>
      <c r="M529" s="26"/>
      <c r="N529" s="28"/>
      <c r="O529" s="26"/>
    </row>
    <row r="530" spans="3:15" ht="15">
      <c r="C530" s="25"/>
      <c r="D530" s="26"/>
      <c r="E530" s="26"/>
      <c r="F530" s="26"/>
      <c r="G530" s="27"/>
      <c r="H530" s="27"/>
      <c r="I530" s="245"/>
      <c r="J530" s="26"/>
      <c r="K530" s="26"/>
      <c r="L530" s="26"/>
      <c r="M530" s="26"/>
      <c r="N530" s="28"/>
      <c r="O530" s="26"/>
    </row>
    <row r="531" spans="3:15" ht="15">
      <c r="C531" s="25"/>
      <c r="D531" s="26"/>
      <c r="E531" s="26"/>
      <c r="F531" s="26"/>
      <c r="G531" s="27"/>
      <c r="H531" s="27"/>
      <c r="I531" s="245"/>
      <c r="J531" s="26"/>
      <c r="K531" s="26"/>
      <c r="L531" s="26"/>
      <c r="M531" s="26"/>
      <c r="N531" s="28"/>
      <c r="O531" s="26"/>
    </row>
    <row r="532" spans="3:15" ht="15">
      <c r="C532" s="25"/>
      <c r="D532" s="26"/>
      <c r="E532" s="26"/>
      <c r="F532" s="26"/>
      <c r="G532" s="27"/>
      <c r="H532" s="27"/>
      <c r="I532" s="245"/>
      <c r="J532" s="26"/>
      <c r="K532" s="26"/>
      <c r="L532" s="26"/>
      <c r="M532" s="26"/>
      <c r="N532" s="28"/>
      <c r="O532" s="26"/>
    </row>
    <row r="533" spans="3:15" ht="15">
      <c r="C533" s="25"/>
      <c r="D533" s="26"/>
      <c r="E533" s="26"/>
      <c r="F533" s="26"/>
      <c r="G533" s="27"/>
      <c r="H533" s="27"/>
      <c r="I533" s="245"/>
      <c r="J533" s="26"/>
      <c r="K533" s="26"/>
      <c r="L533" s="26"/>
      <c r="M533" s="26"/>
      <c r="N533" s="28"/>
      <c r="O533" s="26"/>
    </row>
    <row r="534" spans="3:15" ht="15">
      <c r="C534" s="25"/>
      <c r="D534" s="26"/>
      <c r="E534" s="26"/>
      <c r="F534" s="26"/>
      <c r="G534" s="27"/>
      <c r="H534" s="27"/>
      <c r="I534" s="245"/>
      <c r="J534" s="26"/>
      <c r="K534" s="26"/>
      <c r="L534" s="26"/>
      <c r="M534" s="26"/>
      <c r="N534" s="28"/>
      <c r="O534" s="26"/>
    </row>
    <row r="535" spans="3:15" ht="15">
      <c r="C535" s="25"/>
      <c r="D535" s="26"/>
      <c r="E535" s="26"/>
      <c r="F535" s="26"/>
      <c r="G535" s="27"/>
      <c r="H535" s="27"/>
      <c r="I535" s="245"/>
      <c r="J535" s="26"/>
      <c r="K535" s="26"/>
      <c r="L535" s="26"/>
      <c r="M535" s="26"/>
      <c r="N535" s="28"/>
      <c r="O535" s="26"/>
    </row>
    <row r="536" spans="3:15" ht="15">
      <c r="C536" s="25"/>
      <c r="D536" s="26"/>
      <c r="E536" s="26"/>
      <c r="F536" s="26"/>
      <c r="G536" s="27"/>
      <c r="H536" s="27"/>
      <c r="I536" s="245"/>
      <c r="J536" s="26"/>
      <c r="K536" s="26"/>
      <c r="L536" s="26"/>
      <c r="M536" s="26"/>
      <c r="N536" s="28"/>
      <c r="O536" s="26"/>
    </row>
    <row r="537" spans="3:15" ht="15">
      <c r="C537" s="25"/>
      <c r="D537" s="26"/>
      <c r="E537" s="26"/>
      <c r="F537" s="26"/>
      <c r="G537" s="27"/>
      <c r="H537" s="27"/>
      <c r="I537" s="245"/>
      <c r="J537" s="26"/>
      <c r="K537" s="26"/>
      <c r="L537" s="26"/>
      <c r="M537" s="26"/>
      <c r="N537" s="28"/>
      <c r="O537" s="26"/>
    </row>
    <row r="538" spans="3:15" ht="15">
      <c r="C538" s="25"/>
      <c r="D538" s="26"/>
      <c r="E538" s="26"/>
      <c r="F538" s="26"/>
      <c r="G538" s="27"/>
      <c r="H538" s="27"/>
      <c r="I538" s="245"/>
      <c r="J538" s="26"/>
      <c r="K538" s="26"/>
      <c r="L538" s="26"/>
      <c r="M538" s="26"/>
      <c r="N538" s="28"/>
      <c r="O538" s="26"/>
    </row>
    <row r="539" spans="3:15" ht="15">
      <c r="C539" s="25"/>
      <c r="D539" s="26"/>
      <c r="E539" s="26"/>
      <c r="F539" s="26"/>
      <c r="G539" s="27"/>
      <c r="H539" s="27"/>
      <c r="I539" s="245"/>
      <c r="J539" s="26"/>
      <c r="K539" s="26"/>
      <c r="L539" s="26"/>
      <c r="M539" s="26"/>
      <c r="N539" s="28"/>
      <c r="O539" s="26"/>
    </row>
    <row r="540" spans="3:15" ht="15">
      <c r="C540" s="25"/>
      <c r="D540" s="26"/>
      <c r="E540" s="26"/>
      <c r="F540" s="26"/>
      <c r="G540" s="27"/>
      <c r="H540" s="27"/>
      <c r="I540" s="245"/>
      <c r="J540" s="26"/>
      <c r="K540" s="26"/>
      <c r="L540" s="26"/>
      <c r="M540" s="26"/>
      <c r="N540" s="28"/>
      <c r="O540" s="26"/>
    </row>
    <row r="541" spans="3:15" ht="15">
      <c r="C541" s="25"/>
      <c r="D541" s="26"/>
      <c r="E541" s="26"/>
      <c r="F541" s="26"/>
      <c r="G541" s="27"/>
      <c r="H541" s="27"/>
      <c r="I541" s="245"/>
      <c r="J541" s="26"/>
      <c r="K541" s="26"/>
      <c r="L541" s="26"/>
      <c r="M541" s="26"/>
      <c r="N541" s="28"/>
      <c r="O541" s="26"/>
    </row>
    <row r="542" spans="3:15" ht="15">
      <c r="C542" s="25"/>
      <c r="D542" s="26"/>
      <c r="E542" s="26"/>
      <c r="F542" s="26"/>
      <c r="G542" s="27"/>
      <c r="H542" s="27"/>
      <c r="I542" s="245"/>
      <c r="J542" s="26"/>
      <c r="K542" s="26"/>
      <c r="L542" s="26"/>
      <c r="M542" s="26"/>
      <c r="N542" s="28"/>
      <c r="O542" s="26"/>
    </row>
    <row r="543" spans="3:15" ht="15">
      <c r="C543" s="25"/>
      <c r="D543" s="26"/>
      <c r="E543" s="26"/>
      <c r="F543" s="26"/>
      <c r="G543" s="27"/>
      <c r="H543" s="27"/>
      <c r="I543" s="245"/>
      <c r="J543" s="26"/>
      <c r="K543" s="26"/>
      <c r="L543" s="26"/>
      <c r="M543" s="26"/>
      <c r="N543" s="28"/>
      <c r="O543" s="26"/>
    </row>
    <row r="544" spans="3:15" ht="15">
      <c r="C544" s="25"/>
      <c r="D544" s="26"/>
      <c r="E544" s="26"/>
      <c r="F544" s="26"/>
      <c r="G544" s="27"/>
      <c r="H544" s="27"/>
      <c r="I544" s="245"/>
      <c r="J544" s="26"/>
      <c r="K544" s="26"/>
      <c r="L544" s="26"/>
      <c r="M544" s="26"/>
      <c r="N544" s="28"/>
      <c r="O544" s="26"/>
    </row>
    <row r="545" spans="3:15" ht="15">
      <c r="C545" s="25"/>
      <c r="D545" s="26"/>
      <c r="E545" s="26"/>
      <c r="F545" s="26"/>
      <c r="G545" s="27"/>
      <c r="H545" s="27"/>
      <c r="I545" s="245"/>
      <c r="J545" s="26"/>
      <c r="K545" s="26"/>
      <c r="L545" s="26"/>
      <c r="M545" s="26"/>
      <c r="N545" s="28"/>
      <c r="O545" s="26"/>
    </row>
    <row r="546" spans="3:15" ht="15">
      <c r="C546" s="25"/>
      <c r="D546" s="26"/>
      <c r="E546" s="26"/>
      <c r="F546" s="26"/>
      <c r="G546" s="27"/>
      <c r="H546" s="27"/>
      <c r="I546" s="245"/>
      <c r="J546" s="26"/>
      <c r="K546" s="26"/>
      <c r="L546" s="26"/>
      <c r="M546" s="26"/>
      <c r="N546" s="28"/>
      <c r="O546" s="26"/>
    </row>
    <row r="547" spans="3:15" ht="15">
      <c r="C547" s="25"/>
      <c r="D547" s="26"/>
      <c r="E547" s="26"/>
      <c r="F547" s="26"/>
      <c r="G547" s="27"/>
      <c r="H547" s="27"/>
      <c r="I547" s="245"/>
      <c r="J547" s="26"/>
      <c r="K547" s="26"/>
      <c r="L547" s="26"/>
      <c r="M547" s="26"/>
      <c r="N547" s="28"/>
      <c r="O547" s="26"/>
    </row>
    <row r="548" spans="3:15" ht="15">
      <c r="C548" s="25"/>
      <c r="D548" s="26"/>
      <c r="E548" s="26"/>
      <c r="F548" s="26"/>
      <c r="G548" s="27"/>
      <c r="H548" s="27"/>
      <c r="I548" s="245"/>
      <c r="J548" s="26"/>
      <c r="K548" s="26"/>
      <c r="L548" s="26"/>
      <c r="M548" s="26"/>
      <c r="N548" s="28"/>
      <c r="O548" s="26"/>
    </row>
    <row r="549" spans="3:15" ht="15">
      <c r="C549" s="25"/>
      <c r="D549" s="26"/>
      <c r="E549" s="26"/>
      <c r="F549" s="26"/>
      <c r="G549" s="27"/>
      <c r="H549" s="27"/>
      <c r="I549" s="245"/>
      <c r="J549" s="26"/>
      <c r="K549" s="26"/>
      <c r="L549" s="26"/>
      <c r="M549" s="26"/>
      <c r="N549" s="28"/>
      <c r="O549" s="26"/>
    </row>
    <row r="550" spans="3:15" ht="15">
      <c r="C550" s="25"/>
      <c r="D550" s="26"/>
      <c r="E550" s="26"/>
      <c r="F550" s="26"/>
      <c r="G550" s="27"/>
      <c r="H550" s="27"/>
      <c r="I550" s="245"/>
      <c r="J550" s="26"/>
      <c r="K550" s="26"/>
      <c r="L550" s="26"/>
      <c r="M550" s="26"/>
      <c r="N550" s="28"/>
      <c r="O550" s="26"/>
    </row>
    <row r="551" spans="3:15" ht="15">
      <c r="C551" s="25"/>
      <c r="D551" s="26"/>
      <c r="E551" s="26"/>
      <c r="F551" s="26"/>
      <c r="G551" s="27"/>
      <c r="H551" s="27"/>
      <c r="I551" s="245"/>
      <c r="J551" s="26"/>
      <c r="K551" s="26"/>
      <c r="L551" s="26"/>
      <c r="M551" s="26"/>
      <c r="N551" s="28"/>
      <c r="O551" s="26"/>
    </row>
    <row r="552" spans="3:15" ht="15">
      <c r="C552" s="25"/>
      <c r="D552" s="26"/>
      <c r="E552" s="26"/>
      <c r="F552" s="26"/>
      <c r="G552" s="27"/>
      <c r="H552" s="27"/>
      <c r="I552" s="245"/>
      <c r="J552" s="26"/>
      <c r="K552" s="26"/>
      <c r="L552" s="26"/>
      <c r="M552" s="26"/>
      <c r="N552" s="28"/>
      <c r="O552" s="26"/>
    </row>
    <row r="553" spans="3:15" ht="15">
      <c r="C553" s="25"/>
      <c r="D553" s="26"/>
      <c r="E553" s="26"/>
      <c r="F553" s="26"/>
      <c r="G553" s="27"/>
      <c r="H553" s="27"/>
      <c r="I553" s="245"/>
      <c r="J553" s="26"/>
      <c r="K553" s="26"/>
      <c r="L553" s="26"/>
      <c r="M553" s="26"/>
      <c r="N553" s="28"/>
      <c r="O553" s="26"/>
    </row>
    <row r="554" spans="3:15" ht="15">
      <c r="C554" s="25"/>
      <c r="D554" s="26"/>
      <c r="E554" s="26"/>
      <c r="F554" s="26"/>
      <c r="G554" s="27"/>
      <c r="H554" s="27"/>
      <c r="I554" s="245"/>
      <c r="J554" s="26"/>
      <c r="K554" s="26"/>
      <c r="L554" s="26"/>
      <c r="M554" s="26"/>
      <c r="N554" s="28"/>
      <c r="O554" s="26"/>
    </row>
    <row r="555" spans="3:15" ht="15">
      <c r="C555" s="25"/>
      <c r="D555" s="26"/>
      <c r="E555" s="26"/>
      <c r="F555" s="26"/>
      <c r="G555" s="27"/>
      <c r="H555" s="27"/>
      <c r="I555" s="245"/>
      <c r="J555" s="26"/>
      <c r="K555" s="26"/>
      <c r="L555" s="26"/>
      <c r="M555" s="26"/>
      <c r="N555" s="28"/>
      <c r="O555" s="26"/>
    </row>
    <row r="556" spans="3:15" ht="15">
      <c r="C556" s="25"/>
      <c r="D556" s="26"/>
      <c r="E556" s="26"/>
      <c r="F556" s="26"/>
      <c r="G556" s="27"/>
      <c r="H556" s="27"/>
      <c r="I556" s="245"/>
      <c r="J556" s="26"/>
      <c r="K556" s="26"/>
      <c r="L556" s="26"/>
      <c r="M556" s="26"/>
      <c r="N556" s="28"/>
      <c r="O556" s="26"/>
    </row>
    <row r="557" spans="3:15" ht="15">
      <c r="C557" s="25"/>
      <c r="D557" s="26"/>
      <c r="E557" s="26"/>
      <c r="F557" s="26"/>
      <c r="G557" s="27"/>
      <c r="H557" s="27"/>
      <c r="I557" s="245"/>
      <c r="J557" s="26"/>
      <c r="K557" s="26"/>
      <c r="L557" s="26"/>
      <c r="M557" s="26"/>
      <c r="N557" s="28"/>
      <c r="O557" s="26"/>
    </row>
    <row r="558" spans="3:15" ht="15">
      <c r="C558" s="25"/>
      <c r="D558" s="26"/>
      <c r="E558" s="26"/>
      <c r="F558" s="26"/>
      <c r="G558" s="27"/>
      <c r="H558" s="27"/>
      <c r="I558" s="245"/>
      <c r="J558" s="26"/>
      <c r="K558" s="26"/>
      <c r="L558" s="26"/>
      <c r="M558" s="26"/>
      <c r="N558" s="28"/>
      <c r="O558" s="26"/>
    </row>
    <row r="559" spans="3:15" ht="15">
      <c r="C559" s="25"/>
      <c r="D559" s="26"/>
      <c r="E559" s="26"/>
      <c r="F559" s="26"/>
      <c r="G559" s="27"/>
      <c r="H559" s="27"/>
      <c r="I559" s="245"/>
      <c r="J559" s="26"/>
      <c r="K559" s="26"/>
      <c r="L559" s="26"/>
      <c r="M559" s="26"/>
      <c r="N559" s="28"/>
      <c r="O559" s="26"/>
    </row>
    <row r="560" spans="3:15" ht="15">
      <c r="C560" s="25"/>
      <c r="D560" s="26"/>
      <c r="E560" s="26"/>
      <c r="F560" s="26"/>
      <c r="G560" s="27"/>
      <c r="H560" s="27"/>
      <c r="I560" s="245"/>
      <c r="J560" s="26"/>
      <c r="K560" s="26"/>
      <c r="L560" s="26"/>
      <c r="M560" s="26"/>
      <c r="N560" s="28"/>
      <c r="O560" s="26"/>
    </row>
    <row r="561" spans="3:15" ht="15">
      <c r="C561" s="25"/>
      <c r="D561" s="26"/>
      <c r="E561" s="26"/>
      <c r="F561" s="26"/>
      <c r="G561" s="27"/>
      <c r="H561" s="27"/>
      <c r="I561" s="245"/>
      <c r="J561" s="26"/>
      <c r="K561" s="26"/>
      <c r="L561" s="26"/>
      <c r="M561" s="26"/>
      <c r="N561" s="28"/>
      <c r="O561" s="26"/>
    </row>
    <row r="562" spans="3:15" ht="15">
      <c r="C562" s="25"/>
      <c r="D562" s="26"/>
      <c r="E562" s="26"/>
      <c r="F562" s="26"/>
      <c r="G562" s="27"/>
      <c r="H562" s="27"/>
      <c r="I562" s="245"/>
      <c r="J562" s="26"/>
      <c r="K562" s="26"/>
      <c r="L562" s="26"/>
      <c r="M562" s="26"/>
      <c r="N562" s="28"/>
      <c r="O562" s="26"/>
    </row>
    <row r="563" spans="3:15" ht="15">
      <c r="C563" s="25"/>
      <c r="D563" s="26"/>
      <c r="E563" s="26"/>
      <c r="F563" s="26"/>
      <c r="G563" s="27"/>
      <c r="H563" s="27"/>
      <c r="I563" s="245"/>
      <c r="J563" s="26"/>
      <c r="K563" s="26"/>
      <c r="L563" s="26"/>
      <c r="M563" s="26"/>
      <c r="N563" s="28"/>
      <c r="O563" s="26"/>
    </row>
    <row r="564" spans="3:15" ht="15">
      <c r="C564" s="25"/>
      <c r="D564" s="26"/>
      <c r="E564" s="26"/>
      <c r="F564" s="26"/>
      <c r="G564" s="27"/>
      <c r="H564" s="27"/>
      <c r="I564" s="245"/>
      <c r="J564" s="26"/>
      <c r="K564" s="26"/>
      <c r="L564" s="26"/>
      <c r="M564" s="26"/>
      <c r="N564" s="28"/>
      <c r="O564" s="26"/>
    </row>
    <row r="565" spans="3:15" ht="15">
      <c r="C565" s="25"/>
      <c r="D565" s="26"/>
      <c r="E565" s="26"/>
      <c r="F565" s="26"/>
      <c r="G565" s="27"/>
      <c r="H565" s="27"/>
      <c r="I565" s="245"/>
      <c r="J565" s="26"/>
      <c r="K565" s="26"/>
      <c r="L565" s="26"/>
      <c r="M565" s="26"/>
      <c r="N565" s="28"/>
      <c r="O565" s="26"/>
    </row>
    <row r="566" spans="3:15" ht="15">
      <c r="C566" s="25"/>
      <c r="D566" s="26"/>
      <c r="E566" s="26"/>
      <c r="F566" s="26"/>
      <c r="G566" s="27"/>
      <c r="H566" s="27"/>
      <c r="I566" s="245"/>
      <c r="J566" s="26"/>
      <c r="K566" s="26"/>
      <c r="L566" s="26"/>
      <c r="M566" s="26"/>
      <c r="N566" s="28"/>
      <c r="O566" s="26"/>
    </row>
    <row r="567" spans="3:15" ht="15">
      <c r="C567" s="25"/>
      <c r="D567" s="26"/>
      <c r="E567" s="26"/>
      <c r="F567" s="26"/>
      <c r="G567" s="27"/>
      <c r="H567" s="27"/>
      <c r="I567" s="245"/>
      <c r="J567" s="26"/>
      <c r="K567" s="26"/>
      <c r="L567" s="26"/>
      <c r="M567" s="26"/>
      <c r="N567" s="28"/>
      <c r="O567" s="26"/>
    </row>
    <row r="568" spans="3:15" ht="15">
      <c r="C568" s="25"/>
      <c r="D568" s="26"/>
      <c r="E568" s="26"/>
      <c r="F568" s="26"/>
      <c r="G568" s="27"/>
      <c r="H568" s="27"/>
      <c r="I568" s="245"/>
      <c r="J568" s="26"/>
      <c r="K568" s="26"/>
      <c r="L568" s="26"/>
      <c r="M568" s="26"/>
      <c r="N568" s="28"/>
      <c r="O568" s="26"/>
    </row>
    <row r="569" spans="3:15" ht="15">
      <c r="C569" s="25"/>
      <c r="D569" s="26"/>
      <c r="E569" s="26"/>
      <c r="F569" s="26"/>
      <c r="G569" s="27"/>
      <c r="H569" s="27"/>
      <c r="I569" s="245"/>
      <c r="J569" s="26"/>
      <c r="K569" s="26"/>
      <c r="L569" s="26"/>
      <c r="M569" s="26"/>
      <c r="N569" s="28"/>
      <c r="O569" s="26"/>
    </row>
    <row r="570" spans="3:15" ht="15">
      <c r="C570" s="25"/>
      <c r="D570" s="26"/>
      <c r="E570" s="26"/>
      <c r="F570" s="26"/>
      <c r="G570" s="27"/>
      <c r="H570" s="27"/>
      <c r="I570" s="245"/>
      <c r="J570" s="26"/>
      <c r="K570" s="26"/>
      <c r="L570" s="26"/>
      <c r="M570" s="26"/>
      <c r="N570" s="28"/>
      <c r="O570" s="26"/>
    </row>
    <row r="571" spans="3:15" ht="15">
      <c r="C571" s="25"/>
      <c r="D571" s="26"/>
      <c r="E571" s="26"/>
      <c r="F571" s="26"/>
      <c r="G571" s="27"/>
      <c r="H571" s="27"/>
      <c r="I571" s="245"/>
      <c r="J571" s="26"/>
      <c r="K571" s="26"/>
      <c r="L571" s="26"/>
      <c r="M571" s="26"/>
      <c r="N571" s="28"/>
      <c r="O571" s="26"/>
    </row>
    <row r="572" spans="3:15" ht="15">
      <c r="C572" s="25"/>
      <c r="D572" s="26"/>
      <c r="E572" s="26"/>
      <c r="F572" s="26"/>
      <c r="G572" s="27"/>
      <c r="H572" s="27"/>
      <c r="I572" s="245"/>
      <c r="J572" s="26"/>
      <c r="K572" s="26"/>
      <c r="L572" s="26"/>
      <c r="M572" s="26"/>
      <c r="N572" s="28"/>
      <c r="O572" s="26"/>
    </row>
    <row r="573" spans="3:15" ht="15">
      <c r="C573" s="25"/>
      <c r="D573" s="26"/>
      <c r="E573" s="26"/>
      <c r="F573" s="26"/>
      <c r="G573" s="27"/>
      <c r="H573" s="27"/>
      <c r="I573" s="245"/>
      <c r="J573" s="26"/>
      <c r="K573" s="26"/>
      <c r="L573" s="26"/>
      <c r="M573" s="26"/>
      <c r="N573" s="28"/>
      <c r="O573" s="26"/>
    </row>
    <row r="574" spans="3:15" ht="15">
      <c r="C574" s="25"/>
      <c r="D574" s="26"/>
      <c r="E574" s="26"/>
      <c r="F574" s="26"/>
      <c r="G574" s="27"/>
      <c r="H574" s="27"/>
      <c r="I574" s="245"/>
      <c r="J574" s="26"/>
      <c r="K574" s="26"/>
      <c r="L574" s="26"/>
      <c r="M574" s="26"/>
      <c r="N574" s="28"/>
      <c r="O574" s="26"/>
    </row>
    <row r="575" spans="3:15" ht="15">
      <c r="C575" s="25"/>
      <c r="D575" s="26"/>
      <c r="E575" s="26"/>
      <c r="F575" s="26"/>
      <c r="G575" s="27"/>
      <c r="H575" s="27"/>
      <c r="I575" s="245"/>
      <c r="J575" s="26"/>
      <c r="K575" s="26"/>
      <c r="L575" s="26"/>
      <c r="M575" s="26"/>
      <c r="N575" s="28"/>
      <c r="O575" s="26"/>
    </row>
    <row r="576" spans="3:15" ht="15">
      <c r="C576" s="25"/>
      <c r="D576" s="26"/>
      <c r="E576" s="26"/>
      <c r="F576" s="26"/>
      <c r="G576" s="27"/>
      <c r="H576" s="27"/>
      <c r="I576" s="245"/>
      <c r="J576" s="26"/>
      <c r="K576" s="26"/>
      <c r="L576" s="26"/>
      <c r="M576" s="26"/>
      <c r="N576" s="28"/>
      <c r="O576" s="26"/>
    </row>
    <row r="577" spans="3:15" ht="15">
      <c r="C577" s="25"/>
      <c r="D577" s="26"/>
      <c r="E577" s="26"/>
      <c r="F577" s="26"/>
      <c r="G577" s="27"/>
      <c r="H577" s="27"/>
      <c r="I577" s="245"/>
      <c r="J577" s="26"/>
      <c r="K577" s="26"/>
      <c r="L577" s="26"/>
      <c r="M577" s="26"/>
      <c r="N577" s="28"/>
      <c r="O577" s="26"/>
    </row>
    <row r="578" spans="3:15" ht="15">
      <c r="C578" s="25"/>
      <c r="D578" s="26"/>
      <c r="E578" s="26"/>
      <c r="F578" s="26"/>
      <c r="G578" s="27"/>
      <c r="H578" s="27"/>
      <c r="I578" s="245"/>
      <c r="J578" s="26"/>
      <c r="K578" s="26"/>
      <c r="L578" s="26"/>
      <c r="M578" s="26"/>
      <c r="N578" s="28"/>
      <c r="O578" s="26"/>
    </row>
    <row r="579" spans="3:15" ht="15">
      <c r="C579" s="25"/>
      <c r="D579" s="26"/>
      <c r="E579" s="26"/>
      <c r="F579" s="26"/>
      <c r="G579" s="27"/>
      <c r="H579" s="27"/>
      <c r="I579" s="245"/>
      <c r="J579" s="26"/>
      <c r="K579" s="26"/>
      <c r="L579" s="26"/>
      <c r="M579" s="26"/>
      <c r="N579" s="28"/>
      <c r="O579" s="26"/>
    </row>
    <row r="580" spans="3:15" ht="15">
      <c r="C580" s="25"/>
      <c r="D580" s="26"/>
      <c r="E580" s="26"/>
      <c r="F580" s="26"/>
      <c r="G580" s="27"/>
      <c r="H580" s="27"/>
      <c r="I580" s="245"/>
      <c r="J580" s="26"/>
      <c r="K580" s="26"/>
      <c r="L580" s="26"/>
      <c r="M580" s="26"/>
      <c r="N580" s="28"/>
      <c r="O580" s="26"/>
    </row>
    <row r="581" spans="3:15" ht="15">
      <c r="C581" s="25"/>
      <c r="D581" s="26"/>
      <c r="E581" s="26"/>
      <c r="F581" s="26"/>
      <c r="G581" s="27"/>
      <c r="H581" s="27"/>
      <c r="I581" s="245"/>
      <c r="J581" s="26"/>
      <c r="K581" s="26"/>
      <c r="L581" s="26"/>
      <c r="M581" s="26"/>
      <c r="N581" s="28"/>
      <c r="O581" s="26"/>
    </row>
    <row r="582" spans="3:15" ht="15">
      <c r="C582" s="25"/>
      <c r="D582" s="26"/>
      <c r="E582" s="26"/>
      <c r="F582" s="26"/>
      <c r="G582" s="27"/>
      <c r="H582" s="27"/>
      <c r="I582" s="245"/>
      <c r="J582" s="26"/>
      <c r="K582" s="26"/>
      <c r="L582" s="26"/>
      <c r="M582" s="26"/>
      <c r="N582" s="28"/>
      <c r="O582" s="26"/>
    </row>
    <row r="583" spans="3:15" ht="15">
      <c r="C583" s="25"/>
      <c r="D583" s="26"/>
      <c r="E583" s="26"/>
      <c r="F583" s="26"/>
      <c r="G583" s="27"/>
      <c r="H583" s="27"/>
      <c r="I583" s="245"/>
      <c r="J583" s="26"/>
      <c r="K583" s="26"/>
      <c r="L583" s="26"/>
      <c r="M583" s="26"/>
      <c r="N583" s="28"/>
      <c r="O583" s="26"/>
    </row>
    <row r="584" spans="3:15" ht="15">
      <c r="C584" s="25"/>
      <c r="D584" s="26"/>
      <c r="E584" s="26"/>
      <c r="F584" s="26"/>
      <c r="G584" s="27"/>
      <c r="H584" s="27"/>
      <c r="I584" s="245"/>
      <c r="J584" s="26"/>
      <c r="K584" s="26"/>
      <c r="L584" s="26"/>
      <c r="M584" s="26"/>
      <c r="N584" s="28"/>
      <c r="O584" s="26"/>
    </row>
    <row r="585" spans="3:15" ht="15">
      <c r="C585" s="25"/>
      <c r="D585" s="26"/>
      <c r="E585" s="26"/>
      <c r="F585" s="26"/>
      <c r="G585" s="27"/>
      <c r="H585" s="27"/>
      <c r="I585" s="245"/>
      <c r="J585" s="26"/>
      <c r="K585" s="26"/>
      <c r="L585" s="26"/>
      <c r="M585" s="26"/>
      <c r="N585" s="28"/>
      <c r="O585" s="26"/>
    </row>
    <row r="586" spans="3:15" ht="15">
      <c r="C586" s="25"/>
      <c r="D586" s="26"/>
      <c r="E586" s="26"/>
      <c r="F586" s="26"/>
      <c r="G586" s="27"/>
      <c r="H586" s="27"/>
      <c r="I586" s="245"/>
      <c r="J586" s="26"/>
      <c r="K586" s="26"/>
      <c r="L586" s="26"/>
      <c r="M586" s="26"/>
      <c r="N586" s="28"/>
      <c r="O586" s="26"/>
    </row>
    <row r="587" spans="3:15" ht="15">
      <c r="C587" s="25"/>
      <c r="D587" s="26"/>
      <c r="E587" s="26"/>
      <c r="F587" s="26"/>
      <c r="G587" s="27"/>
      <c r="H587" s="27"/>
      <c r="I587" s="245"/>
      <c r="J587" s="26"/>
      <c r="K587" s="26"/>
      <c r="L587" s="26"/>
      <c r="M587" s="26"/>
      <c r="N587" s="28"/>
      <c r="O587" s="26"/>
    </row>
    <row r="588" spans="3:15" ht="15">
      <c r="C588" s="25"/>
      <c r="D588" s="26"/>
      <c r="E588" s="26"/>
      <c r="F588" s="26"/>
      <c r="G588" s="27"/>
      <c r="H588" s="27"/>
      <c r="I588" s="245"/>
      <c r="J588" s="26"/>
      <c r="K588" s="26"/>
      <c r="L588" s="26"/>
      <c r="M588" s="26"/>
      <c r="N588" s="28"/>
      <c r="O588" s="26"/>
    </row>
    <row r="589" spans="3:15" ht="15">
      <c r="C589" s="25"/>
      <c r="D589" s="26"/>
      <c r="E589" s="26"/>
      <c r="F589" s="26"/>
      <c r="G589" s="27"/>
      <c r="H589" s="27"/>
      <c r="I589" s="245"/>
      <c r="J589" s="26"/>
      <c r="K589" s="26"/>
      <c r="L589" s="26"/>
      <c r="M589" s="26"/>
      <c r="N589" s="28"/>
      <c r="O589" s="26"/>
    </row>
    <row r="590" spans="3:15" ht="15">
      <c r="C590" s="25"/>
      <c r="D590" s="26"/>
      <c r="E590" s="26"/>
      <c r="F590" s="26"/>
      <c r="G590" s="27"/>
      <c r="H590" s="27"/>
      <c r="I590" s="245"/>
      <c r="J590" s="26"/>
      <c r="K590" s="26"/>
      <c r="L590" s="26"/>
      <c r="M590" s="26"/>
      <c r="N590" s="28"/>
      <c r="O590" s="26"/>
    </row>
    <row r="591" spans="3:15" ht="15">
      <c r="C591" s="25"/>
      <c r="D591" s="26"/>
      <c r="E591" s="26"/>
      <c r="F591" s="26"/>
      <c r="G591" s="27"/>
      <c r="H591" s="27"/>
      <c r="I591" s="245"/>
      <c r="J591" s="26"/>
      <c r="K591" s="26"/>
      <c r="L591" s="26"/>
      <c r="M591" s="26"/>
      <c r="N591" s="28"/>
      <c r="O591" s="26"/>
    </row>
    <row r="592" spans="3:15" ht="15">
      <c r="C592" s="25"/>
      <c r="D592" s="26"/>
      <c r="E592" s="26"/>
      <c r="F592" s="26"/>
      <c r="G592" s="27"/>
      <c r="H592" s="27"/>
      <c r="I592" s="245"/>
      <c r="J592" s="26"/>
      <c r="K592" s="26"/>
      <c r="L592" s="26"/>
      <c r="M592" s="26"/>
      <c r="N592" s="28"/>
      <c r="O592" s="26"/>
    </row>
    <row r="593" spans="3:15" ht="15">
      <c r="C593" s="25"/>
      <c r="D593" s="26"/>
      <c r="E593" s="26"/>
      <c r="F593" s="26"/>
      <c r="G593" s="27"/>
      <c r="H593" s="27"/>
      <c r="I593" s="245"/>
      <c r="J593" s="26"/>
      <c r="K593" s="26"/>
      <c r="L593" s="26"/>
      <c r="M593" s="26"/>
      <c r="N593" s="28"/>
      <c r="O593" s="26"/>
    </row>
    <row r="594" spans="3:15" ht="15">
      <c r="C594" s="25"/>
      <c r="D594" s="26"/>
      <c r="E594" s="26"/>
      <c r="F594" s="26"/>
      <c r="G594" s="27"/>
      <c r="H594" s="27"/>
      <c r="I594" s="245"/>
      <c r="J594" s="26"/>
      <c r="K594" s="26"/>
      <c r="L594" s="26"/>
      <c r="M594" s="26"/>
      <c r="N594" s="28"/>
      <c r="O594" s="26"/>
    </row>
    <row r="595" spans="3:15" ht="15">
      <c r="C595" s="25"/>
      <c r="D595" s="26"/>
      <c r="E595" s="26"/>
      <c r="F595" s="26"/>
      <c r="G595" s="27"/>
      <c r="H595" s="27"/>
      <c r="I595" s="245"/>
      <c r="J595" s="26"/>
      <c r="K595" s="26"/>
      <c r="L595" s="26"/>
      <c r="M595" s="26"/>
      <c r="N595" s="28"/>
      <c r="O595" s="26"/>
    </row>
    <row r="596" spans="3:15" ht="15">
      <c r="C596" s="25"/>
      <c r="D596" s="26"/>
      <c r="E596" s="26"/>
      <c r="F596" s="26"/>
      <c r="G596" s="27"/>
      <c r="H596" s="27"/>
      <c r="I596" s="245"/>
      <c r="J596" s="26"/>
      <c r="K596" s="26"/>
      <c r="L596" s="26"/>
      <c r="M596" s="26"/>
      <c r="N596" s="28"/>
      <c r="O596" s="26"/>
    </row>
    <row r="597" spans="3:15" ht="15">
      <c r="C597" s="25"/>
      <c r="D597" s="26"/>
      <c r="E597" s="26"/>
      <c r="F597" s="26"/>
      <c r="G597" s="27"/>
      <c r="H597" s="27"/>
      <c r="I597" s="245"/>
      <c r="J597" s="26"/>
      <c r="K597" s="26"/>
      <c r="L597" s="26"/>
      <c r="M597" s="26"/>
      <c r="N597" s="28"/>
      <c r="O597" s="26"/>
    </row>
    <row r="598" spans="3:15" ht="15">
      <c r="C598" s="25"/>
      <c r="D598" s="26"/>
      <c r="E598" s="26"/>
      <c r="F598" s="26"/>
      <c r="G598" s="27"/>
      <c r="H598" s="27"/>
      <c r="I598" s="245"/>
      <c r="J598" s="26"/>
      <c r="K598" s="26"/>
      <c r="L598" s="26"/>
      <c r="M598" s="26"/>
      <c r="N598" s="28"/>
      <c r="O598" s="26"/>
    </row>
    <row r="599" spans="3:15" ht="15">
      <c r="C599" s="25"/>
      <c r="D599" s="26"/>
      <c r="E599" s="26"/>
      <c r="F599" s="26"/>
      <c r="G599" s="27"/>
      <c r="H599" s="27"/>
      <c r="I599" s="245"/>
      <c r="J599" s="26"/>
      <c r="K599" s="26"/>
      <c r="L599" s="26"/>
      <c r="M599" s="26"/>
      <c r="N599" s="28"/>
      <c r="O599" s="26"/>
    </row>
    <row r="600" spans="3:15" ht="15">
      <c r="C600" s="25"/>
      <c r="D600" s="26"/>
      <c r="E600" s="26"/>
      <c r="F600" s="26"/>
      <c r="G600" s="27"/>
      <c r="H600" s="27"/>
      <c r="I600" s="245"/>
      <c r="J600" s="26"/>
      <c r="K600" s="26"/>
      <c r="L600" s="26"/>
      <c r="M600" s="26"/>
      <c r="N600" s="28"/>
      <c r="O600" s="26"/>
    </row>
    <row r="601" spans="3:15" ht="15">
      <c r="C601" s="25"/>
      <c r="D601" s="26"/>
      <c r="E601" s="26"/>
      <c r="F601" s="26"/>
      <c r="G601" s="27"/>
      <c r="H601" s="27"/>
      <c r="I601" s="245"/>
      <c r="J601" s="26"/>
      <c r="K601" s="26"/>
      <c r="L601" s="26"/>
      <c r="M601" s="26"/>
      <c r="N601" s="28"/>
      <c r="O601" s="26"/>
    </row>
    <row r="602" spans="3:15" ht="15">
      <c r="C602" s="25"/>
      <c r="D602" s="26"/>
      <c r="E602" s="26"/>
      <c r="F602" s="26"/>
      <c r="G602" s="27"/>
      <c r="H602" s="27"/>
      <c r="I602" s="245"/>
      <c r="J602" s="26"/>
      <c r="K602" s="26"/>
      <c r="L602" s="26"/>
      <c r="M602" s="26"/>
      <c r="N602" s="28"/>
      <c r="O602" s="26"/>
    </row>
    <row r="603" spans="3:15" ht="15">
      <c r="C603" s="25"/>
      <c r="D603" s="26"/>
      <c r="E603" s="26"/>
      <c r="F603" s="26"/>
      <c r="G603" s="27"/>
      <c r="H603" s="27"/>
      <c r="I603" s="245"/>
      <c r="J603" s="26"/>
      <c r="K603" s="26"/>
      <c r="L603" s="26"/>
      <c r="M603" s="26"/>
      <c r="N603" s="28"/>
      <c r="O603" s="26"/>
    </row>
    <row r="604" spans="3:15" ht="15">
      <c r="C604" s="25"/>
      <c r="D604" s="26"/>
      <c r="E604" s="26"/>
      <c r="F604" s="26"/>
      <c r="G604" s="27"/>
      <c r="H604" s="27"/>
      <c r="I604" s="245"/>
      <c r="J604" s="26"/>
      <c r="K604" s="26"/>
      <c r="L604" s="26"/>
      <c r="M604" s="26"/>
      <c r="N604" s="28"/>
      <c r="O604" s="26"/>
    </row>
    <row r="605" spans="3:15" ht="15">
      <c r="C605" s="25"/>
      <c r="D605" s="26"/>
      <c r="E605" s="26"/>
      <c r="F605" s="26"/>
      <c r="G605" s="27"/>
      <c r="H605" s="27"/>
      <c r="I605" s="245"/>
      <c r="J605" s="26"/>
      <c r="K605" s="26"/>
      <c r="L605" s="26"/>
      <c r="M605" s="26"/>
      <c r="N605" s="28"/>
      <c r="O605" s="26"/>
    </row>
    <row r="606" spans="3:15" ht="15">
      <c r="C606" s="25"/>
      <c r="D606" s="26"/>
      <c r="E606" s="26"/>
      <c r="F606" s="26"/>
      <c r="G606" s="27"/>
      <c r="H606" s="27"/>
      <c r="I606" s="245"/>
      <c r="J606" s="26"/>
      <c r="K606" s="26"/>
      <c r="L606" s="26"/>
      <c r="M606" s="26"/>
      <c r="N606" s="28"/>
      <c r="O606" s="26"/>
    </row>
    <row r="607" spans="3:15" ht="15">
      <c r="C607" s="25"/>
      <c r="D607" s="26"/>
      <c r="E607" s="26"/>
      <c r="F607" s="26"/>
      <c r="G607" s="27"/>
      <c r="H607" s="27"/>
      <c r="I607" s="245"/>
      <c r="J607" s="26"/>
      <c r="K607" s="26"/>
      <c r="L607" s="26"/>
      <c r="M607" s="26"/>
      <c r="N607" s="28"/>
      <c r="O607" s="26"/>
    </row>
    <row r="608" spans="3:15" ht="15">
      <c r="C608" s="25"/>
      <c r="D608" s="26"/>
      <c r="E608" s="26"/>
      <c r="F608" s="26"/>
      <c r="G608" s="27"/>
      <c r="H608" s="27"/>
      <c r="I608" s="245"/>
      <c r="J608" s="26"/>
      <c r="K608" s="26"/>
      <c r="L608" s="26"/>
      <c r="M608" s="26"/>
      <c r="N608" s="28"/>
      <c r="O608" s="26"/>
    </row>
    <row r="609" spans="3:15" ht="15">
      <c r="C609" s="25"/>
      <c r="D609" s="26"/>
      <c r="E609" s="26"/>
      <c r="F609" s="26"/>
      <c r="G609" s="27"/>
      <c r="H609" s="27"/>
      <c r="I609" s="245"/>
      <c r="J609" s="26"/>
      <c r="K609" s="26"/>
      <c r="L609" s="26"/>
      <c r="M609" s="26"/>
      <c r="N609" s="28"/>
      <c r="O609" s="26"/>
    </row>
    <row r="610" spans="3:15" ht="15">
      <c r="C610" s="25"/>
      <c r="D610" s="26"/>
      <c r="E610" s="26"/>
      <c r="F610" s="26"/>
      <c r="G610" s="27"/>
      <c r="H610" s="27"/>
      <c r="I610" s="245"/>
      <c r="J610" s="26"/>
      <c r="K610" s="26"/>
      <c r="L610" s="26"/>
      <c r="M610" s="26"/>
      <c r="N610" s="28"/>
      <c r="O610" s="26"/>
    </row>
    <row r="611" spans="3:15" ht="15">
      <c r="C611" s="25"/>
      <c r="D611" s="26"/>
      <c r="E611" s="26"/>
      <c r="F611" s="26"/>
      <c r="G611" s="27"/>
      <c r="H611" s="27"/>
      <c r="I611" s="245"/>
      <c r="J611" s="26"/>
      <c r="K611" s="26"/>
      <c r="L611" s="26"/>
      <c r="M611" s="26"/>
      <c r="N611" s="28"/>
      <c r="O611" s="26"/>
    </row>
    <row r="612" spans="3:15" ht="15">
      <c r="C612" s="25"/>
      <c r="D612" s="26"/>
      <c r="E612" s="26"/>
      <c r="F612" s="26"/>
      <c r="G612" s="27"/>
      <c r="H612" s="27"/>
      <c r="I612" s="245"/>
      <c r="J612" s="26"/>
      <c r="K612" s="26"/>
      <c r="L612" s="26"/>
      <c r="M612" s="26"/>
      <c r="N612" s="28"/>
      <c r="O612" s="26"/>
    </row>
    <row r="613" spans="3:15" ht="15">
      <c r="C613" s="25"/>
      <c r="D613" s="26"/>
      <c r="E613" s="26"/>
      <c r="F613" s="26"/>
      <c r="G613" s="27"/>
      <c r="H613" s="27"/>
      <c r="I613" s="245"/>
      <c r="J613" s="26"/>
      <c r="K613" s="26"/>
      <c r="L613" s="26"/>
      <c r="M613" s="26"/>
      <c r="N613" s="28"/>
      <c r="O613" s="26"/>
    </row>
    <row r="614" spans="3:15" ht="15">
      <c r="C614" s="25"/>
      <c r="D614" s="26"/>
      <c r="E614" s="26"/>
      <c r="F614" s="26"/>
      <c r="G614" s="27"/>
      <c r="H614" s="27"/>
      <c r="I614" s="245"/>
      <c r="J614" s="26"/>
      <c r="K614" s="26"/>
      <c r="L614" s="26"/>
      <c r="M614" s="26"/>
      <c r="N614" s="28"/>
      <c r="O614" s="26"/>
    </row>
    <row r="615" spans="3:15" ht="15">
      <c r="C615" s="25"/>
      <c r="D615" s="26"/>
      <c r="E615" s="26"/>
      <c r="F615" s="26"/>
      <c r="G615" s="27"/>
      <c r="H615" s="27"/>
      <c r="I615" s="245"/>
      <c r="J615" s="26"/>
      <c r="K615" s="26"/>
      <c r="L615" s="26"/>
      <c r="M615" s="26"/>
      <c r="N615" s="28"/>
      <c r="O615" s="26"/>
    </row>
    <row r="616" spans="3:15" ht="15">
      <c r="C616" s="25"/>
      <c r="D616" s="26"/>
      <c r="E616" s="26"/>
      <c r="F616" s="26"/>
      <c r="G616" s="27"/>
      <c r="H616" s="27"/>
      <c r="I616" s="245"/>
      <c r="J616" s="26"/>
      <c r="K616" s="26"/>
      <c r="L616" s="26"/>
      <c r="M616" s="26"/>
      <c r="N616" s="28"/>
      <c r="O616" s="26"/>
    </row>
    <row r="617" spans="3:15" ht="15">
      <c r="C617" s="25"/>
      <c r="D617" s="26"/>
      <c r="E617" s="26"/>
      <c r="F617" s="26"/>
      <c r="G617" s="27"/>
      <c r="H617" s="27"/>
      <c r="I617" s="245"/>
      <c r="J617" s="26"/>
      <c r="K617" s="26"/>
      <c r="L617" s="26"/>
      <c r="M617" s="26"/>
      <c r="N617" s="28"/>
      <c r="O617" s="26"/>
    </row>
    <row r="618" spans="3:15" ht="15">
      <c r="C618" s="25"/>
      <c r="D618" s="26"/>
      <c r="E618" s="26"/>
      <c r="F618" s="26"/>
      <c r="G618" s="27"/>
      <c r="H618" s="27"/>
      <c r="I618" s="245"/>
      <c r="J618" s="26"/>
      <c r="K618" s="26"/>
      <c r="L618" s="26"/>
      <c r="M618" s="26"/>
      <c r="N618" s="28"/>
      <c r="O618" s="26"/>
    </row>
    <row r="619" spans="3:15" ht="15">
      <c r="C619" s="25"/>
      <c r="D619" s="26"/>
      <c r="E619" s="26"/>
      <c r="F619" s="26"/>
      <c r="G619" s="27"/>
      <c r="H619" s="27"/>
      <c r="I619" s="245"/>
      <c r="J619" s="26"/>
      <c r="K619" s="26"/>
      <c r="L619" s="26"/>
      <c r="M619" s="26"/>
      <c r="N619" s="28"/>
      <c r="O619" s="26"/>
    </row>
    <row r="620" spans="3:15" ht="15">
      <c r="C620" s="25"/>
      <c r="D620" s="26"/>
      <c r="E620" s="26"/>
      <c r="F620" s="26"/>
      <c r="G620" s="27"/>
      <c r="H620" s="27"/>
      <c r="I620" s="245"/>
      <c r="J620" s="26"/>
      <c r="K620" s="26"/>
      <c r="L620" s="26"/>
      <c r="M620" s="26"/>
      <c r="N620" s="28"/>
      <c r="O620" s="26"/>
    </row>
    <row r="621" spans="3:15" ht="15">
      <c r="C621" s="25"/>
      <c r="D621" s="26"/>
      <c r="E621" s="26"/>
      <c r="F621" s="26"/>
      <c r="G621" s="27"/>
      <c r="H621" s="27"/>
      <c r="I621" s="245"/>
      <c r="J621" s="26"/>
      <c r="K621" s="26"/>
      <c r="L621" s="26"/>
      <c r="M621" s="26"/>
      <c r="N621" s="28"/>
      <c r="O621" s="26"/>
    </row>
    <row r="622" spans="3:15" ht="15">
      <c r="C622" s="25"/>
      <c r="D622" s="26"/>
      <c r="E622" s="26"/>
      <c r="F622" s="26"/>
      <c r="G622" s="27"/>
      <c r="H622" s="27"/>
      <c r="I622" s="245"/>
      <c r="J622" s="26"/>
      <c r="K622" s="26"/>
      <c r="L622" s="26"/>
      <c r="M622" s="26"/>
      <c r="N622" s="28"/>
      <c r="O622" s="26"/>
    </row>
    <row r="623" spans="3:15" ht="15">
      <c r="C623" s="25"/>
      <c r="D623" s="26"/>
      <c r="E623" s="26"/>
      <c r="F623" s="26"/>
      <c r="G623" s="27"/>
      <c r="H623" s="27"/>
      <c r="I623" s="245"/>
      <c r="J623" s="26"/>
      <c r="K623" s="26"/>
      <c r="L623" s="26"/>
      <c r="M623" s="26"/>
      <c r="N623" s="28"/>
      <c r="O623" s="26"/>
    </row>
    <row r="624" spans="3:15" ht="15">
      <c r="C624" s="25"/>
      <c r="D624" s="26"/>
      <c r="E624" s="26"/>
      <c r="F624" s="26"/>
      <c r="G624" s="27"/>
      <c r="H624" s="27"/>
      <c r="I624" s="245"/>
      <c r="J624" s="26"/>
      <c r="K624" s="26"/>
      <c r="L624" s="26"/>
      <c r="M624" s="26"/>
      <c r="N624" s="28"/>
      <c r="O624" s="26"/>
    </row>
    <row r="625" spans="3:15" ht="15">
      <c r="C625" s="25"/>
      <c r="D625" s="26"/>
      <c r="E625" s="26"/>
      <c r="F625" s="26"/>
      <c r="G625" s="27"/>
      <c r="H625" s="27"/>
      <c r="I625" s="245"/>
      <c r="J625" s="26"/>
      <c r="K625" s="26"/>
      <c r="L625" s="26"/>
      <c r="M625" s="26"/>
      <c r="N625" s="28"/>
      <c r="O625" s="26"/>
    </row>
    <row r="626" spans="3:15" ht="15">
      <c r="C626" s="25"/>
      <c r="D626" s="26"/>
      <c r="E626" s="26"/>
      <c r="F626" s="26"/>
      <c r="G626" s="27"/>
      <c r="H626" s="27"/>
      <c r="I626" s="245"/>
      <c r="J626" s="26"/>
      <c r="K626" s="26"/>
      <c r="L626" s="26"/>
      <c r="M626" s="26"/>
      <c r="N626" s="28"/>
      <c r="O626" s="26"/>
    </row>
    <row r="627" spans="3:15" ht="15">
      <c r="C627" s="25"/>
      <c r="D627" s="26"/>
      <c r="E627" s="26"/>
      <c r="F627" s="26"/>
      <c r="G627" s="27"/>
      <c r="H627" s="27"/>
      <c r="I627" s="245"/>
      <c r="J627" s="26"/>
      <c r="K627" s="26"/>
      <c r="L627" s="26"/>
      <c r="M627" s="26"/>
      <c r="N627" s="28"/>
      <c r="O627" s="26"/>
    </row>
    <row r="628" spans="3:15" ht="15">
      <c r="C628" s="25"/>
      <c r="D628" s="26"/>
      <c r="E628" s="26"/>
      <c r="F628" s="26"/>
      <c r="G628" s="27"/>
      <c r="H628" s="27"/>
      <c r="I628" s="245"/>
      <c r="J628" s="26"/>
      <c r="K628" s="26"/>
      <c r="L628" s="26"/>
      <c r="M628" s="26"/>
      <c r="N628" s="28"/>
      <c r="O628" s="26"/>
    </row>
    <row r="629" spans="3:15" ht="15">
      <c r="C629" s="25"/>
      <c r="D629" s="26"/>
      <c r="E629" s="26"/>
      <c r="F629" s="26"/>
      <c r="G629" s="27"/>
      <c r="H629" s="27"/>
      <c r="I629" s="245"/>
      <c r="J629" s="26"/>
      <c r="K629" s="26"/>
      <c r="L629" s="26"/>
      <c r="M629" s="26"/>
      <c r="N629" s="28"/>
      <c r="O629" s="26"/>
    </row>
    <row r="630" spans="3:15" ht="15">
      <c r="C630" s="25"/>
      <c r="D630" s="26"/>
      <c r="E630" s="26"/>
      <c r="F630" s="26"/>
      <c r="G630" s="27"/>
      <c r="H630" s="27"/>
      <c r="I630" s="245"/>
      <c r="J630" s="26"/>
      <c r="K630" s="26"/>
      <c r="L630" s="26"/>
      <c r="M630" s="26"/>
      <c r="N630" s="28"/>
      <c r="O630" s="26"/>
    </row>
    <row r="631" spans="3:15" ht="15">
      <c r="C631" s="25"/>
      <c r="D631" s="26"/>
      <c r="E631" s="26"/>
      <c r="F631" s="26"/>
      <c r="G631" s="27"/>
      <c r="H631" s="27"/>
      <c r="I631" s="245"/>
      <c r="J631" s="26"/>
      <c r="K631" s="26"/>
      <c r="L631" s="26"/>
      <c r="M631" s="26"/>
      <c r="N631" s="28"/>
      <c r="O631" s="26"/>
    </row>
    <row r="632" spans="3:15" ht="15">
      <c r="C632" s="25"/>
      <c r="D632" s="26"/>
      <c r="E632" s="26"/>
      <c r="F632" s="26"/>
      <c r="G632" s="27"/>
      <c r="H632" s="27"/>
      <c r="I632" s="245"/>
      <c r="J632" s="26"/>
      <c r="K632" s="26"/>
      <c r="L632" s="26"/>
      <c r="M632" s="26"/>
      <c r="N632" s="28"/>
      <c r="O632" s="26"/>
    </row>
    <row r="633" spans="3:15" ht="15">
      <c r="C633" s="25"/>
      <c r="D633" s="26"/>
      <c r="E633" s="26"/>
      <c r="F633" s="26"/>
      <c r="G633" s="27"/>
      <c r="H633" s="27"/>
      <c r="I633" s="245"/>
      <c r="J633" s="26"/>
      <c r="K633" s="26"/>
      <c r="L633" s="26"/>
      <c r="M633" s="26"/>
      <c r="N633" s="28"/>
      <c r="O633" s="26"/>
    </row>
    <row r="634" spans="3:15" ht="15">
      <c r="C634" s="25"/>
      <c r="D634" s="26"/>
      <c r="E634" s="26"/>
      <c r="F634" s="26"/>
      <c r="G634" s="27"/>
      <c r="H634" s="27"/>
      <c r="I634" s="245"/>
      <c r="J634" s="26"/>
      <c r="K634" s="26"/>
      <c r="L634" s="26"/>
      <c r="M634" s="26"/>
      <c r="N634" s="28"/>
      <c r="O634" s="26"/>
    </row>
    <row r="635" spans="3:15" ht="15">
      <c r="C635" s="25"/>
      <c r="D635" s="26"/>
      <c r="E635" s="26"/>
      <c r="F635" s="26"/>
      <c r="G635" s="27"/>
      <c r="H635" s="27"/>
      <c r="I635" s="245"/>
      <c r="J635" s="26"/>
      <c r="K635" s="26"/>
      <c r="L635" s="26"/>
      <c r="M635" s="26"/>
      <c r="N635" s="28"/>
      <c r="O635" s="26"/>
    </row>
    <row r="636" spans="3:15" ht="15">
      <c r="C636" s="25"/>
      <c r="D636" s="26"/>
      <c r="E636" s="26"/>
      <c r="F636" s="26"/>
      <c r="G636" s="27"/>
      <c r="H636" s="27"/>
      <c r="I636" s="245"/>
      <c r="J636" s="26"/>
      <c r="K636" s="26"/>
      <c r="L636" s="26"/>
      <c r="M636" s="26"/>
      <c r="N636" s="28"/>
      <c r="O636" s="26"/>
    </row>
    <row r="637" spans="3:15" ht="15">
      <c r="C637" s="25"/>
      <c r="D637" s="26"/>
      <c r="E637" s="26"/>
      <c r="F637" s="26"/>
      <c r="G637" s="27"/>
      <c r="H637" s="27"/>
      <c r="I637" s="245"/>
      <c r="J637" s="26"/>
      <c r="K637" s="26"/>
      <c r="L637" s="26"/>
      <c r="M637" s="26"/>
      <c r="N637" s="28"/>
      <c r="O637" s="26"/>
    </row>
    <row r="638" spans="3:15" ht="15">
      <c r="C638" s="25"/>
      <c r="D638" s="26"/>
      <c r="E638" s="26"/>
      <c r="F638" s="26"/>
      <c r="G638" s="27"/>
      <c r="H638" s="27"/>
      <c r="I638" s="245"/>
      <c r="J638" s="26"/>
      <c r="K638" s="26"/>
      <c r="L638" s="26"/>
      <c r="M638" s="26"/>
      <c r="N638" s="28"/>
      <c r="O638" s="26"/>
    </row>
    <row r="639" spans="3:15" ht="15">
      <c r="C639" s="25"/>
      <c r="D639" s="26"/>
      <c r="E639" s="26"/>
      <c r="F639" s="26"/>
      <c r="G639" s="27"/>
      <c r="H639" s="27"/>
      <c r="I639" s="245"/>
      <c r="J639" s="26"/>
      <c r="K639" s="26"/>
      <c r="L639" s="26"/>
      <c r="M639" s="26"/>
      <c r="N639" s="28"/>
      <c r="O639" s="26"/>
    </row>
    <row r="640" spans="3:15" ht="15">
      <c r="C640" s="25"/>
      <c r="D640" s="26"/>
      <c r="E640" s="26"/>
      <c r="F640" s="26"/>
      <c r="G640" s="27"/>
      <c r="H640" s="27"/>
      <c r="I640" s="245"/>
      <c r="J640" s="26"/>
      <c r="K640" s="26"/>
      <c r="L640" s="26"/>
      <c r="M640" s="26"/>
      <c r="N640" s="28"/>
      <c r="O640" s="26"/>
    </row>
    <row r="641" spans="3:15" ht="15">
      <c r="C641" s="25"/>
      <c r="D641" s="26"/>
      <c r="E641" s="26"/>
      <c r="F641" s="26"/>
      <c r="G641" s="27"/>
      <c r="H641" s="27"/>
      <c r="I641" s="245"/>
      <c r="J641" s="26"/>
      <c r="K641" s="26"/>
      <c r="L641" s="26"/>
      <c r="M641" s="26"/>
      <c r="N641" s="28"/>
      <c r="O641" s="26"/>
    </row>
    <row r="642" spans="3:15" ht="15">
      <c r="C642" s="25"/>
      <c r="D642" s="26"/>
      <c r="E642" s="26"/>
      <c r="F642" s="26"/>
      <c r="G642" s="27"/>
      <c r="H642" s="27"/>
      <c r="I642" s="245"/>
      <c r="J642" s="26"/>
      <c r="K642" s="26"/>
      <c r="L642" s="26"/>
      <c r="M642" s="26"/>
      <c r="N642" s="28"/>
      <c r="O642" s="26"/>
    </row>
    <row r="643" spans="3:15" ht="15">
      <c r="C643" s="25"/>
      <c r="D643" s="26"/>
      <c r="E643" s="26"/>
      <c r="F643" s="26"/>
      <c r="G643" s="27"/>
      <c r="H643" s="27"/>
      <c r="I643" s="245"/>
      <c r="J643" s="26"/>
      <c r="K643" s="26"/>
      <c r="L643" s="26"/>
      <c r="M643" s="26"/>
      <c r="N643" s="28"/>
      <c r="O643" s="26"/>
    </row>
    <row r="644" spans="3:15" ht="15">
      <c r="C644" s="25"/>
      <c r="D644" s="26"/>
      <c r="E644" s="26"/>
      <c r="F644" s="26"/>
      <c r="G644" s="27"/>
      <c r="H644" s="27"/>
      <c r="I644" s="245"/>
      <c r="J644" s="26"/>
      <c r="K644" s="26"/>
      <c r="L644" s="26"/>
      <c r="M644" s="26"/>
      <c r="N644" s="28"/>
      <c r="O644" s="26"/>
    </row>
    <row r="645" spans="3:15" ht="15">
      <c r="C645" s="25"/>
      <c r="D645" s="26"/>
      <c r="E645" s="26"/>
      <c r="F645" s="26"/>
      <c r="G645" s="27"/>
      <c r="H645" s="27"/>
      <c r="I645" s="245"/>
      <c r="J645" s="26"/>
      <c r="K645" s="26"/>
      <c r="L645" s="26"/>
      <c r="M645" s="26"/>
      <c r="N645" s="28"/>
      <c r="O645" s="26"/>
    </row>
    <row r="646" spans="3:15" ht="15">
      <c r="C646" s="25"/>
      <c r="D646" s="26"/>
      <c r="E646" s="26"/>
      <c r="F646" s="26"/>
      <c r="G646" s="27"/>
      <c r="H646" s="27"/>
      <c r="I646" s="245"/>
      <c r="J646" s="26"/>
      <c r="K646" s="26"/>
      <c r="L646" s="26"/>
      <c r="M646" s="26"/>
      <c r="N646" s="28"/>
      <c r="O646" s="26"/>
    </row>
    <row r="647" spans="3:15" ht="15">
      <c r="C647" s="25"/>
      <c r="D647" s="26"/>
      <c r="E647" s="26"/>
      <c r="F647" s="26"/>
      <c r="G647" s="27"/>
      <c r="H647" s="27"/>
      <c r="I647" s="245"/>
      <c r="J647" s="26"/>
      <c r="K647" s="26"/>
      <c r="L647" s="26"/>
      <c r="M647" s="26"/>
      <c r="N647" s="28"/>
      <c r="O647" s="26"/>
    </row>
    <row r="648" spans="3:15" ht="15">
      <c r="C648" s="25"/>
      <c r="D648" s="26"/>
      <c r="E648" s="26"/>
      <c r="F648" s="26"/>
      <c r="G648" s="27"/>
      <c r="H648" s="27"/>
      <c r="I648" s="245"/>
      <c r="J648" s="26"/>
      <c r="K648" s="26"/>
      <c r="L648" s="26"/>
      <c r="M648" s="26"/>
      <c r="N648" s="28"/>
      <c r="O648" s="26"/>
    </row>
    <row r="649" spans="3:15" ht="15">
      <c r="C649" s="25"/>
      <c r="D649" s="26"/>
      <c r="E649" s="26"/>
      <c r="F649" s="26"/>
      <c r="G649" s="27"/>
      <c r="H649" s="27"/>
      <c r="I649" s="245"/>
      <c r="J649" s="26"/>
      <c r="K649" s="26"/>
      <c r="L649" s="26"/>
      <c r="M649" s="26"/>
      <c r="N649" s="28"/>
      <c r="O649" s="26"/>
    </row>
    <row r="650" spans="3:15" ht="15">
      <c r="C650" s="25"/>
      <c r="D650" s="26"/>
      <c r="E650" s="26"/>
      <c r="F650" s="26"/>
      <c r="G650" s="27"/>
      <c r="H650" s="27"/>
      <c r="I650" s="245"/>
      <c r="J650" s="26"/>
      <c r="K650" s="26"/>
      <c r="L650" s="26"/>
      <c r="M650" s="26"/>
      <c r="N650" s="28"/>
      <c r="O650" s="26"/>
    </row>
    <row r="651" spans="3:15" ht="15">
      <c r="C651" s="25"/>
      <c r="D651" s="26"/>
      <c r="E651" s="26"/>
      <c r="F651" s="26"/>
      <c r="G651" s="27"/>
      <c r="H651" s="27"/>
      <c r="I651" s="245"/>
      <c r="J651" s="26"/>
      <c r="K651" s="26"/>
      <c r="L651" s="26"/>
      <c r="M651" s="26"/>
      <c r="N651" s="28"/>
      <c r="O651" s="26"/>
    </row>
    <row r="652" spans="3:15" ht="15">
      <c r="C652" s="25"/>
      <c r="D652" s="26"/>
      <c r="E652" s="26"/>
      <c r="F652" s="26"/>
      <c r="G652" s="27"/>
      <c r="H652" s="27"/>
      <c r="I652" s="245"/>
      <c r="J652" s="26"/>
      <c r="K652" s="26"/>
      <c r="L652" s="26"/>
      <c r="M652" s="26"/>
      <c r="N652" s="28"/>
      <c r="O652" s="26"/>
    </row>
    <row r="653" spans="3:15" ht="15">
      <c r="C653" s="25"/>
      <c r="D653" s="26"/>
      <c r="E653" s="26"/>
      <c r="F653" s="26"/>
      <c r="G653" s="27"/>
      <c r="H653" s="27"/>
      <c r="I653" s="245"/>
      <c r="J653" s="26"/>
      <c r="K653" s="26"/>
      <c r="L653" s="26"/>
      <c r="M653" s="26"/>
      <c r="N653" s="28"/>
      <c r="O653" s="26"/>
    </row>
    <row r="654" spans="3:15" ht="15">
      <c r="C654" s="25"/>
      <c r="D654" s="26"/>
      <c r="E654" s="26"/>
      <c r="F654" s="26"/>
      <c r="G654" s="27"/>
      <c r="H654" s="27"/>
      <c r="I654" s="245"/>
      <c r="J654" s="26"/>
      <c r="K654" s="26"/>
      <c r="L654" s="26"/>
      <c r="M654" s="26"/>
      <c r="N654" s="28"/>
      <c r="O654" s="26"/>
    </row>
    <row r="655" spans="3:15" ht="15">
      <c r="C655" s="25"/>
      <c r="D655" s="26"/>
      <c r="E655" s="26"/>
      <c r="F655" s="26"/>
      <c r="G655" s="27"/>
      <c r="H655" s="27"/>
      <c r="I655" s="245"/>
      <c r="J655" s="26"/>
      <c r="K655" s="26"/>
      <c r="L655" s="26"/>
      <c r="M655" s="26"/>
      <c r="N655" s="28"/>
      <c r="O655" s="26"/>
    </row>
    <row r="656" spans="3:15" ht="15">
      <c r="C656" s="25"/>
      <c r="D656" s="26"/>
      <c r="E656" s="26"/>
      <c r="F656" s="26"/>
      <c r="G656" s="27"/>
      <c r="H656" s="27"/>
      <c r="I656" s="245"/>
      <c r="J656" s="26"/>
      <c r="K656" s="26"/>
      <c r="L656" s="26"/>
      <c r="M656" s="26"/>
      <c r="N656" s="28"/>
      <c r="O656" s="26"/>
    </row>
    <row r="657" spans="3:15" ht="15">
      <c r="C657" s="25"/>
      <c r="D657" s="26"/>
      <c r="E657" s="26"/>
      <c r="F657" s="26"/>
      <c r="G657" s="27"/>
      <c r="H657" s="27"/>
      <c r="I657" s="245"/>
      <c r="J657" s="26"/>
      <c r="K657" s="26"/>
      <c r="L657" s="26"/>
      <c r="M657" s="26"/>
      <c r="N657" s="28"/>
      <c r="O657" s="26"/>
    </row>
    <row r="658" spans="3:15" ht="15">
      <c r="C658" s="25"/>
      <c r="D658" s="26"/>
      <c r="E658" s="26"/>
      <c r="F658" s="26"/>
      <c r="G658" s="27"/>
      <c r="H658" s="27"/>
      <c r="I658" s="245"/>
      <c r="J658" s="26"/>
      <c r="K658" s="26"/>
      <c r="L658" s="26"/>
      <c r="M658" s="26"/>
      <c r="N658" s="28"/>
      <c r="O658" s="26"/>
    </row>
    <row r="659" spans="3:15" ht="15">
      <c r="C659" s="25"/>
      <c r="D659" s="26"/>
      <c r="E659" s="26"/>
      <c r="F659" s="26"/>
      <c r="G659" s="27"/>
      <c r="H659" s="27"/>
      <c r="I659" s="245"/>
      <c r="J659" s="26"/>
      <c r="K659" s="26"/>
      <c r="L659" s="26"/>
      <c r="M659" s="26"/>
      <c r="N659" s="28"/>
      <c r="O659" s="26"/>
    </row>
    <row r="660" spans="3:15" ht="15">
      <c r="C660" s="25"/>
      <c r="D660" s="26"/>
      <c r="E660" s="26"/>
      <c r="F660" s="26"/>
      <c r="G660" s="27"/>
      <c r="H660" s="27"/>
      <c r="I660" s="245"/>
      <c r="J660" s="26"/>
      <c r="K660" s="26"/>
      <c r="L660" s="26"/>
      <c r="M660" s="26"/>
      <c r="N660" s="28"/>
      <c r="O660" s="26"/>
    </row>
    <row r="661" spans="3:15" ht="15">
      <c r="C661" s="25"/>
      <c r="D661" s="26"/>
      <c r="E661" s="26"/>
      <c r="F661" s="26"/>
      <c r="G661" s="27"/>
      <c r="H661" s="27"/>
      <c r="I661" s="245"/>
      <c r="J661" s="26"/>
      <c r="K661" s="26"/>
      <c r="L661" s="26"/>
      <c r="M661" s="26"/>
      <c r="N661" s="28"/>
      <c r="O661" s="26"/>
    </row>
    <row r="662" spans="3:15" ht="15">
      <c r="C662" s="25"/>
      <c r="D662" s="26"/>
      <c r="E662" s="26"/>
      <c r="F662" s="26"/>
      <c r="G662" s="27"/>
      <c r="H662" s="27"/>
      <c r="I662" s="245"/>
      <c r="J662" s="26"/>
      <c r="K662" s="26"/>
      <c r="L662" s="26"/>
      <c r="M662" s="26"/>
      <c r="N662" s="28"/>
      <c r="O662" s="26"/>
    </row>
    <row r="663" spans="3:15" ht="15">
      <c r="C663" s="25"/>
      <c r="D663" s="26"/>
      <c r="E663" s="26"/>
      <c r="F663" s="26"/>
      <c r="G663" s="27"/>
      <c r="H663" s="27"/>
      <c r="I663" s="245"/>
      <c r="J663" s="26"/>
      <c r="K663" s="26"/>
      <c r="L663" s="26"/>
      <c r="M663" s="26"/>
      <c r="N663" s="28"/>
      <c r="O663" s="26"/>
    </row>
    <row r="664" spans="3:15" ht="15">
      <c r="C664" s="25"/>
      <c r="D664" s="26"/>
      <c r="E664" s="26"/>
      <c r="F664" s="26"/>
      <c r="G664" s="27"/>
      <c r="H664" s="27"/>
      <c r="I664" s="245"/>
      <c r="J664" s="26"/>
      <c r="K664" s="26"/>
      <c r="L664" s="26"/>
      <c r="M664" s="26"/>
      <c r="N664" s="28"/>
      <c r="O664" s="26"/>
    </row>
    <row r="665" spans="3:15" ht="15">
      <c r="C665" s="25"/>
      <c r="D665" s="26"/>
      <c r="E665" s="26"/>
      <c r="F665" s="26"/>
      <c r="G665" s="27"/>
      <c r="H665" s="27"/>
      <c r="I665" s="245"/>
      <c r="J665" s="26"/>
      <c r="K665" s="26"/>
      <c r="L665" s="26"/>
      <c r="M665" s="26"/>
      <c r="N665" s="28"/>
      <c r="O665" s="26"/>
    </row>
    <row r="666" spans="3:15" ht="15">
      <c r="C666" s="25"/>
      <c r="D666" s="26"/>
      <c r="E666" s="26"/>
      <c r="F666" s="26"/>
      <c r="G666" s="27"/>
      <c r="H666" s="27"/>
      <c r="I666" s="245"/>
      <c r="J666" s="26"/>
      <c r="K666" s="26"/>
      <c r="L666" s="26"/>
      <c r="M666" s="26"/>
      <c r="N666" s="28"/>
      <c r="O666" s="26"/>
    </row>
    <row r="667" spans="3:15" ht="15">
      <c r="C667" s="25"/>
      <c r="D667" s="26"/>
      <c r="E667" s="26"/>
      <c r="F667" s="26"/>
      <c r="G667" s="27"/>
      <c r="H667" s="27"/>
      <c r="I667" s="245"/>
      <c r="J667" s="26"/>
      <c r="K667" s="26"/>
      <c r="L667" s="26"/>
      <c r="M667" s="26"/>
      <c r="N667" s="28"/>
      <c r="O667" s="26"/>
    </row>
    <row r="668" spans="3:15" ht="15">
      <c r="C668" s="25"/>
      <c r="D668" s="26"/>
      <c r="E668" s="26"/>
      <c r="F668" s="26"/>
      <c r="G668" s="27"/>
      <c r="H668" s="27"/>
      <c r="I668" s="245"/>
      <c r="J668" s="26"/>
      <c r="K668" s="26"/>
      <c r="L668" s="26"/>
      <c r="M668" s="26"/>
      <c r="N668" s="28"/>
      <c r="O668" s="26"/>
    </row>
    <row r="669" spans="3:15" ht="15">
      <c r="C669" s="25"/>
      <c r="D669" s="26"/>
      <c r="E669" s="26"/>
      <c r="F669" s="26"/>
      <c r="G669" s="27"/>
      <c r="H669" s="27"/>
      <c r="I669" s="245"/>
      <c r="J669" s="26"/>
      <c r="K669" s="26"/>
      <c r="L669" s="26"/>
      <c r="M669" s="26"/>
      <c r="N669" s="28"/>
      <c r="O669" s="26"/>
    </row>
    <row r="670" spans="3:15" ht="15">
      <c r="C670" s="25"/>
      <c r="D670" s="26"/>
      <c r="E670" s="26"/>
      <c r="F670" s="26"/>
      <c r="G670" s="27"/>
      <c r="H670" s="27"/>
      <c r="I670" s="245"/>
      <c r="J670" s="26"/>
      <c r="K670" s="26"/>
      <c r="L670" s="26"/>
      <c r="M670" s="26"/>
      <c r="N670" s="28"/>
      <c r="O670" s="26"/>
    </row>
    <row r="671" spans="3:15" ht="15">
      <c r="C671" s="25"/>
      <c r="D671" s="26"/>
      <c r="E671" s="26"/>
      <c r="F671" s="26"/>
      <c r="G671" s="27"/>
      <c r="H671" s="27"/>
      <c r="I671" s="245"/>
      <c r="J671" s="26"/>
      <c r="K671" s="26"/>
      <c r="L671" s="26"/>
      <c r="M671" s="26"/>
      <c r="N671" s="28"/>
      <c r="O671" s="26"/>
    </row>
    <row r="672" spans="3:15" ht="15">
      <c r="C672" s="25"/>
      <c r="D672" s="26"/>
      <c r="E672" s="26"/>
      <c r="F672" s="26"/>
      <c r="G672" s="27"/>
      <c r="H672" s="27"/>
      <c r="I672" s="245"/>
      <c r="J672" s="26"/>
      <c r="K672" s="26"/>
      <c r="L672" s="26"/>
      <c r="M672" s="26"/>
      <c r="N672" s="28"/>
      <c r="O672" s="26"/>
    </row>
    <row r="673" spans="3:15" ht="15">
      <c r="C673" s="25"/>
      <c r="D673" s="26"/>
      <c r="E673" s="26"/>
      <c r="F673" s="26"/>
      <c r="G673" s="27"/>
      <c r="H673" s="27"/>
      <c r="I673" s="245"/>
      <c r="J673" s="26"/>
      <c r="K673" s="26"/>
      <c r="L673" s="26"/>
      <c r="M673" s="26"/>
      <c r="N673" s="28"/>
      <c r="O673" s="26"/>
    </row>
    <row r="674" spans="3:15" ht="15">
      <c r="C674" s="25"/>
      <c r="D674" s="26"/>
      <c r="E674" s="26"/>
      <c r="F674" s="26"/>
      <c r="G674" s="27"/>
      <c r="H674" s="27"/>
      <c r="I674" s="245"/>
      <c r="J674" s="26"/>
      <c r="K674" s="26"/>
      <c r="L674" s="26"/>
      <c r="M674" s="26"/>
      <c r="N674" s="28"/>
      <c r="O674" s="26"/>
    </row>
    <row r="675" spans="3:15" ht="15">
      <c r="C675" s="25"/>
      <c r="D675" s="26"/>
      <c r="E675" s="26"/>
      <c r="F675" s="26"/>
      <c r="G675" s="27"/>
      <c r="H675" s="27"/>
      <c r="I675" s="245"/>
      <c r="J675" s="26"/>
      <c r="K675" s="26"/>
      <c r="L675" s="26"/>
      <c r="M675" s="26"/>
      <c r="N675" s="28"/>
      <c r="O675" s="26"/>
    </row>
    <row r="676" spans="3:15" ht="15">
      <c r="C676" s="25"/>
      <c r="D676" s="26"/>
      <c r="E676" s="26"/>
      <c r="F676" s="26"/>
      <c r="G676" s="27"/>
      <c r="H676" s="27"/>
      <c r="I676" s="245"/>
      <c r="J676" s="26"/>
      <c r="K676" s="26"/>
      <c r="L676" s="26"/>
      <c r="M676" s="26"/>
      <c r="N676" s="28"/>
      <c r="O676" s="26"/>
    </row>
    <row r="677" spans="3:15" ht="15">
      <c r="C677" s="25"/>
      <c r="D677" s="26"/>
      <c r="E677" s="26"/>
      <c r="F677" s="26"/>
      <c r="G677" s="27"/>
      <c r="H677" s="27"/>
      <c r="I677" s="245"/>
      <c r="J677" s="26"/>
      <c r="K677" s="26"/>
      <c r="L677" s="26"/>
      <c r="M677" s="26"/>
      <c r="N677" s="28"/>
      <c r="O677" s="26"/>
    </row>
    <row r="678" spans="3:15" ht="15">
      <c r="C678" s="25"/>
      <c r="D678" s="26"/>
      <c r="E678" s="26"/>
      <c r="F678" s="26"/>
      <c r="G678" s="27"/>
      <c r="H678" s="27"/>
      <c r="I678" s="245"/>
      <c r="J678" s="26"/>
      <c r="K678" s="26"/>
      <c r="L678" s="26"/>
      <c r="M678" s="26"/>
      <c r="N678" s="28"/>
      <c r="O678" s="26"/>
    </row>
    <row r="679" spans="3:15" ht="15">
      <c r="C679" s="25"/>
      <c r="D679" s="26"/>
      <c r="E679" s="26"/>
      <c r="F679" s="26"/>
      <c r="G679" s="27"/>
      <c r="H679" s="27"/>
      <c r="I679" s="245"/>
      <c r="J679" s="26"/>
      <c r="K679" s="26"/>
      <c r="L679" s="26"/>
      <c r="M679" s="26"/>
      <c r="N679" s="28"/>
      <c r="O679" s="26"/>
    </row>
    <row r="680" spans="3:15" ht="15">
      <c r="C680" s="25"/>
      <c r="D680" s="26"/>
      <c r="E680" s="26"/>
      <c r="F680" s="26"/>
      <c r="G680" s="27"/>
      <c r="H680" s="27"/>
      <c r="I680" s="245"/>
      <c r="J680" s="26"/>
      <c r="K680" s="26"/>
      <c r="L680" s="26"/>
      <c r="M680" s="26"/>
      <c r="N680" s="28"/>
      <c r="O680" s="26"/>
    </row>
    <row r="681" spans="3:15" ht="15">
      <c r="C681" s="25"/>
      <c r="D681" s="26"/>
      <c r="E681" s="26"/>
      <c r="F681" s="26"/>
      <c r="G681" s="27"/>
      <c r="H681" s="27"/>
      <c r="I681" s="245"/>
      <c r="J681" s="26"/>
      <c r="K681" s="26"/>
      <c r="L681" s="26"/>
      <c r="M681" s="26"/>
      <c r="N681" s="28"/>
      <c r="O681" s="26"/>
    </row>
    <row r="682" spans="3:15" ht="15">
      <c r="C682" s="25"/>
      <c r="D682" s="26"/>
      <c r="E682" s="26"/>
      <c r="F682" s="26"/>
      <c r="G682" s="27"/>
      <c r="H682" s="27"/>
      <c r="I682" s="245"/>
      <c r="J682" s="26"/>
      <c r="K682" s="26"/>
      <c r="L682" s="26"/>
      <c r="M682" s="26"/>
      <c r="N682" s="28"/>
      <c r="O682" s="26"/>
    </row>
    <row r="683" spans="3:15" ht="15">
      <c r="C683" s="25"/>
      <c r="D683" s="26"/>
      <c r="E683" s="26"/>
      <c r="F683" s="26"/>
      <c r="G683" s="27"/>
      <c r="H683" s="27"/>
      <c r="I683" s="245"/>
      <c r="J683" s="26"/>
      <c r="K683" s="26"/>
      <c r="L683" s="26"/>
      <c r="M683" s="26"/>
      <c r="N683" s="28"/>
      <c r="O683" s="26"/>
    </row>
    <row r="684" spans="3:15" ht="15">
      <c r="C684" s="25"/>
      <c r="D684" s="26"/>
      <c r="E684" s="26"/>
      <c r="F684" s="26"/>
      <c r="G684" s="27"/>
      <c r="H684" s="27"/>
      <c r="I684" s="245"/>
      <c r="J684" s="26"/>
      <c r="K684" s="26"/>
      <c r="L684" s="26"/>
      <c r="M684" s="26"/>
      <c r="N684" s="28"/>
      <c r="O684" s="26"/>
    </row>
    <row r="685" spans="3:15" ht="15">
      <c r="C685" s="25"/>
      <c r="D685" s="26"/>
      <c r="E685" s="26"/>
      <c r="F685" s="26"/>
      <c r="G685" s="27"/>
      <c r="H685" s="27"/>
      <c r="I685" s="245"/>
      <c r="J685" s="26"/>
      <c r="K685" s="26"/>
      <c r="L685" s="26"/>
      <c r="M685" s="26"/>
      <c r="N685" s="28"/>
      <c r="O685" s="26"/>
    </row>
    <row r="686" spans="3:15" ht="15">
      <c r="C686" s="25"/>
      <c r="D686" s="26"/>
      <c r="E686" s="26"/>
      <c r="F686" s="26"/>
      <c r="G686" s="27"/>
      <c r="H686" s="27"/>
      <c r="I686" s="245"/>
      <c r="J686" s="26"/>
      <c r="K686" s="26"/>
      <c r="L686" s="26"/>
      <c r="M686" s="26"/>
      <c r="N686" s="28"/>
      <c r="O686" s="26"/>
    </row>
    <row r="687" spans="3:15" ht="15">
      <c r="C687" s="25"/>
      <c r="D687" s="26"/>
      <c r="E687" s="26"/>
      <c r="F687" s="26"/>
      <c r="G687" s="27"/>
      <c r="H687" s="27"/>
      <c r="I687" s="245"/>
      <c r="J687" s="26"/>
      <c r="K687" s="26"/>
      <c r="L687" s="26"/>
      <c r="M687" s="26"/>
      <c r="N687" s="28"/>
      <c r="O687" s="26"/>
    </row>
    <row r="688" spans="3:15" ht="15">
      <c r="C688" s="25"/>
      <c r="D688" s="26"/>
      <c r="E688" s="26"/>
      <c r="F688" s="26"/>
      <c r="G688" s="27"/>
      <c r="H688" s="27"/>
      <c r="I688" s="245"/>
      <c r="J688" s="26"/>
      <c r="K688" s="26"/>
      <c r="L688" s="26"/>
      <c r="M688" s="26"/>
      <c r="N688" s="28"/>
      <c r="O688" s="26"/>
    </row>
    <row r="689" spans="3:15" ht="15">
      <c r="C689" s="25"/>
      <c r="D689" s="26"/>
      <c r="E689" s="26"/>
      <c r="F689" s="26"/>
      <c r="G689" s="27"/>
      <c r="H689" s="27"/>
      <c r="I689" s="245"/>
      <c r="J689" s="26"/>
      <c r="K689" s="26"/>
      <c r="L689" s="26"/>
      <c r="M689" s="26"/>
      <c r="N689" s="28"/>
      <c r="O689" s="26"/>
    </row>
    <row r="690" spans="3:15" ht="15">
      <c r="C690" s="25"/>
      <c r="D690" s="26"/>
      <c r="E690" s="26"/>
      <c r="F690" s="26"/>
      <c r="G690" s="27"/>
      <c r="H690" s="27"/>
      <c r="I690" s="245"/>
      <c r="J690" s="26"/>
      <c r="K690" s="26"/>
      <c r="L690" s="26"/>
      <c r="M690" s="26"/>
      <c r="N690" s="28"/>
      <c r="O690" s="26"/>
    </row>
    <row r="691" spans="3:15" ht="15">
      <c r="C691" s="25"/>
      <c r="D691" s="26"/>
      <c r="E691" s="26"/>
      <c r="F691" s="26"/>
      <c r="G691" s="27"/>
      <c r="H691" s="27"/>
      <c r="I691" s="245"/>
      <c r="J691" s="26"/>
      <c r="K691" s="26"/>
      <c r="L691" s="26"/>
      <c r="M691" s="26"/>
      <c r="N691" s="28"/>
      <c r="O691" s="26"/>
    </row>
    <row r="692" spans="3:15" ht="15">
      <c r="C692" s="25"/>
      <c r="D692" s="26"/>
      <c r="E692" s="26"/>
      <c r="F692" s="26"/>
      <c r="G692" s="27"/>
      <c r="H692" s="27"/>
      <c r="I692" s="245"/>
      <c r="J692" s="26"/>
      <c r="K692" s="26"/>
      <c r="L692" s="26"/>
      <c r="M692" s="26"/>
      <c r="N692" s="28"/>
      <c r="O692" s="26"/>
    </row>
    <row r="693" spans="3:15" ht="15">
      <c r="C693" s="25"/>
      <c r="D693" s="26"/>
      <c r="E693" s="26"/>
      <c r="F693" s="26"/>
      <c r="G693" s="27"/>
      <c r="H693" s="27"/>
      <c r="I693" s="245"/>
      <c r="J693" s="26"/>
      <c r="K693" s="26"/>
      <c r="L693" s="26"/>
      <c r="M693" s="26"/>
      <c r="N693" s="28"/>
      <c r="O693" s="26"/>
    </row>
    <row r="694" spans="3:15" ht="15">
      <c r="C694" s="25"/>
      <c r="D694" s="26"/>
      <c r="E694" s="26"/>
      <c r="F694" s="26"/>
      <c r="G694" s="27"/>
      <c r="H694" s="27"/>
      <c r="I694" s="245"/>
      <c r="J694" s="26"/>
      <c r="K694" s="26"/>
      <c r="L694" s="26"/>
      <c r="M694" s="26"/>
      <c r="N694" s="28"/>
      <c r="O694" s="26"/>
    </row>
    <row r="695" spans="3:15" ht="15">
      <c r="C695" s="25"/>
      <c r="D695" s="26"/>
      <c r="E695" s="26"/>
      <c r="F695" s="26"/>
      <c r="G695" s="27"/>
      <c r="H695" s="27"/>
      <c r="I695" s="245"/>
      <c r="J695" s="26"/>
      <c r="K695" s="26"/>
      <c r="L695" s="26"/>
      <c r="M695" s="26"/>
      <c r="N695" s="28"/>
      <c r="O695" s="26"/>
    </row>
    <row r="696" spans="3:15" ht="15">
      <c r="C696" s="25"/>
      <c r="D696" s="26"/>
      <c r="E696" s="26"/>
      <c r="F696" s="26"/>
      <c r="G696" s="27"/>
      <c r="H696" s="27"/>
      <c r="I696" s="245"/>
      <c r="J696" s="26"/>
      <c r="K696" s="26"/>
      <c r="L696" s="26"/>
      <c r="M696" s="26"/>
      <c r="N696" s="28"/>
      <c r="O696" s="26"/>
    </row>
    <row r="697" spans="3:15" ht="15">
      <c r="C697" s="25"/>
      <c r="D697" s="26"/>
      <c r="E697" s="26"/>
      <c r="F697" s="26"/>
      <c r="G697" s="27"/>
      <c r="H697" s="27"/>
      <c r="I697" s="245"/>
      <c r="J697" s="26"/>
      <c r="K697" s="26"/>
      <c r="L697" s="26"/>
      <c r="M697" s="26"/>
      <c r="N697" s="28"/>
      <c r="O697" s="26"/>
    </row>
    <row r="698" spans="3:15" ht="15">
      <c r="C698" s="25"/>
      <c r="D698" s="26"/>
      <c r="E698" s="26"/>
      <c r="F698" s="26"/>
      <c r="G698" s="27"/>
      <c r="H698" s="27"/>
      <c r="I698" s="245"/>
      <c r="J698" s="26"/>
      <c r="K698" s="26"/>
      <c r="L698" s="26"/>
      <c r="M698" s="26"/>
      <c r="N698" s="28"/>
      <c r="O698" s="26"/>
    </row>
    <row r="699" spans="3:15" ht="15">
      <c r="C699" s="25"/>
      <c r="D699" s="26"/>
      <c r="E699" s="26"/>
      <c r="F699" s="26"/>
      <c r="G699" s="27"/>
      <c r="H699" s="27"/>
      <c r="I699" s="245"/>
      <c r="J699" s="26"/>
      <c r="K699" s="26"/>
      <c r="L699" s="26"/>
      <c r="M699" s="26"/>
      <c r="N699" s="28"/>
      <c r="O699" s="26"/>
    </row>
    <row r="700" spans="3:15" ht="15">
      <c r="C700" s="25"/>
      <c r="D700" s="26"/>
      <c r="E700" s="26"/>
      <c r="F700" s="26"/>
      <c r="G700" s="27"/>
      <c r="H700" s="27"/>
      <c r="I700" s="245"/>
      <c r="J700" s="26"/>
      <c r="K700" s="26"/>
      <c r="L700" s="26"/>
      <c r="M700" s="26"/>
      <c r="N700" s="28"/>
      <c r="O700" s="26"/>
    </row>
    <row r="701" spans="3:15" ht="15">
      <c r="C701" s="25"/>
      <c r="D701" s="26"/>
      <c r="E701" s="26"/>
      <c r="F701" s="26"/>
      <c r="G701" s="27"/>
      <c r="H701" s="27"/>
      <c r="I701" s="245"/>
      <c r="J701" s="26"/>
      <c r="K701" s="26"/>
      <c r="L701" s="26"/>
      <c r="M701" s="26"/>
      <c r="N701" s="28"/>
      <c r="O701" s="26"/>
    </row>
    <row r="702" spans="3:15" ht="15">
      <c r="C702" s="25"/>
      <c r="D702" s="26"/>
      <c r="E702" s="26"/>
      <c r="F702" s="26"/>
      <c r="G702" s="27"/>
      <c r="H702" s="27"/>
      <c r="I702" s="245"/>
      <c r="J702" s="26"/>
      <c r="K702" s="26"/>
      <c r="L702" s="26"/>
      <c r="M702" s="26"/>
      <c r="N702" s="28"/>
      <c r="O702" s="26"/>
    </row>
    <row r="703" spans="3:15" ht="15">
      <c r="C703" s="25"/>
      <c r="D703" s="26"/>
      <c r="E703" s="26"/>
      <c r="F703" s="26"/>
      <c r="G703" s="27"/>
      <c r="H703" s="27"/>
      <c r="I703" s="245"/>
      <c r="J703" s="26"/>
      <c r="K703" s="26"/>
      <c r="L703" s="26"/>
      <c r="M703" s="26"/>
      <c r="N703" s="28"/>
      <c r="O703" s="26"/>
    </row>
    <row r="704" spans="3:15" ht="15">
      <c r="C704" s="25"/>
      <c r="D704" s="26"/>
      <c r="E704" s="26"/>
      <c r="F704" s="26"/>
      <c r="G704" s="27"/>
      <c r="H704" s="27"/>
      <c r="I704" s="245"/>
      <c r="J704" s="26"/>
      <c r="K704" s="26"/>
      <c r="L704" s="26"/>
      <c r="M704" s="26"/>
      <c r="N704" s="28"/>
      <c r="O704" s="26"/>
    </row>
    <row r="705" spans="3:15" ht="15">
      <c r="C705" s="25"/>
      <c r="D705" s="26"/>
      <c r="E705" s="26"/>
      <c r="F705" s="26"/>
      <c r="G705" s="27"/>
      <c r="H705" s="27"/>
      <c r="I705" s="245"/>
      <c r="J705" s="26"/>
      <c r="K705" s="26"/>
      <c r="L705" s="26"/>
      <c r="M705" s="26"/>
      <c r="N705" s="28"/>
      <c r="O705" s="26"/>
    </row>
    <row r="706" spans="3:15" ht="15">
      <c r="C706" s="25"/>
      <c r="D706" s="26"/>
      <c r="E706" s="26"/>
      <c r="F706" s="26"/>
      <c r="G706" s="27"/>
      <c r="H706" s="27"/>
      <c r="I706" s="245"/>
      <c r="J706" s="26"/>
      <c r="K706" s="26"/>
      <c r="L706" s="26"/>
      <c r="M706" s="26"/>
      <c r="N706" s="28"/>
      <c r="O706" s="26"/>
    </row>
    <row r="707" spans="3:15" ht="15">
      <c r="C707" s="25"/>
      <c r="D707" s="26"/>
      <c r="E707" s="26"/>
      <c r="F707" s="26"/>
      <c r="G707" s="27"/>
      <c r="H707" s="27"/>
      <c r="I707" s="245"/>
      <c r="J707" s="26"/>
      <c r="K707" s="26"/>
      <c r="L707" s="26"/>
      <c r="M707" s="26"/>
      <c r="N707" s="28"/>
      <c r="O707" s="26"/>
    </row>
    <row r="708" spans="3:15" ht="15">
      <c r="C708" s="25"/>
      <c r="D708" s="26"/>
      <c r="E708" s="26"/>
      <c r="F708" s="26"/>
      <c r="G708" s="27"/>
      <c r="H708" s="27"/>
      <c r="I708" s="245"/>
      <c r="J708" s="26"/>
      <c r="K708" s="26"/>
      <c r="L708" s="26"/>
      <c r="M708" s="26"/>
      <c r="N708" s="28"/>
      <c r="O708" s="26"/>
    </row>
    <row r="709" spans="3:15" ht="15">
      <c r="C709" s="25"/>
      <c r="D709" s="26"/>
      <c r="E709" s="26"/>
      <c r="F709" s="26"/>
      <c r="G709" s="27"/>
      <c r="H709" s="27"/>
      <c r="I709" s="245"/>
      <c r="J709" s="26"/>
      <c r="K709" s="26"/>
      <c r="L709" s="26"/>
      <c r="M709" s="26"/>
      <c r="N709" s="28"/>
      <c r="O709" s="26"/>
    </row>
    <row r="710" spans="3:15" ht="15">
      <c r="C710" s="25"/>
      <c r="D710" s="26"/>
      <c r="E710" s="26"/>
      <c r="F710" s="26"/>
      <c r="G710" s="27"/>
      <c r="H710" s="27"/>
      <c r="I710" s="245"/>
      <c r="J710" s="26"/>
      <c r="K710" s="26"/>
      <c r="L710" s="26"/>
      <c r="M710" s="26"/>
      <c r="N710" s="28"/>
      <c r="O710" s="26"/>
    </row>
    <row r="711" spans="3:15" ht="15">
      <c r="C711" s="25"/>
      <c r="D711" s="26"/>
      <c r="E711" s="26"/>
      <c r="F711" s="26"/>
      <c r="G711" s="27"/>
      <c r="H711" s="27"/>
      <c r="I711" s="245"/>
      <c r="J711" s="26"/>
      <c r="K711" s="26"/>
      <c r="L711" s="26"/>
      <c r="M711" s="26"/>
      <c r="N711" s="28"/>
      <c r="O711" s="26"/>
    </row>
    <row r="712" spans="3:15" ht="15">
      <c r="C712" s="25"/>
      <c r="D712" s="26"/>
      <c r="E712" s="26"/>
      <c r="F712" s="26"/>
      <c r="G712" s="27"/>
      <c r="H712" s="27"/>
      <c r="I712" s="245"/>
      <c r="J712" s="26"/>
      <c r="K712" s="26"/>
      <c r="L712" s="26"/>
      <c r="M712" s="26"/>
      <c r="N712" s="28"/>
      <c r="O712" s="26"/>
    </row>
    <row r="713" spans="3:15" ht="15">
      <c r="C713" s="25"/>
      <c r="D713" s="26"/>
      <c r="E713" s="26"/>
      <c r="F713" s="26"/>
      <c r="G713" s="27"/>
      <c r="H713" s="27"/>
      <c r="I713" s="245"/>
      <c r="J713" s="26"/>
      <c r="K713" s="26"/>
      <c r="L713" s="26"/>
      <c r="M713" s="26"/>
      <c r="N713" s="28"/>
      <c r="O713" s="26"/>
    </row>
    <row r="714" spans="3:15" ht="15">
      <c r="C714" s="25"/>
      <c r="D714" s="26"/>
      <c r="E714" s="26"/>
      <c r="F714" s="26"/>
      <c r="G714" s="27"/>
      <c r="H714" s="27"/>
      <c r="I714" s="245"/>
      <c r="J714" s="26"/>
      <c r="K714" s="26"/>
      <c r="L714" s="26"/>
      <c r="M714" s="26"/>
      <c r="N714" s="28"/>
      <c r="O714" s="26"/>
    </row>
    <row r="715" spans="3:15" ht="15">
      <c r="C715" s="25"/>
      <c r="D715" s="26"/>
      <c r="E715" s="26"/>
      <c r="F715" s="26"/>
      <c r="G715" s="27"/>
      <c r="H715" s="27"/>
      <c r="I715" s="245"/>
      <c r="J715" s="26"/>
      <c r="K715" s="26"/>
      <c r="L715" s="26"/>
      <c r="M715" s="26"/>
      <c r="N715" s="28"/>
      <c r="O715" s="26"/>
    </row>
    <row r="716" spans="3:15" ht="15">
      <c r="C716" s="25"/>
      <c r="D716" s="26"/>
      <c r="E716" s="26"/>
      <c r="F716" s="26"/>
      <c r="G716" s="27"/>
      <c r="H716" s="27"/>
      <c r="I716" s="245"/>
      <c r="J716" s="26"/>
      <c r="K716" s="26"/>
      <c r="L716" s="26"/>
      <c r="M716" s="26"/>
      <c r="N716" s="28"/>
      <c r="O716" s="26"/>
    </row>
    <row r="717" spans="3:15" ht="15">
      <c r="C717" s="25"/>
      <c r="D717" s="26"/>
      <c r="E717" s="26"/>
      <c r="F717" s="26"/>
      <c r="G717" s="27"/>
      <c r="H717" s="27"/>
      <c r="I717" s="245"/>
      <c r="J717" s="26"/>
      <c r="K717" s="26"/>
      <c r="L717" s="26"/>
      <c r="M717" s="26"/>
      <c r="N717" s="28"/>
      <c r="O717" s="26"/>
    </row>
    <row r="718" spans="3:15" ht="15">
      <c r="C718" s="25"/>
      <c r="D718" s="26"/>
      <c r="E718" s="26"/>
      <c r="F718" s="26"/>
      <c r="G718" s="27"/>
      <c r="H718" s="27"/>
      <c r="I718" s="245"/>
      <c r="J718" s="26"/>
      <c r="K718" s="26"/>
      <c r="L718" s="26"/>
      <c r="M718" s="26"/>
      <c r="N718" s="28"/>
      <c r="O718" s="26"/>
    </row>
    <row r="719" spans="3:15" ht="15">
      <c r="C719" s="25"/>
      <c r="D719" s="26"/>
      <c r="E719" s="26"/>
      <c r="F719" s="26"/>
      <c r="G719" s="27"/>
      <c r="H719" s="27"/>
      <c r="I719" s="245"/>
      <c r="J719" s="26"/>
      <c r="K719" s="26"/>
      <c r="L719" s="26"/>
      <c r="M719" s="26"/>
      <c r="N719" s="28"/>
      <c r="O719" s="26"/>
    </row>
    <row r="720" spans="3:15" ht="15">
      <c r="C720" s="25"/>
      <c r="D720" s="26"/>
      <c r="E720" s="26"/>
      <c r="F720" s="26"/>
      <c r="G720" s="27"/>
      <c r="H720" s="27"/>
      <c r="I720" s="245"/>
      <c r="J720" s="26"/>
      <c r="K720" s="26"/>
      <c r="L720" s="26"/>
      <c r="M720" s="26"/>
      <c r="N720" s="28"/>
      <c r="O720" s="26"/>
    </row>
    <row r="721" spans="3:15" ht="15">
      <c r="C721" s="25"/>
      <c r="D721" s="26"/>
      <c r="E721" s="26"/>
      <c r="F721" s="26"/>
      <c r="G721" s="27"/>
      <c r="H721" s="27"/>
      <c r="I721" s="245"/>
      <c r="J721" s="26"/>
      <c r="K721" s="26"/>
      <c r="L721" s="26"/>
      <c r="M721" s="26"/>
      <c r="N721" s="28"/>
      <c r="O721" s="26"/>
    </row>
    <row r="722" spans="3:15" ht="15">
      <c r="C722" s="25"/>
      <c r="D722" s="26"/>
      <c r="E722" s="26"/>
      <c r="F722" s="26"/>
      <c r="G722" s="27"/>
      <c r="H722" s="27"/>
      <c r="I722" s="245"/>
      <c r="J722" s="26"/>
      <c r="K722" s="26"/>
      <c r="L722" s="26"/>
      <c r="M722" s="26"/>
      <c r="N722" s="28"/>
      <c r="O722" s="26"/>
    </row>
    <row r="723" spans="3:15" ht="15">
      <c r="C723" s="25"/>
      <c r="D723" s="26"/>
      <c r="E723" s="26"/>
      <c r="F723" s="26"/>
      <c r="G723" s="27"/>
      <c r="H723" s="27"/>
      <c r="I723" s="245"/>
      <c r="J723" s="26"/>
      <c r="K723" s="26"/>
      <c r="L723" s="26"/>
      <c r="M723" s="26"/>
      <c r="N723" s="28"/>
      <c r="O723" s="26"/>
    </row>
    <row r="724" spans="3:15" ht="15">
      <c r="C724" s="25"/>
      <c r="D724" s="26"/>
      <c r="E724" s="26"/>
      <c r="F724" s="26"/>
      <c r="G724" s="27"/>
      <c r="H724" s="27"/>
      <c r="I724" s="245"/>
      <c r="J724" s="26"/>
      <c r="K724" s="26"/>
      <c r="L724" s="26"/>
      <c r="M724" s="26"/>
      <c r="N724" s="28"/>
      <c r="O724" s="26"/>
    </row>
    <row r="725" spans="3:15" ht="15">
      <c r="C725" s="25"/>
      <c r="D725" s="26"/>
      <c r="E725" s="26"/>
      <c r="F725" s="26"/>
      <c r="G725" s="27"/>
      <c r="H725" s="27"/>
      <c r="I725" s="245"/>
      <c r="J725" s="26"/>
      <c r="K725" s="26"/>
      <c r="L725" s="26"/>
      <c r="M725" s="26"/>
      <c r="N725" s="28"/>
      <c r="O725" s="26"/>
    </row>
    <row r="726" spans="3:15" ht="15">
      <c r="C726" s="25"/>
      <c r="D726" s="26"/>
      <c r="E726" s="26"/>
      <c r="F726" s="26"/>
      <c r="G726" s="27"/>
      <c r="H726" s="27"/>
      <c r="I726" s="245"/>
      <c r="J726" s="26"/>
      <c r="K726" s="26"/>
      <c r="L726" s="26"/>
      <c r="M726" s="26"/>
      <c r="N726" s="28"/>
      <c r="O726" s="26"/>
    </row>
    <row r="727" spans="3:15" ht="15">
      <c r="C727" s="25"/>
      <c r="D727" s="26"/>
      <c r="E727" s="26"/>
      <c r="F727" s="26"/>
      <c r="G727" s="27"/>
      <c r="H727" s="27"/>
      <c r="I727" s="245"/>
      <c r="J727" s="26"/>
      <c r="K727" s="26"/>
      <c r="L727" s="26"/>
      <c r="M727" s="26"/>
      <c r="N727" s="28"/>
      <c r="O727" s="26"/>
    </row>
    <row r="728" spans="3:15" ht="15">
      <c r="C728" s="25"/>
      <c r="D728" s="26"/>
      <c r="E728" s="26"/>
      <c r="F728" s="26"/>
      <c r="G728" s="27"/>
      <c r="H728" s="27"/>
      <c r="I728" s="245"/>
      <c r="J728" s="26"/>
      <c r="K728" s="26"/>
      <c r="L728" s="26"/>
      <c r="M728" s="26"/>
      <c r="N728" s="28"/>
      <c r="O728" s="26"/>
    </row>
    <row r="729" spans="3:15" ht="15">
      <c r="C729" s="25"/>
      <c r="D729" s="26"/>
      <c r="E729" s="26"/>
      <c r="F729" s="26"/>
      <c r="G729" s="27"/>
      <c r="H729" s="27"/>
      <c r="I729" s="245"/>
      <c r="J729" s="26"/>
      <c r="K729" s="26"/>
      <c r="L729" s="26"/>
      <c r="M729" s="26"/>
      <c r="N729" s="28"/>
      <c r="O729" s="26"/>
    </row>
    <row r="730" spans="3:15" ht="15">
      <c r="C730" s="25"/>
      <c r="D730" s="26"/>
      <c r="E730" s="26"/>
      <c r="F730" s="26"/>
      <c r="G730" s="27"/>
      <c r="H730" s="27"/>
      <c r="I730" s="245"/>
      <c r="J730" s="26"/>
      <c r="K730" s="26"/>
      <c r="L730" s="26"/>
      <c r="M730" s="26"/>
      <c r="N730" s="28"/>
      <c r="O730" s="26"/>
    </row>
    <row r="731" spans="3:15" ht="15">
      <c r="C731" s="25"/>
      <c r="D731" s="26"/>
      <c r="E731" s="26"/>
      <c r="F731" s="26"/>
      <c r="G731" s="27"/>
      <c r="H731" s="27"/>
      <c r="I731" s="245"/>
      <c r="J731" s="26"/>
      <c r="K731" s="26"/>
      <c r="L731" s="26"/>
      <c r="M731" s="26"/>
      <c r="N731" s="28"/>
      <c r="O731" s="26"/>
    </row>
    <row r="732" spans="3:15" ht="15">
      <c r="C732" s="25"/>
      <c r="D732" s="26"/>
      <c r="E732" s="26"/>
      <c r="F732" s="26"/>
      <c r="G732" s="27"/>
      <c r="H732" s="27"/>
      <c r="I732" s="245"/>
      <c r="J732" s="26"/>
      <c r="K732" s="26"/>
      <c r="L732" s="26"/>
      <c r="M732" s="26"/>
      <c r="N732" s="28"/>
      <c r="O732" s="26"/>
    </row>
    <row r="733" spans="3:15" ht="15">
      <c r="C733" s="25"/>
      <c r="D733" s="26"/>
      <c r="E733" s="26"/>
      <c r="F733" s="26"/>
      <c r="G733" s="27"/>
      <c r="H733" s="27"/>
      <c r="I733" s="245"/>
      <c r="J733" s="26"/>
      <c r="K733" s="26"/>
      <c r="L733" s="26"/>
      <c r="M733" s="26"/>
      <c r="N733" s="28"/>
      <c r="O733" s="26"/>
    </row>
    <row r="734" spans="3:15" ht="15">
      <c r="C734" s="25"/>
      <c r="D734" s="26"/>
      <c r="E734" s="26"/>
      <c r="F734" s="26"/>
      <c r="G734" s="27"/>
      <c r="H734" s="27"/>
      <c r="I734" s="245"/>
      <c r="J734" s="26"/>
      <c r="K734" s="26"/>
      <c r="L734" s="26"/>
      <c r="M734" s="26"/>
      <c r="N734" s="28"/>
      <c r="O734" s="26"/>
    </row>
    <row r="735" spans="3:15" ht="15">
      <c r="C735" s="25"/>
      <c r="D735" s="26"/>
      <c r="E735" s="26"/>
      <c r="F735" s="26"/>
      <c r="G735" s="27"/>
      <c r="H735" s="27"/>
      <c r="I735" s="245"/>
      <c r="J735" s="26"/>
      <c r="K735" s="26"/>
      <c r="L735" s="26"/>
      <c r="M735" s="26"/>
      <c r="N735" s="28"/>
      <c r="O735" s="26"/>
    </row>
    <row r="736" spans="3:15" ht="15">
      <c r="C736" s="25"/>
      <c r="D736" s="26"/>
      <c r="E736" s="26"/>
      <c r="F736" s="26"/>
      <c r="G736" s="27"/>
      <c r="H736" s="27"/>
      <c r="I736" s="245"/>
      <c r="J736" s="26"/>
      <c r="K736" s="26"/>
      <c r="L736" s="26"/>
      <c r="M736" s="26"/>
      <c r="N736" s="28"/>
      <c r="O736" s="26"/>
    </row>
    <row r="737" spans="3:15" ht="15">
      <c r="C737" s="25"/>
      <c r="D737" s="26"/>
      <c r="E737" s="26"/>
      <c r="F737" s="26"/>
      <c r="G737" s="27"/>
      <c r="H737" s="27"/>
      <c r="I737" s="245"/>
      <c r="J737" s="26"/>
      <c r="K737" s="26"/>
      <c r="L737" s="26"/>
      <c r="M737" s="26"/>
      <c r="N737" s="28"/>
      <c r="O737" s="26"/>
    </row>
    <row r="738" spans="3:15" ht="15">
      <c r="C738" s="25"/>
      <c r="D738" s="26"/>
      <c r="E738" s="26"/>
      <c r="F738" s="26"/>
      <c r="G738" s="27"/>
      <c r="H738" s="27"/>
      <c r="I738" s="245"/>
      <c r="J738" s="26"/>
      <c r="K738" s="26"/>
      <c r="L738" s="26"/>
      <c r="M738" s="26"/>
      <c r="N738" s="28"/>
      <c r="O738" s="26"/>
    </row>
    <row r="739" spans="3:15" ht="15">
      <c r="C739" s="25"/>
      <c r="D739" s="26"/>
      <c r="E739" s="26"/>
      <c r="F739" s="26"/>
      <c r="G739" s="27"/>
      <c r="H739" s="27"/>
      <c r="I739" s="245"/>
      <c r="J739" s="26"/>
      <c r="K739" s="26"/>
      <c r="L739" s="26"/>
      <c r="M739" s="26"/>
      <c r="N739" s="28"/>
      <c r="O739" s="26"/>
    </row>
    <row r="740" spans="3:15" ht="15">
      <c r="C740" s="25"/>
      <c r="D740" s="26"/>
      <c r="E740" s="26"/>
      <c r="F740" s="26"/>
      <c r="G740" s="27"/>
      <c r="H740" s="27"/>
      <c r="I740" s="245"/>
      <c r="J740" s="26"/>
      <c r="K740" s="26"/>
      <c r="L740" s="26"/>
      <c r="M740" s="26"/>
      <c r="N740" s="28"/>
      <c r="O740" s="26"/>
    </row>
    <row r="741" spans="3:15" ht="15">
      <c r="C741" s="25"/>
      <c r="D741" s="26"/>
      <c r="E741" s="26"/>
      <c r="F741" s="26"/>
      <c r="G741" s="27"/>
      <c r="H741" s="27"/>
      <c r="I741" s="245"/>
      <c r="J741" s="26"/>
      <c r="K741" s="26"/>
      <c r="L741" s="26"/>
      <c r="M741" s="26"/>
      <c r="N741" s="28"/>
      <c r="O741" s="26"/>
    </row>
    <row r="742" spans="3:15" ht="15">
      <c r="C742" s="25"/>
      <c r="D742" s="26"/>
      <c r="E742" s="26"/>
      <c r="F742" s="26"/>
      <c r="G742" s="27"/>
      <c r="H742" s="27"/>
      <c r="I742" s="245"/>
      <c r="J742" s="26"/>
      <c r="K742" s="26"/>
      <c r="L742" s="26"/>
      <c r="M742" s="26"/>
      <c r="N742" s="28"/>
      <c r="O742" s="26"/>
    </row>
    <row r="743" spans="3:15" ht="15">
      <c r="C743" s="25"/>
      <c r="D743" s="26"/>
      <c r="E743" s="26"/>
      <c r="F743" s="26"/>
      <c r="G743" s="27"/>
      <c r="H743" s="27"/>
      <c r="I743" s="245"/>
      <c r="J743" s="26"/>
      <c r="K743" s="26"/>
      <c r="L743" s="26"/>
      <c r="M743" s="26"/>
      <c r="N743" s="28"/>
      <c r="O743" s="26"/>
    </row>
    <row r="744" spans="3:15" ht="15">
      <c r="C744" s="25"/>
      <c r="D744" s="26"/>
      <c r="E744" s="26"/>
      <c r="F744" s="26"/>
      <c r="G744" s="27"/>
      <c r="H744" s="27"/>
      <c r="I744" s="245"/>
      <c r="J744" s="26"/>
      <c r="K744" s="26"/>
      <c r="L744" s="26"/>
      <c r="M744" s="26"/>
      <c r="N744" s="28"/>
      <c r="O744" s="26"/>
    </row>
    <row r="745" spans="3:15" ht="15">
      <c r="C745" s="25"/>
      <c r="D745" s="26"/>
      <c r="E745" s="26"/>
      <c r="F745" s="26"/>
      <c r="G745" s="27"/>
      <c r="H745" s="27"/>
      <c r="I745" s="245"/>
      <c r="J745" s="26"/>
      <c r="K745" s="26"/>
      <c r="L745" s="26"/>
      <c r="M745" s="26"/>
      <c r="N745" s="28"/>
      <c r="O745" s="26"/>
    </row>
    <row r="746" spans="3:15" ht="15">
      <c r="C746" s="25"/>
      <c r="D746" s="26"/>
      <c r="E746" s="26"/>
      <c r="F746" s="26"/>
      <c r="G746" s="27"/>
      <c r="H746" s="27"/>
      <c r="I746" s="245"/>
      <c r="J746" s="26"/>
      <c r="K746" s="26"/>
      <c r="L746" s="26"/>
      <c r="M746" s="26"/>
      <c r="N746" s="28"/>
      <c r="O746" s="26"/>
    </row>
    <row r="747" spans="3:15" ht="15">
      <c r="C747" s="25"/>
      <c r="D747" s="26"/>
      <c r="E747" s="26"/>
      <c r="F747" s="26"/>
      <c r="G747" s="27"/>
      <c r="H747" s="27"/>
      <c r="I747" s="245"/>
      <c r="J747" s="26"/>
      <c r="K747" s="26"/>
      <c r="L747" s="26"/>
      <c r="M747" s="26"/>
      <c r="N747" s="28"/>
      <c r="O747" s="26"/>
    </row>
    <row r="748" spans="3:15" ht="15">
      <c r="C748" s="25"/>
      <c r="D748" s="26"/>
      <c r="E748" s="26"/>
      <c r="F748" s="26"/>
      <c r="G748" s="27"/>
      <c r="H748" s="27"/>
      <c r="I748" s="245"/>
      <c r="J748" s="26"/>
      <c r="K748" s="26"/>
      <c r="L748" s="26"/>
      <c r="M748" s="26"/>
      <c r="N748" s="28"/>
      <c r="O748" s="26"/>
    </row>
    <row r="749" spans="3:15" ht="15">
      <c r="C749" s="25"/>
      <c r="D749" s="26"/>
      <c r="E749" s="26"/>
      <c r="F749" s="26"/>
      <c r="G749" s="27"/>
      <c r="H749" s="27"/>
      <c r="I749" s="245"/>
      <c r="J749" s="26"/>
      <c r="K749" s="26"/>
      <c r="L749" s="26"/>
      <c r="M749" s="26"/>
      <c r="N749" s="28"/>
      <c r="O749" s="26"/>
    </row>
    <row r="750" spans="3:15" ht="15">
      <c r="C750" s="25"/>
      <c r="D750" s="26"/>
      <c r="E750" s="26"/>
      <c r="F750" s="26"/>
      <c r="G750" s="27"/>
      <c r="H750" s="27"/>
      <c r="I750" s="245"/>
      <c r="J750" s="26"/>
      <c r="K750" s="26"/>
      <c r="L750" s="26"/>
      <c r="M750" s="26"/>
      <c r="N750" s="28"/>
      <c r="O750" s="26"/>
    </row>
    <row r="751" spans="3:15" ht="15">
      <c r="C751" s="25"/>
      <c r="D751" s="26"/>
      <c r="E751" s="26"/>
      <c r="F751" s="26"/>
      <c r="G751" s="27"/>
      <c r="H751" s="27"/>
      <c r="I751" s="245"/>
      <c r="J751" s="26"/>
      <c r="K751" s="26"/>
      <c r="L751" s="26"/>
      <c r="M751" s="26"/>
      <c r="N751" s="28"/>
      <c r="O751" s="26"/>
    </row>
    <row r="752" spans="3:15" ht="15">
      <c r="C752" s="25"/>
      <c r="D752" s="26"/>
      <c r="E752" s="26"/>
      <c r="F752" s="26"/>
      <c r="G752" s="27"/>
      <c r="H752" s="27"/>
      <c r="I752" s="245"/>
      <c r="J752" s="26"/>
      <c r="K752" s="26"/>
      <c r="L752" s="26"/>
      <c r="M752" s="26"/>
      <c r="N752" s="28"/>
      <c r="O752" s="26"/>
    </row>
    <row r="753" spans="3:15" ht="15">
      <c r="C753" s="25"/>
      <c r="D753" s="26"/>
      <c r="E753" s="26"/>
      <c r="F753" s="26"/>
      <c r="G753" s="27"/>
      <c r="H753" s="27"/>
      <c r="I753" s="245"/>
      <c r="J753" s="26"/>
      <c r="K753" s="26"/>
      <c r="L753" s="26"/>
      <c r="M753" s="26"/>
      <c r="N753" s="28"/>
      <c r="O753" s="26"/>
    </row>
    <row r="754" spans="3:15" ht="15">
      <c r="C754" s="25"/>
      <c r="D754" s="26"/>
      <c r="E754" s="26"/>
      <c r="F754" s="26"/>
      <c r="G754" s="27"/>
      <c r="H754" s="27"/>
      <c r="I754" s="245"/>
      <c r="J754" s="26"/>
      <c r="K754" s="26"/>
      <c r="L754" s="26"/>
      <c r="M754" s="26"/>
      <c r="N754" s="28"/>
      <c r="O754" s="26"/>
    </row>
    <row r="755" spans="3:15" ht="15">
      <c r="C755" s="25"/>
      <c r="D755" s="26"/>
      <c r="E755" s="26"/>
      <c r="F755" s="26"/>
      <c r="G755" s="27"/>
      <c r="H755" s="27"/>
      <c r="I755" s="245"/>
      <c r="J755" s="26"/>
      <c r="K755" s="26"/>
      <c r="L755" s="26"/>
      <c r="M755" s="26"/>
      <c r="N755" s="28"/>
      <c r="O755" s="26"/>
    </row>
    <row r="756" spans="3:15" ht="15">
      <c r="C756" s="25"/>
      <c r="D756" s="26"/>
      <c r="E756" s="26"/>
      <c r="F756" s="26"/>
      <c r="G756" s="27"/>
      <c r="H756" s="27"/>
      <c r="I756" s="245"/>
      <c r="J756" s="26"/>
      <c r="K756" s="26"/>
      <c r="L756" s="26"/>
      <c r="M756" s="26"/>
      <c r="N756" s="28"/>
      <c r="O756" s="26"/>
    </row>
    <row r="757" spans="3:15" ht="15">
      <c r="C757" s="25"/>
      <c r="D757" s="26"/>
      <c r="E757" s="26"/>
      <c r="F757" s="26"/>
      <c r="G757" s="27"/>
      <c r="H757" s="27"/>
      <c r="I757" s="245"/>
      <c r="J757" s="26"/>
      <c r="K757" s="26"/>
      <c r="L757" s="26"/>
      <c r="M757" s="26"/>
      <c r="N757" s="28"/>
      <c r="O757" s="26"/>
    </row>
    <row r="758" spans="3:15" ht="15">
      <c r="C758" s="25"/>
      <c r="D758" s="26"/>
      <c r="E758" s="26"/>
      <c r="F758" s="26"/>
      <c r="G758" s="27"/>
      <c r="H758" s="27"/>
      <c r="I758" s="245"/>
      <c r="J758" s="26"/>
      <c r="K758" s="26"/>
      <c r="L758" s="26"/>
      <c r="M758" s="26"/>
      <c r="N758" s="28"/>
      <c r="O758" s="26"/>
    </row>
    <row r="759" spans="3:15" ht="15">
      <c r="C759" s="25"/>
      <c r="D759" s="26"/>
      <c r="E759" s="26"/>
      <c r="F759" s="26"/>
      <c r="G759" s="27"/>
      <c r="H759" s="27"/>
      <c r="I759" s="245"/>
      <c r="J759" s="26"/>
      <c r="K759" s="26"/>
      <c r="L759" s="26"/>
      <c r="M759" s="26"/>
      <c r="N759" s="28"/>
      <c r="O759" s="26"/>
    </row>
    <row r="760" spans="3:15" ht="15">
      <c r="C760" s="25"/>
      <c r="D760" s="26"/>
      <c r="E760" s="26"/>
      <c r="F760" s="26"/>
      <c r="G760" s="27"/>
      <c r="H760" s="27"/>
      <c r="I760" s="245"/>
      <c r="J760" s="26"/>
      <c r="K760" s="26"/>
      <c r="L760" s="26"/>
      <c r="M760" s="26"/>
      <c r="N760" s="28"/>
      <c r="O760" s="26"/>
    </row>
    <row r="761" spans="3:15" ht="15">
      <c r="C761" s="25"/>
      <c r="D761" s="26"/>
      <c r="E761" s="26"/>
      <c r="F761" s="26"/>
      <c r="G761" s="27"/>
      <c r="H761" s="27"/>
      <c r="I761" s="245"/>
      <c r="J761" s="26"/>
      <c r="K761" s="26"/>
      <c r="L761" s="26"/>
      <c r="M761" s="26"/>
      <c r="N761" s="28"/>
      <c r="O761" s="26"/>
    </row>
    <row r="762" spans="3:15" ht="15">
      <c r="C762" s="25"/>
      <c r="D762" s="26"/>
      <c r="E762" s="26"/>
      <c r="F762" s="26"/>
      <c r="G762" s="27"/>
      <c r="H762" s="27"/>
      <c r="I762" s="245"/>
      <c r="J762" s="26"/>
      <c r="K762" s="26"/>
      <c r="L762" s="26"/>
      <c r="M762" s="26"/>
      <c r="N762" s="28"/>
      <c r="O762" s="26"/>
    </row>
    <row r="763" spans="3:15" ht="15">
      <c r="C763" s="25"/>
      <c r="D763" s="26"/>
      <c r="E763" s="26"/>
      <c r="F763" s="26"/>
      <c r="G763" s="27"/>
      <c r="H763" s="27"/>
      <c r="I763" s="245"/>
      <c r="J763" s="26"/>
      <c r="K763" s="26"/>
      <c r="L763" s="26"/>
      <c r="M763" s="26"/>
      <c r="N763" s="28"/>
      <c r="O763" s="26"/>
    </row>
    <row r="764" spans="3:15" ht="15">
      <c r="C764" s="25"/>
      <c r="D764" s="26"/>
      <c r="E764" s="26"/>
      <c r="F764" s="26"/>
      <c r="G764" s="27"/>
      <c r="H764" s="27"/>
      <c r="I764" s="245"/>
      <c r="J764" s="26"/>
      <c r="K764" s="26"/>
      <c r="L764" s="26"/>
      <c r="M764" s="26"/>
      <c r="N764" s="28"/>
      <c r="O764" s="26"/>
    </row>
    <row r="765" spans="3:15" ht="15">
      <c r="C765" s="25"/>
      <c r="D765" s="26"/>
      <c r="E765" s="26"/>
      <c r="F765" s="26"/>
      <c r="G765" s="27"/>
      <c r="H765" s="27"/>
      <c r="I765" s="245"/>
      <c r="J765" s="26"/>
      <c r="K765" s="26"/>
      <c r="L765" s="26"/>
      <c r="M765" s="26"/>
      <c r="N765" s="28"/>
      <c r="O765" s="26"/>
    </row>
    <row r="766" spans="3:15" ht="15">
      <c r="C766" s="25"/>
      <c r="D766" s="26"/>
      <c r="E766" s="26"/>
      <c r="F766" s="26"/>
      <c r="G766" s="27"/>
      <c r="H766" s="27"/>
      <c r="I766" s="245"/>
      <c r="J766" s="26"/>
      <c r="K766" s="26"/>
      <c r="L766" s="26"/>
      <c r="M766" s="26"/>
      <c r="N766" s="28"/>
      <c r="O766" s="26"/>
    </row>
    <row r="767" spans="3:15" ht="15">
      <c r="C767" s="25"/>
      <c r="D767" s="26"/>
      <c r="E767" s="26"/>
      <c r="F767" s="26"/>
      <c r="G767" s="27"/>
      <c r="H767" s="27"/>
      <c r="I767" s="245"/>
      <c r="J767" s="26"/>
      <c r="K767" s="26"/>
      <c r="L767" s="26"/>
      <c r="M767" s="26"/>
      <c r="N767" s="28"/>
      <c r="O767" s="26"/>
    </row>
    <row r="768" spans="3:15" ht="15">
      <c r="C768" s="25"/>
      <c r="D768" s="26"/>
      <c r="E768" s="26"/>
      <c r="F768" s="26"/>
      <c r="G768" s="27"/>
      <c r="H768" s="27"/>
      <c r="I768" s="245"/>
      <c r="J768" s="26"/>
      <c r="K768" s="26"/>
      <c r="L768" s="26"/>
      <c r="M768" s="26"/>
      <c r="N768" s="28"/>
      <c r="O768" s="26"/>
    </row>
    <row r="769" spans="3:15" ht="15">
      <c r="C769" s="25"/>
      <c r="D769" s="26"/>
      <c r="E769" s="26"/>
      <c r="F769" s="26"/>
      <c r="G769" s="27"/>
      <c r="H769" s="27"/>
      <c r="I769" s="245"/>
      <c r="J769" s="26"/>
      <c r="K769" s="26"/>
      <c r="L769" s="26"/>
      <c r="M769" s="26"/>
      <c r="N769" s="28"/>
      <c r="O769" s="26"/>
    </row>
    <row r="770" spans="3:15" ht="15">
      <c r="C770" s="25"/>
      <c r="D770" s="26"/>
      <c r="E770" s="26"/>
      <c r="F770" s="26"/>
      <c r="G770" s="27"/>
      <c r="H770" s="27"/>
      <c r="I770" s="245"/>
      <c r="J770" s="26"/>
      <c r="K770" s="26"/>
      <c r="L770" s="26"/>
      <c r="M770" s="26"/>
      <c r="N770" s="28"/>
      <c r="O770" s="26"/>
    </row>
    <row r="771" spans="3:15" ht="15">
      <c r="C771" s="25"/>
      <c r="D771" s="26"/>
      <c r="E771" s="26"/>
      <c r="F771" s="26"/>
      <c r="G771" s="27"/>
      <c r="H771" s="27"/>
      <c r="I771" s="245"/>
      <c r="J771" s="26"/>
      <c r="K771" s="26"/>
      <c r="L771" s="26"/>
      <c r="M771" s="26"/>
      <c r="N771" s="28"/>
      <c r="O771" s="26"/>
    </row>
    <row r="772" spans="3:15" ht="15">
      <c r="C772" s="25"/>
      <c r="D772" s="26"/>
      <c r="E772" s="26"/>
      <c r="F772" s="26"/>
      <c r="G772" s="27"/>
      <c r="H772" s="27"/>
      <c r="I772" s="245"/>
      <c r="J772" s="26"/>
      <c r="K772" s="26"/>
      <c r="L772" s="26"/>
      <c r="M772" s="26"/>
      <c r="N772" s="28"/>
      <c r="O772" s="26"/>
    </row>
    <row r="773" spans="3:15" ht="15">
      <c r="C773" s="25"/>
      <c r="D773" s="26"/>
      <c r="E773" s="26"/>
      <c r="F773" s="26"/>
      <c r="G773" s="27"/>
      <c r="H773" s="27"/>
      <c r="I773" s="245"/>
      <c r="J773" s="26"/>
      <c r="K773" s="26"/>
      <c r="L773" s="26"/>
      <c r="M773" s="26"/>
      <c r="N773" s="28"/>
      <c r="O773" s="26"/>
    </row>
    <row r="774" spans="3:15" ht="15">
      <c r="C774" s="25"/>
      <c r="D774" s="26"/>
      <c r="E774" s="26"/>
      <c r="F774" s="26"/>
      <c r="G774" s="27"/>
      <c r="H774" s="27"/>
      <c r="I774" s="245"/>
      <c r="J774" s="26"/>
      <c r="K774" s="26"/>
      <c r="L774" s="26"/>
      <c r="M774" s="26"/>
      <c r="N774" s="28"/>
      <c r="O774" s="26"/>
    </row>
    <row r="775" spans="3:15" ht="15">
      <c r="C775" s="25"/>
      <c r="D775" s="26"/>
      <c r="E775" s="26"/>
      <c r="F775" s="26"/>
      <c r="G775" s="27"/>
      <c r="H775" s="27"/>
      <c r="I775" s="245"/>
      <c r="J775" s="26"/>
      <c r="K775" s="26"/>
      <c r="L775" s="26"/>
      <c r="M775" s="26"/>
      <c r="N775" s="28"/>
      <c r="O775" s="26"/>
    </row>
    <row r="776" spans="3:15" ht="15">
      <c r="C776" s="25"/>
      <c r="D776" s="26"/>
      <c r="E776" s="26"/>
      <c r="F776" s="26"/>
      <c r="G776" s="27"/>
      <c r="H776" s="27"/>
      <c r="I776" s="245"/>
      <c r="J776" s="26"/>
      <c r="K776" s="26"/>
      <c r="L776" s="26"/>
      <c r="M776" s="26"/>
      <c r="N776" s="28"/>
      <c r="O776" s="26"/>
    </row>
    <row r="777" spans="3:15" ht="15">
      <c r="C777" s="25"/>
      <c r="D777" s="26"/>
      <c r="E777" s="26"/>
      <c r="F777" s="26"/>
      <c r="G777" s="27"/>
      <c r="H777" s="27"/>
      <c r="I777" s="245"/>
      <c r="J777" s="26"/>
      <c r="K777" s="26"/>
      <c r="L777" s="26"/>
      <c r="M777" s="26"/>
      <c r="N777" s="28"/>
      <c r="O777" s="26"/>
    </row>
    <row r="778" spans="3:15" ht="15">
      <c r="C778" s="25"/>
      <c r="D778" s="26"/>
      <c r="E778" s="26"/>
      <c r="F778" s="26"/>
      <c r="G778" s="27"/>
      <c r="H778" s="27"/>
      <c r="I778" s="245"/>
      <c r="J778" s="26"/>
      <c r="K778" s="26"/>
      <c r="L778" s="26"/>
      <c r="M778" s="26"/>
      <c r="N778" s="28"/>
      <c r="O778" s="26"/>
    </row>
    <row r="779" spans="3:15" ht="15">
      <c r="C779" s="25"/>
      <c r="D779" s="26"/>
      <c r="E779" s="26"/>
      <c r="F779" s="26"/>
      <c r="G779" s="27"/>
      <c r="H779" s="27"/>
      <c r="I779" s="245"/>
      <c r="J779" s="26"/>
      <c r="K779" s="26"/>
      <c r="L779" s="26"/>
      <c r="M779" s="26"/>
      <c r="N779" s="28"/>
      <c r="O779" s="26"/>
    </row>
    <row r="780" spans="3:15" ht="15">
      <c r="C780" s="25"/>
      <c r="D780" s="26"/>
      <c r="E780" s="26"/>
      <c r="F780" s="26"/>
      <c r="G780" s="27"/>
      <c r="H780" s="27"/>
      <c r="I780" s="245"/>
      <c r="J780" s="26"/>
      <c r="K780" s="26"/>
      <c r="L780" s="26"/>
      <c r="M780" s="26"/>
      <c r="N780" s="28"/>
      <c r="O780" s="26"/>
    </row>
    <row r="781" spans="3:15" ht="15">
      <c r="C781" s="25"/>
      <c r="D781" s="26"/>
      <c r="E781" s="26"/>
      <c r="F781" s="26"/>
      <c r="G781" s="27"/>
      <c r="H781" s="27"/>
      <c r="I781" s="245"/>
      <c r="J781" s="26"/>
      <c r="K781" s="26"/>
      <c r="L781" s="26"/>
      <c r="M781" s="26"/>
      <c r="N781" s="28"/>
      <c r="O781" s="26"/>
    </row>
    <row r="782" spans="3:15" ht="15">
      <c r="C782" s="25"/>
      <c r="D782" s="26"/>
      <c r="E782" s="26"/>
      <c r="F782" s="26"/>
      <c r="G782" s="27"/>
      <c r="H782" s="27"/>
      <c r="I782" s="245"/>
      <c r="J782" s="26"/>
      <c r="K782" s="26"/>
      <c r="L782" s="26"/>
      <c r="M782" s="26"/>
      <c r="N782" s="28"/>
      <c r="O782" s="26"/>
    </row>
    <row r="783" spans="3:15" ht="15">
      <c r="C783" s="25"/>
      <c r="D783" s="26"/>
      <c r="E783" s="26"/>
      <c r="F783" s="26"/>
      <c r="G783" s="27"/>
      <c r="H783" s="27"/>
      <c r="I783" s="245"/>
      <c r="J783" s="26"/>
      <c r="K783" s="26"/>
      <c r="L783" s="26"/>
      <c r="M783" s="26"/>
      <c r="N783" s="28"/>
      <c r="O783" s="26"/>
    </row>
    <row r="784" spans="3:15" ht="15">
      <c r="C784" s="25"/>
      <c r="D784" s="26"/>
      <c r="E784" s="26"/>
      <c r="F784" s="26"/>
      <c r="G784" s="27"/>
      <c r="H784" s="27"/>
      <c r="I784" s="245"/>
      <c r="J784" s="26"/>
      <c r="K784" s="26"/>
      <c r="L784" s="26"/>
      <c r="M784" s="26"/>
      <c r="N784" s="28"/>
      <c r="O784" s="26"/>
    </row>
    <row r="785" spans="3:15" ht="15">
      <c r="C785" s="25"/>
      <c r="D785" s="26"/>
      <c r="E785" s="26"/>
      <c r="F785" s="26"/>
      <c r="G785" s="27"/>
      <c r="H785" s="27"/>
      <c r="I785" s="245"/>
      <c r="J785" s="26"/>
      <c r="K785" s="26"/>
      <c r="L785" s="26"/>
      <c r="M785" s="26"/>
      <c r="N785" s="28"/>
      <c r="O785" s="26"/>
    </row>
    <row r="786" spans="3:15" ht="15">
      <c r="C786" s="25"/>
      <c r="D786" s="26"/>
      <c r="E786" s="26"/>
      <c r="F786" s="26"/>
      <c r="G786" s="27"/>
      <c r="H786" s="27"/>
      <c r="I786" s="245"/>
      <c r="J786" s="26"/>
      <c r="K786" s="26"/>
      <c r="L786" s="26"/>
      <c r="M786" s="26"/>
      <c r="N786" s="28"/>
      <c r="O786" s="26"/>
    </row>
    <row r="787" spans="3:15" ht="15">
      <c r="C787" s="25"/>
      <c r="D787" s="26"/>
      <c r="E787" s="26"/>
      <c r="F787" s="26"/>
      <c r="G787" s="27"/>
      <c r="H787" s="27"/>
      <c r="I787" s="245"/>
      <c r="J787" s="26"/>
      <c r="K787" s="26"/>
      <c r="L787" s="26"/>
      <c r="M787" s="26"/>
      <c r="N787" s="28"/>
      <c r="O787" s="26"/>
    </row>
    <row r="788" spans="3:15" ht="15">
      <c r="C788" s="25"/>
      <c r="D788" s="26"/>
      <c r="E788" s="26"/>
      <c r="F788" s="26"/>
      <c r="G788" s="27"/>
      <c r="H788" s="27"/>
      <c r="I788" s="245"/>
      <c r="J788" s="26"/>
      <c r="K788" s="26"/>
      <c r="L788" s="26"/>
      <c r="M788" s="26"/>
      <c r="N788" s="28"/>
      <c r="O788" s="26"/>
    </row>
    <row r="789" spans="3:15" ht="15">
      <c r="C789" s="25"/>
      <c r="D789" s="26"/>
      <c r="E789" s="26"/>
      <c r="F789" s="26"/>
      <c r="G789" s="27"/>
      <c r="H789" s="27"/>
      <c r="I789" s="245"/>
      <c r="J789" s="26"/>
      <c r="K789" s="26"/>
      <c r="L789" s="26"/>
      <c r="M789" s="26"/>
      <c r="N789" s="28"/>
      <c r="O789" s="26"/>
    </row>
    <row r="790" spans="3:15" ht="15">
      <c r="C790" s="25"/>
      <c r="D790" s="26"/>
      <c r="E790" s="26"/>
      <c r="F790" s="26"/>
      <c r="G790" s="27"/>
      <c r="H790" s="27"/>
      <c r="I790" s="245"/>
      <c r="J790" s="26"/>
      <c r="K790" s="26"/>
      <c r="L790" s="26"/>
      <c r="M790" s="26"/>
      <c r="N790" s="28"/>
      <c r="O790" s="26"/>
    </row>
    <row r="791" spans="3:15" ht="15">
      <c r="C791" s="25"/>
      <c r="D791" s="26"/>
      <c r="E791" s="26"/>
      <c r="F791" s="26"/>
      <c r="G791" s="27"/>
      <c r="H791" s="27"/>
      <c r="I791" s="245"/>
      <c r="J791" s="26"/>
      <c r="K791" s="26"/>
      <c r="L791" s="26"/>
      <c r="M791" s="26"/>
      <c r="N791" s="28"/>
      <c r="O791" s="26"/>
    </row>
    <row r="792" spans="3:15" ht="15">
      <c r="C792" s="25"/>
      <c r="D792" s="26"/>
      <c r="E792" s="26"/>
      <c r="F792" s="26"/>
      <c r="G792" s="27"/>
      <c r="H792" s="27"/>
      <c r="I792" s="245"/>
      <c r="J792" s="26"/>
      <c r="K792" s="26"/>
      <c r="L792" s="26"/>
      <c r="M792" s="26"/>
      <c r="N792" s="28"/>
      <c r="O792" s="26"/>
    </row>
    <row r="793" spans="3:15" ht="15">
      <c r="C793" s="25"/>
      <c r="D793" s="26"/>
      <c r="E793" s="26"/>
      <c r="F793" s="26"/>
      <c r="G793" s="27"/>
      <c r="H793" s="27"/>
      <c r="I793" s="245"/>
      <c r="J793" s="26"/>
      <c r="K793" s="26"/>
      <c r="L793" s="26"/>
      <c r="M793" s="26"/>
      <c r="N793" s="28"/>
      <c r="O793" s="26"/>
    </row>
    <row r="794" spans="3:15" ht="15">
      <c r="C794" s="25"/>
      <c r="D794" s="26"/>
      <c r="E794" s="26"/>
      <c r="F794" s="26"/>
      <c r="G794" s="27"/>
      <c r="H794" s="27"/>
      <c r="I794" s="245"/>
      <c r="J794" s="26"/>
      <c r="K794" s="26"/>
      <c r="L794" s="26"/>
      <c r="M794" s="26"/>
      <c r="N794" s="28"/>
      <c r="O794" s="26"/>
    </row>
    <row r="795" spans="3:15" ht="15">
      <c r="C795" s="25"/>
      <c r="D795" s="26"/>
      <c r="E795" s="26"/>
      <c r="F795" s="26"/>
      <c r="G795" s="27"/>
      <c r="H795" s="27"/>
      <c r="I795" s="245"/>
      <c r="J795" s="26"/>
      <c r="K795" s="26"/>
      <c r="L795" s="26"/>
      <c r="M795" s="26"/>
      <c r="N795" s="28"/>
      <c r="O795" s="26"/>
    </row>
    <row r="796" spans="3:15" ht="15">
      <c r="C796" s="25"/>
      <c r="D796" s="26"/>
      <c r="E796" s="26"/>
      <c r="F796" s="26"/>
      <c r="G796" s="27"/>
      <c r="H796" s="27"/>
      <c r="I796" s="245"/>
      <c r="J796" s="26"/>
      <c r="K796" s="26"/>
      <c r="L796" s="26"/>
      <c r="M796" s="26"/>
      <c r="N796" s="28"/>
      <c r="O796" s="26"/>
    </row>
    <row r="797" spans="3:15" ht="15">
      <c r="C797" s="25"/>
      <c r="D797" s="26"/>
      <c r="E797" s="26"/>
      <c r="F797" s="26"/>
      <c r="G797" s="27"/>
      <c r="H797" s="27"/>
      <c r="I797" s="245"/>
      <c r="J797" s="26"/>
      <c r="K797" s="26"/>
      <c r="L797" s="26"/>
      <c r="M797" s="26"/>
      <c r="N797" s="28"/>
      <c r="O797" s="26"/>
    </row>
    <row r="798" spans="3:15" ht="15">
      <c r="C798" s="25"/>
      <c r="D798" s="26"/>
      <c r="E798" s="26"/>
      <c r="F798" s="26"/>
      <c r="G798" s="27"/>
      <c r="H798" s="27"/>
      <c r="I798" s="245"/>
      <c r="J798" s="26"/>
      <c r="K798" s="26"/>
      <c r="L798" s="26"/>
      <c r="M798" s="26"/>
      <c r="N798" s="28"/>
      <c r="O798" s="26"/>
    </row>
    <row r="799" spans="3:15" ht="15">
      <c r="C799" s="25"/>
      <c r="D799" s="26"/>
      <c r="E799" s="26"/>
      <c r="F799" s="26"/>
      <c r="G799" s="27"/>
      <c r="H799" s="27"/>
      <c r="I799" s="245"/>
      <c r="J799" s="26"/>
      <c r="K799" s="26"/>
      <c r="L799" s="26"/>
      <c r="M799" s="26"/>
      <c r="N799" s="28"/>
      <c r="O799" s="26"/>
    </row>
    <row r="800" spans="3:15" ht="15">
      <c r="C800" s="25"/>
      <c r="D800" s="26"/>
      <c r="E800" s="26"/>
      <c r="F800" s="26"/>
      <c r="G800" s="27"/>
      <c r="H800" s="27"/>
      <c r="I800" s="245"/>
      <c r="J800" s="26"/>
      <c r="K800" s="26"/>
      <c r="L800" s="26"/>
      <c r="M800" s="26"/>
      <c r="N800" s="28"/>
      <c r="O800" s="26"/>
    </row>
    <row r="801" spans="3:15" ht="15">
      <c r="C801" s="25"/>
      <c r="D801" s="26"/>
      <c r="E801" s="26"/>
      <c r="F801" s="26"/>
      <c r="G801" s="27"/>
      <c r="H801" s="27"/>
      <c r="I801" s="245"/>
      <c r="J801" s="26"/>
      <c r="K801" s="26"/>
      <c r="L801" s="26"/>
      <c r="M801" s="26"/>
      <c r="N801" s="28"/>
      <c r="O801" s="26"/>
    </row>
    <row r="802" spans="3:15" ht="15">
      <c r="C802" s="25"/>
      <c r="D802" s="26"/>
      <c r="E802" s="26"/>
      <c r="F802" s="26"/>
      <c r="G802" s="27"/>
      <c r="H802" s="27"/>
      <c r="I802" s="245"/>
      <c r="J802" s="26"/>
      <c r="K802" s="26"/>
      <c r="L802" s="26"/>
      <c r="M802" s="26"/>
      <c r="N802" s="28"/>
      <c r="O802" s="26"/>
    </row>
    <row r="803" spans="3:15" ht="15">
      <c r="C803" s="25"/>
      <c r="D803" s="26"/>
      <c r="E803" s="26"/>
      <c r="F803" s="26"/>
      <c r="G803" s="27"/>
      <c r="H803" s="27"/>
      <c r="I803" s="245"/>
      <c r="J803" s="26"/>
      <c r="K803" s="26"/>
      <c r="L803" s="26"/>
      <c r="M803" s="26"/>
      <c r="N803" s="28"/>
      <c r="O803" s="26"/>
    </row>
    <row r="804" spans="3:15" ht="15">
      <c r="C804" s="25"/>
      <c r="D804" s="26"/>
      <c r="E804" s="26"/>
      <c r="F804" s="26"/>
      <c r="G804" s="27"/>
      <c r="H804" s="27"/>
      <c r="I804" s="245"/>
      <c r="J804" s="26"/>
      <c r="K804" s="26"/>
      <c r="L804" s="26"/>
      <c r="M804" s="26"/>
      <c r="N804" s="28"/>
      <c r="O804" s="26"/>
    </row>
    <row r="805" spans="3:15" ht="15">
      <c r="C805" s="25"/>
      <c r="D805" s="26"/>
      <c r="E805" s="26"/>
      <c r="F805" s="26"/>
      <c r="G805" s="27"/>
      <c r="H805" s="27"/>
      <c r="I805" s="245"/>
      <c r="J805" s="26"/>
      <c r="K805" s="26"/>
      <c r="L805" s="26"/>
      <c r="M805" s="26"/>
      <c r="N805" s="28"/>
      <c r="O805" s="26"/>
    </row>
    <row r="806" spans="3:15" ht="15">
      <c r="C806" s="25"/>
      <c r="D806" s="26"/>
      <c r="E806" s="26"/>
      <c r="F806" s="26"/>
      <c r="G806" s="27"/>
      <c r="H806" s="27"/>
      <c r="I806" s="245"/>
      <c r="J806" s="26"/>
      <c r="K806" s="26"/>
      <c r="L806" s="26"/>
      <c r="M806" s="26"/>
      <c r="N806" s="28"/>
      <c r="O806" s="26"/>
    </row>
    <row r="807" spans="3:15" ht="15">
      <c r="C807" s="25"/>
      <c r="D807" s="26"/>
      <c r="E807" s="26"/>
      <c r="F807" s="26"/>
      <c r="G807" s="27"/>
      <c r="H807" s="27"/>
      <c r="I807" s="245"/>
      <c r="J807" s="26"/>
      <c r="K807" s="26"/>
      <c r="L807" s="26"/>
      <c r="M807" s="26"/>
      <c r="N807" s="28"/>
      <c r="O807" s="26"/>
    </row>
    <row r="808" spans="3:15" ht="15">
      <c r="C808" s="25"/>
      <c r="D808" s="26"/>
      <c r="E808" s="26"/>
      <c r="F808" s="26"/>
      <c r="G808" s="27"/>
      <c r="H808" s="27"/>
      <c r="I808" s="245"/>
      <c r="J808" s="26"/>
      <c r="K808" s="26"/>
      <c r="L808" s="26"/>
      <c r="M808" s="26"/>
      <c r="N808" s="28"/>
      <c r="O808" s="26"/>
    </row>
    <row r="809" spans="3:15" ht="15">
      <c r="C809" s="25"/>
      <c r="D809" s="26"/>
      <c r="E809" s="26"/>
      <c r="F809" s="26"/>
      <c r="G809" s="27"/>
      <c r="H809" s="27"/>
      <c r="I809" s="245"/>
      <c r="J809" s="26"/>
      <c r="K809" s="26"/>
      <c r="L809" s="26"/>
      <c r="M809" s="26"/>
      <c r="N809" s="28"/>
      <c r="O809" s="26"/>
    </row>
    <row r="810" spans="3:15" ht="15">
      <c r="C810" s="25"/>
      <c r="D810" s="26"/>
      <c r="E810" s="26"/>
      <c r="F810" s="26"/>
      <c r="G810" s="27"/>
      <c r="H810" s="27"/>
      <c r="I810" s="245"/>
      <c r="J810" s="26"/>
      <c r="K810" s="26"/>
      <c r="L810" s="26"/>
      <c r="M810" s="26"/>
      <c r="N810" s="28"/>
      <c r="O810" s="26"/>
    </row>
    <row r="811" spans="3:15" ht="15">
      <c r="C811" s="25"/>
      <c r="D811" s="26"/>
      <c r="E811" s="26"/>
      <c r="F811" s="26"/>
      <c r="G811" s="27"/>
      <c r="H811" s="27"/>
      <c r="I811" s="245"/>
      <c r="J811" s="26"/>
      <c r="K811" s="26"/>
      <c r="L811" s="26"/>
      <c r="M811" s="26"/>
      <c r="N811" s="28"/>
      <c r="O811" s="26"/>
    </row>
    <row r="812" spans="3:15" ht="15">
      <c r="C812" s="25"/>
      <c r="D812" s="26"/>
      <c r="E812" s="26"/>
      <c r="F812" s="26"/>
      <c r="G812" s="27"/>
      <c r="H812" s="27"/>
      <c r="I812" s="245"/>
      <c r="J812" s="26"/>
      <c r="K812" s="26"/>
      <c r="L812" s="26"/>
      <c r="M812" s="26"/>
      <c r="N812" s="28"/>
      <c r="O812" s="26"/>
    </row>
    <row r="813" spans="3:15" ht="15">
      <c r="C813" s="25"/>
      <c r="D813" s="26"/>
      <c r="E813" s="26"/>
      <c r="F813" s="26"/>
      <c r="G813" s="27"/>
      <c r="H813" s="27"/>
      <c r="I813" s="245"/>
      <c r="J813" s="26"/>
      <c r="K813" s="26"/>
      <c r="L813" s="26"/>
      <c r="M813" s="26"/>
      <c r="N813" s="28"/>
      <c r="O813" s="26"/>
    </row>
    <row r="814" spans="3:15" ht="15">
      <c r="C814" s="25"/>
      <c r="D814" s="26"/>
      <c r="E814" s="26"/>
      <c r="F814" s="26"/>
      <c r="G814" s="27"/>
      <c r="H814" s="27"/>
      <c r="I814" s="245"/>
      <c r="J814" s="26"/>
      <c r="K814" s="26"/>
      <c r="L814" s="26"/>
      <c r="M814" s="26"/>
      <c r="N814" s="28"/>
      <c r="O814" s="26"/>
    </row>
    <row r="815" spans="3:15" ht="15">
      <c r="C815" s="25"/>
      <c r="D815" s="26"/>
      <c r="E815" s="26"/>
      <c r="F815" s="26"/>
      <c r="G815" s="27"/>
      <c r="H815" s="27"/>
      <c r="I815" s="245"/>
      <c r="J815" s="26"/>
      <c r="K815" s="26"/>
      <c r="L815" s="26"/>
      <c r="M815" s="26"/>
      <c r="N815" s="28"/>
      <c r="O815" s="26"/>
    </row>
    <row r="816" spans="3:15" ht="15">
      <c r="C816" s="25"/>
      <c r="D816" s="26"/>
      <c r="E816" s="26"/>
      <c r="F816" s="26"/>
      <c r="G816" s="27"/>
      <c r="H816" s="27"/>
      <c r="I816" s="245"/>
      <c r="J816" s="26"/>
      <c r="K816" s="26"/>
      <c r="L816" s="26"/>
      <c r="M816" s="26"/>
      <c r="N816" s="28"/>
      <c r="O816" s="26"/>
    </row>
    <row r="817" spans="3:15" ht="15">
      <c r="C817" s="25"/>
      <c r="D817" s="26"/>
      <c r="E817" s="26"/>
      <c r="F817" s="26"/>
      <c r="G817" s="27"/>
      <c r="H817" s="27"/>
      <c r="I817" s="245"/>
      <c r="J817" s="26"/>
      <c r="K817" s="26"/>
      <c r="L817" s="26"/>
      <c r="M817" s="26"/>
      <c r="N817" s="28"/>
      <c r="O817" s="26"/>
    </row>
    <row r="818" spans="3:15" ht="15">
      <c r="C818" s="25"/>
      <c r="D818" s="26"/>
      <c r="E818" s="26"/>
      <c r="F818" s="26"/>
      <c r="G818" s="27"/>
      <c r="H818" s="27"/>
      <c r="I818" s="245"/>
      <c r="J818" s="26"/>
      <c r="K818" s="26"/>
      <c r="L818" s="26"/>
      <c r="M818" s="26"/>
      <c r="N818" s="28"/>
      <c r="O818" s="26"/>
    </row>
    <row r="819" spans="3:15" ht="15">
      <c r="C819" s="25"/>
      <c r="D819" s="26"/>
      <c r="E819" s="26"/>
      <c r="F819" s="26"/>
      <c r="G819" s="27"/>
      <c r="H819" s="27"/>
      <c r="I819" s="245"/>
      <c r="J819" s="26"/>
      <c r="K819" s="26"/>
      <c r="L819" s="26"/>
      <c r="M819" s="26"/>
      <c r="N819" s="28"/>
      <c r="O819" s="26"/>
    </row>
    <row r="820" spans="3:15" ht="15">
      <c r="C820" s="25"/>
      <c r="D820" s="26"/>
      <c r="E820" s="26"/>
      <c r="F820" s="26"/>
      <c r="G820" s="27"/>
      <c r="H820" s="27"/>
      <c r="I820" s="245"/>
      <c r="J820" s="26"/>
      <c r="K820" s="26"/>
      <c r="L820" s="26"/>
      <c r="M820" s="26"/>
      <c r="N820" s="28"/>
      <c r="O820" s="26"/>
    </row>
    <row r="821" spans="3:15" ht="15">
      <c r="C821" s="25"/>
      <c r="D821" s="26"/>
      <c r="E821" s="26"/>
      <c r="F821" s="26"/>
      <c r="G821" s="27"/>
      <c r="H821" s="27"/>
      <c r="I821" s="245"/>
      <c r="J821" s="26"/>
      <c r="K821" s="26"/>
      <c r="L821" s="26"/>
      <c r="M821" s="26"/>
      <c r="N821" s="28"/>
      <c r="O821" s="26"/>
    </row>
    <row r="822" spans="3:15" ht="15">
      <c r="C822" s="25"/>
      <c r="D822" s="26"/>
      <c r="E822" s="26"/>
      <c r="F822" s="26"/>
      <c r="G822" s="27"/>
      <c r="H822" s="27"/>
      <c r="I822" s="245"/>
      <c r="J822" s="26"/>
      <c r="K822" s="26"/>
      <c r="L822" s="26"/>
      <c r="M822" s="26"/>
      <c r="N822" s="28"/>
      <c r="O822" s="26"/>
    </row>
    <row r="823" spans="3:15" ht="15">
      <c r="C823" s="25"/>
      <c r="D823" s="26"/>
      <c r="E823" s="26"/>
      <c r="F823" s="26"/>
      <c r="G823" s="27"/>
      <c r="H823" s="27"/>
      <c r="I823" s="245"/>
      <c r="J823" s="26"/>
      <c r="K823" s="26"/>
      <c r="L823" s="26"/>
      <c r="M823" s="26"/>
      <c r="N823" s="28"/>
      <c r="O823" s="26"/>
    </row>
    <row r="824" spans="3:15" ht="15">
      <c r="C824" s="25"/>
      <c r="D824" s="26"/>
      <c r="E824" s="26"/>
      <c r="F824" s="26"/>
      <c r="G824" s="27"/>
      <c r="H824" s="27"/>
      <c r="I824" s="245"/>
      <c r="J824" s="26"/>
      <c r="K824" s="26"/>
      <c r="L824" s="26"/>
      <c r="M824" s="26"/>
      <c r="N824" s="28"/>
      <c r="O824" s="26"/>
    </row>
    <row r="825" spans="3:15" ht="15">
      <c r="C825" s="25"/>
      <c r="D825" s="26"/>
      <c r="E825" s="26"/>
      <c r="F825" s="26"/>
      <c r="G825" s="27"/>
      <c r="H825" s="27"/>
      <c r="I825" s="245"/>
      <c r="J825" s="26"/>
      <c r="K825" s="26"/>
      <c r="L825" s="26"/>
      <c r="M825" s="26"/>
      <c r="N825" s="28"/>
      <c r="O825" s="26"/>
    </row>
    <row r="826" spans="3:15" ht="15">
      <c r="C826" s="25"/>
      <c r="D826" s="26"/>
      <c r="E826" s="26"/>
      <c r="F826" s="26"/>
      <c r="G826" s="27"/>
      <c r="H826" s="27"/>
      <c r="I826" s="245"/>
      <c r="J826" s="26"/>
      <c r="K826" s="26"/>
      <c r="L826" s="26"/>
      <c r="M826" s="26"/>
      <c r="N826" s="28"/>
      <c r="O826" s="26"/>
    </row>
    <row r="827" spans="3:15" ht="15">
      <c r="C827" s="25"/>
      <c r="D827" s="26"/>
      <c r="E827" s="26"/>
      <c r="F827" s="26"/>
      <c r="G827" s="27"/>
      <c r="H827" s="27"/>
      <c r="I827" s="245"/>
      <c r="J827" s="26"/>
      <c r="K827" s="26"/>
      <c r="L827" s="26"/>
      <c r="M827" s="26"/>
      <c r="N827" s="28"/>
      <c r="O827" s="26"/>
    </row>
    <row r="828" spans="3:15" ht="15">
      <c r="C828" s="25"/>
      <c r="D828" s="26"/>
      <c r="E828" s="26"/>
      <c r="F828" s="26"/>
      <c r="G828" s="27"/>
      <c r="H828" s="27"/>
      <c r="I828" s="245"/>
      <c r="J828" s="26"/>
      <c r="K828" s="26"/>
      <c r="L828" s="26"/>
      <c r="M828" s="26"/>
      <c r="N828" s="28"/>
      <c r="O828" s="26"/>
    </row>
    <row r="829" spans="3:15" ht="15">
      <c r="C829" s="25"/>
      <c r="D829" s="26"/>
      <c r="E829" s="26"/>
      <c r="F829" s="26"/>
      <c r="G829" s="27"/>
      <c r="H829" s="27"/>
      <c r="I829" s="245"/>
      <c r="J829" s="26"/>
      <c r="K829" s="26"/>
      <c r="L829" s="26"/>
      <c r="M829" s="26"/>
      <c r="N829" s="28"/>
      <c r="O829" s="26"/>
    </row>
    <row r="830" spans="3:15" ht="15">
      <c r="C830" s="25"/>
      <c r="D830" s="26"/>
      <c r="E830" s="26"/>
      <c r="F830" s="26"/>
      <c r="G830" s="27"/>
      <c r="H830" s="27"/>
      <c r="I830" s="245"/>
      <c r="J830" s="26"/>
      <c r="K830" s="26"/>
      <c r="L830" s="26"/>
      <c r="M830" s="26"/>
      <c r="N830" s="28"/>
      <c r="O830" s="26"/>
    </row>
    <row r="831" spans="3:15" ht="15">
      <c r="C831" s="25"/>
      <c r="D831" s="26"/>
      <c r="E831" s="26"/>
      <c r="F831" s="26"/>
      <c r="G831" s="27"/>
      <c r="H831" s="27"/>
      <c r="I831" s="245"/>
      <c r="J831" s="26"/>
      <c r="K831" s="26"/>
      <c r="L831" s="26"/>
      <c r="M831" s="26"/>
      <c r="N831" s="28"/>
      <c r="O831" s="26"/>
    </row>
    <row r="832" spans="3:15" ht="15">
      <c r="C832" s="25"/>
      <c r="D832" s="26"/>
      <c r="E832" s="26"/>
      <c r="F832" s="26"/>
      <c r="G832" s="27"/>
      <c r="H832" s="27"/>
      <c r="I832" s="245"/>
      <c r="J832" s="26"/>
      <c r="K832" s="26"/>
      <c r="L832" s="26"/>
      <c r="M832" s="26"/>
      <c r="N832" s="28"/>
      <c r="O832" s="26"/>
    </row>
    <row r="833" spans="3:15" ht="15">
      <c r="C833" s="25"/>
      <c r="D833" s="26"/>
      <c r="E833" s="26"/>
      <c r="F833" s="26"/>
      <c r="G833" s="27"/>
      <c r="H833" s="27"/>
      <c r="I833" s="245"/>
      <c r="J833" s="26"/>
      <c r="K833" s="26"/>
      <c r="L833" s="26"/>
      <c r="M833" s="26"/>
      <c r="N833" s="28"/>
      <c r="O833" s="26"/>
    </row>
    <row r="834" spans="3:15" ht="15">
      <c r="C834" s="25"/>
      <c r="D834" s="26"/>
      <c r="E834" s="26"/>
      <c r="F834" s="26"/>
      <c r="G834" s="27"/>
      <c r="H834" s="27"/>
      <c r="I834" s="245"/>
      <c r="J834" s="26"/>
      <c r="K834" s="26"/>
      <c r="L834" s="26"/>
      <c r="M834" s="26"/>
      <c r="N834" s="28"/>
      <c r="O834" s="26"/>
    </row>
    <row r="835" spans="3:15" ht="15">
      <c r="C835" s="25"/>
      <c r="D835" s="26"/>
      <c r="E835" s="26"/>
      <c r="F835" s="26"/>
      <c r="G835" s="27"/>
      <c r="H835" s="27"/>
      <c r="I835" s="245"/>
      <c r="J835" s="26"/>
      <c r="K835" s="26"/>
      <c r="L835" s="26"/>
      <c r="M835" s="26"/>
      <c r="N835" s="28"/>
      <c r="O835" s="26"/>
    </row>
    <row r="836" spans="3:15" ht="15">
      <c r="C836" s="25"/>
      <c r="D836" s="26"/>
      <c r="E836" s="26"/>
      <c r="F836" s="26"/>
      <c r="G836" s="27"/>
      <c r="H836" s="27"/>
      <c r="I836" s="245"/>
      <c r="J836" s="26"/>
      <c r="K836" s="26"/>
      <c r="L836" s="26"/>
      <c r="M836" s="26"/>
      <c r="N836" s="28"/>
      <c r="O836" s="26"/>
    </row>
    <row r="837" spans="3:15" ht="15">
      <c r="C837" s="25"/>
      <c r="D837" s="26"/>
      <c r="E837" s="26"/>
      <c r="F837" s="26"/>
      <c r="G837" s="27"/>
      <c r="H837" s="27"/>
      <c r="I837" s="245"/>
      <c r="J837" s="26"/>
      <c r="K837" s="26"/>
      <c r="L837" s="26"/>
      <c r="M837" s="26"/>
      <c r="N837" s="28"/>
      <c r="O837" s="26"/>
    </row>
    <row r="838" spans="3:15" ht="15">
      <c r="C838" s="25"/>
      <c r="D838" s="26"/>
      <c r="E838" s="26"/>
      <c r="F838" s="26"/>
      <c r="G838" s="27"/>
      <c r="H838" s="27"/>
      <c r="I838" s="245"/>
      <c r="J838" s="26"/>
      <c r="K838" s="26"/>
      <c r="L838" s="26"/>
      <c r="M838" s="26"/>
      <c r="N838" s="28"/>
      <c r="O838" s="26"/>
    </row>
    <row r="839" spans="3:15" ht="15">
      <c r="C839" s="25"/>
      <c r="D839" s="26"/>
      <c r="E839" s="26"/>
      <c r="F839" s="26"/>
      <c r="G839" s="27"/>
      <c r="H839" s="27"/>
      <c r="I839" s="245"/>
      <c r="J839" s="26"/>
      <c r="K839" s="26"/>
      <c r="L839" s="26"/>
      <c r="M839" s="26"/>
      <c r="N839" s="28"/>
      <c r="O839" s="26"/>
    </row>
    <row r="840" spans="3:15" ht="15">
      <c r="C840" s="25"/>
      <c r="D840" s="26"/>
      <c r="E840" s="26"/>
      <c r="F840" s="26"/>
      <c r="G840" s="27"/>
      <c r="H840" s="27"/>
      <c r="I840" s="245"/>
      <c r="J840" s="26"/>
      <c r="K840" s="26"/>
      <c r="L840" s="26"/>
      <c r="M840" s="26"/>
      <c r="N840" s="28"/>
      <c r="O840" s="26"/>
    </row>
    <row r="841" spans="3:15" ht="15">
      <c r="C841" s="25"/>
      <c r="D841" s="26"/>
      <c r="E841" s="26"/>
      <c r="F841" s="26"/>
      <c r="G841" s="27"/>
      <c r="H841" s="27"/>
      <c r="I841" s="245"/>
      <c r="J841" s="26"/>
      <c r="K841" s="26"/>
      <c r="L841" s="26"/>
      <c r="M841" s="26"/>
      <c r="N841" s="28"/>
      <c r="O841" s="26"/>
    </row>
    <row r="842" spans="3:15" ht="15">
      <c r="C842" s="25"/>
      <c r="D842" s="26"/>
      <c r="E842" s="26"/>
      <c r="F842" s="26"/>
      <c r="G842" s="27"/>
      <c r="H842" s="27"/>
      <c r="I842" s="245"/>
      <c r="J842" s="26"/>
      <c r="K842" s="26"/>
      <c r="L842" s="26"/>
      <c r="M842" s="26"/>
      <c r="N842" s="28"/>
      <c r="O842" s="26"/>
    </row>
    <row r="843" spans="3:15" ht="15">
      <c r="C843" s="25"/>
      <c r="D843" s="26"/>
      <c r="E843" s="26"/>
      <c r="F843" s="26"/>
      <c r="G843" s="27"/>
      <c r="H843" s="27"/>
      <c r="I843" s="245"/>
      <c r="J843" s="26"/>
      <c r="K843" s="26"/>
      <c r="L843" s="26"/>
      <c r="M843" s="26"/>
      <c r="N843" s="28"/>
      <c r="O843" s="26"/>
    </row>
    <row r="844" spans="3:15" ht="15">
      <c r="C844" s="25"/>
      <c r="D844" s="26"/>
      <c r="E844" s="26"/>
      <c r="F844" s="26"/>
      <c r="G844" s="27"/>
      <c r="H844" s="27"/>
      <c r="I844" s="245"/>
      <c r="J844" s="26"/>
      <c r="K844" s="26"/>
      <c r="L844" s="26"/>
      <c r="M844" s="26"/>
      <c r="N844" s="28"/>
      <c r="O844" s="26"/>
    </row>
    <row r="845" spans="3:15" ht="15">
      <c r="C845" s="25"/>
      <c r="D845" s="26"/>
      <c r="E845" s="26"/>
      <c r="F845" s="26"/>
      <c r="G845" s="27"/>
      <c r="H845" s="27"/>
      <c r="I845" s="245"/>
      <c r="J845" s="26"/>
      <c r="K845" s="26"/>
      <c r="L845" s="26"/>
      <c r="M845" s="26"/>
      <c r="N845" s="28"/>
      <c r="O845" s="26"/>
    </row>
    <row r="846" spans="3:15" ht="15">
      <c r="C846" s="25"/>
      <c r="D846" s="26"/>
      <c r="E846" s="26"/>
      <c r="F846" s="26"/>
      <c r="G846" s="27"/>
      <c r="H846" s="27"/>
      <c r="I846" s="245"/>
      <c r="J846" s="26"/>
      <c r="K846" s="26"/>
      <c r="L846" s="26"/>
      <c r="M846" s="26"/>
      <c r="N846" s="28"/>
      <c r="O846" s="26"/>
    </row>
    <row r="847" spans="3:15" ht="15">
      <c r="C847" s="25"/>
      <c r="D847" s="26"/>
      <c r="E847" s="26"/>
      <c r="F847" s="26"/>
      <c r="G847" s="27"/>
      <c r="H847" s="27"/>
      <c r="I847" s="245"/>
      <c r="J847" s="26"/>
      <c r="K847" s="26"/>
      <c r="L847" s="26"/>
      <c r="M847" s="26"/>
      <c r="N847" s="28"/>
      <c r="O847" s="26"/>
    </row>
    <row r="848" spans="3:15" ht="15">
      <c r="C848" s="25"/>
      <c r="D848" s="26"/>
      <c r="E848" s="26"/>
      <c r="F848" s="26"/>
      <c r="G848" s="27"/>
      <c r="H848" s="27"/>
      <c r="I848" s="245"/>
      <c r="J848" s="26"/>
      <c r="K848" s="26"/>
      <c r="L848" s="26"/>
      <c r="M848" s="26"/>
      <c r="N848" s="28"/>
      <c r="O848" s="26"/>
    </row>
    <row r="849" spans="3:15" ht="15">
      <c r="C849" s="25"/>
      <c r="D849" s="26"/>
      <c r="E849" s="26"/>
      <c r="F849" s="26"/>
      <c r="G849" s="27"/>
      <c r="H849" s="27"/>
      <c r="I849" s="245"/>
      <c r="J849" s="26"/>
      <c r="K849" s="26"/>
      <c r="L849" s="26"/>
      <c r="M849" s="26"/>
      <c r="N849" s="28"/>
      <c r="O849" s="26"/>
    </row>
    <row r="850" spans="3:15" ht="15">
      <c r="C850" s="25"/>
      <c r="D850" s="26"/>
      <c r="E850" s="26"/>
      <c r="F850" s="26"/>
      <c r="G850" s="27"/>
      <c r="H850" s="27"/>
      <c r="I850" s="245"/>
      <c r="J850" s="26"/>
      <c r="K850" s="26"/>
      <c r="L850" s="26"/>
      <c r="M850" s="26"/>
      <c r="N850" s="28"/>
      <c r="O850" s="26"/>
    </row>
    <row r="851" spans="3:15" ht="15">
      <c r="C851" s="25"/>
      <c r="D851" s="26"/>
      <c r="E851" s="26"/>
      <c r="F851" s="26"/>
      <c r="G851" s="27"/>
      <c r="H851" s="27"/>
      <c r="I851" s="245"/>
      <c r="J851" s="26"/>
      <c r="K851" s="26"/>
      <c r="L851" s="26"/>
      <c r="M851" s="26"/>
      <c r="N851" s="28"/>
      <c r="O851" s="26"/>
    </row>
    <row r="852" spans="3:15" ht="15">
      <c r="C852" s="25"/>
      <c r="D852" s="26"/>
      <c r="E852" s="26"/>
      <c r="F852" s="26"/>
      <c r="G852" s="27"/>
      <c r="H852" s="27"/>
      <c r="I852" s="245"/>
      <c r="J852" s="26"/>
      <c r="K852" s="26"/>
      <c r="L852" s="26"/>
      <c r="M852" s="26"/>
      <c r="N852" s="28"/>
      <c r="O852" s="26"/>
    </row>
    <row r="853" spans="3:15" ht="15">
      <c r="C853" s="25"/>
      <c r="D853" s="26"/>
      <c r="E853" s="26"/>
      <c r="F853" s="26"/>
      <c r="G853" s="27"/>
      <c r="H853" s="27"/>
      <c r="I853" s="245"/>
      <c r="J853" s="26"/>
      <c r="K853" s="26"/>
      <c r="L853" s="26"/>
      <c r="M853" s="26"/>
      <c r="N853" s="28"/>
      <c r="O853" s="26"/>
    </row>
    <row r="854" spans="3:15" ht="15">
      <c r="C854" s="25"/>
      <c r="D854" s="26"/>
      <c r="E854" s="26"/>
      <c r="F854" s="26"/>
      <c r="G854" s="27"/>
      <c r="H854" s="27"/>
      <c r="I854" s="245"/>
      <c r="J854" s="26"/>
      <c r="K854" s="26"/>
      <c r="L854" s="26"/>
      <c r="M854" s="26"/>
      <c r="N854" s="28"/>
      <c r="O854" s="26"/>
    </row>
    <row r="855" spans="3:15" ht="15">
      <c r="C855" s="25"/>
      <c r="D855" s="26"/>
      <c r="E855" s="26"/>
      <c r="F855" s="26"/>
      <c r="G855" s="27"/>
      <c r="H855" s="27"/>
      <c r="I855" s="245"/>
      <c r="J855" s="26"/>
      <c r="K855" s="26"/>
      <c r="L855" s="26"/>
      <c r="M855" s="26"/>
      <c r="N855" s="28"/>
      <c r="O855" s="26"/>
    </row>
    <row r="856" spans="3:15" ht="15">
      <c r="C856" s="25"/>
      <c r="D856" s="26"/>
      <c r="E856" s="26"/>
      <c r="F856" s="26"/>
      <c r="G856" s="27"/>
      <c r="H856" s="27"/>
      <c r="I856" s="245"/>
      <c r="J856" s="26"/>
      <c r="K856" s="26"/>
      <c r="L856" s="26"/>
      <c r="M856" s="26"/>
      <c r="N856" s="28"/>
      <c r="O856" s="26"/>
    </row>
    <row r="857" spans="3:15" ht="15">
      <c r="C857" s="25"/>
      <c r="D857" s="26"/>
      <c r="E857" s="26"/>
      <c r="F857" s="26"/>
      <c r="G857" s="27"/>
      <c r="H857" s="27"/>
      <c r="I857" s="245"/>
      <c r="J857" s="26"/>
      <c r="K857" s="26"/>
      <c r="L857" s="26"/>
      <c r="M857" s="26"/>
      <c r="N857" s="28"/>
      <c r="O857" s="26"/>
    </row>
    <row r="858" spans="3:15" ht="15">
      <c r="C858" s="25"/>
      <c r="D858" s="26"/>
      <c r="E858" s="26"/>
      <c r="F858" s="26"/>
      <c r="G858" s="27"/>
      <c r="H858" s="27"/>
      <c r="I858" s="245"/>
      <c r="J858" s="26"/>
      <c r="K858" s="26"/>
      <c r="L858" s="26"/>
      <c r="M858" s="26"/>
      <c r="N858" s="28"/>
      <c r="O858" s="26"/>
    </row>
    <row r="859" spans="3:15" ht="15">
      <c r="C859" s="25"/>
      <c r="D859" s="26"/>
      <c r="E859" s="26"/>
      <c r="F859" s="26"/>
      <c r="G859" s="27"/>
      <c r="H859" s="27"/>
      <c r="I859" s="245"/>
      <c r="J859" s="26"/>
      <c r="K859" s="26"/>
      <c r="L859" s="26"/>
      <c r="M859" s="26"/>
      <c r="N859" s="28"/>
      <c r="O859" s="26"/>
    </row>
    <row r="860" spans="3:15" ht="15">
      <c r="C860" s="25"/>
      <c r="D860" s="26"/>
      <c r="E860" s="26"/>
      <c r="F860" s="26"/>
      <c r="G860" s="27"/>
      <c r="H860" s="27"/>
      <c r="I860" s="245"/>
      <c r="J860" s="26"/>
      <c r="K860" s="26"/>
      <c r="L860" s="26"/>
      <c r="M860" s="26"/>
      <c r="N860" s="28"/>
      <c r="O860" s="26"/>
    </row>
    <row r="861" spans="3:15" ht="15">
      <c r="C861" s="25"/>
      <c r="D861" s="26"/>
      <c r="E861" s="26"/>
      <c r="F861" s="26"/>
      <c r="G861" s="27"/>
      <c r="H861" s="27"/>
      <c r="I861" s="245"/>
      <c r="J861" s="26"/>
      <c r="K861" s="26"/>
      <c r="L861" s="26"/>
      <c r="M861" s="26"/>
      <c r="N861" s="28"/>
      <c r="O861" s="26"/>
    </row>
    <row r="862" spans="3:15" ht="15">
      <c r="C862" s="25"/>
      <c r="D862" s="26"/>
      <c r="E862" s="26"/>
      <c r="F862" s="26"/>
      <c r="G862" s="27"/>
      <c r="H862" s="27"/>
      <c r="I862" s="245"/>
      <c r="J862" s="26"/>
      <c r="K862" s="26"/>
      <c r="L862" s="26"/>
      <c r="M862" s="26"/>
      <c r="N862" s="28"/>
      <c r="O862" s="26"/>
    </row>
    <row r="863" spans="3:15" ht="15">
      <c r="C863" s="25"/>
      <c r="D863" s="26"/>
      <c r="E863" s="26"/>
      <c r="F863" s="26"/>
      <c r="G863" s="27"/>
      <c r="H863" s="27"/>
      <c r="I863" s="245"/>
      <c r="J863" s="26"/>
      <c r="K863" s="26"/>
      <c r="L863" s="26"/>
      <c r="M863" s="26"/>
      <c r="N863" s="28"/>
      <c r="O863" s="26"/>
    </row>
    <row r="864" spans="3:15" ht="15">
      <c r="C864" s="25"/>
      <c r="D864" s="26"/>
      <c r="E864" s="26"/>
      <c r="F864" s="26"/>
      <c r="G864" s="27"/>
      <c r="H864" s="27"/>
      <c r="I864" s="245"/>
      <c r="J864" s="26"/>
      <c r="K864" s="26"/>
      <c r="L864" s="26"/>
      <c r="M864" s="26"/>
      <c r="N864" s="28"/>
      <c r="O864" s="26"/>
    </row>
    <row r="865" spans="3:15" ht="15">
      <c r="C865" s="25"/>
      <c r="D865" s="26"/>
      <c r="E865" s="26"/>
      <c r="F865" s="26"/>
      <c r="G865" s="27"/>
      <c r="H865" s="27"/>
      <c r="I865" s="245"/>
      <c r="J865" s="26"/>
      <c r="K865" s="26"/>
      <c r="L865" s="26"/>
      <c r="M865" s="26"/>
      <c r="N865" s="28"/>
      <c r="O865" s="26"/>
    </row>
    <row r="866" spans="3:15" ht="15">
      <c r="C866" s="25"/>
      <c r="D866" s="26"/>
      <c r="E866" s="26"/>
      <c r="F866" s="26"/>
      <c r="G866" s="27"/>
      <c r="H866" s="27"/>
      <c r="I866" s="245"/>
      <c r="J866" s="26"/>
      <c r="K866" s="26"/>
      <c r="L866" s="26"/>
      <c r="M866" s="26"/>
      <c r="N866" s="28"/>
      <c r="O866" s="26"/>
    </row>
    <row r="867" spans="3:15" ht="15">
      <c r="C867" s="25"/>
      <c r="D867" s="26"/>
      <c r="E867" s="26"/>
      <c r="F867" s="26"/>
      <c r="G867" s="27"/>
      <c r="H867" s="27"/>
      <c r="I867" s="245"/>
      <c r="J867" s="26"/>
      <c r="K867" s="26"/>
      <c r="L867" s="26"/>
      <c r="M867" s="26"/>
      <c r="N867" s="28"/>
      <c r="O867" s="26"/>
    </row>
    <row r="868" spans="3:15" ht="15">
      <c r="C868" s="25"/>
      <c r="D868" s="26"/>
      <c r="E868" s="26"/>
      <c r="F868" s="26"/>
      <c r="G868" s="27"/>
      <c r="H868" s="27"/>
      <c r="I868" s="245"/>
      <c r="J868" s="26"/>
      <c r="K868" s="26"/>
      <c r="L868" s="26"/>
      <c r="M868" s="26"/>
      <c r="N868" s="28"/>
      <c r="O868" s="26"/>
    </row>
    <row r="869" spans="3:15" ht="15">
      <c r="C869" s="25"/>
      <c r="D869" s="26"/>
      <c r="E869" s="26"/>
      <c r="F869" s="26"/>
      <c r="G869" s="27"/>
      <c r="H869" s="27"/>
      <c r="I869" s="245"/>
      <c r="J869" s="26"/>
      <c r="K869" s="26"/>
      <c r="L869" s="26"/>
      <c r="M869" s="26"/>
      <c r="N869" s="28"/>
      <c r="O869" s="26"/>
    </row>
    <row r="870" spans="3:15" ht="15">
      <c r="C870" s="25"/>
      <c r="D870" s="26"/>
      <c r="E870" s="26"/>
      <c r="F870" s="26"/>
      <c r="G870" s="27"/>
      <c r="H870" s="27"/>
      <c r="I870" s="245"/>
      <c r="J870" s="26"/>
      <c r="K870" s="26"/>
      <c r="L870" s="26"/>
      <c r="M870" s="26"/>
      <c r="N870" s="28"/>
      <c r="O870" s="26"/>
    </row>
    <row r="871" spans="3:15" ht="15">
      <c r="C871" s="25"/>
      <c r="D871" s="26"/>
      <c r="E871" s="26"/>
      <c r="F871" s="26"/>
      <c r="G871" s="27"/>
      <c r="H871" s="27"/>
      <c r="I871" s="245"/>
      <c r="J871" s="26"/>
      <c r="K871" s="26"/>
      <c r="L871" s="26"/>
      <c r="M871" s="26"/>
      <c r="N871" s="28"/>
      <c r="O871" s="26"/>
    </row>
    <row r="872" spans="3:15" ht="15">
      <c r="C872" s="25"/>
      <c r="D872" s="26"/>
      <c r="E872" s="26"/>
      <c r="F872" s="26"/>
      <c r="G872" s="27"/>
      <c r="H872" s="27"/>
      <c r="I872" s="245"/>
      <c r="J872" s="26"/>
      <c r="K872" s="26"/>
      <c r="L872" s="26"/>
      <c r="M872" s="26"/>
      <c r="N872" s="28"/>
      <c r="O872" s="26"/>
    </row>
    <row r="873" spans="3:15" ht="15">
      <c r="C873" s="25"/>
      <c r="D873" s="26"/>
      <c r="E873" s="26"/>
      <c r="F873" s="26"/>
      <c r="G873" s="27"/>
      <c r="H873" s="27"/>
      <c r="I873" s="245"/>
      <c r="J873" s="26"/>
      <c r="K873" s="26"/>
      <c r="L873" s="26"/>
      <c r="M873" s="26"/>
      <c r="N873" s="28"/>
      <c r="O873" s="26"/>
    </row>
    <row r="874" spans="3:15" ht="15">
      <c r="C874" s="25"/>
      <c r="D874" s="26"/>
      <c r="E874" s="26"/>
      <c r="F874" s="26"/>
      <c r="G874" s="27"/>
      <c r="H874" s="27"/>
      <c r="I874" s="245"/>
      <c r="J874" s="26"/>
      <c r="K874" s="26"/>
      <c r="L874" s="26"/>
      <c r="M874" s="26"/>
      <c r="N874" s="28"/>
      <c r="O874" s="26"/>
    </row>
    <row r="875" spans="3:15" ht="15">
      <c r="C875" s="25"/>
      <c r="D875" s="26"/>
      <c r="E875" s="26"/>
      <c r="F875" s="26"/>
      <c r="G875" s="27"/>
      <c r="H875" s="27"/>
      <c r="I875" s="245"/>
      <c r="J875" s="26"/>
      <c r="K875" s="26"/>
      <c r="L875" s="26"/>
      <c r="M875" s="26"/>
      <c r="N875" s="28"/>
      <c r="O875" s="26"/>
    </row>
    <row r="876" spans="3:15" ht="15">
      <c r="C876" s="25"/>
      <c r="D876" s="26"/>
      <c r="E876" s="26"/>
      <c r="F876" s="26"/>
      <c r="G876" s="27"/>
      <c r="H876" s="27"/>
      <c r="I876" s="245"/>
      <c r="J876" s="26"/>
      <c r="K876" s="26"/>
      <c r="L876" s="26"/>
      <c r="M876" s="26"/>
      <c r="N876" s="28"/>
      <c r="O876" s="26"/>
    </row>
    <row r="877" spans="3:15" ht="15">
      <c r="C877" s="25"/>
      <c r="D877" s="26"/>
      <c r="E877" s="26"/>
      <c r="F877" s="26"/>
      <c r="G877" s="27"/>
      <c r="H877" s="27"/>
      <c r="I877" s="245"/>
      <c r="J877" s="26"/>
      <c r="K877" s="26"/>
      <c r="L877" s="26"/>
      <c r="M877" s="26"/>
      <c r="N877" s="28"/>
      <c r="O877" s="26"/>
    </row>
    <row r="878" spans="3:15" ht="15">
      <c r="C878" s="25"/>
      <c r="D878" s="26"/>
      <c r="E878" s="26"/>
      <c r="F878" s="26"/>
      <c r="G878" s="27"/>
      <c r="H878" s="27"/>
      <c r="I878" s="245"/>
      <c r="J878" s="26"/>
      <c r="K878" s="26"/>
      <c r="L878" s="26"/>
      <c r="M878" s="26"/>
      <c r="N878" s="28"/>
      <c r="O878" s="26"/>
    </row>
    <row r="879" spans="3:15" ht="15">
      <c r="C879" s="25"/>
      <c r="D879" s="26"/>
      <c r="E879" s="26"/>
      <c r="F879" s="26"/>
      <c r="G879" s="27"/>
      <c r="H879" s="27"/>
      <c r="I879" s="245"/>
      <c r="J879" s="26"/>
      <c r="K879" s="26"/>
      <c r="L879" s="26"/>
      <c r="M879" s="26"/>
      <c r="N879" s="28"/>
      <c r="O879" s="26"/>
    </row>
    <row r="880" spans="3:15" ht="15">
      <c r="C880" s="25"/>
      <c r="D880" s="26"/>
      <c r="E880" s="26"/>
      <c r="F880" s="26"/>
      <c r="G880" s="27"/>
      <c r="H880" s="27"/>
      <c r="I880" s="245"/>
      <c r="J880" s="26"/>
      <c r="K880" s="26"/>
      <c r="L880" s="26"/>
      <c r="M880" s="26"/>
      <c r="N880" s="28"/>
      <c r="O880" s="26"/>
    </row>
    <row r="881" spans="3:15" ht="15">
      <c r="C881" s="25"/>
      <c r="D881" s="26"/>
      <c r="E881" s="26"/>
      <c r="F881" s="26"/>
      <c r="G881" s="27"/>
      <c r="H881" s="27"/>
      <c r="I881" s="245"/>
      <c r="J881" s="26"/>
      <c r="K881" s="26"/>
      <c r="L881" s="26"/>
      <c r="M881" s="26"/>
      <c r="N881" s="28"/>
      <c r="O881" s="26"/>
    </row>
    <row r="882" spans="3:15" ht="15">
      <c r="C882" s="25"/>
      <c r="D882" s="26"/>
      <c r="E882" s="26"/>
      <c r="F882" s="26"/>
      <c r="G882" s="27"/>
      <c r="H882" s="27"/>
      <c r="I882" s="245"/>
      <c r="J882" s="26"/>
      <c r="K882" s="26"/>
      <c r="L882" s="26"/>
      <c r="M882" s="26"/>
      <c r="N882" s="28"/>
      <c r="O882" s="26"/>
    </row>
    <row r="883" spans="3:15" ht="15">
      <c r="C883" s="25"/>
      <c r="D883" s="26"/>
      <c r="E883" s="26"/>
      <c r="F883" s="26"/>
      <c r="G883" s="27"/>
      <c r="H883" s="27"/>
      <c r="I883" s="245"/>
      <c r="J883" s="26"/>
      <c r="K883" s="26"/>
      <c r="L883" s="26"/>
      <c r="M883" s="26"/>
      <c r="N883" s="28"/>
      <c r="O883" s="26"/>
    </row>
    <row r="884" spans="3:15" ht="15">
      <c r="C884" s="25"/>
      <c r="D884" s="26"/>
      <c r="E884" s="26"/>
      <c r="F884" s="26"/>
      <c r="G884" s="27"/>
      <c r="H884" s="27"/>
      <c r="I884" s="245"/>
      <c r="J884" s="26"/>
      <c r="K884" s="26"/>
      <c r="L884" s="26"/>
      <c r="M884" s="26"/>
      <c r="N884" s="28"/>
      <c r="O884" s="26"/>
    </row>
    <row r="885" spans="3:15" ht="15">
      <c r="C885" s="25"/>
      <c r="D885" s="26"/>
      <c r="E885" s="26"/>
      <c r="F885" s="26"/>
      <c r="G885" s="27"/>
      <c r="H885" s="27"/>
      <c r="I885" s="245"/>
      <c r="J885" s="26"/>
      <c r="K885" s="26"/>
      <c r="L885" s="26"/>
      <c r="M885" s="26"/>
      <c r="N885" s="28"/>
      <c r="O885" s="26"/>
    </row>
    <row r="886" spans="3:15" ht="15">
      <c r="C886" s="25"/>
      <c r="D886" s="26"/>
      <c r="E886" s="26"/>
      <c r="F886" s="26"/>
      <c r="G886" s="27"/>
      <c r="H886" s="27"/>
      <c r="I886" s="245"/>
      <c r="J886" s="26"/>
      <c r="K886" s="26"/>
      <c r="L886" s="26"/>
      <c r="M886" s="26"/>
      <c r="N886" s="28"/>
      <c r="O886" s="26"/>
    </row>
    <row r="887" spans="3:15" ht="15">
      <c r="C887" s="25"/>
      <c r="D887" s="26"/>
      <c r="E887" s="26"/>
      <c r="F887" s="26"/>
      <c r="G887" s="27"/>
      <c r="H887" s="27"/>
      <c r="I887" s="245"/>
      <c r="J887" s="26"/>
      <c r="K887" s="26"/>
      <c r="L887" s="26"/>
      <c r="M887" s="26"/>
      <c r="N887" s="28"/>
      <c r="O887" s="26"/>
    </row>
    <row r="888" spans="3:15" ht="15">
      <c r="C888" s="25"/>
      <c r="D888" s="26"/>
      <c r="E888" s="26"/>
      <c r="F888" s="26"/>
      <c r="G888" s="27"/>
      <c r="H888" s="27"/>
      <c r="I888" s="245"/>
      <c r="J888" s="26"/>
      <c r="K888" s="26"/>
      <c r="L888" s="26"/>
      <c r="M888" s="26"/>
      <c r="N888" s="28"/>
      <c r="O888" s="26"/>
    </row>
    <row r="889" spans="3:15" ht="15">
      <c r="C889" s="25"/>
      <c r="D889" s="26"/>
      <c r="E889" s="26"/>
      <c r="F889" s="26"/>
      <c r="G889" s="27"/>
      <c r="H889" s="27"/>
      <c r="I889" s="245"/>
      <c r="J889" s="26"/>
      <c r="K889" s="26"/>
      <c r="L889" s="26"/>
      <c r="M889" s="26"/>
      <c r="N889" s="28"/>
      <c r="O889" s="26"/>
    </row>
    <row r="890" spans="3:15" ht="15">
      <c r="C890" s="25"/>
      <c r="D890" s="26"/>
      <c r="E890" s="26"/>
      <c r="F890" s="26"/>
      <c r="G890" s="27"/>
      <c r="H890" s="27"/>
      <c r="I890" s="245"/>
      <c r="J890" s="26"/>
      <c r="K890" s="26"/>
      <c r="L890" s="26"/>
      <c r="M890" s="26"/>
      <c r="N890" s="28"/>
      <c r="O890" s="26"/>
    </row>
    <row r="891" spans="3:15" ht="15">
      <c r="C891" s="25"/>
      <c r="D891" s="26"/>
      <c r="E891" s="26"/>
      <c r="F891" s="26"/>
      <c r="G891" s="27"/>
      <c r="H891" s="27"/>
      <c r="I891" s="245"/>
      <c r="J891" s="26"/>
      <c r="K891" s="26"/>
      <c r="L891" s="26"/>
      <c r="M891" s="26"/>
      <c r="N891" s="28"/>
      <c r="O891" s="26"/>
    </row>
    <row r="892" spans="3:15" ht="15">
      <c r="C892" s="25"/>
      <c r="D892" s="26"/>
      <c r="E892" s="26"/>
      <c r="F892" s="26"/>
      <c r="G892" s="27"/>
      <c r="H892" s="27"/>
      <c r="I892" s="245"/>
      <c r="J892" s="26"/>
      <c r="K892" s="26"/>
      <c r="L892" s="26"/>
      <c r="M892" s="26"/>
      <c r="N892" s="28"/>
      <c r="O892" s="2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4F13-A910-4C15-9624-B8B5E259B4DC}">
  <sheetPr>
    <outlinePr summaryBelow="0" summaryRight="0"/>
  </sheetPr>
  <dimension ref="A1:AT1002"/>
  <sheetViews>
    <sheetView topLeftCell="M1" zoomScale="90" zoomScaleNormal="90" workbookViewId="0"/>
  </sheetViews>
  <sheetFormatPr defaultColWidth="14.42578125" defaultRowHeight="12.75" customHeight="1"/>
  <cols>
    <col min="1" max="1" width="20.7109375" style="5" customWidth="1"/>
    <col min="2" max="2" width="6.140625" style="5" customWidth="1"/>
    <col min="3" max="4" width="5.7109375" style="5" customWidth="1"/>
    <col min="5" max="5" width="7.7109375" style="5" customWidth="1"/>
    <col min="6" max="6" width="5.7109375" style="246" customWidth="1"/>
    <col min="7" max="7" width="6.28515625" style="5" customWidth="1"/>
    <col min="8" max="8" width="9.28515625" style="5" bestFit="1" customWidth="1"/>
    <col min="9" max="9" width="6.5703125" style="33" bestFit="1" customWidth="1"/>
    <col min="10" max="10" width="5.85546875" style="33" bestFit="1" customWidth="1"/>
    <col min="11" max="11" width="6.28515625" style="246" bestFit="1" customWidth="1"/>
    <col min="12" max="13" width="7.85546875" style="5" bestFit="1" customWidth="1"/>
    <col min="14" max="14" width="7.7109375" style="75" customWidth="1"/>
    <col min="15" max="15" width="5.85546875" style="66" customWidth="1"/>
    <col min="16" max="16" width="1.7109375" style="5" customWidth="1"/>
    <col min="17" max="17" width="24.42578125" style="5" customWidth="1"/>
    <col min="18" max="18" width="6.140625" style="5" customWidth="1"/>
    <col min="19" max="20" width="5.7109375" style="5" customWidth="1"/>
    <col min="21" max="21" width="7.7109375" style="5" customWidth="1"/>
    <col min="22" max="22" width="7.85546875" style="246" customWidth="1"/>
    <col min="23" max="23" width="8.42578125" style="246" customWidth="1"/>
    <col min="24" max="24" width="6.28515625" style="5" customWidth="1"/>
    <col min="25" max="25" width="5.85546875" style="66" customWidth="1"/>
    <col min="26" max="26" width="1.140625" style="5" customWidth="1"/>
    <col min="27" max="27" width="20.7109375" style="5" customWidth="1"/>
    <col min="28" max="28" width="6.140625" style="5" customWidth="1"/>
    <col min="29" max="30" width="5.7109375" style="5" customWidth="1"/>
    <col min="31" max="31" width="7.7109375" style="5" customWidth="1"/>
    <col min="32" max="32" width="6.28515625" style="246" bestFit="1" customWidth="1"/>
    <col min="33" max="33" width="6.28515625" style="74" customWidth="1"/>
    <col min="34" max="34" width="5.85546875" style="5" customWidth="1"/>
    <col min="35" max="35" width="2.7109375" style="5" customWidth="1"/>
    <col min="36" max="36" width="20.7109375" style="5" customWidth="1"/>
    <col min="37" max="37" width="6.140625" style="5" customWidth="1"/>
    <col min="38" max="39" width="5.7109375" style="5" customWidth="1"/>
    <col min="40" max="40" width="7.7109375" style="5" customWidth="1"/>
    <col min="41" max="41" width="6.28515625" style="256" bestFit="1" customWidth="1"/>
    <col min="42" max="42" width="6.28515625" style="5" customWidth="1"/>
    <col min="43" max="43" width="5.85546875" style="5" customWidth="1"/>
    <col min="44" max="44" width="1.7109375" style="5" customWidth="1"/>
    <col min="45" max="45" width="40.7109375" style="145" customWidth="1"/>
    <col min="46" max="46" width="16.7109375" style="5" bestFit="1" customWidth="1"/>
    <col min="47" max="16384" width="14.42578125" style="5"/>
  </cols>
  <sheetData>
    <row r="1" spans="1:46" ht="15" customHeight="1">
      <c r="A1" s="34" t="s">
        <v>909</v>
      </c>
      <c r="B1" s="35"/>
      <c r="C1" s="35"/>
      <c r="D1" s="35"/>
      <c r="E1" s="35"/>
      <c r="F1" s="239"/>
      <c r="G1" s="35"/>
      <c r="H1" s="35"/>
      <c r="I1" s="36"/>
      <c r="J1" s="36"/>
      <c r="K1" s="239"/>
      <c r="L1" s="35"/>
      <c r="M1" s="35"/>
      <c r="N1" s="35"/>
      <c r="O1" s="37"/>
      <c r="Q1" s="38" t="s">
        <v>910</v>
      </c>
      <c r="R1" s="39"/>
      <c r="S1" s="39"/>
      <c r="T1" s="39"/>
      <c r="U1" s="39"/>
      <c r="V1" s="247"/>
      <c r="W1" s="247"/>
      <c r="X1" s="41"/>
      <c r="AA1" s="38" t="s">
        <v>911</v>
      </c>
      <c r="AB1" s="39"/>
      <c r="AC1" s="39"/>
      <c r="AD1" s="39"/>
      <c r="AE1" s="39"/>
      <c r="AF1" s="247"/>
      <c r="AG1" s="42"/>
      <c r="AH1" s="43"/>
      <c r="AJ1" s="38" t="s">
        <v>912</v>
      </c>
      <c r="AK1" s="39"/>
      <c r="AL1" s="39"/>
      <c r="AM1" s="39"/>
      <c r="AN1" s="39"/>
      <c r="AO1" s="253"/>
      <c r="AP1" s="39"/>
      <c r="AQ1" s="43"/>
      <c r="AS1" s="144" t="s">
        <v>913</v>
      </c>
      <c r="AT1" s="30"/>
    </row>
    <row r="2" spans="1:46" ht="15" customHeight="1">
      <c r="A2" s="45" t="s">
        <v>914</v>
      </c>
      <c r="B2" s="46" t="s">
        <v>915</v>
      </c>
      <c r="C2" s="46" t="s">
        <v>28</v>
      </c>
      <c r="D2" s="46" t="s">
        <v>17</v>
      </c>
      <c r="E2" s="46" t="s">
        <v>916</v>
      </c>
      <c r="F2" s="240" t="s">
        <v>917</v>
      </c>
      <c r="G2" s="46" t="s">
        <v>918</v>
      </c>
      <c r="H2" s="47" t="s">
        <v>919</v>
      </c>
      <c r="I2" s="48" t="s">
        <v>5</v>
      </c>
      <c r="J2" s="48" t="s">
        <v>6</v>
      </c>
      <c r="K2" s="240" t="s">
        <v>7</v>
      </c>
      <c r="L2" s="46" t="s">
        <v>920</v>
      </c>
      <c r="M2" s="46" t="s">
        <v>921</v>
      </c>
      <c r="N2" s="49" t="s">
        <v>922</v>
      </c>
      <c r="O2" s="50" t="s">
        <v>923</v>
      </c>
      <c r="Q2" s="51" t="s">
        <v>914</v>
      </c>
      <c r="R2" s="52" t="s">
        <v>915</v>
      </c>
      <c r="S2" s="52" t="s">
        <v>28</v>
      </c>
      <c r="T2" s="52" t="s">
        <v>17</v>
      </c>
      <c r="U2" s="52" t="s">
        <v>916</v>
      </c>
      <c r="V2" s="248" t="s">
        <v>917</v>
      </c>
      <c r="W2" s="248" t="s">
        <v>7</v>
      </c>
      <c r="X2" s="69" t="s">
        <v>918</v>
      </c>
      <c r="Y2" s="200" t="s">
        <v>923</v>
      </c>
      <c r="AA2" s="45" t="s">
        <v>914</v>
      </c>
      <c r="AB2" s="46" t="s">
        <v>915</v>
      </c>
      <c r="AC2" s="46" t="s">
        <v>28</v>
      </c>
      <c r="AD2" s="46" t="s">
        <v>17</v>
      </c>
      <c r="AE2" s="46" t="s">
        <v>916</v>
      </c>
      <c r="AF2" s="248" t="s">
        <v>7</v>
      </c>
      <c r="AG2" s="47" t="s">
        <v>918</v>
      </c>
      <c r="AH2" s="50" t="s">
        <v>923</v>
      </c>
      <c r="AJ2" s="45" t="s">
        <v>914</v>
      </c>
      <c r="AK2" s="46" t="s">
        <v>915</v>
      </c>
      <c r="AL2" s="46" t="s">
        <v>28</v>
      </c>
      <c r="AM2" s="46" t="s">
        <v>17</v>
      </c>
      <c r="AN2" s="46" t="s">
        <v>916</v>
      </c>
      <c r="AO2" s="254" t="s">
        <v>7</v>
      </c>
      <c r="AP2" s="47" t="s">
        <v>918</v>
      </c>
      <c r="AQ2" s="50" t="s">
        <v>923</v>
      </c>
      <c r="AS2" s="144" t="s">
        <v>924</v>
      </c>
      <c r="AT2" s="53" t="s">
        <v>925</v>
      </c>
    </row>
    <row r="3" spans="1:46" ht="15" customHeight="1">
      <c r="A3" s="166" t="s">
        <v>926</v>
      </c>
      <c r="B3" s="167">
        <f>SUM(C3:D3)</f>
        <v>151</v>
      </c>
      <c r="C3" s="167">
        <v>89</v>
      </c>
      <c r="D3" s="167">
        <v>62</v>
      </c>
      <c r="E3" s="168">
        <f>IFERROR(C3/B3,0)</f>
        <v>0.58940397350993379</v>
      </c>
      <c r="F3" s="242" t="str">
        <f>IF(A3 = $A$3, "-", (162-D3)-$C$3)</f>
        <v>-</v>
      </c>
      <c r="G3" s="286" t="str">
        <f>IF(IF(ALEast[[#This Row],[GP]]&lt;$B$3,(((ALEast[[#This Row],[GP]]-$B$3)/2)+$C$3)-ALEast[[#This Row],[W]],IF(ALEast[[#This Row],[GP]]&gt;$B$3,(((ALEast[[#This Row],[GP]]-$B$3)/2)+$C$3)-ALEast[[#This Row],[W]],$C$3-ALEast[[#This Row],[W]])) = 0, "-", IF(ALEast[[#This Row],[GP]]&lt;$B$3,(((ALEast[[#This Row],[GP]]-$B$3)/2)+$C$3)-ALEast[[#This Row],[W]],IF(ALEast[[#This Row],[GP]]&gt;$B$3,(((ALEast[[#This Row],[GP]]-$B$3)/2)+$C$3)-ALEast[[#This Row],[W]],$C$3-ALEast[[#This Row],[W]])))</f>
        <v>-</v>
      </c>
      <c r="H3" s="169" t="str">
        <f>IF((VLOOKUP(A3,Q:X,8,FALSE)) = "-", "-", VLOOKUP(A3,Q:X,8,FALSE))</f>
        <v>-</v>
      </c>
      <c r="I3" s="170">
        <v>757</v>
      </c>
      <c r="J3" s="170">
        <v>669</v>
      </c>
      <c r="K3" s="242">
        <f>ALEast[[#This Row],[RF]]-ALEast[[#This Row],[RA]]</f>
        <v>88</v>
      </c>
      <c r="L3" s="171" t="str">
        <f>_xlfn.CONCAT(ROUND(((ALEast[[#This Row],[RF]]^1.83)/((ALEast[[#This Row],[RF]]^1.83)+(ALEast[[#This Row],[RA]]^1.83))*B3),0),"-",ALEast[[#This Row],[GP]]-ROUND(((ALEast[[#This Row],[RF]]^1.83)/((ALEast[[#This Row],[RF]]^1.83)+(ALEast[[#This Row],[RA]]^1.83))*B3),0))</f>
        <v>84-67</v>
      </c>
      <c r="M3" s="171" t="str">
        <f>_xlfn.CONCAT(ROUND(162*ALEast[[#This Row],[PCT.]],0),"-",162-ROUND(162*ALEast[[#This Row],[PCT.]],0))</f>
        <v>95-67</v>
      </c>
      <c r="N3" s="172">
        <f>B3/162</f>
        <v>0.9320987654320988</v>
      </c>
      <c r="O3" s="181" t="str">
        <f>IF(VLOOKUP(ALEast[[#This Row],[Team]],Q:Y,9,FALSE)=0,"",VLOOKUP(ALEast[[#This Row],[Team]],Q:Y,9,FALSE))</f>
        <v>ae</v>
      </c>
      <c r="Q3" s="287" t="str">
        <f>A3</f>
        <v>Toronto Blue Jays</v>
      </c>
      <c r="R3" s="167">
        <f>SUM(S3:T3)</f>
        <v>151</v>
      </c>
      <c r="S3" s="167">
        <f>VLOOKUP(Q3,A:C,3,FALSE)</f>
        <v>89</v>
      </c>
      <c r="T3" s="167">
        <f>VLOOKUP(Q3,A:D,4,FALSE)</f>
        <v>62</v>
      </c>
      <c r="U3" s="168">
        <f>IFERROR(S3/R3,0)</f>
        <v>0.58940397350993379</v>
      </c>
      <c r="V3" s="242">
        <f>(162-MIN($T$12:$T$20))-S3</f>
        <v>2</v>
      </c>
      <c r="W3" s="242">
        <f t="shared" ref="W3:W5" si="0">VLOOKUP(Q3,A:N,11,FALSE)</f>
        <v>88</v>
      </c>
      <c r="X3" s="199" t="s">
        <v>24</v>
      </c>
      <c r="Y3" s="200" t="s">
        <v>927</v>
      </c>
      <c r="AA3" s="72" t="s">
        <v>926</v>
      </c>
      <c r="AB3" s="52">
        <f>SUM(AC3:AD3)</f>
        <v>151</v>
      </c>
      <c r="AC3" s="52">
        <f>VLOOKUP(AA3,A:C,3,FALSE)</f>
        <v>89</v>
      </c>
      <c r="AD3" s="52">
        <f>VLOOKUP(AA3,A:D,4,FALSE)</f>
        <v>62</v>
      </c>
      <c r="AE3" s="73">
        <f>IFERROR(AC3/AB3,0)</f>
        <v>0.58940397350993379</v>
      </c>
      <c r="AF3" s="248">
        <f>VLOOKUP(AA3,A:N,11,FALSE)</f>
        <v>88</v>
      </c>
      <c r="AG3" s="134" t="str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-</v>
      </c>
      <c r="AH3" s="69" t="str">
        <f>IF(VLOOKUP(AL[[#This Row],[Team]],Q:Y,9,FALSE)=0,"",VLOOKUP(AL[[#This Row],[Team]],Q:Y,9,FALSE))</f>
        <v>ae</v>
      </c>
      <c r="AJ3" s="54" t="s">
        <v>928</v>
      </c>
      <c r="AK3" s="55">
        <f>SUM(AL3:AM3)</f>
        <v>151</v>
      </c>
      <c r="AL3" s="55">
        <f>VLOOKUP(AJ3,A:C,3,FALSE)</f>
        <v>92</v>
      </c>
      <c r="AM3" s="55">
        <f>VLOOKUP(AJ3,A:D,4,FALSE)</f>
        <v>59</v>
      </c>
      <c r="AN3" s="56">
        <f>IFERROR(AL3/AK3,0)</f>
        <v>0.60927152317880795</v>
      </c>
      <c r="AO3" s="255">
        <f>VLOOKUP(AJ3,A:N,11,FALSE)</f>
        <v>180</v>
      </c>
      <c r="AP3" s="133" t="str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-</v>
      </c>
      <c r="AQ3" s="57" t="str">
        <f>IF(VLOOKUP(MLB[[#This Row],[Team]],Q:Y,9,FALSE)=0,"",VLOOKUP(MLB[[#This Row],[Team]],Q:Y,9,FALSE))</f>
        <v>xnc</v>
      </c>
      <c r="AS3" s="291" t="s">
        <v>929</v>
      </c>
      <c r="AT3" s="292"/>
    </row>
    <row r="4" spans="1:46" ht="15" customHeight="1">
      <c r="A4" s="173" t="s">
        <v>930</v>
      </c>
      <c r="B4" s="174">
        <f>SUM(C4:D4)</f>
        <v>151</v>
      </c>
      <c r="C4" s="174">
        <v>84</v>
      </c>
      <c r="D4" s="174">
        <v>67</v>
      </c>
      <c r="E4" s="175">
        <f>IFERROR(C4/B4,0)</f>
        <v>0.55629139072847678</v>
      </c>
      <c r="F4" s="241">
        <f>IF(A4 = $A$3, "-", (162-D4)-$C$3)</f>
        <v>6</v>
      </c>
      <c r="G4" s="176">
        <f>IF(IF(ALEast[[#This Row],[GP]]&lt;$B$3,(((ALEast[[#This Row],[GP]]-$B$3)/2)+$C$3)-ALEast[[#This Row],[W]],IF(ALEast[[#This Row],[GP]]&gt;$B$3,(((ALEast[[#This Row],[GP]]-$B$3)/2)+$C$3)-ALEast[[#This Row],[W]],$C$3-ALEast[[#This Row],[W]])) = 0, "-", IF(ALEast[[#This Row],[GP]]&lt;$B$3,(((ALEast[[#This Row],[GP]]-$B$3)/2)+$C$3)-ALEast[[#This Row],[W]],IF(ALEast[[#This Row],[GP]]&gt;$B$3,(((ALEast[[#This Row],[GP]]-$B$3)/2)+$C$3)-ALEast[[#This Row],[W]],$C$3-ALEast[[#This Row],[W]])))</f>
        <v>5</v>
      </c>
      <c r="H4" s="177">
        <f>IF((VLOOKUP(A4,Q:X,8,FALSE)) = "-", "-", VLOOKUP(A4,Q:X,8,FALSE))</f>
        <v>-2</v>
      </c>
      <c r="I4" s="178">
        <v>784</v>
      </c>
      <c r="J4" s="178">
        <v>661</v>
      </c>
      <c r="K4" s="241">
        <f>ALEast[[#This Row],[RF]]-ALEast[[#This Row],[RA]]</f>
        <v>123</v>
      </c>
      <c r="L4" s="179" t="str">
        <f>_xlfn.CONCAT(ROUND(((ALEast[[#This Row],[RF]]^1.83)/((ALEast[[#This Row],[RF]]^1.83)+(ALEast[[#This Row],[RA]]^1.83))*B4),0),"-",ALEast[[#This Row],[GP]]-ROUND(((ALEast[[#This Row],[RF]]^1.83)/((ALEast[[#This Row],[RF]]^1.83)+(ALEast[[#This Row],[RA]]^1.83))*B4),0))</f>
        <v>87-64</v>
      </c>
      <c r="M4" s="179" t="str">
        <f>_xlfn.CONCAT(ROUND(162*ALEast[[#This Row],[PCT.]],0),"-",162-ROUND(162*ALEast[[#This Row],[PCT.]],0))</f>
        <v>90-72</v>
      </c>
      <c r="N4" s="180">
        <f>B4/162</f>
        <v>0.9320987654320988</v>
      </c>
      <c r="O4" s="181" t="str">
        <f>IF(VLOOKUP(ALEast[[#This Row],[Team]],Q:Y,9,FALSE)=0,"",VLOOKUP(ALEast[[#This Row],[Team]],Q:Y,9,FALSE))</f>
        <v>w1</v>
      </c>
      <c r="Q4" s="183" t="str">
        <f>A11</f>
        <v>Detroit Tigers</v>
      </c>
      <c r="R4" s="174">
        <f>SUM(S4:T4)</f>
        <v>151</v>
      </c>
      <c r="S4" s="174">
        <f>VLOOKUP(Q4,A:C,3,FALSE)</f>
        <v>85</v>
      </c>
      <c r="T4" s="174">
        <f>VLOOKUP(Q4,A:D,4,FALSE)</f>
        <v>66</v>
      </c>
      <c r="U4" s="175">
        <f>IFERROR(S4/R4,0)</f>
        <v>0.5629139072847682</v>
      </c>
      <c r="V4" s="241">
        <f>(162-MIN($T$12:$T$20))-S4</f>
        <v>6</v>
      </c>
      <c r="W4" s="241">
        <f t="shared" si="0"/>
        <v>93</v>
      </c>
      <c r="X4" s="176" t="s">
        <v>24</v>
      </c>
      <c r="Y4" s="67" t="s">
        <v>931</v>
      </c>
      <c r="AA4" s="54" t="s">
        <v>932</v>
      </c>
      <c r="AB4" s="55">
        <f>SUM(AC4:AD4)</f>
        <v>151</v>
      </c>
      <c r="AC4" s="55">
        <f>VLOOKUP(AA4,A:C,3,FALSE)</f>
        <v>85</v>
      </c>
      <c r="AD4" s="55">
        <f>VLOOKUP(AA4,A:D,4,FALSE)</f>
        <v>66</v>
      </c>
      <c r="AE4" s="56">
        <f>IFERROR(AC4/AB4,0)</f>
        <v>0.5629139072847682</v>
      </c>
      <c r="AF4" s="244">
        <f>VLOOKUP(AA4,A:N,11,FALSE)</f>
        <v>93</v>
      </c>
      <c r="AG4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4</v>
      </c>
      <c r="AH4" s="57" t="str">
        <f>IF(VLOOKUP(AL[[#This Row],[Team]],Q:Y,9,FALSE)=0,"",VLOOKUP(AL[[#This Row],[Team]],Q:Y,9,FALSE))</f>
        <v>ac</v>
      </c>
      <c r="AJ4" s="54" t="s">
        <v>933</v>
      </c>
      <c r="AK4" s="55">
        <f>SUM(AL4:AM4)</f>
        <v>152</v>
      </c>
      <c r="AL4" s="55">
        <f>VLOOKUP(AJ4,A:C,3,FALSE)</f>
        <v>91</v>
      </c>
      <c r="AM4" s="55">
        <f>VLOOKUP(AJ4,A:D,4,FALSE)</f>
        <v>61</v>
      </c>
      <c r="AN4" s="56">
        <f>IFERROR(AL4/AK4,0)</f>
        <v>0.59868421052631582</v>
      </c>
      <c r="AO4" s="255">
        <f>VLOOKUP(AJ4,A:N,11,FALSE)</f>
        <v>129</v>
      </c>
      <c r="AP4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1.5</v>
      </c>
      <c r="AQ4" s="57" t="str">
        <f>IF(VLOOKUP(MLB[[#This Row],[Team]],Q:Y,9,FALSE)=0,"",VLOOKUP(MLB[[#This Row],[Team]],Q:Y,9,FALSE))</f>
        <v>yne</v>
      </c>
      <c r="AS4" s="288" t="s">
        <v>934</v>
      </c>
      <c r="AT4" s="289"/>
    </row>
    <row r="5" spans="1:46" ht="15" customHeight="1">
      <c r="A5" s="173" t="s">
        <v>935</v>
      </c>
      <c r="B5" s="174">
        <f>SUM(C5:D5)</f>
        <v>151</v>
      </c>
      <c r="C5" s="174">
        <v>82</v>
      </c>
      <c r="D5" s="174">
        <v>69</v>
      </c>
      <c r="E5" s="175">
        <f>IFERROR(C5/B5,0)</f>
        <v>0.54304635761589404</v>
      </c>
      <c r="F5" s="241">
        <f>IF(A5 = $A$3, "-", (162-D5)-$C$3)</f>
        <v>4</v>
      </c>
      <c r="G5" s="176">
        <f>IF(IF(ALEast[[#This Row],[GP]]&lt;$B$3,(((ALEast[[#This Row],[GP]]-$B$3)/2)+$C$3)-ALEast[[#This Row],[W]],IF(ALEast[[#This Row],[GP]]&gt;$B$3,(((ALEast[[#This Row],[GP]]-$B$3)/2)+$C$3)-ALEast[[#This Row],[W]],$C$3-ALEast[[#This Row],[W]])) = 0, "-", IF(ALEast[[#This Row],[GP]]&lt;$B$3,(((ALEast[[#This Row],[GP]]-$B$3)/2)+$C$3)-ALEast[[#This Row],[W]],IF(ALEast[[#This Row],[GP]]&gt;$B$3,(((ALEast[[#This Row],[GP]]-$B$3)/2)+$C$3)-ALEast[[#This Row],[W]],$C$3-ALEast[[#This Row],[W]])))</f>
        <v>7</v>
      </c>
      <c r="H5" s="177" t="str">
        <f>IF((VLOOKUP(A5,Q:X,8,FALSE)) = "-", "-", VLOOKUP(A5,Q:X,8,FALSE))</f>
        <v>-</v>
      </c>
      <c r="I5" s="178">
        <v>737</v>
      </c>
      <c r="J5" s="178">
        <v>634</v>
      </c>
      <c r="K5" s="241">
        <f>ALEast[[#This Row],[RF]]-ALEast[[#This Row],[RA]]</f>
        <v>103</v>
      </c>
      <c r="L5" s="179" t="str">
        <f>_xlfn.CONCAT(ROUND(((ALEast[[#This Row],[RF]]^1.83)/((ALEast[[#This Row],[RF]]^1.83)+(ALEast[[#This Row],[RA]]^1.83))*B5),0),"-",ALEast[[#This Row],[GP]]-ROUND(((ALEast[[#This Row],[RF]]^1.83)/((ALEast[[#This Row],[RF]]^1.83)+(ALEast[[#This Row],[RA]]^1.83))*B5),0))</f>
        <v>86-65</v>
      </c>
      <c r="M5" s="179" t="str">
        <f>_xlfn.CONCAT(ROUND(162*ALEast[[#This Row],[PCT.]],0),"-",162-ROUND(162*ALEast[[#This Row],[PCT.]],0))</f>
        <v>88-74</v>
      </c>
      <c r="N5" s="180">
        <f>B5/162</f>
        <v>0.9320987654320988</v>
      </c>
      <c r="O5" s="181" t="str">
        <f>IF(VLOOKUP(ALEast[[#This Row],[Team]],Q:Y,9,FALSE)=0,"",VLOOKUP(ALEast[[#This Row],[Team]],Q:Y,9,FALSE))</f>
        <v>w3</v>
      </c>
      <c r="Q5" s="184" t="str">
        <f>A19</f>
        <v>Seattle Mariners</v>
      </c>
      <c r="R5" s="185">
        <f>SUM(S5:T5)</f>
        <v>151</v>
      </c>
      <c r="S5" s="185">
        <f>VLOOKUP(Q5,A:C,3,FALSE)</f>
        <v>83</v>
      </c>
      <c r="T5" s="185">
        <f>VLOOKUP(Q5,A:D,4,FALSE)</f>
        <v>68</v>
      </c>
      <c r="U5" s="186">
        <f>IFERROR(S5/R5,0)</f>
        <v>0.54966887417218546</v>
      </c>
      <c r="V5" s="310">
        <f>(162-MIN($T$12:$T$20))-S5</f>
        <v>8</v>
      </c>
      <c r="W5" s="305">
        <f t="shared" si="0"/>
        <v>58</v>
      </c>
      <c r="X5" s="182" t="s">
        <v>24</v>
      </c>
      <c r="Y5" s="67" t="s">
        <v>936</v>
      </c>
      <c r="AA5" s="54" t="s">
        <v>930</v>
      </c>
      <c r="AB5" s="55">
        <f>SUM(AC5:AD5)</f>
        <v>151</v>
      </c>
      <c r="AC5" s="55">
        <f>VLOOKUP(AA5,A:C,3,FALSE)</f>
        <v>84</v>
      </c>
      <c r="AD5" s="55">
        <f>VLOOKUP(AA5,A:D,4,FALSE)</f>
        <v>67</v>
      </c>
      <c r="AE5" s="56">
        <f>IFERROR(AC5/AB5,0)</f>
        <v>0.55629139072847678</v>
      </c>
      <c r="AF5" s="244">
        <f>VLOOKUP(AA5,A:N,11,FALSE)</f>
        <v>123</v>
      </c>
      <c r="AG5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5</v>
      </c>
      <c r="AH5" s="57" t="str">
        <f>IF(VLOOKUP(AL[[#This Row],[Team]],Q:Y,9,FALSE)=0,"",VLOOKUP(AL[[#This Row],[Team]],Q:Y,9,FALSE))</f>
        <v>w1</v>
      </c>
      <c r="AJ5" s="72" t="s">
        <v>926</v>
      </c>
      <c r="AK5" s="52">
        <f>SUM(AL5:AM5)</f>
        <v>151</v>
      </c>
      <c r="AL5" s="52">
        <f>VLOOKUP(AJ5,A:C,3,FALSE)</f>
        <v>89</v>
      </c>
      <c r="AM5" s="52">
        <f>VLOOKUP(AJ5,A:D,4,FALSE)</f>
        <v>62</v>
      </c>
      <c r="AN5" s="73">
        <f>IFERROR(AL5/AK5,0)</f>
        <v>0.58940397350993379</v>
      </c>
      <c r="AO5" s="254">
        <f>VLOOKUP(AJ5,A:N,11,FALSE)</f>
        <v>88</v>
      </c>
      <c r="AP5" s="69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3</v>
      </c>
      <c r="AQ5" s="69" t="str">
        <f>IF(VLOOKUP(MLB[[#This Row],[Team]],Q:Y,9,FALSE)=0,"",VLOOKUP(MLB[[#This Row],[Team]],Q:Y,9,FALSE))</f>
        <v>ae</v>
      </c>
      <c r="AT5" s="26"/>
    </row>
    <row r="6" spans="1:46" ht="15" customHeight="1">
      <c r="A6" s="173" t="s">
        <v>937</v>
      </c>
      <c r="B6" s="174">
        <f>SUM(C6:D6)</f>
        <v>151</v>
      </c>
      <c r="C6" s="174">
        <v>73</v>
      </c>
      <c r="D6" s="174">
        <v>78</v>
      </c>
      <c r="E6" s="175">
        <f>IFERROR(C6/B6,0)</f>
        <v>0.48344370860927155</v>
      </c>
      <c r="F6" s="241">
        <f>IF(A6 = $A$3, "-", (162-D6)-$C$3)</f>
        <v>-5</v>
      </c>
      <c r="G6" s="176">
        <f>IF(IF(ALEast[[#This Row],[GP]]&lt;$B$3,(((ALEast[[#This Row],[GP]]-$B$3)/2)+$C$3)-ALEast[[#This Row],[W]],IF(ALEast[[#This Row],[GP]]&gt;$B$3,(((ALEast[[#This Row],[GP]]-$B$3)/2)+$C$3)-ALEast[[#This Row],[W]],$C$3-ALEast[[#This Row],[W]])) = 0, "-", IF(ALEast[[#This Row],[GP]]&lt;$B$3,(((ALEast[[#This Row],[GP]]-$B$3)/2)+$C$3)-ALEast[[#This Row],[W]],IF(ALEast[[#This Row],[GP]]&gt;$B$3,(((ALEast[[#This Row],[GP]]-$B$3)/2)+$C$3)-ALEast[[#This Row],[W]],$C$3-ALEast[[#This Row],[W]])))</f>
        <v>16</v>
      </c>
      <c r="H6" s="177">
        <f>IF((VLOOKUP(A6,Q:X,8,FALSE)) = "-", "-", VLOOKUP(A6,Q:X,8,FALSE))</f>
        <v>9</v>
      </c>
      <c r="I6" s="178">
        <v>673</v>
      </c>
      <c r="J6" s="178">
        <v>626</v>
      </c>
      <c r="K6" s="241">
        <f>ALEast[[#This Row],[RF]]-ALEast[[#This Row],[RA]]</f>
        <v>47</v>
      </c>
      <c r="L6" s="179" t="str">
        <f>_xlfn.CONCAT(ROUND(((ALEast[[#This Row],[RF]]^1.83)/((ALEast[[#This Row],[RF]]^1.83)+(ALEast[[#This Row],[RA]]^1.83))*B6),0),"-",ALEast[[#This Row],[GP]]-ROUND(((ALEast[[#This Row],[RF]]^1.83)/((ALEast[[#This Row],[RF]]^1.83)+(ALEast[[#This Row],[RA]]^1.83))*B6),0))</f>
        <v>80-71</v>
      </c>
      <c r="M6" s="179" t="str">
        <f>_xlfn.CONCAT(ROUND(162*ALEast[[#This Row],[PCT.]],0),"-",162-ROUND(162*ALEast[[#This Row],[PCT.]],0))</f>
        <v>78-84</v>
      </c>
      <c r="N6" s="180">
        <f>B6/162</f>
        <v>0.9320987654320988</v>
      </c>
      <c r="O6" s="181" t="str">
        <f>IF(VLOOKUP(ALEast[[#This Row],[Team]],Q:Y,9,FALSE)=0,"",VLOOKUP(ALEast[[#This Row],[Team]],Q:Y,9,FALSE))</f>
        <v>od</v>
      </c>
      <c r="Q6" s="63"/>
      <c r="R6" s="26"/>
      <c r="S6" s="26"/>
      <c r="T6" s="26"/>
      <c r="U6" s="28"/>
      <c r="V6" s="245"/>
      <c r="W6" s="245"/>
      <c r="X6" s="64"/>
      <c r="AA6" s="54" t="s">
        <v>938</v>
      </c>
      <c r="AB6" s="55">
        <f>SUM(AC6:AD6)</f>
        <v>151</v>
      </c>
      <c r="AC6" s="55">
        <f>VLOOKUP(AA6,A:C,3,FALSE)</f>
        <v>83</v>
      </c>
      <c r="AD6" s="55">
        <f>VLOOKUP(AA6,A:D,4,FALSE)</f>
        <v>68</v>
      </c>
      <c r="AE6" s="56">
        <f>IFERROR(AC6/AB6,0)</f>
        <v>0.54966887417218546</v>
      </c>
      <c r="AF6" s="244">
        <f>VLOOKUP(AA6,A:N,11,FALSE)</f>
        <v>58</v>
      </c>
      <c r="AG6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6</v>
      </c>
      <c r="AH6" s="57" t="str">
        <f>IF(VLOOKUP(AL[[#This Row],[Team]],Q:Y,9,FALSE)=0,"",VLOOKUP(AL[[#This Row],[Team]],Q:Y,9,FALSE))</f>
        <v>aw</v>
      </c>
      <c r="AJ6" s="54" t="s">
        <v>939</v>
      </c>
      <c r="AK6" s="55">
        <f>SUM(AL6:AM6)</f>
        <v>151</v>
      </c>
      <c r="AL6" s="55">
        <f>VLOOKUP(AJ6,A:C,3,FALSE)</f>
        <v>87</v>
      </c>
      <c r="AM6" s="55">
        <f>VLOOKUP(AJ6,A:D,4,FALSE)</f>
        <v>64</v>
      </c>
      <c r="AN6" s="56">
        <f>IFERROR(AL6/AK6,0)</f>
        <v>0.57615894039735094</v>
      </c>
      <c r="AO6" s="255">
        <f>VLOOKUP(AJ6,A:N,11,FALSE)</f>
        <v>129</v>
      </c>
      <c r="AP6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5</v>
      </c>
      <c r="AQ6" s="57" t="str">
        <f>IF(VLOOKUP(MLB[[#This Row],[Team]],Q:Y,9,FALSE)=0,"",VLOOKUP(MLB[[#This Row],[Team]],Q:Y,9,FALSE))</f>
        <v>w1</v>
      </c>
      <c r="AS6" s="144" t="s">
        <v>940</v>
      </c>
      <c r="AT6" s="30"/>
    </row>
    <row r="7" spans="1:46" ht="15" customHeight="1">
      <c r="A7" s="173" t="s">
        <v>941</v>
      </c>
      <c r="B7" s="174">
        <f>SUM(C7:D7)</f>
        <v>151</v>
      </c>
      <c r="C7" s="174">
        <v>71</v>
      </c>
      <c r="D7" s="174">
        <v>80</v>
      </c>
      <c r="E7" s="175">
        <f>IFERROR(C7/B7,0)</f>
        <v>0.47019867549668876</v>
      </c>
      <c r="F7" s="241">
        <f>IF(A7 = $A$3, "-", (162-D7)-$C$3)</f>
        <v>-7</v>
      </c>
      <c r="G7" s="176">
        <f>IF(IF(ALEast[[#This Row],[GP]]&lt;$B$3,(((ALEast[[#This Row],[GP]]-$B$3)/2)+$C$3)-ALEast[[#This Row],[W]],IF(ALEast[[#This Row],[GP]]&gt;$B$3,(((ALEast[[#This Row],[GP]]-$B$3)/2)+$C$3)-ALEast[[#This Row],[W]],$C$3-ALEast[[#This Row],[W]])) = 0, "-", IF(ALEast[[#This Row],[GP]]&lt;$B$3,(((ALEast[[#This Row],[GP]]-$B$3)/2)+$C$3)-ALEast[[#This Row],[W]],IF(ALEast[[#This Row],[GP]]&gt;$B$3,(((ALEast[[#This Row],[GP]]-$B$3)/2)+$C$3)-ALEast[[#This Row],[W]],$C$3-ALEast[[#This Row],[W]])))</f>
        <v>18</v>
      </c>
      <c r="H7" s="177">
        <f>IF((VLOOKUP(A7,Q:X,8,FALSE)) = "-", "-", VLOOKUP(A7,Q:X,8,FALSE))</f>
        <v>11</v>
      </c>
      <c r="I7" s="178">
        <v>647</v>
      </c>
      <c r="J7" s="178">
        <v>737</v>
      </c>
      <c r="K7" s="241">
        <f>ALEast[[#This Row],[RF]]-ALEast[[#This Row],[RA]]</f>
        <v>-90</v>
      </c>
      <c r="L7" s="179" t="str">
        <f>_xlfn.CONCAT(ROUND(((ALEast[[#This Row],[RF]]^1.83)/((ALEast[[#This Row],[RF]]^1.83)+(ALEast[[#This Row],[RA]]^1.83))*B7),0),"-",ALEast[[#This Row],[GP]]-ROUND(((ALEast[[#This Row],[RF]]^1.83)/((ALEast[[#This Row],[RF]]^1.83)+(ALEast[[#This Row],[RA]]^1.83))*B7),0))</f>
        <v>67-84</v>
      </c>
      <c r="M7" s="179" t="str">
        <f>_xlfn.CONCAT(ROUND(162*ALEast[[#This Row],[PCT.]],0),"-",162-ROUND(162*ALEast[[#This Row],[PCT.]],0))</f>
        <v>76-86</v>
      </c>
      <c r="N7" s="180">
        <f>B7/162</f>
        <v>0.9320987654320988</v>
      </c>
      <c r="O7" s="181" t="str">
        <f>IF(VLOOKUP(ALEast[[#This Row],[Team]],Q:Y,9,FALSE)=0,"",VLOOKUP(ALEast[[#This Row],[Team]],Q:Y,9,FALSE))</f>
        <v>o</v>
      </c>
      <c r="Q7" s="38" t="s">
        <v>942</v>
      </c>
      <c r="R7" s="39"/>
      <c r="S7" s="39"/>
      <c r="T7" s="39"/>
      <c r="U7" s="39"/>
      <c r="V7" s="247"/>
      <c r="W7" s="247"/>
      <c r="X7" s="39"/>
      <c r="Y7" s="128"/>
      <c r="AA7" s="54" t="s">
        <v>943</v>
      </c>
      <c r="AB7" s="55">
        <f>SUM(AC7:AD7)</f>
        <v>152</v>
      </c>
      <c r="AC7" s="55">
        <f>VLOOKUP(AA7,A:C,3,FALSE)</f>
        <v>83</v>
      </c>
      <c r="AD7" s="55">
        <f>VLOOKUP(AA7,A:D,4,FALSE)</f>
        <v>69</v>
      </c>
      <c r="AE7" s="56">
        <f>IFERROR(AC7/AB7,0)</f>
        <v>0.54605263157894735</v>
      </c>
      <c r="AF7" s="244">
        <f>VLOOKUP(AA7,A:N,11,FALSE)</f>
        <v>24</v>
      </c>
      <c r="AG7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6.5</v>
      </c>
      <c r="AH7" s="57" t="str">
        <f>IF(VLOOKUP(AL[[#This Row],[Team]],Q:Y,9,FALSE)=0,"",VLOOKUP(AL[[#This Row],[Team]],Q:Y,9,FALSE))</f>
        <v>w2</v>
      </c>
      <c r="AJ7" s="54" t="s">
        <v>932</v>
      </c>
      <c r="AK7" s="55">
        <f>SUM(AL7:AM7)</f>
        <v>151</v>
      </c>
      <c r="AL7" s="55">
        <f>VLOOKUP(AJ7,A:C,3,FALSE)</f>
        <v>85</v>
      </c>
      <c r="AM7" s="55">
        <f>VLOOKUP(AJ7,A:D,4,FALSE)</f>
        <v>66</v>
      </c>
      <c r="AN7" s="56">
        <f>IFERROR(AL7/AK7,0)</f>
        <v>0.5629139072847682</v>
      </c>
      <c r="AO7" s="255">
        <f>VLOOKUP(AJ7,A:N,11,FALSE)</f>
        <v>93</v>
      </c>
      <c r="AP7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7</v>
      </c>
      <c r="AQ7" s="57" t="str">
        <f>IF(VLOOKUP(MLB[[#This Row],[Team]],Q:Y,9,FALSE)=0,"",VLOOKUP(MLB[[#This Row],[Team]],Q:Y,9,FALSE))</f>
        <v>ac</v>
      </c>
      <c r="AS7" s="144" t="s">
        <v>924</v>
      </c>
      <c r="AT7" s="53" t="s">
        <v>925</v>
      </c>
    </row>
    <row r="8" spans="1:46" ht="15" customHeight="1">
      <c r="A8" s="203"/>
      <c r="B8" s="204"/>
      <c r="C8" s="204"/>
      <c r="D8" s="204"/>
      <c r="E8" s="204"/>
      <c r="F8" s="243"/>
      <c r="G8" s="205"/>
      <c r="H8" s="205"/>
      <c r="I8" s="206"/>
      <c r="J8" s="206"/>
      <c r="K8" s="243"/>
      <c r="L8" s="208"/>
      <c r="M8" s="204"/>
      <c r="N8" s="207"/>
      <c r="O8" s="181"/>
      <c r="Q8" s="45" t="s">
        <v>914</v>
      </c>
      <c r="R8" s="46" t="s">
        <v>915</v>
      </c>
      <c r="S8" s="46" t="s">
        <v>28</v>
      </c>
      <c r="T8" s="46" t="s">
        <v>17</v>
      </c>
      <c r="U8" s="46" t="s">
        <v>916</v>
      </c>
      <c r="V8" s="240" t="s">
        <v>917</v>
      </c>
      <c r="W8" s="248" t="s">
        <v>7</v>
      </c>
      <c r="X8" s="47" t="s">
        <v>918</v>
      </c>
      <c r="Y8" s="67" t="s">
        <v>923</v>
      </c>
      <c r="AA8" s="54" t="s">
        <v>935</v>
      </c>
      <c r="AB8" s="55">
        <f>SUM(AC8:AD8)</f>
        <v>151</v>
      </c>
      <c r="AC8" s="55">
        <f>VLOOKUP(AA8,A:C,3,FALSE)</f>
        <v>82</v>
      </c>
      <c r="AD8" s="55">
        <f>VLOOKUP(AA8,A:D,4,FALSE)</f>
        <v>69</v>
      </c>
      <c r="AE8" s="56">
        <f>IFERROR(AC8/AB8,0)</f>
        <v>0.54304635761589404</v>
      </c>
      <c r="AF8" s="244">
        <f>VLOOKUP(AA8,A:N,11,FALSE)</f>
        <v>103</v>
      </c>
      <c r="AG8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7</v>
      </c>
      <c r="AH8" s="57" t="str">
        <f>IF(VLOOKUP(AL[[#This Row],[Team]],Q:Y,9,FALSE)=0,"",VLOOKUP(AL[[#This Row],[Team]],Q:Y,9,FALSE))</f>
        <v>w3</v>
      </c>
      <c r="AJ8" s="54" t="s">
        <v>930</v>
      </c>
      <c r="AK8" s="55">
        <f>SUM(AL8:AM8)</f>
        <v>151</v>
      </c>
      <c r="AL8" s="55">
        <f>VLOOKUP(AJ8,A:C,3,FALSE)</f>
        <v>84</v>
      </c>
      <c r="AM8" s="55">
        <f>VLOOKUP(AJ8,A:D,4,FALSE)</f>
        <v>67</v>
      </c>
      <c r="AN8" s="56">
        <f>IFERROR(AL8/AK8,0)</f>
        <v>0.55629139072847678</v>
      </c>
      <c r="AO8" s="255">
        <f>VLOOKUP(AJ8,A:N,11,FALSE)</f>
        <v>123</v>
      </c>
      <c r="AP8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8</v>
      </c>
      <c r="AQ8" s="57" t="str">
        <f>IF(VLOOKUP(MLB[[#This Row],[Team]],Q:Y,9,FALSE)=0,"",VLOOKUP(MLB[[#This Row],[Team]],Q:Y,9,FALSE))</f>
        <v>w1</v>
      </c>
      <c r="AS8" s="146" t="s">
        <v>944</v>
      </c>
      <c r="AT8" s="68"/>
    </row>
    <row r="9" spans="1:46" ht="15" customHeight="1">
      <c r="A9" s="34" t="s">
        <v>945</v>
      </c>
      <c r="B9" s="35"/>
      <c r="C9" s="35"/>
      <c r="D9" s="35"/>
      <c r="E9" s="35"/>
      <c r="F9" s="239"/>
      <c r="G9" s="35"/>
      <c r="H9" s="35"/>
      <c r="I9" s="36"/>
      <c r="J9" s="36"/>
      <c r="K9" s="239"/>
      <c r="L9" s="35"/>
      <c r="M9" s="35"/>
      <c r="N9" s="35"/>
      <c r="O9" s="37"/>
      <c r="Q9" s="173" t="s">
        <v>930</v>
      </c>
      <c r="R9" s="314">
        <f>SUM(S9:T9)</f>
        <v>151</v>
      </c>
      <c r="S9" s="314">
        <f>VLOOKUP(Q9,A:C,3,FALSE)</f>
        <v>84</v>
      </c>
      <c r="T9" s="314">
        <f>VLOOKUP(Q9,A:D,4,FALSE)</f>
        <v>67</v>
      </c>
      <c r="U9" s="316">
        <f>IFERROR(S9/R9,0)</f>
        <v>0.55629139072847678</v>
      </c>
      <c r="V9" s="318">
        <f>IF(OR(Q9 = $Q$9, Q9 = $Q$10, Q9 = $Q$11), (162-MIN($T$12:$T$20))-$S9, (162-T9)-$S$11)</f>
        <v>7</v>
      </c>
      <c r="W9" s="320">
        <f>VLOOKUP(Q9,A:N,11,FALSE)</f>
        <v>123</v>
      </c>
      <c r="X9" s="322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-2</v>
      </c>
      <c r="Y9" s="314" t="s">
        <v>946</v>
      </c>
      <c r="AA9" s="54" t="s">
        <v>947</v>
      </c>
      <c r="AB9" s="55">
        <f>SUM(AC9:AD9)</f>
        <v>150</v>
      </c>
      <c r="AC9" s="55">
        <f>VLOOKUP(AA9,A:C,3,FALSE)</f>
        <v>79</v>
      </c>
      <c r="AD9" s="55">
        <f>VLOOKUP(AA9,A:D,4,FALSE)</f>
        <v>71</v>
      </c>
      <c r="AE9" s="56">
        <f>IFERROR(AC9/AB9,0)</f>
        <v>0.52666666666666662</v>
      </c>
      <c r="AF9" s="244">
        <f>VLOOKUP(AA9,A:N,11,FALSE)</f>
        <v>-29</v>
      </c>
      <c r="AG9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9.5</v>
      </c>
      <c r="AH9" s="57" t="str">
        <f>IF(VLOOKUP(AL[[#This Row],[Team]],Q:Y,9,FALSE)=0,"",VLOOKUP(AL[[#This Row],[Team]],Q:Y,9,FALSE))</f>
        <v/>
      </c>
      <c r="AJ9" s="54" t="s">
        <v>948</v>
      </c>
      <c r="AK9" s="55">
        <f>SUM(AL9:AM9)</f>
        <v>151</v>
      </c>
      <c r="AL9" s="55">
        <f>VLOOKUP(AJ9,A:C,3,FALSE)</f>
        <v>84</v>
      </c>
      <c r="AM9" s="55">
        <f>VLOOKUP(AJ9,A:D,4,FALSE)</f>
        <v>67</v>
      </c>
      <c r="AN9" s="56">
        <f>IFERROR(AL9/AK9,0)</f>
        <v>0.55629139072847678</v>
      </c>
      <c r="AO9" s="255">
        <f>VLOOKUP(AJ9,A:N,11,FALSE)</f>
        <v>117</v>
      </c>
      <c r="AP9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8</v>
      </c>
      <c r="AQ9" s="57" t="str">
        <f>IF(VLOOKUP(MLB[[#This Row],[Team]],Q:Y,9,FALSE)=0,"",VLOOKUP(MLB[[#This Row],[Team]],Q:Y,9,FALSE))</f>
        <v>nw</v>
      </c>
      <c r="AS9" s="147" t="s">
        <v>949</v>
      </c>
      <c r="AT9" s="62"/>
    </row>
    <row r="10" spans="1:46" ht="15" customHeight="1">
      <c r="A10" s="45" t="s">
        <v>914</v>
      </c>
      <c r="B10" s="46" t="s">
        <v>915</v>
      </c>
      <c r="C10" s="46" t="s">
        <v>28</v>
      </c>
      <c r="D10" s="46" t="s">
        <v>17</v>
      </c>
      <c r="E10" s="46" t="s">
        <v>916</v>
      </c>
      <c r="F10" s="240" t="s">
        <v>917</v>
      </c>
      <c r="G10" s="46" t="s">
        <v>918</v>
      </c>
      <c r="H10" s="47" t="s">
        <v>919</v>
      </c>
      <c r="I10" s="48" t="s">
        <v>5</v>
      </c>
      <c r="J10" s="48" t="s">
        <v>6</v>
      </c>
      <c r="K10" s="240" t="s">
        <v>7</v>
      </c>
      <c r="L10" s="46" t="s">
        <v>920</v>
      </c>
      <c r="M10" s="46" t="s">
        <v>921</v>
      </c>
      <c r="N10" s="49" t="s">
        <v>922</v>
      </c>
      <c r="O10" s="50" t="s">
        <v>923</v>
      </c>
      <c r="Q10" s="173" t="s">
        <v>943</v>
      </c>
      <c r="R10" s="315">
        <f>SUM(S10:T10)</f>
        <v>152</v>
      </c>
      <c r="S10" s="315">
        <f>VLOOKUP(Q10,A:C,3,FALSE)</f>
        <v>83</v>
      </c>
      <c r="T10" s="315">
        <f>VLOOKUP(Q10,A:D,4,FALSE)</f>
        <v>69</v>
      </c>
      <c r="U10" s="317">
        <f>IFERROR(S10/R10,0)</f>
        <v>0.54605263157894735</v>
      </c>
      <c r="V10" s="319">
        <f>IF(OR(Q10 = $Q$9, Q10 = $Q$10, Q10 = $Q$11), (162-MIN($T$12:$T$20))-$S10, (162-T10)-$S$11)</f>
        <v>8</v>
      </c>
      <c r="W10" s="321">
        <f>VLOOKUP(Q10,A:N,11,FALSE)</f>
        <v>24</v>
      </c>
      <c r="X10" s="323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-0.5</v>
      </c>
      <c r="Y10" s="315" t="s">
        <v>950</v>
      </c>
      <c r="AA10" s="54" t="s">
        <v>951</v>
      </c>
      <c r="AB10" s="55">
        <f>SUM(AC10:AD10)</f>
        <v>152</v>
      </c>
      <c r="AC10" s="55">
        <f>VLOOKUP(AA10,A:C,3,FALSE)</f>
        <v>79</v>
      </c>
      <c r="AD10" s="55">
        <f>VLOOKUP(AA10,A:D,4,FALSE)</f>
        <v>73</v>
      </c>
      <c r="AE10" s="56">
        <f>IFERROR(AC10/AB10,0)</f>
        <v>0.51973684210526316</v>
      </c>
      <c r="AF10" s="244">
        <f>VLOOKUP(AA10,A:N,11,FALSE)</f>
        <v>90</v>
      </c>
      <c r="AG10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10.5</v>
      </c>
      <c r="AH10" s="57" t="str">
        <f>IF(VLOOKUP(AL[[#This Row],[Team]],Q:Y,9,FALSE)=0,"",VLOOKUP(AL[[#This Row],[Team]],Q:Y,9,FALSE))</f>
        <v/>
      </c>
      <c r="AJ10" s="54" t="s">
        <v>938</v>
      </c>
      <c r="AK10" s="55">
        <f>SUM(AL10:AM10)</f>
        <v>151</v>
      </c>
      <c r="AL10" s="55">
        <f>VLOOKUP(AJ10,A:C,3,FALSE)</f>
        <v>83</v>
      </c>
      <c r="AM10" s="55">
        <f>VLOOKUP(AJ10,A:D,4,FALSE)</f>
        <v>68</v>
      </c>
      <c r="AN10" s="56">
        <f>IFERROR(AL10/AK10,0)</f>
        <v>0.54966887417218546</v>
      </c>
      <c r="AO10" s="255">
        <f>VLOOKUP(AJ10,A:N,11,FALSE)</f>
        <v>58</v>
      </c>
      <c r="AP10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9</v>
      </c>
      <c r="AQ10" s="57" t="str">
        <f>IF(VLOOKUP(MLB[[#This Row],[Team]],Q:Y,9,FALSE)=0,"",VLOOKUP(MLB[[#This Row],[Team]],Q:Y,9,FALSE))</f>
        <v>aw</v>
      </c>
      <c r="AT10" s="26"/>
    </row>
    <row r="11" spans="1:46" ht="15" customHeight="1">
      <c r="A11" s="54" t="s">
        <v>932</v>
      </c>
      <c r="B11" s="55">
        <f>SUM(C11:D11)</f>
        <v>151</v>
      </c>
      <c r="C11" s="55">
        <v>85</v>
      </c>
      <c r="D11" s="55">
        <v>66</v>
      </c>
      <c r="E11" s="56">
        <f>IFERROR(C11/B11,0)</f>
        <v>0.5629139072847682</v>
      </c>
      <c r="F11" s="241" t="str">
        <f>IF(A11 = $A$11, "-", (162-D11)-$C$11)</f>
        <v>-</v>
      </c>
      <c r="G11" s="133" t="str">
        <f>IFERROR(IF(IF(ALCentral[[#This Row],[GP]]&lt;$B$11,(((ALCentral[[#This Row],[GP]]-$B$11)/2)+$C$11)-ALCentral[[#This Row],[W]],IF(ALCentral[[#This Row],[GP]]&gt;$B$11,(((ALCentral[[#This Row],[GP]]-$B$11)/2)+$C$11)-ALCentral[[#This Row],[W]],$C$11-ALCentral[[#This Row],[W]])) = 0, "-", IF(ALCentral[[#This Row],[GP]]&lt;$B$11,(((ALCentral[[#This Row],[GP]]-$B$11)/2)+$C$11)-ALCentral[[#This Row],[W]],IF(ALCentral[[#This Row],[GP]]&gt;$B$11,(((ALCentral[[#This Row],[GP]]-$B$11)/2)+$C$11)-ALCentral[[#This Row],[W]],$C$11-ALCentral[[#This Row],[W]]))),"-")</f>
        <v>-</v>
      </c>
      <c r="H11" s="58" t="str">
        <f>IF((VLOOKUP(A11,Q:X,8,FALSE)) = "-", "-", VLOOKUP(A11,Q:X,8,FALSE))</f>
        <v>-</v>
      </c>
      <c r="I11" s="59">
        <v>734</v>
      </c>
      <c r="J11" s="59">
        <v>641</v>
      </c>
      <c r="K11" s="244">
        <f>ALCentral[[#This Row],[RF]]-ALCentral[[#This Row],[RA]]</f>
        <v>93</v>
      </c>
      <c r="L11" s="179" t="str">
        <f>_xlfn.CONCAT(ROUND(((ALCentral[[#This Row],[RF]]^1.83)/((ALCentral[[#This Row],[RF]]^1.83)+(ALCentral[[#This Row],[RA]]^1.83))*B11),0),"-",ALCentral[[#This Row],[GP]]-ROUND(((ALCentral[[#This Row],[RF]]^1.83)/((ALCentral[[#This Row],[RF]]^1.83)+(ALCentral[[#This Row],[RA]]^1.83))*B11),0))</f>
        <v>85-66</v>
      </c>
      <c r="M11" s="179" t="str">
        <f>_xlfn.CONCAT(ROUND(162*ALCentral[[#This Row],[PCT.]],0),"-",162-ROUND(162*ALCentral[[#This Row],[PCT.]],0))</f>
        <v>91-71</v>
      </c>
      <c r="N11" s="61">
        <f>B11/162</f>
        <v>0.9320987654320988</v>
      </c>
      <c r="O11" s="181" t="str">
        <f>IF(VLOOKUP(ALCentral[[#This Row],[Team]],Q:Y,9,FALSE)=0,"",VLOOKUP(ALCentral[[#This Row],[Team]],Q:Y,9,FALSE))</f>
        <v>ac</v>
      </c>
      <c r="Q11" s="347" t="s">
        <v>935</v>
      </c>
      <c r="R11" s="197">
        <f>SUM(S11:T11)</f>
        <v>151</v>
      </c>
      <c r="S11" s="197">
        <f>VLOOKUP(Q11,A:C,3,FALSE)</f>
        <v>82</v>
      </c>
      <c r="T11" s="197">
        <f>VLOOKUP(Q11,A:D,4,FALSE)</f>
        <v>69</v>
      </c>
      <c r="U11" s="198">
        <f>IFERROR(S11/R11,0)</f>
        <v>0.54304635761589404</v>
      </c>
      <c r="V11" s="311">
        <f>IF(OR(Q11 = $Q$9, Q11 = $Q$10, Q11 = $Q$11), (162-MIN($T$12:$T$20))-$S11, (162-T11)-$S$11)</f>
        <v>9</v>
      </c>
      <c r="W11" s="251">
        <f>VLOOKUP(Q11,A:N,11,FALSE)</f>
        <v>103</v>
      </c>
      <c r="X11" s="306" t="str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-</v>
      </c>
      <c r="Y11" s="197" t="s">
        <v>952</v>
      </c>
      <c r="AA11" s="54" t="s">
        <v>953</v>
      </c>
      <c r="AB11" s="55">
        <f>SUM(AC11:AD11)</f>
        <v>151</v>
      </c>
      <c r="AC11" s="55">
        <f>VLOOKUP(AA11,A:C,3,FALSE)</f>
        <v>75</v>
      </c>
      <c r="AD11" s="55">
        <f>VLOOKUP(AA11,A:D,4,FALSE)</f>
        <v>76</v>
      </c>
      <c r="AE11" s="56">
        <f>IFERROR(AC11/AB11,0)</f>
        <v>0.49668874172185429</v>
      </c>
      <c r="AF11" s="244">
        <f>VLOOKUP(AA11,A:N,11,FALSE)</f>
        <v>-19</v>
      </c>
      <c r="AG11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14</v>
      </c>
      <c r="AH11" s="57" t="str">
        <f>IF(VLOOKUP(AL[[#This Row],[Team]],Q:Y,9,FALSE)=0,"",VLOOKUP(AL[[#This Row],[Team]],Q:Y,9,FALSE))</f>
        <v/>
      </c>
      <c r="AJ11" s="54" t="s">
        <v>943</v>
      </c>
      <c r="AK11" s="55">
        <f>SUM(AL11:AM11)</f>
        <v>152</v>
      </c>
      <c r="AL11" s="55">
        <f>VLOOKUP(AJ11,A:C,3,FALSE)</f>
        <v>83</v>
      </c>
      <c r="AM11" s="55">
        <f>VLOOKUP(AJ11,A:D,4,FALSE)</f>
        <v>69</v>
      </c>
      <c r="AN11" s="56">
        <f>IFERROR(AL11/AK11,0)</f>
        <v>0.54605263157894735</v>
      </c>
      <c r="AO11" s="255">
        <f>VLOOKUP(AJ11,A:N,11,FALSE)</f>
        <v>24</v>
      </c>
      <c r="AP11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9.5</v>
      </c>
      <c r="AQ11" s="57" t="str">
        <f>IF(VLOOKUP(MLB[[#This Row],[Team]],Q:Y,9,FALSE)=0,"",VLOOKUP(MLB[[#This Row],[Team]],Q:Y,9,FALSE))</f>
        <v>w2</v>
      </c>
      <c r="AS11" s="144" t="s">
        <v>954</v>
      </c>
      <c r="AT11" s="30"/>
    </row>
    <row r="12" spans="1:46" ht="15" customHeight="1">
      <c r="A12" s="54" t="s">
        <v>947</v>
      </c>
      <c r="B12" s="55">
        <f>SUM(C12:D12)</f>
        <v>150</v>
      </c>
      <c r="C12" s="55">
        <v>79</v>
      </c>
      <c r="D12" s="55">
        <v>71</v>
      </c>
      <c r="E12" s="56">
        <f>IFERROR(C12/B12,0)</f>
        <v>0.52666666666666662</v>
      </c>
      <c r="F12" s="244">
        <f>IF(A12 = $A$11, "-", (162-D12)-$C$11)</f>
        <v>6</v>
      </c>
      <c r="G12" s="57">
        <f>IFERROR(IF(IF(ALCentral[[#This Row],[GP]]&lt;$B$11,(((ALCentral[[#This Row],[GP]]-$B$11)/2)+$C$11)-ALCentral[[#This Row],[W]],IF(ALCentral[[#This Row],[GP]]&gt;$B$11,(((ALCentral[[#This Row],[GP]]-$B$11)/2)+$C$11)-ALCentral[[#This Row],[W]],$C$11-ALCentral[[#This Row],[W]])) = 0, "-", IF(ALCentral[[#This Row],[GP]]&lt;$B$11,(((ALCentral[[#This Row],[GP]]-$B$11)/2)+$C$11)-ALCentral[[#This Row],[W]],IF(ALCentral[[#This Row],[GP]]&gt;$B$11,(((ALCentral[[#This Row],[GP]]-$B$11)/2)+$C$11)-ALCentral[[#This Row],[W]],$C$11-ALCentral[[#This Row],[W]]))),"-")</f>
        <v>5.5</v>
      </c>
      <c r="H12" s="58">
        <f>IF((VLOOKUP(A12,Q:X,8,FALSE)) = "-", "-", VLOOKUP(A12,Q:X,8,FALSE))</f>
        <v>2.5</v>
      </c>
      <c r="I12" s="59">
        <v>587</v>
      </c>
      <c r="J12" s="59">
        <v>616</v>
      </c>
      <c r="K12" s="244">
        <f>ALCentral[[#This Row],[RF]]-ALCentral[[#This Row],[RA]]</f>
        <v>-29</v>
      </c>
      <c r="L12" s="60" t="str">
        <f>_xlfn.CONCAT(ROUND(((ALCentral[[#This Row],[RF]]^1.83)/((ALCentral[[#This Row],[RF]]^1.83)+(ALCentral[[#This Row],[RA]]^1.83))*B12),0),"-",ALCentral[[#This Row],[GP]]-ROUND(((ALCentral[[#This Row],[RF]]^1.83)/((ALCentral[[#This Row],[RF]]^1.83)+(ALCentral[[#This Row],[RA]]^1.83))*B12),0))</f>
        <v>72-78</v>
      </c>
      <c r="M12" s="60" t="str">
        <f>_xlfn.CONCAT(ROUND(162*ALCentral[[#This Row],[PCT.]],0),"-",162-ROUND(162*ALCentral[[#This Row],[PCT.]],0))</f>
        <v>85-77</v>
      </c>
      <c r="N12" s="61">
        <f>B12/162</f>
        <v>0.92592592592592593</v>
      </c>
      <c r="O12" s="181" t="str">
        <f>IF(VLOOKUP(ALCentral[[#This Row],[Team]],Q:Y,9,FALSE)=0,"",VLOOKUP(ALCentral[[#This Row],[Team]],Q:Y,9,FALSE))</f>
        <v/>
      </c>
      <c r="Q12" s="136" t="s">
        <v>947</v>
      </c>
      <c r="R12" s="192">
        <f>SUM(S12:T12)</f>
        <v>150</v>
      </c>
      <c r="S12" s="192">
        <f>VLOOKUP(Q12,A:C,3,FALSE)</f>
        <v>79</v>
      </c>
      <c r="T12" s="192">
        <f>VLOOKUP(Q12,A:D,4,FALSE)</f>
        <v>71</v>
      </c>
      <c r="U12" s="193">
        <f>IFERROR(S12/R12,0)</f>
        <v>0.52666666666666662</v>
      </c>
      <c r="V12" s="252">
        <f>IF(OR(Q12 = $Q$9, Q12 = $Q$10, Q12 = $Q$11), (162-MIN($T$12:$T$20))-$S12, (162-T12)-$S$11)</f>
        <v>9</v>
      </c>
      <c r="W12" s="252">
        <f>VLOOKUP(Q12,A:N,11,FALSE)</f>
        <v>-29</v>
      </c>
      <c r="X12" s="272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2.5</v>
      </c>
      <c r="Y12" s="192"/>
      <c r="AA12" s="54" t="s">
        <v>937</v>
      </c>
      <c r="AB12" s="55">
        <f>SUM(AC12:AD12)</f>
        <v>151</v>
      </c>
      <c r="AC12" s="55">
        <f>VLOOKUP(AA12,A:C,3,FALSE)</f>
        <v>73</v>
      </c>
      <c r="AD12" s="55">
        <f>VLOOKUP(AA12,A:D,4,FALSE)</f>
        <v>78</v>
      </c>
      <c r="AE12" s="56">
        <f>IFERROR(AC12/AB12,0)</f>
        <v>0.48344370860927155</v>
      </c>
      <c r="AF12" s="244">
        <f>VLOOKUP(AA12,A:N,11,FALSE)</f>
        <v>47</v>
      </c>
      <c r="AG12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16</v>
      </c>
      <c r="AH12" s="57" t="str">
        <f>IF(VLOOKUP(AL[[#This Row],[Team]],Q:Y,9,FALSE)=0,"",VLOOKUP(AL[[#This Row],[Team]],Q:Y,9,FALSE))</f>
        <v>od</v>
      </c>
      <c r="AJ12" s="54" t="s">
        <v>935</v>
      </c>
      <c r="AK12" s="55">
        <f>SUM(AL12:AM12)</f>
        <v>151</v>
      </c>
      <c r="AL12" s="55">
        <f>VLOOKUP(AJ12,A:C,3,FALSE)</f>
        <v>82</v>
      </c>
      <c r="AM12" s="55">
        <f>VLOOKUP(AJ12,A:D,4,FALSE)</f>
        <v>69</v>
      </c>
      <c r="AN12" s="56">
        <f>IFERROR(AL12/AK12,0)</f>
        <v>0.54304635761589404</v>
      </c>
      <c r="AO12" s="255">
        <f>VLOOKUP(AJ12,A:N,11,FALSE)</f>
        <v>103</v>
      </c>
      <c r="AP12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10</v>
      </c>
      <c r="AQ12" s="57" t="str">
        <f>IF(VLOOKUP(MLB[[#This Row],[Team]],Q:Y,9,FALSE)=0,"",VLOOKUP(MLB[[#This Row],[Team]],Q:Y,9,FALSE))</f>
        <v>w3</v>
      </c>
      <c r="AS12" s="144" t="s">
        <v>924</v>
      </c>
      <c r="AT12" s="53" t="s">
        <v>925</v>
      </c>
    </row>
    <row r="13" spans="1:46" ht="15" customHeight="1">
      <c r="A13" s="54" t="s">
        <v>953</v>
      </c>
      <c r="B13" s="55">
        <f>SUM(C13:D13)</f>
        <v>151</v>
      </c>
      <c r="C13" s="55">
        <v>75</v>
      </c>
      <c r="D13" s="55">
        <v>76</v>
      </c>
      <c r="E13" s="56">
        <f>IFERROR(C13/B13,0)</f>
        <v>0.49668874172185429</v>
      </c>
      <c r="F13" s="244">
        <f>IF(A13 = $A$11, "-", (162-D13)-$C$11)</f>
        <v>1</v>
      </c>
      <c r="G13" s="57">
        <f>IFERROR(IF(IF(ALCentral[[#This Row],[GP]]&lt;$B$11,(((ALCentral[[#This Row],[GP]]-$B$11)/2)+$C$11)-ALCentral[[#This Row],[W]],IF(ALCentral[[#This Row],[GP]]&gt;$B$11,(((ALCentral[[#This Row],[GP]]-$B$11)/2)+$C$11)-ALCentral[[#This Row],[W]],$C$11-ALCentral[[#This Row],[W]])) = 0, "-", IF(ALCentral[[#This Row],[GP]]&lt;$B$11,(((ALCentral[[#This Row],[GP]]-$B$11)/2)+$C$11)-ALCentral[[#This Row],[W]],IF(ALCentral[[#This Row],[GP]]&gt;$B$11,(((ALCentral[[#This Row],[GP]]-$B$11)/2)+$C$11)-ALCentral[[#This Row],[W]],$C$11-ALCentral[[#This Row],[W]]))),"-")</f>
        <v>10</v>
      </c>
      <c r="H13" s="58">
        <f>IF((VLOOKUP(A13,Q:X,8,FALSE)) = "-", "-", VLOOKUP(A13,Q:X,8,FALSE))</f>
        <v>7</v>
      </c>
      <c r="I13" s="59">
        <v>582</v>
      </c>
      <c r="J13" s="59">
        <v>601</v>
      </c>
      <c r="K13" s="244">
        <f>ALCentral[[#This Row],[RF]]-ALCentral[[#This Row],[RA]]</f>
        <v>-19</v>
      </c>
      <c r="L13" s="60" t="str">
        <f>_xlfn.CONCAT(ROUND(((ALCentral[[#This Row],[RF]]^1.83)/((ALCentral[[#This Row],[RF]]^1.83)+(ALCentral[[#This Row],[RA]]^1.83))*B13),0),"-",ALCentral[[#This Row],[GP]]-ROUND(((ALCentral[[#This Row],[RF]]^1.83)/((ALCentral[[#This Row],[RF]]^1.83)+(ALCentral[[#This Row],[RA]]^1.83))*B13),0))</f>
        <v>73-78</v>
      </c>
      <c r="M13" s="60" t="str">
        <f>_xlfn.CONCAT(ROUND(162*ALCentral[[#This Row],[PCT.]],0),"-",162-ROUND(162*ALCentral[[#This Row],[PCT.]],0))</f>
        <v>80-82</v>
      </c>
      <c r="N13" s="61">
        <f>B13/162</f>
        <v>0.9320987654320988</v>
      </c>
      <c r="O13" s="181" t="str">
        <f>IF(VLOOKUP(ALCentral[[#This Row],[Team]],Q:Y,9,FALSE)=0,"",VLOOKUP(ALCentral[[#This Row],[Team]],Q:Y,9,FALSE))</f>
        <v/>
      </c>
      <c r="Q13" s="196" t="s">
        <v>951</v>
      </c>
      <c r="R13" s="189">
        <f>SUM(S13:T13)</f>
        <v>152</v>
      </c>
      <c r="S13" s="189">
        <f>VLOOKUP(Q13,A:C,3,FALSE)</f>
        <v>79</v>
      </c>
      <c r="T13" s="189">
        <f>VLOOKUP(Q13,A:D,4,FALSE)</f>
        <v>73</v>
      </c>
      <c r="U13" s="190">
        <f>IFERROR(S13/R13,0)</f>
        <v>0.51973684210526316</v>
      </c>
      <c r="V13" s="250">
        <f>IF(OR(Q13 = $Q$9, Q13 = $Q$10, Q13 = $Q$11), (162-MIN($T$12:$T$20))-$S13, (162-T13)-$S$11)</f>
        <v>7</v>
      </c>
      <c r="W13" s="250">
        <f>VLOOKUP(Q13,A:N,11,FALSE)</f>
        <v>90</v>
      </c>
      <c r="X13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3.5</v>
      </c>
      <c r="Y13" s="189"/>
      <c r="AA13" s="54" t="s">
        <v>955</v>
      </c>
      <c r="AB13" s="55">
        <f>SUM(AC13:AD13)</f>
        <v>151</v>
      </c>
      <c r="AC13" s="55">
        <f>VLOOKUP(AA13,A:C,3,FALSE)</f>
        <v>71</v>
      </c>
      <c r="AD13" s="55">
        <f>VLOOKUP(AA13,A:D,4,FALSE)</f>
        <v>80</v>
      </c>
      <c r="AE13" s="56">
        <f>IFERROR(AC13/AB13,0)</f>
        <v>0.47019867549668876</v>
      </c>
      <c r="AF13" s="244">
        <f>VLOOKUP(AA13,A:N,11,FALSE)</f>
        <v>-69</v>
      </c>
      <c r="AG13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18</v>
      </c>
      <c r="AH13" s="57" t="str">
        <f>IF(VLOOKUP(AL[[#This Row],[Team]],Q:Y,9,FALSE)=0,"",VLOOKUP(AL[[#This Row],[Team]],Q:Y,9,FALSE))</f>
        <v>o</v>
      </c>
      <c r="AJ13" s="54" t="s">
        <v>956</v>
      </c>
      <c r="AK13" s="55">
        <f>SUM(AL13:AM13)</f>
        <v>151</v>
      </c>
      <c r="AL13" s="55">
        <f>VLOOKUP(AJ13,A:C,3,FALSE)</f>
        <v>82</v>
      </c>
      <c r="AM13" s="55">
        <f>VLOOKUP(AJ13,A:D,4,FALSE)</f>
        <v>69</v>
      </c>
      <c r="AN13" s="56">
        <f>IFERROR(AL13/AK13,0)</f>
        <v>0.54304635761589404</v>
      </c>
      <c r="AO13" s="255">
        <f>VLOOKUP(AJ13,A:N,11,FALSE)</f>
        <v>58</v>
      </c>
      <c r="AP13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10</v>
      </c>
      <c r="AQ13" s="57" t="str">
        <f>IF(VLOOKUP(MLB[[#This Row],[Team]],Q:Y,9,FALSE)=0,"",VLOOKUP(MLB[[#This Row],[Team]],Q:Y,9,FALSE))</f>
        <v>w2</v>
      </c>
      <c r="AS13" s="290" t="s">
        <v>957</v>
      </c>
      <c r="AT13" s="307"/>
    </row>
    <row r="14" spans="1:46" ht="15" customHeight="1">
      <c r="A14" s="54" t="s">
        <v>958</v>
      </c>
      <c r="B14" s="55">
        <f>SUM(C14:D14)</f>
        <v>151</v>
      </c>
      <c r="C14" s="55">
        <v>66</v>
      </c>
      <c r="D14" s="55">
        <v>85</v>
      </c>
      <c r="E14" s="56">
        <f>IFERROR(C14/B14,0)</f>
        <v>0.4370860927152318</v>
      </c>
      <c r="F14" s="244">
        <f>IF(A14 = $A$11, "-", (162-D14)-$C$11)</f>
        <v>-8</v>
      </c>
      <c r="G14" s="57">
        <f>IFERROR(IF(IF(ALCentral[[#This Row],[GP]]&lt;$B$11,(((ALCentral[[#This Row],[GP]]-$B$11)/2)+$C$11)-ALCentral[[#This Row],[W]],IF(ALCentral[[#This Row],[GP]]&gt;$B$11,(((ALCentral[[#This Row],[GP]]-$B$11)/2)+$C$11)-ALCentral[[#This Row],[W]],$C$11-ALCentral[[#This Row],[W]])) = 0, "-", IF(ALCentral[[#This Row],[GP]]&lt;$B$11,(((ALCentral[[#This Row],[GP]]-$B$11)/2)+$C$11)-ALCentral[[#This Row],[W]],IF(ALCentral[[#This Row],[GP]]&gt;$B$11,(((ALCentral[[#This Row],[GP]]-$B$11)/2)+$C$11)-ALCentral[[#This Row],[W]],$C$11-ALCentral[[#This Row],[W]]))),"-")</f>
        <v>19</v>
      </c>
      <c r="H14" s="58">
        <f>IF((VLOOKUP(A14,Q:X,8,FALSE)) = "-", "-", VLOOKUP(A14,Q:X,8,FALSE))</f>
        <v>16</v>
      </c>
      <c r="I14" s="59">
        <v>648</v>
      </c>
      <c r="J14" s="59">
        <v>731</v>
      </c>
      <c r="K14" s="244">
        <f>ALCentral[[#This Row],[RF]]-ALCentral[[#This Row],[RA]]</f>
        <v>-83</v>
      </c>
      <c r="L14" s="60" t="str">
        <f>_xlfn.CONCAT(ROUND(((ALCentral[[#This Row],[RF]]^1.83)/((ALCentral[[#This Row],[RF]]^1.83)+(ALCentral[[#This Row],[RA]]^1.83))*B14),0),"-",ALCentral[[#This Row],[GP]]-ROUND(((ALCentral[[#This Row],[RF]]^1.83)/((ALCentral[[#This Row],[RF]]^1.83)+(ALCentral[[#This Row],[RA]]^1.83))*B14),0))</f>
        <v>67-84</v>
      </c>
      <c r="M14" s="60" t="str">
        <f>_xlfn.CONCAT(ROUND(162*ALCentral[[#This Row],[PCT.]],0),"-",162-ROUND(162*ALCentral[[#This Row],[PCT.]],0))</f>
        <v>71-91</v>
      </c>
      <c r="N14" s="61">
        <f>B14/162</f>
        <v>0.9320987654320988</v>
      </c>
      <c r="O14" s="181" t="str">
        <f>IF(VLOOKUP(ALCentral[[#This Row],[Team]],Q:Y,9,FALSE)=0,"",VLOOKUP(ALCentral[[#This Row],[Team]],Q:Y,9,FALSE))</f>
        <v>o</v>
      </c>
      <c r="Q14" s="194" t="s">
        <v>953</v>
      </c>
      <c r="R14" s="189">
        <f>SUM(S14:T14)</f>
        <v>151</v>
      </c>
      <c r="S14" s="189">
        <f>VLOOKUP(Q14,A:C,3,FALSE)</f>
        <v>75</v>
      </c>
      <c r="T14" s="189">
        <f>VLOOKUP(Q14,A:D,4,FALSE)</f>
        <v>76</v>
      </c>
      <c r="U14" s="190">
        <f>IFERROR(S14/R14,0)</f>
        <v>0.49668874172185429</v>
      </c>
      <c r="V14" s="250">
        <f>IF(OR(Q14 = $Q$9, Q14 = $Q$10, Q14 = $Q$11), (162-MIN($T$12:$T$20))-$S14, (162-T14)-$S$11)</f>
        <v>4</v>
      </c>
      <c r="W14" s="250">
        <f>VLOOKUP(Q14,A:N,11,FALSE)</f>
        <v>-19</v>
      </c>
      <c r="X14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7</v>
      </c>
      <c r="Y14" s="189"/>
      <c r="AA14" s="54" t="s">
        <v>941</v>
      </c>
      <c r="AB14" s="55">
        <f>SUM(AC14:AD14)</f>
        <v>151</v>
      </c>
      <c r="AC14" s="55">
        <f>VLOOKUP(AA14,A:C,3,FALSE)</f>
        <v>71</v>
      </c>
      <c r="AD14" s="55">
        <f>VLOOKUP(AA14,A:D,4,FALSE)</f>
        <v>80</v>
      </c>
      <c r="AE14" s="56">
        <f>IFERROR(AC14/AB14,0)</f>
        <v>0.47019867549668876</v>
      </c>
      <c r="AF14" s="244">
        <f>VLOOKUP(AA14,A:N,11,FALSE)</f>
        <v>-90</v>
      </c>
      <c r="AG14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18</v>
      </c>
      <c r="AH14" s="57" t="str">
        <f>IF(VLOOKUP(AL[[#This Row],[Team]],Q:Y,9,FALSE)=0,"",VLOOKUP(AL[[#This Row],[Team]],Q:Y,9,FALSE))</f>
        <v>o</v>
      </c>
      <c r="AJ14" s="54" t="s">
        <v>947</v>
      </c>
      <c r="AK14" s="55">
        <f>SUM(AL14:AM14)</f>
        <v>150</v>
      </c>
      <c r="AL14" s="55">
        <f>VLOOKUP(AJ14,A:C,3,FALSE)</f>
        <v>79</v>
      </c>
      <c r="AM14" s="55">
        <f>VLOOKUP(AJ14,A:D,4,FALSE)</f>
        <v>71</v>
      </c>
      <c r="AN14" s="56">
        <f>IFERROR(AL14/AK14,0)</f>
        <v>0.52666666666666662</v>
      </c>
      <c r="AO14" s="255">
        <f>VLOOKUP(AJ14,A:N,11,FALSE)</f>
        <v>-29</v>
      </c>
      <c r="AP14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12.5</v>
      </c>
      <c r="AQ14" s="57" t="str">
        <f>IF(VLOOKUP(MLB[[#This Row],[Team]],Q:Y,9,FALSE)=0,"",VLOOKUP(MLB[[#This Row],[Team]],Q:Y,9,FALSE))</f>
        <v/>
      </c>
      <c r="AS14" s="288" t="s">
        <v>959</v>
      </c>
      <c r="AT14" s="307"/>
    </row>
    <row r="15" spans="1:46" ht="15" customHeight="1">
      <c r="A15" s="54" t="s">
        <v>960</v>
      </c>
      <c r="B15" s="55">
        <f>SUM(C15:D15)</f>
        <v>152</v>
      </c>
      <c r="C15" s="55">
        <v>57</v>
      </c>
      <c r="D15" s="55">
        <v>95</v>
      </c>
      <c r="E15" s="56">
        <f>IFERROR(C15/B15,0)</f>
        <v>0.375</v>
      </c>
      <c r="F15" s="244">
        <f>IF(A15 = $A$11, "-", (162-D15)-$C$11)</f>
        <v>-18</v>
      </c>
      <c r="G15" s="57">
        <f>IFERROR(IF(IF(ALCentral[[#This Row],[GP]]&lt;$B$11,(((ALCentral[[#This Row],[GP]]-$B$11)/2)+$C$11)-ALCentral[[#This Row],[W]],IF(ALCentral[[#This Row],[GP]]&gt;$B$11,(((ALCentral[[#This Row],[GP]]-$B$11)/2)+$C$11)-ALCentral[[#This Row],[W]],$C$11-ALCentral[[#This Row],[W]])) = 0, "-", IF(ALCentral[[#This Row],[GP]]&lt;$B$11,(((ALCentral[[#This Row],[GP]]-$B$11)/2)+$C$11)-ALCentral[[#This Row],[W]],IF(ALCentral[[#This Row],[GP]]&gt;$B$11,(((ALCentral[[#This Row],[GP]]-$B$11)/2)+$C$11)-ALCentral[[#This Row],[W]],$C$11-ALCentral[[#This Row],[W]]))),"-")</f>
        <v>28.5</v>
      </c>
      <c r="H15" s="58">
        <f>IF((VLOOKUP(A15,Q:X,8,FALSE)) = "-", "-", VLOOKUP(A15,Q:X,8,FALSE))</f>
        <v>25.5</v>
      </c>
      <c r="I15" s="59">
        <v>608</v>
      </c>
      <c r="J15" s="59">
        <v>695</v>
      </c>
      <c r="K15" s="244">
        <f>ALCentral[[#This Row],[RF]]-ALCentral[[#This Row],[RA]]</f>
        <v>-87</v>
      </c>
      <c r="L15" s="60" t="str">
        <f>_xlfn.CONCAT(ROUND(((ALCentral[[#This Row],[RF]]^1.83)/((ALCentral[[#This Row],[RF]]^1.83)+(ALCentral[[#This Row],[RA]]^1.83))*B15),0),"-",ALCentral[[#This Row],[GP]]-ROUND(((ALCentral[[#This Row],[RF]]^1.83)/((ALCentral[[#This Row],[RF]]^1.83)+(ALCentral[[#This Row],[RA]]^1.83))*B15),0))</f>
        <v>67-85</v>
      </c>
      <c r="M15" s="60" t="str">
        <f>_xlfn.CONCAT(ROUND(162*ALCentral[[#This Row],[PCT.]],0),"-",162-ROUND(162*ALCentral[[#This Row],[PCT.]],0))</f>
        <v>61-101</v>
      </c>
      <c r="N15" s="61">
        <f>B15/162</f>
        <v>0.93827160493827155</v>
      </c>
      <c r="O15" s="181" t="str">
        <f>IF(VLOOKUP(ALCentral[[#This Row],[Team]],Q:Y,9,FALSE)=0,"",VLOOKUP(ALCentral[[#This Row],[Team]],Q:Y,9,FALSE))</f>
        <v>o</v>
      </c>
      <c r="Q15" s="194" t="s">
        <v>937</v>
      </c>
      <c r="R15" s="189">
        <f>SUM(S15:T15)</f>
        <v>151</v>
      </c>
      <c r="S15" s="189">
        <f>VLOOKUP(Q15,A:C,3,FALSE)</f>
        <v>73</v>
      </c>
      <c r="T15" s="189">
        <f>VLOOKUP(Q15,A:D,4,FALSE)</f>
        <v>78</v>
      </c>
      <c r="U15" s="190">
        <f>IFERROR(S15/R15,0)</f>
        <v>0.48344370860927155</v>
      </c>
      <c r="V15" s="250">
        <f>IF(OR(Q15 = $Q$9, Q15 = $Q$10, Q15 = $Q$11), (162-MIN($T$12:$T$20))-$S15, (162-T15)-$S$11)</f>
        <v>2</v>
      </c>
      <c r="W15" s="250">
        <f>VLOOKUP(Q15,A:N,11,FALSE)</f>
        <v>47</v>
      </c>
      <c r="X15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9</v>
      </c>
      <c r="Y15" s="189" t="s">
        <v>961</v>
      </c>
      <c r="AA15" s="54" t="s">
        <v>962</v>
      </c>
      <c r="AB15" s="55">
        <f>SUM(AC15:AD15)</f>
        <v>151</v>
      </c>
      <c r="AC15" s="55">
        <f>VLOOKUP(AA15,A:C,3,FALSE)</f>
        <v>69</v>
      </c>
      <c r="AD15" s="55">
        <f>VLOOKUP(AA15,A:D,4,FALSE)</f>
        <v>82</v>
      </c>
      <c r="AE15" s="56">
        <f>IFERROR(AC15/AB15,0)</f>
        <v>0.45695364238410596</v>
      </c>
      <c r="AF15" s="244">
        <f>VLOOKUP(AA15,A:N,11,FALSE)</f>
        <v>-138</v>
      </c>
      <c r="AG15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20</v>
      </c>
      <c r="AH15" s="57" t="str">
        <f>IF(VLOOKUP(AL[[#This Row],[Team]],Q:Y,9,FALSE)=0,"",VLOOKUP(AL[[#This Row],[Team]],Q:Y,9,FALSE))</f>
        <v>o</v>
      </c>
      <c r="AJ15" s="54" t="s">
        <v>951</v>
      </c>
      <c r="AK15" s="55">
        <f>SUM(AL15:AM15)</f>
        <v>152</v>
      </c>
      <c r="AL15" s="55">
        <f>VLOOKUP(AJ15,A:C,3,FALSE)</f>
        <v>79</v>
      </c>
      <c r="AM15" s="55">
        <f>VLOOKUP(AJ15,A:D,4,FALSE)</f>
        <v>73</v>
      </c>
      <c r="AN15" s="56">
        <f>IFERROR(AL15/AK15,0)</f>
        <v>0.51973684210526316</v>
      </c>
      <c r="AO15" s="255">
        <f>VLOOKUP(AJ15,A:N,11,FALSE)</f>
        <v>90</v>
      </c>
      <c r="AP15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13.5</v>
      </c>
      <c r="AQ15" s="57" t="str">
        <f>IF(VLOOKUP(MLB[[#This Row],[Team]],Q:Y,9,FALSE)=0,"",VLOOKUP(MLB[[#This Row],[Team]],Q:Y,9,FALSE))</f>
        <v/>
      </c>
      <c r="AT15" s="26"/>
    </row>
    <row r="16" spans="1:46" ht="15" customHeight="1">
      <c r="B16" s="26"/>
      <c r="C16" s="26"/>
      <c r="D16" s="26"/>
      <c r="E16" s="26"/>
      <c r="F16" s="245"/>
      <c r="G16" s="26"/>
      <c r="H16" s="64"/>
      <c r="I16" s="27"/>
      <c r="J16" s="27"/>
      <c r="K16" s="245"/>
      <c r="L16" s="26"/>
      <c r="M16" s="26"/>
      <c r="N16" s="65"/>
      <c r="Q16" s="196" t="s">
        <v>955</v>
      </c>
      <c r="R16" s="189">
        <f>SUM(S16:T16)</f>
        <v>151</v>
      </c>
      <c r="S16" s="189">
        <f>VLOOKUP(Q16,A:C,3,FALSE)</f>
        <v>71</v>
      </c>
      <c r="T16" s="189">
        <f>VLOOKUP(Q16,A:D,4,FALSE)</f>
        <v>80</v>
      </c>
      <c r="U16" s="190">
        <f>IFERROR(S16/R16,0)</f>
        <v>0.47019867549668876</v>
      </c>
      <c r="V16" s="250">
        <f>IF(OR(Q16 = $Q$9, Q16 = $Q$10, Q16 = $Q$11), (162-MIN($T$12:$T$20))-$S16, (162-T16)-$S$11)</f>
        <v>0</v>
      </c>
      <c r="W16" s="250">
        <f>VLOOKUP(Q16,A:N,11,FALSE)</f>
        <v>-69</v>
      </c>
      <c r="X16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11</v>
      </c>
      <c r="Y16" s="189" t="s">
        <v>963</v>
      </c>
      <c r="AA16" s="54" t="s">
        <v>958</v>
      </c>
      <c r="AB16" s="55">
        <f>SUM(AC16:AD16)</f>
        <v>151</v>
      </c>
      <c r="AC16" s="55">
        <f>VLOOKUP(AA16,A:C,3,FALSE)</f>
        <v>66</v>
      </c>
      <c r="AD16" s="55">
        <f>VLOOKUP(AA16,A:D,4,FALSE)</f>
        <v>85</v>
      </c>
      <c r="AE16" s="56">
        <f>IFERROR(AC16/AB16,0)</f>
        <v>0.4370860927152318</v>
      </c>
      <c r="AF16" s="244">
        <f>VLOOKUP(AA16,A:N,11,FALSE)</f>
        <v>-83</v>
      </c>
      <c r="AG16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23</v>
      </c>
      <c r="AH16" s="57" t="str">
        <f>IF(VLOOKUP(AL[[#This Row],[Team]],Q:Y,9,FALSE)=0,"",VLOOKUP(AL[[#This Row],[Team]],Q:Y,9,FALSE))</f>
        <v>o</v>
      </c>
      <c r="AJ16" s="54" t="s">
        <v>964</v>
      </c>
      <c r="AK16" s="55">
        <f>SUM(AL16:AM16)</f>
        <v>151</v>
      </c>
      <c r="AL16" s="55">
        <f>VLOOKUP(AJ16,A:C,3,FALSE)</f>
        <v>78</v>
      </c>
      <c r="AM16" s="55">
        <f>VLOOKUP(AJ16,A:D,4,FALSE)</f>
        <v>73</v>
      </c>
      <c r="AN16" s="56">
        <f>IFERROR(AL16/AK16,0)</f>
        <v>0.51655629139072845</v>
      </c>
      <c r="AO16" s="255">
        <f>VLOOKUP(AJ16,A:N,11,FALSE)</f>
        <v>51</v>
      </c>
      <c r="AP16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14</v>
      </c>
      <c r="AQ16" s="57" t="str">
        <f>IF(VLOOKUP(MLB[[#This Row],[Team]],Q:Y,9,FALSE)=0,"",VLOOKUP(MLB[[#This Row],[Team]],Q:Y,9,FALSE))</f>
        <v>w3</v>
      </c>
      <c r="AS16" s="144" t="s">
        <v>965</v>
      </c>
      <c r="AT16" s="30"/>
    </row>
    <row r="17" spans="1:46" ht="15" customHeight="1">
      <c r="A17" s="34" t="s">
        <v>966</v>
      </c>
      <c r="B17" s="35"/>
      <c r="C17" s="35"/>
      <c r="D17" s="35"/>
      <c r="E17" s="35"/>
      <c r="F17" s="239"/>
      <c r="G17" s="35"/>
      <c r="H17" s="35"/>
      <c r="I17" s="36"/>
      <c r="J17" s="36"/>
      <c r="K17" s="239"/>
      <c r="L17" s="35"/>
      <c r="M17" s="35"/>
      <c r="N17" s="35"/>
      <c r="O17" s="37"/>
      <c r="Q17" s="173" t="s">
        <v>941</v>
      </c>
      <c r="R17" s="189">
        <f>SUM(S17:T17)</f>
        <v>151</v>
      </c>
      <c r="S17" s="189">
        <f>VLOOKUP(Q17,A:C,3,FALSE)</f>
        <v>71</v>
      </c>
      <c r="T17" s="189">
        <f>VLOOKUP(Q17,A:D,4,FALSE)</f>
        <v>80</v>
      </c>
      <c r="U17" s="190">
        <f>IFERROR(S17/R17,0)</f>
        <v>0.47019867549668876</v>
      </c>
      <c r="V17" s="250">
        <f>IF(OR(Q17 = $Q$9, Q17 = $Q$10, Q17 = $Q$11), (162-MIN($T$12:$T$20))-$S17, (162-T17)-$S$11)</f>
        <v>0</v>
      </c>
      <c r="W17" s="250">
        <f>VLOOKUP(Q17,A:N,11,FALSE)</f>
        <v>-90</v>
      </c>
      <c r="X17" s="187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11</v>
      </c>
      <c r="Y17" s="189" t="s">
        <v>963</v>
      </c>
      <c r="AA17" s="54" t="s">
        <v>960</v>
      </c>
      <c r="AB17" s="55">
        <f>SUM(AC17:AD17)</f>
        <v>152</v>
      </c>
      <c r="AC17" s="55">
        <f>VLOOKUP(AA17,A:C,3,FALSE)</f>
        <v>57</v>
      </c>
      <c r="AD17" s="55">
        <f>VLOOKUP(AA17,A:D,4,FALSE)</f>
        <v>95</v>
      </c>
      <c r="AE17" s="56">
        <f>IFERROR(AC17/AB17,0)</f>
        <v>0.375</v>
      </c>
      <c r="AF17" s="244">
        <f>VLOOKUP(AA17,A:N,11,FALSE)</f>
        <v>-87</v>
      </c>
      <c r="AG17" s="57">
        <f>IF(IF(AL[[#This Row],[GP]]&lt;$AB$3,(((AL[[#This Row],[GP]]-$AB$3)/2)+$AC$3)-AL[[#This Row],[W]],IF(AL[[#This Row],[GP]]&gt;$AB$3,(((AL[[#This Row],[GP]]-$AB$3)/2)+$AC$3)-AL[[#This Row],[W]],$AC$3-AL[[#This Row],[W]])) = 0, "-", IF(AL[[#This Row],[GP]]&lt;$AB$3,(((AL[[#This Row],[GP]]-$AB$3)/2)+$AC$3)-AL[[#This Row],[W]],IF(AL[[#This Row],[GP]]&gt;$AB$3,(((AL[[#This Row],[GP]]-$AB$3)/2)+$AC$3)-AL[[#This Row],[W]],$AC$3-AL[[#This Row],[W]])))</f>
        <v>32.5</v>
      </c>
      <c r="AH17" s="57" t="str">
        <f>IF(VLOOKUP(AL[[#This Row],[Team]],Q:Y,9,FALSE)=0,"",VLOOKUP(AL[[#This Row],[Team]],Q:Y,9,FALSE))</f>
        <v>o</v>
      </c>
      <c r="AJ17" s="54" t="s">
        <v>967</v>
      </c>
      <c r="AK17" s="55">
        <f>SUM(AL17:AM17)</f>
        <v>152</v>
      </c>
      <c r="AL17" s="55">
        <f>VLOOKUP(AJ17,A:C,3,FALSE)</f>
        <v>77</v>
      </c>
      <c r="AM17" s="55">
        <f>VLOOKUP(AJ17,A:D,4,FALSE)</f>
        <v>75</v>
      </c>
      <c r="AN17" s="56">
        <f>IFERROR(AL17/AK17,0)</f>
        <v>0.50657894736842102</v>
      </c>
      <c r="AO17" s="255">
        <f>VLOOKUP(AJ17,A:N,11,FALSE)</f>
        <v>31</v>
      </c>
      <c r="AP17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15.5</v>
      </c>
      <c r="AQ17" s="57" t="str">
        <f>IF(VLOOKUP(MLB[[#This Row],[Team]],Q:Y,9,FALSE)=0,"",VLOOKUP(MLB[[#This Row],[Team]],Q:Y,9,FALSE))</f>
        <v/>
      </c>
      <c r="AS17" s="144" t="s">
        <v>924</v>
      </c>
      <c r="AT17" s="53" t="s">
        <v>925</v>
      </c>
    </row>
    <row r="18" spans="1:46" ht="15" customHeight="1">
      <c r="A18" s="45" t="s">
        <v>914</v>
      </c>
      <c r="B18" s="46" t="s">
        <v>915</v>
      </c>
      <c r="C18" s="46" t="s">
        <v>28</v>
      </c>
      <c r="D18" s="46" t="s">
        <v>17</v>
      </c>
      <c r="E18" s="46" t="s">
        <v>916</v>
      </c>
      <c r="F18" s="240" t="s">
        <v>917</v>
      </c>
      <c r="G18" s="46" t="s">
        <v>918</v>
      </c>
      <c r="H18" s="47" t="s">
        <v>919</v>
      </c>
      <c r="I18" s="48" t="s">
        <v>5</v>
      </c>
      <c r="J18" s="48" t="s">
        <v>6</v>
      </c>
      <c r="K18" s="240" t="s">
        <v>7</v>
      </c>
      <c r="L18" s="46" t="s">
        <v>920</v>
      </c>
      <c r="M18" s="46" t="s">
        <v>921</v>
      </c>
      <c r="N18" s="49" t="s">
        <v>922</v>
      </c>
      <c r="O18" s="50" t="s">
        <v>923</v>
      </c>
      <c r="Q18" s="173" t="s">
        <v>962</v>
      </c>
      <c r="R18" s="189">
        <f>SUM(S18:T18)</f>
        <v>151</v>
      </c>
      <c r="S18" s="189">
        <f>VLOOKUP(Q18,A:C,3,FALSE)</f>
        <v>69</v>
      </c>
      <c r="T18" s="189">
        <f>VLOOKUP(Q18,A:D,4,FALSE)</f>
        <v>82</v>
      </c>
      <c r="U18" s="190">
        <f>IFERROR(S18/R18,0)</f>
        <v>0.45695364238410596</v>
      </c>
      <c r="V18" s="250">
        <f>IF(OR(Q18 = $Q$9, Q18 = $Q$10, Q18 = $Q$11), (162-MIN($T$12:$T$20))-$S18, (162-T18)-$S$11)</f>
        <v>-2</v>
      </c>
      <c r="W18" s="250">
        <f>VLOOKUP(Q18,A:N,11,FALSE)</f>
        <v>-138</v>
      </c>
      <c r="X18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13</v>
      </c>
      <c r="Y18" s="189" t="s">
        <v>963</v>
      </c>
      <c r="AJ18" s="54" t="s">
        <v>968</v>
      </c>
      <c r="AK18" s="55">
        <f>SUM(AL18:AM18)</f>
        <v>151</v>
      </c>
      <c r="AL18" s="55">
        <f>VLOOKUP(AJ18,A:C,3,FALSE)</f>
        <v>75</v>
      </c>
      <c r="AM18" s="55">
        <f>VLOOKUP(AJ18,A:D,4,FALSE)</f>
        <v>76</v>
      </c>
      <c r="AN18" s="56">
        <f>IFERROR(AL18/AK18,0)</f>
        <v>0.49668874172185429</v>
      </c>
      <c r="AO18" s="255">
        <f>VLOOKUP(AJ18,A:N,11,FALSE)</f>
        <v>22</v>
      </c>
      <c r="AP18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17</v>
      </c>
      <c r="AQ18" s="57" t="str">
        <f>IF(VLOOKUP(MLB[[#This Row],[Team]],Q:Y,9,FALSE)=0,"",VLOOKUP(MLB[[#This Row],[Team]],Q:Y,9,FALSE))</f>
        <v>od</v>
      </c>
      <c r="AS18" s="147" t="s">
        <v>969</v>
      </c>
      <c r="AT18" s="67"/>
    </row>
    <row r="19" spans="1:46" ht="15" customHeight="1">
      <c r="A19" s="173" t="s">
        <v>938</v>
      </c>
      <c r="B19" s="174">
        <f>SUM(C19:D19)</f>
        <v>151</v>
      </c>
      <c r="C19" s="174">
        <v>83</v>
      </c>
      <c r="D19" s="174">
        <v>68</v>
      </c>
      <c r="E19" s="175">
        <f>IFERROR(C19/B19,0)</f>
        <v>0.54966887417218546</v>
      </c>
      <c r="F19" s="241" t="str">
        <f>IF(A19 = $A$19, "-", (162-D19)-$C$19)</f>
        <v>-</v>
      </c>
      <c r="G19" s="182" t="str">
        <f>IFERROR(IF(IF(ALWest[[#This Row],[GP]]&lt;$B$19,(((ALWest[[#This Row],[GP]]-$B$19)/2)+$C$19)-ALWest[[#This Row],[W]],IF(ALWest[[#This Row],[GP]]&gt;$B$19,(((ALWest[[#This Row],[GP]]-$B$19)/2)+$C$19)-ALWest[[#This Row],[W]],$C$19-ALWest[[#This Row],[W]])) = 0, "-", IF(ALWest[[#This Row],[GP]]&lt;$B$19,(((ALWest[[#This Row],[GP]]-$B$19)/2)+$C$19)-ALWest[[#This Row],[W]],IF(ALWest[[#This Row],[GP]]&gt;$B$19,(((ALWest[[#This Row],[GP]]-$B$19)/2)+$C$19)-ALWest[[#This Row],[W]],$C$19-ALWest[[#This Row],[W]]))),"-")</f>
        <v>-</v>
      </c>
      <c r="H19" s="177" t="str">
        <f>IF((VLOOKUP(A19,Q:X,8,FALSE)) = "-", "-", VLOOKUP(A19,Q:X,8,FALSE))</f>
        <v>-</v>
      </c>
      <c r="I19" s="178">
        <v>717</v>
      </c>
      <c r="J19" s="178">
        <v>659</v>
      </c>
      <c r="K19" s="241">
        <f>ALWest[[#This Row],[RF]]-ALWest[[#This Row],[RA]]</f>
        <v>58</v>
      </c>
      <c r="L19" s="179" t="str">
        <f>_xlfn.CONCAT(ROUND(((ALWest[[#This Row],[RF]]^1.83)/((ALWest[[#This Row],[RF]]^1.83)+(ALWest[[#This Row],[RA]]^1.83))*B19),0),"-",ALWest[[#This Row],[GP]]-ROUND(((ALWest[[#This Row],[RF]]^1.83)/((ALWest[[#This Row],[RF]]^1.83)+(ALWest[[#This Row],[RA]]^1.83))*B19),0))</f>
        <v>81-70</v>
      </c>
      <c r="M19" s="179" t="str">
        <f>_xlfn.CONCAT(ROUND(162*ALWest[[#This Row],[PCT.]],0),"-",162-ROUND(162*ALWest[[#This Row],[PCT.]],0))</f>
        <v>89-73</v>
      </c>
      <c r="N19" s="180">
        <f>B19/162</f>
        <v>0.9320987654320988</v>
      </c>
      <c r="O19" s="181" t="str">
        <f>IF(VLOOKUP(ALWest[[#This Row],[Team]],Q:Y,9,FALSE)=0,"",VLOOKUP(ALWest[[#This Row],[Team]],Q:Y,9,FALSE))</f>
        <v>aw</v>
      </c>
      <c r="Q19" s="194" t="s">
        <v>958</v>
      </c>
      <c r="R19" s="189">
        <f>SUM(S19:T19)</f>
        <v>151</v>
      </c>
      <c r="S19" s="189">
        <f>VLOOKUP(Q19,A:C,3,FALSE)</f>
        <v>66</v>
      </c>
      <c r="T19" s="189">
        <f>VLOOKUP(Q19,A:D,4,FALSE)</f>
        <v>85</v>
      </c>
      <c r="U19" s="190">
        <f>IFERROR(S19/R19,0)</f>
        <v>0.4370860927152318</v>
      </c>
      <c r="V19" s="250">
        <f>IF(OR(Q19 = $Q$9, Q19 = $Q$10, Q19 = $Q$11), (162-MIN($T$12:$T$20))-$S19, (162-T19)-$S$11)</f>
        <v>-5</v>
      </c>
      <c r="W19" s="250">
        <f>VLOOKUP(Q19,A:N,11,FALSE)</f>
        <v>-83</v>
      </c>
      <c r="X19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16</v>
      </c>
      <c r="Y19" s="189" t="s">
        <v>963</v>
      </c>
      <c r="AA19" s="38" t="s">
        <v>970</v>
      </c>
      <c r="AB19" s="39"/>
      <c r="AC19" s="39"/>
      <c r="AD19" s="39"/>
      <c r="AE19" s="39"/>
      <c r="AF19" s="247"/>
      <c r="AG19" s="42"/>
      <c r="AH19" s="43"/>
      <c r="AJ19" s="54" t="s">
        <v>971</v>
      </c>
      <c r="AK19" s="55">
        <f>SUM(AL19:AM19)</f>
        <v>151</v>
      </c>
      <c r="AL19" s="55">
        <f>VLOOKUP(AJ19,A:C,3,FALSE)</f>
        <v>75</v>
      </c>
      <c r="AM19" s="55">
        <f>VLOOKUP(AJ19,A:D,4,FALSE)</f>
        <v>76</v>
      </c>
      <c r="AN19" s="56">
        <f>IFERROR(AL19/AK19,0)</f>
        <v>0.49668874172185429</v>
      </c>
      <c r="AO19" s="255">
        <f>VLOOKUP(AJ19,A:N,11,FALSE)</f>
        <v>14</v>
      </c>
      <c r="AP19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17</v>
      </c>
      <c r="AQ19" s="57" t="str">
        <f>IF(VLOOKUP(MLB[[#This Row],[Team]],Q:Y,9,FALSE)=0,"",VLOOKUP(MLB[[#This Row],[Team]],Q:Y,9,FALSE))</f>
        <v/>
      </c>
      <c r="AS19" s="147" t="s">
        <v>972</v>
      </c>
      <c r="AT19" s="67"/>
    </row>
    <row r="20" spans="1:46" ht="15" customHeight="1">
      <c r="A20" s="173" t="s">
        <v>943</v>
      </c>
      <c r="B20" s="174">
        <f>SUM(C20:D20)</f>
        <v>152</v>
      </c>
      <c r="C20" s="174">
        <v>83</v>
      </c>
      <c r="D20" s="174">
        <v>69</v>
      </c>
      <c r="E20" s="175">
        <f>IFERROR(C20/B20,0)</f>
        <v>0.54605263157894735</v>
      </c>
      <c r="F20" s="244">
        <f>IF(A20 = $A$19, "-", (162-D20)-$C$19)</f>
        <v>10</v>
      </c>
      <c r="G20" s="176">
        <f>IFERROR(IF(IF(ALWest[[#This Row],[GP]]&lt;$B$19,(((ALWest[[#This Row],[GP]]-$B$19)/2)+$C$19)-ALWest[[#This Row],[W]],IF(ALWest[[#This Row],[GP]]&gt;$B$19,(((ALWest[[#This Row],[GP]]-$B$19)/2)+$C$19)-ALWest[[#This Row],[W]],$C$19-ALWest[[#This Row],[W]])) = 0, "-", IF(ALWest[[#This Row],[GP]]&lt;$B$19,(((ALWest[[#This Row],[GP]]-$B$19)/2)+$C$19)-ALWest[[#This Row],[W]],IF(ALWest[[#This Row],[GP]]&gt;$B$19,(((ALWest[[#This Row],[GP]]-$B$19)/2)+$C$19)-ALWest[[#This Row],[W]],$C$19-ALWest[[#This Row],[W]]))),"-")</f>
        <v>0.5</v>
      </c>
      <c r="H20" s="177">
        <f>IF((VLOOKUP(A20,Q:X,8,FALSE)) = "-", "-", VLOOKUP(A20,Q:X,8,FALSE))</f>
        <v>-0.5</v>
      </c>
      <c r="I20" s="178">
        <v>647</v>
      </c>
      <c r="J20" s="178">
        <v>623</v>
      </c>
      <c r="K20" s="241">
        <f>ALWest[[#This Row],[RF]]-ALWest[[#This Row],[RA]]</f>
        <v>24</v>
      </c>
      <c r="L20" s="179" t="str">
        <f>_xlfn.CONCAT(ROUND(((ALWest[[#This Row],[RF]]^1.83)/((ALWest[[#This Row],[RF]]^1.83)+(ALWest[[#This Row],[RA]]^1.83))*B20),0),"-",ALWest[[#This Row],[GP]]-ROUND(((ALWest[[#This Row],[RF]]^1.83)/((ALWest[[#This Row],[RF]]^1.83)+(ALWest[[#This Row],[RA]]^1.83))*B20),0))</f>
        <v>79-73</v>
      </c>
      <c r="M20" s="179" t="str">
        <f>_xlfn.CONCAT(ROUND(162*ALWest[[#This Row],[PCT.]],0),"-",162-ROUND(162*ALWest[[#This Row],[PCT.]],0))</f>
        <v>88-74</v>
      </c>
      <c r="N20" s="180">
        <f>B20/162</f>
        <v>0.93827160493827155</v>
      </c>
      <c r="O20" s="181" t="str">
        <f>IF(VLOOKUP(ALWest[[#This Row],[Team]],Q:Y,9,FALSE)=0,"",VLOOKUP(ALWest[[#This Row],[Team]],Q:Y,9,FALSE))</f>
        <v>w2</v>
      </c>
      <c r="Q20" s="82" t="s">
        <v>960</v>
      </c>
      <c r="R20" s="189">
        <f>SUM(S20:T20)</f>
        <v>152</v>
      </c>
      <c r="S20" s="189">
        <f>VLOOKUP(Q20,A:C,3,FALSE)</f>
        <v>57</v>
      </c>
      <c r="T20" s="189">
        <f>VLOOKUP(Q20,A:D,4,FALSE)</f>
        <v>95</v>
      </c>
      <c r="U20" s="190">
        <f>IFERROR(S20/R20,0)</f>
        <v>0.375</v>
      </c>
      <c r="V20" s="250">
        <f>IF(OR(Q20 = $Q$9, Q20 = $Q$10, Q20 = $Q$11), (162-MIN($T$12:$T$20))-$S20, (162-T20)-$S$11)</f>
        <v>-15</v>
      </c>
      <c r="W20" s="250">
        <f>VLOOKUP(Q20,A:N,11,FALSE)</f>
        <v>-87</v>
      </c>
      <c r="X20" s="195">
        <f>IFERROR(IF(IF(ALWildCard[[#This Row],[GP]]&lt;$R$11,(((ALWildCard[[#This Row],[GP]]-$R$11)/2)+$S$11)-ALWildCard[[#This Row],[W]],IF(ALWildCard[[#This Row],[GP]]&gt;$R$11,(((ALWildCard[[#This Row],[GP]]-$R$11)/2)+$S$11)-ALWildCard[[#This Row],[W]],$S$11-ALWildCard[[#This Row],[W]])) = 0, "-", IF(ALWildCard[[#This Row],[GP]]&lt;$R$11,(((ALWildCard[[#This Row],[GP]]-$R$11)/2)+$S$11)-ALWildCard[[#This Row],[W]],IF(ALWildCard[[#This Row],[GP]]&gt;$R$11,(((ALWildCard[[#This Row],[GP]]-$R$11)/2)+$S$11)-ALWildCard[[#This Row],[W]],$S$11-ALWildCard[[#This Row],[W]]))),"-")</f>
        <v>25.5</v>
      </c>
      <c r="Y20" s="189" t="s">
        <v>963</v>
      </c>
      <c r="AA20" s="45" t="s">
        <v>914</v>
      </c>
      <c r="AB20" s="46" t="s">
        <v>915</v>
      </c>
      <c r="AC20" s="46" t="s">
        <v>28</v>
      </c>
      <c r="AD20" s="46" t="s">
        <v>17</v>
      </c>
      <c r="AE20" s="46" t="s">
        <v>916</v>
      </c>
      <c r="AF20" s="248" t="s">
        <v>7</v>
      </c>
      <c r="AG20" s="47" t="s">
        <v>918</v>
      </c>
      <c r="AH20" s="50" t="s">
        <v>923</v>
      </c>
      <c r="AJ20" s="54" t="s">
        <v>953</v>
      </c>
      <c r="AK20" s="55">
        <f>SUM(AL20:AM20)</f>
        <v>151</v>
      </c>
      <c r="AL20" s="55">
        <f>VLOOKUP(AJ20,A:C,3,FALSE)</f>
        <v>75</v>
      </c>
      <c r="AM20" s="55">
        <f>VLOOKUP(AJ20,A:D,4,FALSE)</f>
        <v>76</v>
      </c>
      <c r="AN20" s="56">
        <f>IFERROR(AL20/AK20,0)</f>
        <v>0.49668874172185429</v>
      </c>
      <c r="AO20" s="255">
        <f>VLOOKUP(AJ20,A:N,11,FALSE)</f>
        <v>-19</v>
      </c>
      <c r="AP20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17</v>
      </c>
      <c r="AQ20" s="57" t="str">
        <f>IF(VLOOKUP(MLB[[#This Row],[Team]],Q:Y,9,FALSE)=0,"",VLOOKUP(MLB[[#This Row],[Team]],Q:Y,9,FALSE))</f>
        <v/>
      </c>
      <c r="AT20" s="26"/>
    </row>
    <row r="21" spans="1:46" ht="15" customHeight="1">
      <c r="A21" s="173" t="s">
        <v>951</v>
      </c>
      <c r="B21" s="174">
        <f>SUM(C21:D21)</f>
        <v>152</v>
      </c>
      <c r="C21" s="174">
        <v>79</v>
      </c>
      <c r="D21" s="174">
        <v>73</v>
      </c>
      <c r="E21" s="175">
        <f>IFERROR(C21/B21,0)</f>
        <v>0.51973684210526316</v>
      </c>
      <c r="F21" s="241">
        <f>IF(A21 = $A$19, "-", (162-D21)-$C$19)</f>
        <v>6</v>
      </c>
      <c r="G21" s="176">
        <f>IFERROR(IF(IF(ALWest[[#This Row],[GP]]&lt;$B$19,(((ALWest[[#This Row],[GP]]-$B$19)/2)+$C$19)-ALWest[[#This Row],[W]],IF(ALWest[[#This Row],[GP]]&gt;$B$19,(((ALWest[[#This Row],[GP]]-$B$19)/2)+$C$19)-ALWest[[#This Row],[W]],$C$19-ALWest[[#This Row],[W]])) = 0, "-", IF(ALWest[[#This Row],[GP]]&lt;$B$19,(((ALWest[[#This Row],[GP]]-$B$19)/2)+$C$19)-ALWest[[#This Row],[W]],IF(ALWest[[#This Row],[GP]]&gt;$B$19,(((ALWest[[#This Row],[GP]]-$B$19)/2)+$C$19)-ALWest[[#This Row],[W]],$C$19-ALWest[[#This Row],[W]]))),"-")</f>
        <v>4.5</v>
      </c>
      <c r="H21" s="177">
        <f>IF((VLOOKUP(A21,Q:X,8,FALSE)) = "-", "-", VLOOKUP(A21,Q:X,8,FALSE))</f>
        <v>3.5</v>
      </c>
      <c r="I21" s="178">
        <v>651</v>
      </c>
      <c r="J21" s="178">
        <v>561</v>
      </c>
      <c r="K21" s="241">
        <f>ALWest[[#This Row],[RF]]-ALWest[[#This Row],[RA]]</f>
        <v>90</v>
      </c>
      <c r="L21" s="179" t="str">
        <f>_xlfn.CONCAT(ROUND(((ALWest[[#This Row],[RF]]^1.83)/((ALWest[[#This Row],[RF]]^1.83)+(ALWest[[#This Row],[RA]]^1.83))*B21),0),"-",ALWest[[#This Row],[GP]]-ROUND(((ALWest[[#This Row],[RF]]^1.83)/((ALWest[[#This Row],[RF]]^1.83)+(ALWest[[#This Row],[RA]]^1.83))*B21),0))</f>
        <v>86-66</v>
      </c>
      <c r="M21" s="179" t="str">
        <f>_xlfn.CONCAT(ROUND(162*ALWest[[#This Row],[PCT.]],0),"-",162-ROUND(162*ALWest[[#This Row],[PCT.]],0))</f>
        <v>84-78</v>
      </c>
      <c r="N21" s="180">
        <f>B21/162</f>
        <v>0.93827160493827155</v>
      </c>
      <c r="O21" s="181" t="str">
        <f>IF(VLOOKUP(ALWest[[#This Row],[Team]],Q:Y,9,FALSE)=0,"",VLOOKUP(ALWest[[#This Row],[Team]],Q:Y,9,FALSE))</f>
        <v/>
      </c>
      <c r="AA21" s="54" t="s">
        <v>928</v>
      </c>
      <c r="AB21" s="55">
        <f>SUM(AC21:AD21)</f>
        <v>151</v>
      </c>
      <c r="AC21" s="55">
        <f>VLOOKUP(AA21,A:C,3,FALSE)</f>
        <v>92</v>
      </c>
      <c r="AD21" s="55">
        <f>VLOOKUP(AA21,A:D,4,FALSE)</f>
        <v>59</v>
      </c>
      <c r="AE21" s="56">
        <f>IFERROR(AC21/AB21,0)</f>
        <v>0.60927152317880795</v>
      </c>
      <c r="AF21" s="244">
        <f>VLOOKUP(AA21,A:N,11,FALSE)</f>
        <v>180</v>
      </c>
      <c r="AG21" s="133" t="str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-</v>
      </c>
      <c r="AH21" s="57" t="str">
        <f>IF(VLOOKUP(NL[[#This Row],[Team]],Q:Y,9,FALSE)=0,"",VLOOKUP(NL[[#This Row],[Team]],Q:Y,9,FALSE))</f>
        <v>xnc</v>
      </c>
      <c r="AJ21" s="54" t="s">
        <v>973</v>
      </c>
      <c r="AK21" s="55">
        <f>SUM(AL21:AM21)</f>
        <v>152</v>
      </c>
      <c r="AL21" s="55">
        <f>VLOOKUP(AJ21,A:C,3,FALSE)</f>
        <v>74</v>
      </c>
      <c r="AM21" s="55">
        <f>VLOOKUP(AJ21,A:D,4,FALSE)</f>
        <v>78</v>
      </c>
      <c r="AN21" s="56">
        <f>IFERROR(AL21/AK21,0)</f>
        <v>0.48684210526315791</v>
      </c>
      <c r="AO21" s="255">
        <f>VLOOKUP(AJ21,A:N,11,FALSE)</f>
        <v>-54</v>
      </c>
      <c r="AP21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18.5</v>
      </c>
      <c r="AQ21" s="57" t="str">
        <f>IF(VLOOKUP(MLB[[#This Row],[Team]],Q:Y,9,FALSE)=0,"",VLOOKUP(MLB[[#This Row],[Team]],Q:Y,9,FALSE))</f>
        <v>od</v>
      </c>
      <c r="AS21" s="144" t="s">
        <v>974</v>
      </c>
      <c r="AT21" s="30"/>
    </row>
    <row r="22" spans="1:46" ht="15" customHeight="1">
      <c r="A22" s="173" t="s">
        <v>955</v>
      </c>
      <c r="B22" s="174">
        <f>SUM(C22:D22)</f>
        <v>151</v>
      </c>
      <c r="C22" s="174">
        <v>71</v>
      </c>
      <c r="D22" s="174">
        <v>80</v>
      </c>
      <c r="E22" s="175">
        <f>IFERROR(C22/B22,0)</f>
        <v>0.47019867549668876</v>
      </c>
      <c r="F22" s="241">
        <f>IF(A22 = $A$19, "-", (162-D22)-$C$19)</f>
        <v>-1</v>
      </c>
      <c r="G22" s="176">
        <f>IFERROR(IF(IF(ALWest[[#This Row],[GP]]&lt;$B$19,(((ALWest[[#This Row],[GP]]-$B$19)/2)+$C$19)-ALWest[[#This Row],[W]],IF(ALWest[[#This Row],[GP]]&gt;$B$19,(((ALWest[[#This Row],[GP]]-$B$19)/2)+$C$19)-ALWest[[#This Row],[W]],$C$19-ALWest[[#This Row],[W]])) = 0, "-", IF(ALWest[[#This Row],[GP]]&lt;$B$19,(((ALWest[[#This Row],[GP]]-$B$19)/2)+$C$19)-ALWest[[#This Row],[W]],IF(ALWest[[#This Row],[GP]]&gt;$B$19,(((ALWest[[#This Row],[GP]]-$B$19)/2)+$C$19)-ALWest[[#This Row],[W]],$C$19-ALWest[[#This Row],[W]]))),"-")</f>
        <v>12</v>
      </c>
      <c r="H22" s="177">
        <f>IF((VLOOKUP(A22,Q:X,8,FALSE)) = "-", "-", VLOOKUP(A22,Q:X,8,FALSE))</f>
        <v>11</v>
      </c>
      <c r="I22" s="178">
        <v>696</v>
      </c>
      <c r="J22" s="178">
        <v>765</v>
      </c>
      <c r="K22" s="241">
        <f>ALWest[[#This Row],[RF]]-ALWest[[#This Row],[RA]]</f>
        <v>-69</v>
      </c>
      <c r="L22" s="179" t="str">
        <f>_xlfn.CONCAT(ROUND(((ALWest[[#This Row],[RF]]^1.83)/((ALWest[[#This Row],[RF]]^1.83)+(ALWest[[#This Row],[RA]]^1.83))*B22),0),"-",ALWest[[#This Row],[GP]]-ROUND(((ALWest[[#This Row],[RF]]^1.83)/((ALWest[[#This Row],[RF]]^1.83)+(ALWest[[#This Row],[RA]]^1.83))*B22),0))</f>
        <v>69-82</v>
      </c>
      <c r="M22" s="179" t="str">
        <f>_xlfn.CONCAT(ROUND(162*ALWest[[#This Row],[PCT.]],0),"-",162-ROUND(162*ALWest[[#This Row],[PCT.]],0))</f>
        <v>76-86</v>
      </c>
      <c r="N22" s="180">
        <f>B22/162</f>
        <v>0.9320987654320988</v>
      </c>
      <c r="O22" s="181" t="str">
        <f>IF(VLOOKUP(ALWest[[#This Row],[Team]],Q:Y,9,FALSE)=0,"",VLOOKUP(ALWest[[#This Row],[Team]],Q:Y,9,FALSE))</f>
        <v>o</v>
      </c>
      <c r="Q22" s="38" t="s">
        <v>975</v>
      </c>
      <c r="R22" s="39"/>
      <c r="S22" s="39"/>
      <c r="T22" s="39"/>
      <c r="U22" s="39"/>
      <c r="V22" s="247"/>
      <c r="W22" s="247"/>
      <c r="X22" s="41"/>
      <c r="AA22" s="54" t="s">
        <v>933</v>
      </c>
      <c r="AB22" s="55">
        <f>SUM(AC22:AD22)</f>
        <v>152</v>
      </c>
      <c r="AC22" s="55">
        <f>VLOOKUP(AA22,A:C,3,FALSE)</f>
        <v>91</v>
      </c>
      <c r="AD22" s="55">
        <f>VLOOKUP(AA22,A:D,4,FALSE)</f>
        <v>61</v>
      </c>
      <c r="AE22" s="56">
        <f>IFERROR(AC22/AB22,0)</f>
        <v>0.59868421052631582</v>
      </c>
      <c r="AF22" s="244">
        <f>VLOOKUP(AA22,A:N,11,FALSE)</f>
        <v>129</v>
      </c>
      <c r="AG22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1.5</v>
      </c>
      <c r="AH22" s="57" t="str">
        <f>IF(VLOOKUP(NL[[#This Row],[Team]],Q:Y,9,FALSE)=0,"",VLOOKUP(NL[[#This Row],[Team]],Q:Y,9,FALSE))</f>
        <v>yne</v>
      </c>
      <c r="AJ22" s="54" t="s">
        <v>937</v>
      </c>
      <c r="AK22" s="55">
        <f>SUM(AL22:AM22)</f>
        <v>151</v>
      </c>
      <c r="AL22" s="55">
        <f>VLOOKUP(AJ22,A:C,3,FALSE)</f>
        <v>73</v>
      </c>
      <c r="AM22" s="55">
        <f>VLOOKUP(AJ22,A:D,4,FALSE)</f>
        <v>78</v>
      </c>
      <c r="AN22" s="56">
        <f>IFERROR(AL22/AK22,0)</f>
        <v>0.48344370860927155</v>
      </c>
      <c r="AO22" s="255">
        <f>VLOOKUP(AJ22,A:N,11,FALSE)</f>
        <v>47</v>
      </c>
      <c r="AP22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19</v>
      </c>
      <c r="AQ22" s="57" t="str">
        <f>IF(VLOOKUP(MLB[[#This Row],[Team]],Q:Y,9,FALSE)=0,"",VLOOKUP(MLB[[#This Row],[Team]],Q:Y,9,FALSE))</f>
        <v>od</v>
      </c>
      <c r="AS22" s="144" t="s">
        <v>924</v>
      </c>
      <c r="AT22" s="53" t="s">
        <v>925</v>
      </c>
    </row>
    <row r="23" spans="1:46" ht="15" customHeight="1">
      <c r="A23" s="173" t="s">
        <v>962</v>
      </c>
      <c r="B23" s="174">
        <f>SUM(C23:D23)</f>
        <v>151</v>
      </c>
      <c r="C23" s="174">
        <v>69</v>
      </c>
      <c r="D23" s="174">
        <v>82</v>
      </c>
      <c r="E23" s="175">
        <f>IFERROR(C23/B23,0)</f>
        <v>0.45695364238410596</v>
      </c>
      <c r="F23" s="241">
        <f>IF(A23 = $A$19, "-", (162-D23)-$C$19)</f>
        <v>-3</v>
      </c>
      <c r="G23" s="176">
        <f>IFERROR(IF(IF(ALWest[[#This Row],[GP]]&lt;$B$19,(((ALWest[[#This Row],[GP]]-$B$19)/2)+$C$19)-ALWest[[#This Row],[W]],IF(ALWest[[#This Row],[GP]]&gt;$B$19,(((ALWest[[#This Row],[GP]]-$B$19)/2)+$C$19)-ALWest[[#This Row],[W]],$C$19-ALWest[[#This Row],[W]])) = 0, "-", IF(ALWest[[#This Row],[GP]]&lt;$B$19,(((ALWest[[#This Row],[GP]]-$B$19)/2)+$C$19)-ALWest[[#This Row],[W]],IF(ALWest[[#This Row],[GP]]&gt;$B$19,(((ALWest[[#This Row],[GP]]-$B$19)/2)+$C$19)-ALWest[[#This Row],[W]],$C$19-ALWest[[#This Row],[W]]))),"-")</f>
        <v>14</v>
      </c>
      <c r="H23" s="177">
        <f>IF((VLOOKUP(A23,Q:X,8,FALSE)) = "-", "-", VLOOKUP(A23,Q:X,8,FALSE))</f>
        <v>13</v>
      </c>
      <c r="I23" s="178">
        <v>641</v>
      </c>
      <c r="J23" s="178">
        <v>779</v>
      </c>
      <c r="K23" s="241">
        <f>ALWest[[#This Row],[RF]]-ALWest[[#This Row],[RA]]</f>
        <v>-138</v>
      </c>
      <c r="L23" s="179" t="str">
        <f>_xlfn.CONCAT(ROUND(((ALWest[[#This Row],[RF]]^1.83)/((ALWest[[#This Row],[RF]]^1.83)+(ALWest[[#This Row],[RA]]^1.83))*B23),0),"-",ALWest[[#This Row],[GP]]-ROUND(((ALWest[[#This Row],[RF]]^1.83)/((ALWest[[#This Row],[RF]]^1.83)+(ALWest[[#This Row],[RA]]^1.83))*B23),0))</f>
        <v>62-89</v>
      </c>
      <c r="M23" s="179" t="str">
        <f>_xlfn.CONCAT(ROUND(162*ALWest[[#This Row],[PCT.]],0),"-",162-ROUND(162*ALWest[[#This Row],[PCT.]],0))</f>
        <v>74-88</v>
      </c>
      <c r="N23" s="180">
        <f>B23/162</f>
        <v>0.9320987654320988</v>
      </c>
      <c r="O23" s="181" t="str">
        <f>IF(VLOOKUP(ALWest[[#This Row],[Team]],Q:Y,9,FALSE)=0,"",VLOOKUP(ALWest[[#This Row],[Team]],Q:Y,9,FALSE))</f>
        <v>o</v>
      </c>
      <c r="Q23" s="51" t="s">
        <v>914</v>
      </c>
      <c r="R23" s="52" t="s">
        <v>915</v>
      </c>
      <c r="S23" s="52" t="s">
        <v>28</v>
      </c>
      <c r="T23" s="52" t="s">
        <v>17</v>
      </c>
      <c r="U23" s="52" t="s">
        <v>916</v>
      </c>
      <c r="V23" s="248" t="s">
        <v>917</v>
      </c>
      <c r="W23" s="248" t="s">
        <v>7</v>
      </c>
      <c r="X23" s="69" t="s">
        <v>918</v>
      </c>
      <c r="Y23" s="200" t="s">
        <v>923</v>
      </c>
      <c r="AA23" s="54" t="s">
        <v>939</v>
      </c>
      <c r="AB23" s="55">
        <f>SUM(AC23:AD23)</f>
        <v>151</v>
      </c>
      <c r="AC23" s="55">
        <f>VLOOKUP(AA23,A:C,3,FALSE)</f>
        <v>87</v>
      </c>
      <c r="AD23" s="55">
        <f>VLOOKUP(AA23,A:D,4,FALSE)</f>
        <v>64</v>
      </c>
      <c r="AE23" s="56">
        <f>IFERROR(AC23/AB23,0)</f>
        <v>0.57615894039735094</v>
      </c>
      <c r="AF23" s="244">
        <f>VLOOKUP(AA23,A:N,11,FALSE)</f>
        <v>129</v>
      </c>
      <c r="AG23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5</v>
      </c>
      <c r="AH23" s="57" t="str">
        <f>IF(VLOOKUP(NL[[#This Row],[Team]],Q:Y,9,FALSE)=0,"",VLOOKUP(NL[[#This Row],[Team]],Q:Y,9,FALSE))</f>
        <v>w1</v>
      </c>
      <c r="AJ23" s="54" t="s">
        <v>955</v>
      </c>
      <c r="AK23" s="55">
        <f>SUM(AL23:AM23)</f>
        <v>151</v>
      </c>
      <c r="AL23" s="55">
        <f>VLOOKUP(AJ23,A:C,3,FALSE)</f>
        <v>71</v>
      </c>
      <c r="AM23" s="55">
        <f>VLOOKUP(AJ23,A:D,4,FALSE)</f>
        <v>80</v>
      </c>
      <c r="AN23" s="56">
        <f>IFERROR(AL23/AK23,0)</f>
        <v>0.47019867549668876</v>
      </c>
      <c r="AO23" s="255">
        <f>VLOOKUP(AJ23,A:N,11,FALSE)</f>
        <v>-69</v>
      </c>
      <c r="AP23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21</v>
      </c>
      <c r="AQ23" s="57" t="str">
        <f>IF(VLOOKUP(MLB[[#This Row],[Team]],Q:Y,9,FALSE)=0,"",VLOOKUP(MLB[[#This Row],[Team]],Q:Y,9,FALSE))</f>
        <v>o</v>
      </c>
      <c r="AS23" s="147"/>
      <c r="AT23" s="30"/>
    </row>
    <row r="24" spans="1:46" ht="15" customHeight="1">
      <c r="B24" s="26"/>
      <c r="C24" s="26"/>
      <c r="D24" s="26"/>
      <c r="E24" s="26"/>
      <c r="F24" s="245"/>
      <c r="G24" s="26"/>
      <c r="H24" s="64"/>
      <c r="I24" s="27"/>
      <c r="J24" s="27"/>
      <c r="K24" s="245"/>
      <c r="L24" s="26"/>
      <c r="M24" s="26"/>
      <c r="N24" s="65"/>
      <c r="Q24" s="183" t="str">
        <f>A27</f>
        <v>Philadelphia Phillies</v>
      </c>
      <c r="R24" s="174">
        <f>SUM(S24:T24)</f>
        <v>152</v>
      </c>
      <c r="S24" s="174">
        <f>VLOOKUP(Q24,A:C,3,FALSE)</f>
        <v>91</v>
      </c>
      <c r="T24" s="174">
        <f>VLOOKUP(Q24,A:D,4,FALSE)</f>
        <v>61</v>
      </c>
      <c r="U24" s="175">
        <f>IFERROR(S24/R24,0)</f>
        <v>0.59868421052631582</v>
      </c>
      <c r="V24" s="310">
        <f>(162-MIN($T$33:$T$41))-S24</f>
        <v>-4</v>
      </c>
      <c r="W24" s="241">
        <f t="shared" ref="W24:W26" si="1">VLOOKUP(Q24,A:N,11,FALSE)</f>
        <v>129</v>
      </c>
      <c r="X24" s="176" t="s">
        <v>24</v>
      </c>
      <c r="Y24" s="67" t="s">
        <v>976</v>
      </c>
      <c r="AA24" s="54" t="s">
        <v>948</v>
      </c>
      <c r="AB24" s="55">
        <f>SUM(AC24:AD24)</f>
        <v>151</v>
      </c>
      <c r="AC24" s="55">
        <f>VLOOKUP(AA24,A:C,3,FALSE)</f>
        <v>84</v>
      </c>
      <c r="AD24" s="55">
        <f>VLOOKUP(AA24,A:D,4,FALSE)</f>
        <v>67</v>
      </c>
      <c r="AE24" s="56">
        <f>IFERROR(AC24/AB24,0)</f>
        <v>0.55629139072847678</v>
      </c>
      <c r="AF24" s="244">
        <f>VLOOKUP(AA24,A:N,11,FALSE)</f>
        <v>117</v>
      </c>
      <c r="AG24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8</v>
      </c>
      <c r="AH24" s="57" t="str">
        <f>IF(VLOOKUP(NL[[#This Row],[Team]],Q:Y,9,FALSE)=0,"",VLOOKUP(NL[[#This Row],[Team]],Q:Y,9,FALSE))</f>
        <v>nw</v>
      </c>
      <c r="AJ24" s="54" t="s">
        <v>941</v>
      </c>
      <c r="AK24" s="55">
        <f>SUM(AL24:AM24)</f>
        <v>151</v>
      </c>
      <c r="AL24" s="55">
        <f>VLOOKUP(AJ24,A:C,3,FALSE)</f>
        <v>71</v>
      </c>
      <c r="AM24" s="55">
        <f>VLOOKUP(AJ24,A:D,4,FALSE)</f>
        <v>80</v>
      </c>
      <c r="AN24" s="56">
        <f>IFERROR(AL24/AK24,0)</f>
        <v>0.47019867549668876</v>
      </c>
      <c r="AO24" s="255">
        <f>VLOOKUP(AJ24,A:N,11,FALSE)</f>
        <v>-90</v>
      </c>
      <c r="AP24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21</v>
      </c>
      <c r="AQ24" s="57" t="str">
        <f>IF(VLOOKUP(MLB[[#This Row],[Team]],Q:Y,9,FALSE)=0,"",VLOOKUP(MLB[[#This Row],[Team]],Q:Y,9,FALSE))</f>
        <v>o</v>
      </c>
      <c r="AT24" s="26"/>
    </row>
    <row r="25" spans="1:46" ht="15" customHeight="1">
      <c r="A25" s="34" t="s">
        <v>977</v>
      </c>
      <c r="B25" s="35"/>
      <c r="C25" s="35"/>
      <c r="D25" s="35"/>
      <c r="E25" s="35"/>
      <c r="F25" s="239"/>
      <c r="G25" s="35"/>
      <c r="H25" s="35"/>
      <c r="I25" s="36"/>
      <c r="J25" s="36"/>
      <c r="K25" s="239"/>
      <c r="L25" s="35"/>
      <c r="M25" s="35"/>
      <c r="N25" s="35"/>
      <c r="O25" s="37"/>
      <c r="Q25" s="183" t="str">
        <f>A35</f>
        <v>Milwaukee Brewers</v>
      </c>
      <c r="R25" s="174">
        <f>SUM(S25:T25)</f>
        <v>151</v>
      </c>
      <c r="S25" s="174">
        <f>VLOOKUP(Q25,A:C,3,FALSE)</f>
        <v>92</v>
      </c>
      <c r="T25" s="174">
        <f>VLOOKUP(Q25,A:D,4,FALSE)</f>
        <v>59</v>
      </c>
      <c r="U25" s="175">
        <f>IFERROR(S25/R25,0)</f>
        <v>0.60927152317880795</v>
      </c>
      <c r="V25" s="310">
        <f>(162-MIN($T$33:$T$41))-S25</f>
        <v>-5</v>
      </c>
      <c r="W25" s="241">
        <f t="shared" si="1"/>
        <v>180</v>
      </c>
      <c r="X25" s="176" t="s">
        <v>24</v>
      </c>
      <c r="Y25" s="67" t="s">
        <v>978</v>
      </c>
      <c r="AA25" s="54" t="s">
        <v>956</v>
      </c>
      <c r="AB25" s="55">
        <f>SUM(AC25:AD25)</f>
        <v>151</v>
      </c>
      <c r="AC25" s="55">
        <f>VLOOKUP(AA25,A:C,3,FALSE)</f>
        <v>82</v>
      </c>
      <c r="AD25" s="55">
        <f>VLOOKUP(AA25,A:D,4,FALSE)</f>
        <v>69</v>
      </c>
      <c r="AE25" s="56">
        <f>IFERROR(AC25/AB25,0)</f>
        <v>0.54304635761589404</v>
      </c>
      <c r="AF25" s="244">
        <f>VLOOKUP(AA25,A:N,11,FALSE)</f>
        <v>58</v>
      </c>
      <c r="AG25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10</v>
      </c>
      <c r="AH25" s="57" t="str">
        <f>IF(VLOOKUP(NL[[#This Row],[Team]],Q:Y,9,FALSE)=0,"",VLOOKUP(NL[[#This Row],[Team]],Q:Y,9,FALSE))</f>
        <v>w2</v>
      </c>
      <c r="AJ25" s="54" t="s">
        <v>979</v>
      </c>
      <c r="AK25" s="55">
        <f>SUM(AL25:AM25)</f>
        <v>151</v>
      </c>
      <c r="AL25" s="55">
        <f>VLOOKUP(AJ25,A:C,3,FALSE)</f>
        <v>71</v>
      </c>
      <c r="AM25" s="55">
        <f>VLOOKUP(AJ25,A:D,4,FALSE)</f>
        <v>80</v>
      </c>
      <c r="AN25" s="56">
        <f>IFERROR(AL25/AK25,0)</f>
        <v>0.47019867549668876</v>
      </c>
      <c r="AO25" s="255">
        <f>VLOOKUP(AJ25,A:N,11,FALSE)</f>
        <v>-93</v>
      </c>
      <c r="AP25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21</v>
      </c>
      <c r="AQ25" s="57" t="str">
        <f>IF(VLOOKUP(MLB[[#This Row],[Team]],Q:Y,9,FALSE)=0,"",VLOOKUP(MLB[[#This Row],[Team]],Q:Y,9,FALSE))</f>
        <v>od</v>
      </c>
      <c r="AS25" s="144" t="s">
        <v>980</v>
      </c>
      <c r="AT25" s="30"/>
    </row>
    <row r="26" spans="1:46" ht="15" customHeight="1">
      <c r="A26" s="45" t="s">
        <v>914</v>
      </c>
      <c r="B26" s="46" t="s">
        <v>915</v>
      </c>
      <c r="C26" s="46" t="s">
        <v>28</v>
      </c>
      <c r="D26" s="46" t="s">
        <v>17</v>
      </c>
      <c r="E26" s="46" t="s">
        <v>916</v>
      </c>
      <c r="F26" s="240" t="s">
        <v>917</v>
      </c>
      <c r="G26" s="46" t="s">
        <v>918</v>
      </c>
      <c r="H26" s="47" t="s">
        <v>919</v>
      </c>
      <c r="I26" s="48" t="s">
        <v>5</v>
      </c>
      <c r="J26" s="48" t="s">
        <v>6</v>
      </c>
      <c r="K26" s="240" t="s">
        <v>7</v>
      </c>
      <c r="L26" s="46" t="s">
        <v>920</v>
      </c>
      <c r="M26" s="46" t="s">
        <v>921</v>
      </c>
      <c r="N26" s="49" t="s">
        <v>922</v>
      </c>
      <c r="O26" s="50" t="s">
        <v>923</v>
      </c>
      <c r="Q26" s="184" t="str">
        <f>A43</f>
        <v>Los Angeles Dodgers</v>
      </c>
      <c r="R26" s="185">
        <f>SUM(S26:T26)</f>
        <v>151</v>
      </c>
      <c r="S26" s="185">
        <f>VLOOKUP(Q26,A:C,3,FALSE)</f>
        <v>84</v>
      </c>
      <c r="T26" s="185">
        <f>VLOOKUP(Q26,A:D,4,FALSE)</f>
        <v>67</v>
      </c>
      <c r="U26" s="186">
        <f>IFERROR(S26/R26,0)</f>
        <v>0.55629139072847678</v>
      </c>
      <c r="V26" s="310">
        <f>(162-MIN($T$33:$T$41))-S26</f>
        <v>3</v>
      </c>
      <c r="W26" s="249">
        <f t="shared" si="1"/>
        <v>117</v>
      </c>
      <c r="X26" s="182" t="s">
        <v>24</v>
      </c>
      <c r="Y26" s="67" t="s">
        <v>981</v>
      </c>
      <c r="AA26" s="54" t="s">
        <v>964</v>
      </c>
      <c r="AB26" s="55">
        <f>SUM(AC26:AD26)</f>
        <v>151</v>
      </c>
      <c r="AC26" s="55">
        <f>VLOOKUP(AA26,A:C,3,FALSE)</f>
        <v>78</v>
      </c>
      <c r="AD26" s="55">
        <f>VLOOKUP(AA26,A:D,4,FALSE)</f>
        <v>73</v>
      </c>
      <c r="AE26" s="56">
        <f>IFERROR(AC26/AB26,0)</f>
        <v>0.51655629139072845</v>
      </c>
      <c r="AF26" s="244">
        <f>VLOOKUP(AA26,A:N,11,FALSE)</f>
        <v>51</v>
      </c>
      <c r="AG26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14</v>
      </c>
      <c r="AH26" s="57" t="str">
        <f>IF(VLOOKUP(NL[[#This Row],[Team]],Q:Y,9,FALSE)=0,"",VLOOKUP(NL[[#This Row],[Team]],Q:Y,9,FALSE))</f>
        <v>w3</v>
      </c>
      <c r="AJ26" s="54" t="s">
        <v>962</v>
      </c>
      <c r="AK26" s="55">
        <f>SUM(AL26:AM26)</f>
        <v>151</v>
      </c>
      <c r="AL26" s="55">
        <f>VLOOKUP(AJ26,A:C,3,FALSE)</f>
        <v>69</v>
      </c>
      <c r="AM26" s="55">
        <f>VLOOKUP(AJ26,A:D,4,FALSE)</f>
        <v>82</v>
      </c>
      <c r="AN26" s="56">
        <f>IFERROR(AL26/AK26,0)</f>
        <v>0.45695364238410596</v>
      </c>
      <c r="AO26" s="255">
        <f>VLOOKUP(AJ26,A:N,11,FALSE)</f>
        <v>-138</v>
      </c>
      <c r="AP26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23</v>
      </c>
      <c r="AQ26" s="57" t="str">
        <f>IF(VLOOKUP(MLB[[#This Row],[Team]],Q:Y,9,FALSE)=0,"",VLOOKUP(MLB[[#This Row],[Team]],Q:Y,9,FALSE))</f>
        <v>o</v>
      </c>
      <c r="AS26" s="144" t="s">
        <v>924</v>
      </c>
      <c r="AT26" s="53" t="s">
        <v>925</v>
      </c>
    </row>
    <row r="27" spans="1:46" ht="15" customHeight="1">
      <c r="A27" s="173" t="s">
        <v>933</v>
      </c>
      <c r="B27" s="174">
        <f>SUM(C27:D27)</f>
        <v>152</v>
      </c>
      <c r="C27" s="174">
        <v>91</v>
      </c>
      <c r="D27" s="174">
        <v>61</v>
      </c>
      <c r="E27" s="175">
        <f>IFERROR(C27/B27,0)</f>
        <v>0.59868421052631582</v>
      </c>
      <c r="F27" s="241" t="str">
        <f>IF(A27 = $A$27, "-", (162-D27)-$C$27)</f>
        <v>-</v>
      </c>
      <c r="G27" s="182" t="str">
        <f>IFERROR(IF(IF(NLEast[[#This Row],[GP]]&lt;$B$27,(((NLEast[[#This Row],[GP]]-$B$27)/2)+$C$27)-NLEast[[#This Row],[W]],IF(NLEast[[#This Row],[GP]]&gt;$B$27,(((NLEast[[#This Row],[GP]]-$B$27)/2)+$C$27)-NLEast[[#This Row],[W]],$C$27-NLEast[[#This Row],[W]])) = 0, "-", IF(NLEast[[#This Row],[GP]]&lt;$B$27,(((NLEast[[#This Row],[GP]]-$B$27)/2)+$C$27)-NLEast[[#This Row],[W]],IF(NLEast[[#This Row],[GP]]&gt;$B$27,(((NLEast[[#This Row],[GP]]-$B$27)/2)+$C$27)-NLEast[[#This Row],[W]],$C$27-NLEast[[#This Row],[W]]))),"-")</f>
        <v>-</v>
      </c>
      <c r="H27" s="177" t="str">
        <f>IF((VLOOKUP(A27,Q:X,8,FALSE)) = "-", "-", VLOOKUP(A27,Q:X,8,FALSE))</f>
        <v>-</v>
      </c>
      <c r="I27" s="178">
        <v>743</v>
      </c>
      <c r="J27" s="178">
        <v>614</v>
      </c>
      <c r="K27" s="241">
        <f>NLEast[[#This Row],[RF]]-NLEast[[#This Row],[RA]]</f>
        <v>129</v>
      </c>
      <c r="L27" s="179" t="str">
        <f>_xlfn.CONCAT(ROUND(((NLEast[[#This Row],[RF]]^1.83)/((NLEast[[#This Row],[RF]]^1.83)+(NLEast[[#This Row],[RA]]^1.83))*B27),0),"-",NLEast[[#This Row],[GP]]-ROUND(((NLEast[[#This Row],[RF]]^1.83)/((NLEast[[#This Row],[RF]]^1.83)+(NLEast[[#This Row],[RA]]^1.83))*B27),0))</f>
        <v>89-63</v>
      </c>
      <c r="M27" s="179" t="str">
        <f>_xlfn.CONCAT(ROUND(162*NLEast[[#This Row],[PCT.]],0),"-",162-ROUND(162*NLEast[[#This Row],[PCT.]],0))</f>
        <v>97-65</v>
      </c>
      <c r="N27" s="180">
        <f>B27/162</f>
        <v>0.93827160493827155</v>
      </c>
      <c r="O27" s="181" t="str">
        <f>IF(VLOOKUP(NLEast[[#This Row],[Team]],Q:Y,9,FALSE)=0,"",VLOOKUP(NLEast[[#This Row],[Team]],Q:Y,9,FALSE))</f>
        <v>yne</v>
      </c>
      <c r="Q27" s="63"/>
      <c r="R27" s="26"/>
      <c r="S27" s="26"/>
      <c r="T27" s="26"/>
      <c r="U27" s="28"/>
      <c r="V27" s="245"/>
      <c r="W27" s="245"/>
      <c r="X27" s="64"/>
      <c r="AA27" s="54" t="s">
        <v>967</v>
      </c>
      <c r="AB27" s="55">
        <f>SUM(AC27:AD27)</f>
        <v>152</v>
      </c>
      <c r="AC27" s="55">
        <f>VLOOKUP(AA27,A:C,3,FALSE)</f>
        <v>77</v>
      </c>
      <c r="AD27" s="55">
        <f>VLOOKUP(AA27,A:D,4,FALSE)</f>
        <v>75</v>
      </c>
      <c r="AE27" s="56">
        <f>IFERROR(AC27/AB27,0)</f>
        <v>0.50657894736842102</v>
      </c>
      <c r="AF27" s="244">
        <f>VLOOKUP(AA27,A:N,11,FALSE)</f>
        <v>31</v>
      </c>
      <c r="AG27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15.5</v>
      </c>
      <c r="AH27" s="57" t="str">
        <f>IF(VLOOKUP(NL[[#This Row],[Team]],Q:Y,9,FALSE)=0,"",VLOOKUP(NL[[#This Row],[Team]],Q:Y,9,FALSE))</f>
        <v/>
      </c>
      <c r="AJ27" s="54" t="s">
        <v>982</v>
      </c>
      <c r="AK27" s="55">
        <f>SUM(AL27:AM27)</f>
        <v>152</v>
      </c>
      <c r="AL27" s="55">
        <f>VLOOKUP(AJ27,A:C,3,FALSE)</f>
        <v>69</v>
      </c>
      <c r="AM27" s="55">
        <f>VLOOKUP(AJ27,A:D,4,FALSE)</f>
        <v>83</v>
      </c>
      <c r="AN27" s="56">
        <f>IFERROR(AL27/AK27,0)</f>
        <v>0.45394736842105265</v>
      </c>
      <c r="AO27" s="255">
        <f>VLOOKUP(AJ27,A:N,11,FALSE)</f>
        <v>-30</v>
      </c>
      <c r="AP27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23.5</v>
      </c>
      <c r="AQ27" s="57" t="str">
        <f>IF(VLOOKUP(MLB[[#This Row],[Team]],Q:Y,9,FALSE)=0,"",VLOOKUP(MLB[[#This Row],[Team]],Q:Y,9,FALSE))</f>
        <v>od</v>
      </c>
      <c r="AS27" s="147"/>
      <c r="AT27" s="30"/>
    </row>
    <row r="28" spans="1:46" ht="15" customHeight="1">
      <c r="A28" s="173" t="s">
        <v>964</v>
      </c>
      <c r="B28" s="174">
        <f>SUM(C28:D28)</f>
        <v>151</v>
      </c>
      <c r="C28" s="174">
        <v>78</v>
      </c>
      <c r="D28" s="174">
        <v>73</v>
      </c>
      <c r="E28" s="175">
        <f>IFERROR(C28/B28,0)</f>
        <v>0.51655629139072845</v>
      </c>
      <c r="F28" s="241">
        <f>IF(A28 = $A$27, "-", (162-D28)-$C$27)</f>
        <v>-2</v>
      </c>
      <c r="G28" s="176">
        <f>IFERROR(IF(IF(NLEast[[#This Row],[GP]]&lt;$B$27,(((NLEast[[#This Row],[GP]]-$B$27)/2)+$C$27)-NLEast[[#This Row],[W]],IF(NLEast[[#This Row],[GP]]&gt;$B$27,(((NLEast[[#This Row],[GP]]-$B$27)/2)+$C$27)-NLEast[[#This Row],[W]],$C$27-NLEast[[#This Row],[W]])) = 0, "-", IF(NLEast[[#This Row],[GP]]&lt;$B$27,(((NLEast[[#This Row],[GP]]-$B$27)/2)+$C$27)-NLEast[[#This Row],[W]],IF(NLEast[[#This Row],[GP]]&gt;$B$27,(((NLEast[[#This Row],[GP]]-$B$27)/2)+$C$27)-NLEast[[#This Row],[W]],$C$27-NLEast[[#This Row],[W]]))),"-")</f>
        <v>12.5</v>
      </c>
      <c r="H28" s="177" t="str">
        <f>IF((VLOOKUP(A28,Q:X,8,FALSE)) = "-", "-", VLOOKUP(A28,Q:X,8,FALSE))</f>
        <v>-</v>
      </c>
      <c r="I28" s="178">
        <v>712</v>
      </c>
      <c r="J28" s="178">
        <v>661</v>
      </c>
      <c r="K28" s="241">
        <f>NLEast[[#This Row],[RF]]-NLEast[[#This Row],[RA]]</f>
        <v>51</v>
      </c>
      <c r="L28" s="179" t="str">
        <f>_xlfn.CONCAT(ROUND(((NLEast[[#This Row],[RF]]^1.83)/((NLEast[[#This Row],[RF]]^1.83)+(NLEast[[#This Row],[RA]]^1.83))*B28),0),"-",NLEast[[#This Row],[GP]]-ROUND(((NLEast[[#This Row],[RF]]^1.83)/((NLEast[[#This Row],[RF]]^1.83)+(NLEast[[#This Row],[RA]]^1.83))*B28),0))</f>
        <v>81-70</v>
      </c>
      <c r="M28" s="179" t="str">
        <f>_xlfn.CONCAT(ROUND(162*NLEast[[#This Row],[PCT.]],0),"-",162-ROUND(162*NLEast[[#This Row],[PCT.]],0))</f>
        <v>84-78</v>
      </c>
      <c r="N28" s="180">
        <f>B28/162</f>
        <v>0.9320987654320988</v>
      </c>
      <c r="O28" s="181" t="str">
        <f>IF(VLOOKUP(NLEast[[#This Row],[Team]],Q:Y,9,FALSE)=0,"",VLOOKUP(NLEast[[#This Row],[Team]],Q:Y,9,FALSE))</f>
        <v>w3</v>
      </c>
      <c r="Q28" s="38" t="s">
        <v>983</v>
      </c>
      <c r="R28" s="39"/>
      <c r="S28" s="39"/>
      <c r="T28" s="39"/>
      <c r="U28" s="39"/>
      <c r="V28" s="247"/>
      <c r="W28" s="247"/>
      <c r="X28" s="39"/>
      <c r="Y28" s="37"/>
      <c r="AA28" s="54" t="s">
        <v>968</v>
      </c>
      <c r="AB28" s="55">
        <f>SUM(AC28:AD28)</f>
        <v>151</v>
      </c>
      <c r="AC28" s="55">
        <f>VLOOKUP(AA28,A:C,3,FALSE)</f>
        <v>75</v>
      </c>
      <c r="AD28" s="55">
        <f>VLOOKUP(AA28,A:D,4,FALSE)</f>
        <v>76</v>
      </c>
      <c r="AE28" s="56">
        <f>IFERROR(AC28/AB28,0)</f>
        <v>0.49668874172185429</v>
      </c>
      <c r="AF28" s="244">
        <f>VLOOKUP(AA28,A:N,11,FALSE)</f>
        <v>22</v>
      </c>
      <c r="AG28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17</v>
      </c>
      <c r="AH28" s="57" t="str">
        <f>IF(VLOOKUP(NL[[#This Row],[Team]],Q:Y,9,FALSE)=0,"",VLOOKUP(NL[[#This Row],[Team]],Q:Y,9,FALSE))</f>
        <v>od</v>
      </c>
      <c r="AJ28" s="54" t="s">
        <v>958</v>
      </c>
      <c r="AK28" s="55">
        <f>SUM(AL28:AM28)</f>
        <v>151</v>
      </c>
      <c r="AL28" s="55">
        <f>VLOOKUP(AJ28,A:C,3,FALSE)</f>
        <v>66</v>
      </c>
      <c r="AM28" s="55">
        <f>VLOOKUP(AJ28,A:D,4,FALSE)</f>
        <v>85</v>
      </c>
      <c r="AN28" s="56">
        <f>IFERROR(AL28/AK28,0)</f>
        <v>0.4370860927152318</v>
      </c>
      <c r="AO28" s="255">
        <f>VLOOKUP(AJ28,A:N,11,FALSE)</f>
        <v>-83</v>
      </c>
      <c r="AP28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26</v>
      </c>
      <c r="AQ28" s="57" t="str">
        <f>IF(VLOOKUP(MLB[[#This Row],[Team]],Q:Y,9,FALSE)=0,"",VLOOKUP(MLB[[#This Row],[Team]],Q:Y,9,FALSE))</f>
        <v>o</v>
      </c>
      <c r="AT28" s="26"/>
    </row>
    <row r="29" spans="1:46" ht="15" customHeight="1">
      <c r="A29" s="173" t="s">
        <v>979</v>
      </c>
      <c r="B29" s="174">
        <f>SUM(C29:D29)</f>
        <v>151</v>
      </c>
      <c r="C29" s="174">
        <v>71</v>
      </c>
      <c r="D29" s="174">
        <v>80</v>
      </c>
      <c r="E29" s="175">
        <f>IFERROR(C29/B29,0)</f>
        <v>0.47019867549668876</v>
      </c>
      <c r="F29" s="241">
        <f>IF(A29 = $A$27, "-", (162-D29)-$C$27)</f>
        <v>-9</v>
      </c>
      <c r="G29" s="176">
        <f>IFERROR(IF(IF(NLEast[[#This Row],[GP]]&lt;$B$27,(((NLEast[[#This Row],[GP]]-$B$27)/2)+$C$27)-NLEast[[#This Row],[W]],IF(NLEast[[#This Row],[GP]]&gt;$B$27,(((NLEast[[#This Row],[GP]]-$B$27)/2)+$C$27)-NLEast[[#This Row],[W]],$C$27-NLEast[[#This Row],[W]])) = 0, "-", IF(NLEast[[#This Row],[GP]]&lt;$B$27,(((NLEast[[#This Row],[GP]]-$B$27)/2)+$C$27)-NLEast[[#This Row],[W]],IF(NLEast[[#This Row],[GP]]&gt;$B$27,(((NLEast[[#This Row],[GP]]-$B$27)/2)+$C$27)-NLEast[[#This Row],[W]],$C$27-NLEast[[#This Row],[W]]))),"-")</f>
        <v>19.5</v>
      </c>
      <c r="H29" s="177">
        <f>IF((VLOOKUP(A29,Q:X,8,FALSE)) = "-", "-", VLOOKUP(A29,Q:X,8,FALSE))</f>
        <v>7</v>
      </c>
      <c r="I29" s="178">
        <v>661</v>
      </c>
      <c r="J29" s="178">
        <v>754</v>
      </c>
      <c r="K29" s="241">
        <f>NLEast[[#This Row],[RF]]-NLEast[[#This Row],[RA]]</f>
        <v>-93</v>
      </c>
      <c r="L29" s="179" t="str">
        <f>_xlfn.CONCAT(ROUND(((NLEast[[#This Row],[RF]]^1.83)/((NLEast[[#This Row],[RF]]^1.83)+(NLEast[[#This Row],[RA]]^1.83))*B29),0),"-",NLEast[[#This Row],[GP]]-ROUND(((NLEast[[#This Row],[RF]]^1.83)/((NLEast[[#This Row],[RF]]^1.83)+(NLEast[[#This Row],[RA]]^1.83))*B29),0))</f>
        <v>66-85</v>
      </c>
      <c r="M29" s="179" t="str">
        <f>_xlfn.CONCAT(ROUND(162*NLEast[[#This Row],[PCT.]],0),"-",162-ROUND(162*NLEast[[#This Row],[PCT.]],0))</f>
        <v>76-86</v>
      </c>
      <c r="N29" s="180">
        <f>B29/162</f>
        <v>0.9320987654320988</v>
      </c>
      <c r="O29" s="181" t="str">
        <f>IF(VLOOKUP(NLEast[[#This Row],[Team]],Q:Y,9,FALSE)=0,"",VLOOKUP(NLEast[[#This Row],[Team]],Q:Y,9,FALSE))</f>
        <v>od</v>
      </c>
      <c r="Q29" s="45" t="s">
        <v>914</v>
      </c>
      <c r="R29" s="46" t="s">
        <v>915</v>
      </c>
      <c r="S29" s="46" t="s">
        <v>28</v>
      </c>
      <c r="T29" s="46" t="s">
        <v>17</v>
      </c>
      <c r="U29" s="46" t="s">
        <v>916</v>
      </c>
      <c r="V29" s="240" t="s">
        <v>917</v>
      </c>
      <c r="W29" s="248" t="s">
        <v>7</v>
      </c>
      <c r="X29" s="47" t="s">
        <v>918</v>
      </c>
      <c r="Y29" s="71" t="s">
        <v>923</v>
      </c>
      <c r="AA29" s="54" t="s">
        <v>971</v>
      </c>
      <c r="AB29" s="55">
        <f>SUM(AC29:AD29)</f>
        <v>151</v>
      </c>
      <c r="AC29" s="55">
        <f>VLOOKUP(AA29,A:C,3,FALSE)</f>
        <v>75</v>
      </c>
      <c r="AD29" s="55">
        <f>VLOOKUP(AA29,A:D,4,FALSE)</f>
        <v>76</v>
      </c>
      <c r="AE29" s="56">
        <f>IFERROR(AC29/AB29,0)</f>
        <v>0.49668874172185429</v>
      </c>
      <c r="AF29" s="244">
        <f>VLOOKUP(AA29,A:N,11,FALSE)</f>
        <v>14</v>
      </c>
      <c r="AG29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17</v>
      </c>
      <c r="AH29" s="57" t="str">
        <f>IF(VLOOKUP(NL[[#This Row],[Team]],Q:Y,9,FALSE)=0,"",VLOOKUP(NL[[#This Row],[Team]],Q:Y,9,FALSE))</f>
        <v/>
      </c>
      <c r="AJ29" s="54" t="s">
        <v>984</v>
      </c>
      <c r="AK29" s="55">
        <f>SUM(AL29:AM29)</f>
        <v>152</v>
      </c>
      <c r="AL29" s="55">
        <f>VLOOKUP(AJ29,A:C,3,FALSE)</f>
        <v>65</v>
      </c>
      <c r="AM29" s="55">
        <f>VLOOKUP(AJ29,A:D,4,FALSE)</f>
        <v>87</v>
      </c>
      <c r="AN29" s="56">
        <f>IFERROR(AL29/AK29,0)</f>
        <v>0.42763157894736842</v>
      </c>
      <c r="AO29" s="255">
        <f>VLOOKUP(AJ29,A:N,11,FALSE)</f>
        <v>-77</v>
      </c>
      <c r="AP29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27.5</v>
      </c>
      <c r="AQ29" s="57" t="str">
        <f>IF(VLOOKUP(MLB[[#This Row],[Team]],Q:Y,9,FALSE)=0,"",VLOOKUP(MLB[[#This Row],[Team]],Q:Y,9,FALSE))</f>
        <v>o</v>
      </c>
      <c r="AS29" s="144" t="s">
        <v>985</v>
      </c>
      <c r="AT29" s="53"/>
    </row>
    <row r="30" spans="1:46" ht="15" customHeight="1">
      <c r="A30" s="173" t="s">
        <v>982</v>
      </c>
      <c r="B30" s="174">
        <f>SUM(C30:D30)</f>
        <v>152</v>
      </c>
      <c r="C30" s="174">
        <v>69</v>
      </c>
      <c r="D30" s="174">
        <v>83</v>
      </c>
      <c r="E30" s="175">
        <f>IFERROR(C30/B30,0)</f>
        <v>0.45394736842105265</v>
      </c>
      <c r="F30" s="241">
        <f>IF(A30 = $A$27, "-", (162-D30)-$C$27)</f>
        <v>-12</v>
      </c>
      <c r="G30" s="176">
        <f>IFERROR(IF(IF(NLEast[[#This Row],[GP]]&lt;$B$27,(((NLEast[[#This Row],[GP]]-$B$27)/2)+$C$27)-NLEast[[#This Row],[W]],IF(NLEast[[#This Row],[GP]]&gt;$B$27,(((NLEast[[#This Row],[GP]]-$B$27)/2)+$C$27)-NLEast[[#This Row],[W]],$C$27-NLEast[[#This Row],[W]])) = 0, "-", IF(NLEast[[#This Row],[GP]]&lt;$B$27,(((NLEast[[#This Row],[GP]]-$B$27)/2)+$C$27)-NLEast[[#This Row],[W]],IF(NLEast[[#This Row],[GP]]&gt;$B$27,(((NLEast[[#This Row],[GP]]-$B$27)/2)+$C$27)-NLEast[[#This Row],[W]],$C$27-NLEast[[#This Row],[W]]))),"-")</f>
        <v>22</v>
      </c>
      <c r="H30" s="177">
        <f>IF((VLOOKUP(A30,Q:X,8,FALSE)) = "-", "-", VLOOKUP(A30,Q:X,8,FALSE))</f>
        <v>9.5</v>
      </c>
      <c r="I30" s="178">
        <v>668</v>
      </c>
      <c r="J30" s="178">
        <v>698</v>
      </c>
      <c r="K30" s="241">
        <f>NLEast[[#This Row],[RF]]-NLEast[[#This Row],[RA]]</f>
        <v>-30</v>
      </c>
      <c r="L30" s="179" t="str">
        <f>_xlfn.CONCAT(ROUND(((NLEast[[#This Row],[RF]]^1.83)/((NLEast[[#This Row],[RF]]^1.83)+(NLEast[[#This Row],[RA]]^1.83))*B30),0),"-",NLEast[[#This Row],[GP]]-ROUND(((NLEast[[#This Row],[RF]]^1.83)/((NLEast[[#This Row],[RF]]^1.83)+(NLEast[[#This Row],[RA]]^1.83))*B30),0))</f>
        <v>73-79</v>
      </c>
      <c r="M30" s="179" t="str">
        <f>_xlfn.CONCAT(ROUND(162*NLEast[[#This Row],[PCT.]],0),"-",162-ROUND(162*NLEast[[#This Row],[PCT.]],0))</f>
        <v>74-88</v>
      </c>
      <c r="N30" s="180">
        <f>B30/162</f>
        <v>0.93827160493827155</v>
      </c>
      <c r="O30" s="181" t="str">
        <f>IF(VLOOKUP(NLEast[[#This Row],[Team]],Q:Y,9,FALSE)=0,"",VLOOKUP(NLEast[[#This Row],[Team]],Q:Y,9,FALSE))</f>
        <v>od</v>
      </c>
      <c r="Q30" s="173" t="s">
        <v>939</v>
      </c>
      <c r="R30" s="189">
        <f>SUM(S30:T30)</f>
        <v>151</v>
      </c>
      <c r="S30" s="189">
        <f>VLOOKUP(Q30,A:C,3,FALSE)</f>
        <v>87</v>
      </c>
      <c r="T30" s="189">
        <f>VLOOKUP(Q30,A:D,4,FALSE)</f>
        <v>64</v>
      </c>
      <c r="U30" s="190">
        <f>IFERROR(S30/R30,0)</f>
        <v>0.57615894039735094</v>
      </c>
      <c r="V30" s="241">
        <f>IF(OR(Q30 = $Q$30, Q30 = $Q$31, Q30 = $Q$32), (162-MIN($T$33:$T$41))-$S30, (162-T30)-$S$32)</f>
        <v>0</v>
      </c>
      <c r="W30" s="250">
        <f>VLOOKUP(Q30,A:N,11,FALSE)</f>
        <v>129</v>
      </c>
      <c r="X30" s="191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-9</v>
      </c>
      <c r="Y30" s="192" t="s">
        <v>946</v>
      </c>
      <c r="AA30" s="54" t="s">
        <v>973</v>
      </c>
      <c r="AB30" s="55">
        <f>SUM(AC30:AD30)</f>
        <v>152</v>
      </c>
      <c r="AC30" s="55">
        <f>VLOOKUP(AA30,A:C,3,FALSE)</f>
        <v>74</v>
      </c>
      <c r="AD30" s="55">
        <f>VLOOKUP(AA30,A:D,4,FALSE)</f>
        <v>78</v>
      </c>
      <c r="AE30" s="56">
        <f>IFERROR(AC30/AB30,0)</f>
        <v>0.48684210526315791</v>
      </c>
      <c r="AF30" s="244">
        <f>VLOOKUP(AA30,A:N,11,FALSE)</f>
        <v>-54</v>
      </c>
      <c r="AG30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18.5</v>
      </c>
      <c r="AH30" s="57" t="str">
        <f>IF(VLOOKUP(NL[[#This Row],[Team]],Q:Y,9,FALSE)=0,"",VLOOKUP(NL[[#This Row],[Team]],Q:Y,9,FALSE))</f>
        <v>od</v>
      </c>
      <c r="AJ30" s="54" t="s">
        <v>986</v>
      </c>
      <c r="AK30" s="55">
        <f>SUM(AL30:AM30)</f>
        <v>152</v>
      </c>
      <c r="AL30" s="55">
        <f>VLOOKUP(AJ30,A:C,3,FALSE)</f>
        <v>62</v>
      </c>
      <c r="AM30" s="55">
        <f>VLOOKUP(AJ30,A:D,4,FALSE)</f>
        <v>90</v>
      </c>
      <c r="AN30" s="56">
        <f>IFERROR(AL30/AK30,0)</f>
        <v>0.40789473684210525</v>
      </c>
      <c r="AO30" s="255">
        <f>VLOOKUP(AJ30,A:N,11,FALSE)</f>
        <v>-190</v>
      </c>
      <c r="AP30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30.5</v>
      </c>
      <c r="AQ30" s="57" t="str">
        <f>IF(VLOOKUP(MLB[[#This Row],[Team]],Q:Y,9,FALSE)=0,"",VLOOKUP(MLB[[#This Row],[Team]],Q:Y,9,FALSE))</f>
        <v>o</v>
      </c>
      <c r="AS30" s="144" t="s">
        <v>924</v>
      </c>
      <c r="AT30" s="53" t="s">
        <v>925</v>
      </c>
    </row>
    <row r="31" spans="1:46" ht="15" customHeight="1">
      <c r="A31" s="173" t="s">
        <v>986</v>
      </c>
      <c r="B31" s="174">
        <f>SUM(C31:D31)</f>
        <v>152</v>
      </c>
      <c r="C31" s="174">
        <v>62</v>
      </c>
      <c r="D31" s="174">
        <v>90</v>
      </c>
      <c r="E31" s="175">
        <f>IFERROR(C31/B31,0)</f>
        <v>0.40789473684210525</v>
      </c>
      <c r="F31" s="241">
        <f>IF(A31 = $A$27, "-", (162-D31)-$C$27)</f>
        <v>-19</v>
      </c>
      <c r="G31" s="176">
        <f>IFERROR(IF(IF(NLEast[[#This Row],[GP]]&lt;$B$27,(((NLEast[[#This Row],[GP]]-$B$27)/2)+$C$27)-NLEast[[#This Row],[W]],IF(NLEast[[#This Row],[GP]]&gt;$B$27,(((NLEast[[#This Row],[GP]]-$B$27)/2)+$C$27)-NLEast[[#This Row],[W]],$C$27-NLEast[[#This Row],[W]])) = 0, "-", IF(NLEast[[#This Row],[GP]]&lt;$B$27,(((NLEast[[#This Row],[GP]]-$B$27)/2)+$C$27)-NLEast[[#This Row],[W]],IF(NLEast[[#This Row],[GP]]&gt;$B$27,(((NLEast[[#This Row],[GP]]-$B$27)/2)+$C$27)-NLEast[[#This Row],[W]],$C$27-NLEast[[#This Row],[W]]))),"-")</f>
        <v>29</v>
      </c>
      <c r="H31" s="177">
        <f>IF((VLOOKUP(A31,Q:X,8,FALSE)) = "-", "-", VLOOKUP(A31,Q:X,8,FALSE))</f>
        <v>16.5</v>
      </c>
      <c r="I31" s="178">
        <v>643</v>
      </c>
      <c r="J31" s="178">
        <v>833</v>
      </c>
      <c r="K31" s="241">
        <f>NLEast[[#This Row],[RF]]-NLEast[[#This Row],[RA]]</f>
        <v>-190</v>
      </c>
      <c r="L31" s="179" t="str">
        <f>_xlfn.CONCAT(ROUND(((NLEast[[#This Row],[RF]]^1.83)/((NLEast[[#This Row],[RF]]^1.83)+(NLEast[[#This Row],[RA]]^1.83))*B31),0),"-",NLEast[[#This Row],[GP]]-ROUND(((NLEast[[#This Row],[RF]]^1.83)/((NLEast[[#This Row],[RF]]^1.83)+(NLEast[[#This Row],[RA]]^1.83))*B31),0))</f>
        <v>58-94</v>
      </c>
      <c r="M31" s="179" t="str">
        <f>_xlfn.CONCAT(ROUND(162*NLEast[[#This Row],[PCT.]],0),"-",162-ROUND(162*NLEast[[#This Row],[PCT.]],0))</f>
        <v>66-96</v>
      </c>
      <c r="N31" s="180">
        <f>B31/162</f>
        <v>0.93827160493827155</v>
      </c>
      <c r="O31" s="181" t="str">
        <f>IF(VLOOKUP(NLEast[[#This Row],[Team]],Q:Y,9,FALSE)=0,"",VLOOKUP(NLEast[[#This Row],[Team]],Q:Y,9,FALSE))</f>
        <v>o</v>
      </c>
      <c r="Q31" s="173" t="s">
        <v>956</v>
      </c>
      <c r="R31" s="189">
        <f>SUM(S31:T31)</f>
        <v>151</v>
      </c>
      <c r="S31" s="189">
        <f>VLOOKUP(Q31,A:C,3,FALSE)</f>
        <v>82</v>
      </c>
      <c r="T31" s="189">
        <f>VLOOKUP(Q31,A:D,4,FALSE)</f>
        <v>69</v>
      </c>
      <c r="U31" s="190">
        <f>IFERROR(S31/R31,0)</f>
        <v>0.54304635761589404</v>
      </c>
      <c r="V31" s="250">
        <f>IF(OR(Q31 = $Q$30, Q31 = $Q$31, Q31 = $Q$32), (162-MIN($T$33:$T$41))-$S31, (162-T31)-$S$32)</f>
        <v>5</v>
      </c>
      <c r="W31" s="250">
        <f>VLOOKUP(Q31,A:N,11,FALSE)</f>
        <v>58</v>
      </c>
      <c r="X31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-4</v>
      </c>
      <c r="Y31" s="189" t="s">
        <v>950</v>
      </c>
      <c r="AA31" s="54" t="s">
        <v>979</v>
      </c>
      <c r="AB31" s="55">
        <f>SUM(AC31:AD31)</f>
        <v>151</v>
      </c>
      <c r="AC31" s="55">
        <f>VLOOKUP(AA31,A:C,3,FALSE)</f>
        <v>71</v>
      </c>
      <c r="AD31" s="55">
        <f>VLOOKUP(AA31,A:D,4,FALSE)</f>
        <v>80</v>
      </c>
      <c r="AE31" s="56">
        <f>IFERROR(AC31/AB31,0)</f>
        <v>0.47019867549668876</v>
      </c>
      <c r="AF31" s="244">
        <f>VLOOKUP(AA31,A:N,11,FALSE)</f>
        <v>-93</v>
      </c>
      <c r="AG31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21</v>
      </c>
      <c r="AH31" s="57" t="str">
        <f>IF(VLOOKUP(NL[[#This Row],[Team]],Q:Y,9,FALSE)=0,"",VLOOKUP(NL[[#This Row],[Team]],Q:Y,9,FALSE))</f>
        <v>od</v>
      </c>
      <c r="AJ31" s="54" t="s">
        <v>960</v>
      </c>
      <c r="AK31" s="55">
        <f>SUM(AL31:AM31)</f>
        <v>152</v>
      </c>
      <c r="AL31" s="55">
        <f>VLOOKUP(AJ31,A:C,3,FALSE)</f>
        <v>57</v>
      </c>
      <c r="AM31" s="55">
        <f>VLOOKUP(AJ31,A:D,4,FALSE)</f>
        <v>95</v>
      </c>
      <c r="AN31" s="56">
        <f>IFERROR(AL31/AK31,0)</f>
        <v>0.375</v>
      </c>
      <c r="AO31" s="255">
        <f>VLOOKUP(AJ31,A:N,11,FALSE)</f>
        <v>-87</v>
      </c>
      <c r="AP31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35.5</v>
      </c>
      <c r="AQ31" s="57" t="str">
        <f>IF(VLOOKUP(MLB[[#This Row],[Team]],Q:Y,9,FALSE)=0,"",VLOOKUP(MLB[[#This Row],[Team]],Q:Y,9,FALSE))</f>
        <v>o</v>
      </c>
      <c r="AS31" s="148"/>
      <c r="AT31" s="30"/>
    </row>
    <row r="32" spans="1:46" ht="15" customHeight="1">
      <c r="B32" s="26"/>
      <c r="C32" s="26"/>
      <c r="D32" s="26"/>
      <c r="E32" s="26"/>
      <c r="F32" s="245"/>
      <c r="G32" s="26"/>
      <c r="H32" s="64"/>
      <c r="I32" s="27"/>
      <c r="J32" s="27"/>
      <c r="K32" s="245"/>
      <c r="L32" s="26"/>
      <c r="M32" s="26"/>
      <c r="N32" s="65"/>
      <c r="Q32" s="201" t="s">
        <v>964</v>
      </c>
      <c r="R32" s="197">
        <f>SUM(S32:T32)</f>
        <v>151</v>
      </c>
      <c r="S32" s="197">
        <f>VLOOKUP(Q32,A:C,3,FALSE)</f>
        <v>78</v>
      </c>
      <c r="T32" s="197">
        <f>VLOOKUP(Q32,A:D,4,FALSE)</f>
        <v>73</v>
      </c>
      <c r="U32" s="198">
        <f>IFERROR(S32/R32,0)</f>
        <v>0.51655629139072845</v>
      </c>
      <c r="V32" s="251">
        <f>IF(OR(Q32 = $Q$30, Q32 = $Q$31, Q32 = $Q$32), (162-MIN($T$33:$T$41))-$S32, (162-T32)-$S$32)</f>
        <v>9</v>
      </c>
      <c r="W32" s="251">
        <f>VLOOKUP(Q32,A:N,11,FALSE)</f>
        <v>51</v>
      </c>
      <c r="X32" s="297" t="str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-</v>
      </c>
      <c r="Y32" s="197" t="s">
        <v>952</v>
      </c>
      <c r="AA32" s="54" t="s">
        <v>982</v>
      </c>
      <c r="AB32" s="55">
        <f>SUM(AC32:AD32)</f>
        <v>152</v>
      </c>
      <c r="AC32" s="55">
        <f>VLOOKUP(AA32,A:C,3,FALSE)</f>
        <v>69</v>
      </c>
      <c r="AD32" s="55">
        <f>VLOOKUP(AA32,A:D,4,FALSE)</f>
        <v>83</v>
      </c>
      <c r="AE32" s="56">
        <f>IFERROR(AC32/AB32,0)</f>
        <v>0.45394736842105265</v>
      </c>
      <c r="AF32" s="244">
        <f>VLOOKUP(AA32,A:N,11,FALSE)</f>
        <v>-30</v>
      </c>
      <c r="AG32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23.5</v>
      </c>
      <c r="AH32" s="57" t="str">
        <f>IF(VLOOKUP(NL[[#This Row],[Team]],Q:Y,9,FALSE)=0,"",VLOOKUP(NL[[#This Row],[Team]],Q:Y,9,FALSE))</f>
        <v>od</v>
      </c>
      <c r="AJ32" s="54" t="s">
        <v>987</v>
      </c>
      <c r="AK32" s="55">
        <f>SUM(AL32:AM32)</f>
        <v>151</v>
      </c>
      <c r="AL32" s="55">
        <f>VLOOKUP(AJ32,A:C,3,FALSE)</f>
        <v>41</v>
      </c>
      <c r="AM32" s="55">
        <f>VLOOKUP(AJ32,A:D,4,FALSE)</f>
        <v>110</v>
      </c>
      <c r="AN32" s="56">
        <f>IFERROR(AL32/AK32,0)</f>
        <v>0.27152317880794702</v>
      </c>
      <c r="AO32" s="255">
        <f>VLOOKUP(AJ32,A:N,11,FALSE)</f>
        <v>-398</v>
      </c>
      <c r="AP32" s="57">
        <f>IF(IF(MLB[[#This Row],[GP]]&lt;$AK$3,(((MLB[[#This Row],[GP]]-$AK$3)/2)+$AL$3)-MLB[[#This Row],[W]],IF(MLB[[#This Row],[GP]]&gt;$AK$3,(((MLB[[#This Row],[GP]]-$AK$3)/2)+$AL$3)-MLB[[#This Row],[W]],$AL$3-MLB[[#This Row],[W]])) = 0, "-", IF(MLB[[#This Row],[GP]]&lt;$AK$3,(((MLB[[#This Row],[GP]]-$AK$3)/2)+$AL$3)-MLB[[#This Row],[W]],IF(MLB[[#This Row],[GP]]&gt;$AK$3,(((MLB[[#This Row],[GP]]-$AK$3)/2)+$AL$3)-MLB[[#This Row],[W]],$AL$3-MLB[[#This Row],[W]])))</f>
        <v>51</v>
      </c>
      <c r="AQ32" s="57" t="str">
        <f>IF(VLOOKUP(MLB[[#This Row],[Team]],Q:Y,9,FALSE)=0,"",VLOOKUP(MLB[[#This Row],[Team]],Q:Y,9,FALSE))</f>
        <v>o</v>
      </c>
      <c r="AT32" s="26"/>
    </row>
    <row r="33" spans="1:46" ht="15" customHeight="1">
      <c r="A33" s="34" t="s">
        <v>988</v>
      </c>
      <c r="B33" s="35"/>
      <c r="C33" s="35"/>
      <c r="D33" s="35"/>
      <c r="E33" s="35"/>
      <c r="F33" s="239"/>
      <c r="G33" s="35"/>
      <c r="H33" s="35"/>
      <c r="I33" s="36"/>
      <c r="J33" s="36"/>
      <c r="K33" s="239"/>
      <c r="L33" s="35"/>
      <c r="M33" s="35"/>
      <c r="N33" s="35"/>
      <c r="O33" s="37"/>
      <c r="Q33" s="345" t="s">
        <v>967</v>
      </c>
      <c r="R33" s="192">
        <f>SUM(S33:T33)</f>
        <v>152</v>
      </c>
      <c r="S33" s="192">
        <f>VLOOKUP(Q33,A:C,3,FALSE)</f>
        <v>77</v>
      </c>
      <c r="T33" s="192">
        <f>VLOOKUP(Q33,A:D,4,FALSE)</f>
        <v>75</v>
      </c>
      <c r="U33" s="193">
        <f>IFERROR(S33/R33,0)</f>
        <v>0.50657894736842102</v>
      </c>
      <c r="V33" s="252">
        <f>IF(OR(Q33 = $Q$30, Q33 = $Q$31, Q33 = $Q$32), (162-MIN($T$33:$T$41))-$S33, (162-T33)-$S$32)</f>
        <v>9</v>
      </c>
      <c r="W33" s="252">
        <f>VLOOKUP(Q33,A:N,11,FALSE)</f>
        <v>31</v>
      </c>
      <c r="X33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1.5</v>
      </c>
      <c r="Y33" s="192"/>
      <c r="AA33" s="54" t="s">
        <v>984</v>
      </c>
      <c r="AB33" s="55">
        <f>SUM(AC33:AD33)</f>
        <v>152</v>
      </c>
      <c r="AC33" s="55">
        <f>VLOOKUP(AA33,A:C,3,FALSE)</f>
        <v>65</v>
      </c>
      <c r="AD33" s="55">
        <f>VLOOKUP(AA33,A:D,4,FALSE)</f>
        <v>87</v>
      </c>
      <c r="AE33" s="56">
        <f>IFERROR(AC33/AB33,0)</f>
        <v>0.42763157894736842</v>
      </c>
      <c r="AF33" s="244">
        <f>VLOOKUP(AA33,A:N,11,FALSE)</f>
        <v>-77</v>
      </c>
      <c r="AG33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27.5</v>
      </c>
      <c r="AH33" s="57" t="str">
        <f>IF(VLOOKUP(NL[[#This Row],[Team]],Q:Y,9,FALSE)=0,"",VLOOKUP(NL[[#This Row],[Team]],Q:Y,9,FALSE))</f>
        <v>o</v>
      </c>
      <c r="AT33" s="26"/>
    </row>
    <row r="34" spans="1:46" ht="15" customHeight="1">
      <c r="A34" s="45" t="s">
        <v>914</v>
      </c>
      <c r="B34" s="46" t="s">
        <v>915</v>
      </c>
      <c r="C34" s="46" t="s">
        <v>28</v>
      </c>
      <c r="D34" s="46" t="s">
        <v>17</v>
      </c>
      <c r="E34" s="46" t="s">
        <v>916</v>
      </c>
      <c r="F34" s="240" t="s">
        <v>917</v>
      </c>
      <c r="G34" s="46" t="s">
        <v>918</v>
      </c>
      <c r="H34" s="47" t="s">
        <v>919</v>
      </c>
      <c r="I34" s="48" t="s">
        <v>5</v>
      </c>
      <c r="J34" s="48" t="s">
        <v>6</v>
      </c>
      <c r="K34" s="240" t="s">
        <v>7</v>
      </c>
      <c r="L34" s="46" t="s">
        <v>920</v>
      </c>
      <c r="M34" s="46" t="s">
        <v>921</v>
      </c>
      <c r="N34" s="49" t="s">
        <v>922</v>
      </c>
      <c r="O34" s="50" t="s">
        <v>923</v>
      </c>
      <c r="Q34" s="188" t="s">
        <v>968</v>
      </c>
      <c r="R34" s="189">
        <f>SUM(S34:T34)</f>
        <v>151</v>
      </c>
      <c r="S34" s="189">
        <f>VLOOKUP(Q34,A:C,3,FALSE)</f>
        <v>75</v>
      </c>
      <c r="T34" s="189">
        <f>VLOOKUP(Q34,A:D,4,FALSE)</f>
        <v>76</v>
      </c>
      <c r="U34" s="190">
        <f>IFERROR(S34/R34,0)</f>
        <v>0.49668874172185429</v>
      </c>
      <c r="V34" s="250">
        <f>IF(OR(Q34 = $Q$30, Q34 = $Q$31, Q34 = $Q$32), (162-MIN($T$33:$T$41))-$S34, (162-T34)-$S$32)</f>
        <v>8</v>
      </c>
      <c r="W34" s="250">
        <f>VLOOKUP(Q34,A:N,11,FALSE)</f>
        <v>22</v>
      </c>
      <c r="X34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3</v>
      </c>
      <c r="Y34" s="189" t="s">
        <v>961</v>
      </c>
      <c r="AA34" s="54" t="s">
        <v>986</v>
      </c>
      <c r="AB34" s="55">
        <f>SUM(AC34:AD34)</f>
        <v>152</v>
      </c>
      <c r="AC34" s="55">
        <f>VLOOKUP(AA34,A:C,3,FALSE)</f>
        <v>62</v>
      </c>
      <c r="AD34" s="55">
        <f>VLOOKUP(AA34,A:D,4,FALSE)</f>
        <v>90</v>
      </c>
      <c r="AE34" s="56">
        <f>IFERROR(AC34/AB34,0)</f>
        <v>0.40789473684210525</v>
      </c>
      <c r="AF34" s="244">
        <f>VLOOKUP(AA34,A:N,11,FALSE)</f>
        <v>-190</v>
      </c>
      <c r="AG34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30.5</v>
      </c>
      <c r="AH34" s="57" t="str">
        <f>IF(VLOOKUP(NL[[#This Row],[Team]],Q:Y,9,FALSE)=0,"",VLOOKUP(NL[[#This Row],[Team]],Q:Y,9,FALSE))</f>
        <v>o</v>
      </c>
      <c r="AT34" s="26"/>
    </row>
    <row r="35" spans="1:46" ht="15" customHeight="1">
      <c r="A35" s="173" t="s">
        <v>928</v>
      </c>
      <c r="B35" s="174">
        <f>SUM(C35:D35)</f>
        <v>151</v>
      </c>
      <c r="C35" s="174">
        <v>92</v>
      </c>
      <c r="D35" s="174">
        <v>59</v>
      </c>
      <c r="E35" s="175">
        <f>IFERROR(C35/B35,0)</f>
        <v>0.60927152317880795</v>
      </c>
      <c r="F35" s="241" t="str">
        <f>IF(A35 = $A$35, "-", (162-D35)-$C$35)</f>
        <v>-</v>
      </c>
      <c r="G35" s="176" t="str">
        <f>IFERROR(IF(IF(NLCentral[[#This Row],[GP]]&lt;$B$35,(((NLCentral[[#This Row],[GP]]-$B$35)/2)+$C$35)-NLCentral[[#This Row],[W]],IF(NLCentral[[#This Row],[GP]]&gt;$B$35,(((NLCentral[[#This Row],[GP]]-$B$35)/2)+$C$35)-NLCentral[[#This Row],[W]],$C$35-NLCentral[[#This Row],[W]])) = 0, "-", IF(NLCentral[[#This Row],[GP]]&lt;$B$35,(((NLCentral[[#This Row],[GP]]-$B$35)/2)+$C$35)-NLCentral[[#This Row],[W]],IF(NLCentral[[#This Row],[GP]]&gt;$B$35,(((NLCentral[[#This Row],[GP]]-$B$35)/2)+$C$35)-NLCentral[[#This Row],[W]],$C$35-NLCentral[[#This Row],[W]]))),"-")</f>
        <v>-</v>
      </c>
      <c r="H35" s="177" t="str">
        <f>IF((VLOOKUP(A35,Q:X,8,FALSE)) = "-", "-", VLOOKUP(A35,Q:X,8,FALSE))</f>
        <v>-</v>
      </c>
      <c r="I35" s="178">
        <v>771</v>
      </c>
      <c r="J35" s="178">
        <v>591</v>
      </c>
      <c r="K35" s="241">
        <f>NLCentral[[#This Row],[RF]]-NLCentral[[#This Row],[RA]]</f>
        <v>180</v>
      </c>
      <c r="L35" s="179" t="str">
        <f>_xlfn.CONCAT(ROUND(((NLCentral[[#This Row],[RF]]^1.83)/((NLCentral[[#This Row],[RF]]^1.83)+(NLCentral[[#This Row],[RA]]^1.83))*B35),0),"-",NLCentral[[#This Row],[GP]]-ROUND(((NLCentral[[#This Row],[RF]]^1.83)/((NLCentral[[#This Row],[RF]]^1.83)+(NLCentral[[#This Row],[RA]]^1.83))*B35),0))</f>
        <v>94-57</v>
      </c>
      <c r="M35" s="179" t="str">
        <f>_xlfn.CONCAT(ROUND(162*NLCentral[[#This Row],[PCT.]],0),"-",162-ROUND(162*NLCentral[[#This Row],[PCT.]],0))</f>
        <v>99-63</v>
      </c>
      <c r="N35" s="180">
        <f>B35/162</f>
        <v>0.9320987654320988</v>
      </c>
      <c r="O35" s="181" t="str">
        <f>IF(VLOOKUP(NLCentral[[#This Row],[Team]],Q:Y,9,FALSE)=0,"",VLOOKUP(NLCentral[[#This Row],[Team]],Q:Y,9,FALSE))</f>
        <v>xnc</v>
      </c>
      <c r="Q35" s="173" t="s">
        <v>971</v>
      </c>
      <c r="R35" s="189">
        <f>SUM(S35:T35)</f>
        <v>151</v>
      </c>
      <c r="S35" s="189">
        <f>VLOOKUP(Q35,A:C,3,FALSE)</f>
        <v>75</v>
      </c>
      <c r="T35" s="189">
        <f>VLOOKUP(Q35,A:D,4,FALSE)</f>
        <v>76</v>
      </c>
      <c r="U35" s="190">
        <f>IFERROR(S35/R35,0)</f>
        <v>0.49668874172185429</v>
      </c>
      <c r="V35" s="250">
        <f>IF(OR(Q35 = $Q$30, Q35 = $Q$31, Q35 = $Q$32), (162-MIN($T$33:$T$41))-$S35, (162-T35)-$S$32)</f>
        <v>8</v>
      </c>
      <c r="W35" s="250">
        <f>VLOOKUP(Q35,A:N,11,FALSE)</f>
        <v>14</v>
      </c>
      <c r="X35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3</v>
      </c>
      <c r="Y35" s="189"/>
      <c r="AA35" s="54" t="s">
        <v>987</v>
      </c>
      <c r="AB35" s="55">
        <f>SUM(AC35:AD35)</f>
        <v>151</v>
      </c>
      <c r="AC35" s="55">
        <f>VLOOKUP(AA35,A:C,3,FALSE)</f>
        <v>41</v>
      </c>
      <c r="AD35" s="55">
        <f>VLOOKUP(AA35,A:D,4,FALSE)</f>
        <v>110</v>
      </c>
      <c r="AE35" s="56">
        <f>IFERROR(AC35/AB35,0)</f>
        <v>0.27152317880794702</v>
      </c>
      <c r="AF35" s="244">
        <f>VLOOKUP(AA35,A:N,11,FALSE)</f>
        <v>-398</v>
      </c>
      <c r="AG35" s="57">
        <f>IF(IF(NL[[#This Row],[GP]]&lt;$AB$21,(((NL[[#This Row],[GP]]-$AB$21)/2)+$AC$21)-NL[[#This Row],[W]],IF(NL[[#This Row],[GP]]&gt;$AB$21,(((NL[[#This Row],[GP]]-$AB$21)/2)+$AC$21)-NL[[#This Row],[W]],$AC$21-NL[[#This Row],[W]])) = 0, "-", IF(NL[[#This Row],[GP]]&lt;$AB$21,(((NL[[#This Row],[GP]]-$AB$21)/2)+$AC$21)-NL[[#This Row],[W]],IF(NL[[#This Row],[GP]]&gt;$AB$21,(((NL[[#This Row],[GP]]-$AB$21)/2)+$AC$21)-NL[[#This Row],[W]],$AC$21-NL[[#This Row],[W]])))</f>
        <v>51</v>
      </c>
      <c r="AH35" s="57" t="str">
        <f>IF(VLOOKUP(NL[[#This Row],[Team]],Q:Y,9,FALSE)=0,"",VLOOKUP(NL[[#This Row],[Team]],Q:Y,9,FALSE))</f>
        <v>o</v>
      </c>
      <c r="AT35" s="26"/>
    </row>
    <row r="36" spans="1:46" ht="15" customHeight="1">
      <c r="A36" s="173" t="s">
        <v>939</v>
      </c>
      <c r="B36" s="174">
        <f>SUM(C36:D36)</f>
        <v>151</v>
      </c>
      <c r="C36" s="174">
        <v>87</v>
      </c>
      <c r="D36" s="174">
        <v>64</v>
      </c>
      <c r="E36" s="175">
        <f>IFERROR(C36/B36,0)</f>
        <v>0.57615894039735094</v>
      </c>
      <c r="F36" s="241">
        <f>IF(A36 = $A$35, "-", (162-D36)-$C$35)</f>
        <v>6</v>
      </c>
      <c r="G36" s="176">
        <f>IFERROR(IF(IF(NLCentral[[#This Row],[GP]]&lt;$B$35,(((NLCentral[[#This Row],[GP]]-$B$35)/2)+$C$35)-NLCentral[[#This Row],[W]],IF(NLCentral[[#This Row],[GP]]&gt;$B$35,(((NLCentral[[#This Row],[GP]]-$B$35)/2)+$C$35)-NLCentral[[#This Row],[W]],$C$35-NLCentral[[#This Row],[W]])) = 0, "-", IF(NLCentral[[#This Row],[GP]]&lt;$B$35,(((NLCentral[[#This Row],[GP]]-$B$35)/2)+$C$35)-NLCentral[[#This Row],[W]],IF(NLCentral[[#This Row],[GP]]&gt;$B$35,(((NLCentral[[#This Row],[GP]]-$B$35)/2)+$C$35)-NLCentral[[#This Row],[W]],$C$35-NLCentral[[#This Row],[W]]))),"-")</f>
        <v>5</v>
      </c>
      <c r="H36" s="177">
        <f>IF((VLOOKUP(A36,Q:X,8,FALSE)) = "-", "-", VLOOKUP(A36,Q:X,8,FALSE))</f>
        <v>-9</v>
      </c>
      <c r="I36" s="178">
        <v>735</v>
      </c>
      <c r="J36" s="178">
        <v>606</v>
      </c>
      <c r="K36" s="241">
        <f>NLCentral[[#This Row],[RF]]-NLCentral[[#This Row],[RA]]</f>
        <v>129</v>
      </c>
      <c r="L36" s="179" t="str">
        <f>_xlfn.CONCAT(ROUND(((NLCentral[[#This Row],[RF]]^1.83)/((NLCentral[[#This Row],[RF]]^1.83)+(NLCentral[[#This Row],[RA]]^1.83))*B36),0),"-",NLCentral[[#This Row],[GP]]-ROUND(((NLCentral[[#This Row],[RF]]^1.83)/((NLCentral[[#This Row],[RF]]^1.83)+(NLCentral[[#This Row],[RA]]^1.83))*B36),0))</f>
        <v>89-62</v>
      </c>
      <c r="M36" s="179" t="str">
        <f>_xlfn.CONCAT(ROUND(162*NLCentral[[#This Row],[PCT.]],0),"-",162-ROUND(162*NLCentral[[#This Row],[PCT.]],0))</f>
        <v>93-69</v>
      </c>
      <c r="N36" s="180">
        <f>B36/162</f>
        <v>0.9320987654320988</v>
      </c>
      <c r="O36" s="181" t="str">
        <f>IF(VLOOKUP(NLCentral[[#This Row],[Team]],Q:Y,9,FALSE)=0,"",VLOOKUP(NLCentral[[#This Row],[Team]],Q:Y,9,FALSE))</f>
        <v>w1</v>
      </c>
      <c r="Q36" s="173" t="s">
        <v>973</v>
      </c>
      <c r="R36" s="189">
        <f>SUM(S36:T36)</f>
        <v>152</v>
      </c>
      <c r="S36" s="189">
        <f>VLOOKUP(Q36,A:C,3,FALSE)</f>
        <v>74</v>
      </c>
      <c r="T36" s="189">
        <f>VLOOKUP(Q36,A:D,4,FALSE)</f>
        <v>78</v>
      </c>
      <c r="U36" s="190">
        <f>IFERROR(S36/R36,0)</f>
        <v>0.48684210526315791</v>
      </c>
      <c r="V36" s="250">
        <f>IF(OR(Q36 = $Q$30, Q36 = $Q$31, Q36 = $Q$32), (162-MIN($T$33:$T$41))-$S36, (162-T36)-$S$32)</f>
        <v>6</v>
      </c>
      <c r="W36" s="250">
        <f>VLOOKUP(Q36,A:N,11,FALSE)</f>
        <v>-54</v>
      </c>
      <c r="X36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4.5</v>
      </c>
      <c r="Y36" s="189" t="s">
        <v>961</v>
      </c>
      <c r="AT36" s="26"/>
    </row>
    <row r="37" spans="1:46" ht="15" customHeight="1">
      <c r="A37" s="173" t="s">
        <v>968</v>
      </c>
      <c r="B37" s="174">
        <f>SUM(C37:D37)</f>
        <v>151</v>
      </c>
      <c r="C37" s="174">
        <v>75</v>
      </c>
      <c r="D37" s="174">
        <v>76</v>
      </c>
      <c r="E37" s="175">
        <f>IFERROR(C37/B37,0)</f>
        <v>0.49668874172185429</v>
      </c>
      <c r="F37" s="241">
        <f>IF(A37 = $A$35, "-", (162-D37)-$C$35)</f>
        <v>-6</v>
      </c>
      <c r="G37" s="176">
        <f>IFERROR(IF(IF(NLCentral[[#This Row],[GP]]&lt;$B$35,(((NLCentral[[#This Row],[GP]]-$B$35)/2)+$C$35)-NLCentral[[#This Row],[W]],IF(NLCentral[[#This Row],[GP]]&gt;$B$35,(((NLCentral[[#This Row],[GP]]-$B$35)/2)+$C$35)-NLCentral[[#This Row],[W]],$C$35-NLCentral[[#This Row],[W]])) = 0, "-", IF(NLCentral[[#This Row],[GP]]&lt;$B$35,(((NLCentral[[#This Row],[GP]]-$B$35)/2)+$C$35)-NLCentral[[#This Row],[W]],IF(NLCentral[[#This Row],[GP]]&gt;$B$35,(((NLCentral[[#This Row],[GP]]-$B$35)/2)+$C$35)-NLCentral[[#This Row],[W]],$C$35-NLCentral[[#This Row],[W]]))),"-")</f>
        <v>17</v>
      </c>
      <c r="H37" s="177">
        <f>IF((VLOOKUP(A37,Q:X,8,FALSE)) = "-", "-", VLOOKUP(A37,Q:X,8,FALSE))</f>
        <v>3</v>
      </c>
      <c r="I37" s="178">
        <v>676</v>
      </c>
      <c r="J37" s="178">
        <v>654</v>
      </c>
      <c r="K37" s="241">
        <f>NLCentral[[#This Row],[RF]]-NLCentral[[#This Row],[RA]]</f>
        <v>22</v>
      </c>
      <c r="L37" s="179" t="str">
        <f>_xlfn.CONCAT(ROUND(((NLCentral[[#This Row],[RF]]^1.83)/((NLCentral[[#This Row],[RF]]^1.83)+(NLCentral[[#This Row],[RA]]^1.83))*B37),0),"-",NLCentral[[#This Row],[GP]]-ROUND(((NLCentral[[#This Row],[RF]]^1.83)/((NLCentral[[#This Row],[RF]]^1.83)+(NLCentral[[#This Row],[RA]]^1.83))*B37),0))</f>
        <v>78-73</v>
      </c>
      <c r="M37" s="179" t="str">
        <f>_xlfn.CONCAT(ROUND(162*NLCentral[[#This Row],[PCT.]],0),"-",162-ROUND(162*NLCentral[[#This Row],[PCT.]],0))</f>
        <v>80-82</v>
      </c>
      <c r="N37" s="180">
        <f>B37/162</f>
        <v>0.9320987654320988</v>
      </c>
      <c r="O37" s="181" t="str">
        <f>IF(VLOOKUP(NLCentral[[#This Row],[Team]],Q:Y,9,FALSE)=0,"",VLOOKUP(NLCentral[[#This Row],[Team]],Q:Y,9,FALSE))</f>
        <v>od</v>
      </c>
      <c r="Q37" s="194" t="s">
        <v>979</v>
      </c>
      <c r="R37" s="189">
        <f>SUM(S37:T37)</f>
        <v>151</v>
      </c>
      <c r="S37" s="189">
        <f>VLOOKUP(Q37,A:C,3,FALSE)</f>
        <v>71</v>
      </c>
      <c r="T37" s="189">
        <f>VLOOKUP(Q37,A:D,4,FALSE)</f>
        <v>80</v>
      </c>
      <c r="U37" s="190">
        <f>IFERROR(S37/R37,0)</f>
        <v>0.47019867549668876</v>
      </c>
      <c r="V37" s="250">
        <f>IF(OR(Q37 = $Q$30, Q37 = $Q$31, Q37 = $Q$32), (162-MIN($T$33:$T$41))-$S37, (162-T37)-$S$32)</f>
        <v>4</v>
      </c>
      <c r="W37" s="250">
        <f>VLOOKUP(Q37,A:N,11,FALSE)</f>
        <v>-93</v>
      </c>
      <c r="X37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7</v>
      </c>
      <c r="Y37" s="192" t="s">
        <v>961</v>
      </c>
      <c r="AT37" s="26"/>
    </row>
    <row r="38" spans="1:46" ht="15" customHeight="1">
      <c r="A38" s="173" t="s">
        <v>973</v>
      </c>
      <c r="B38" s="174">
        <f>SUM(C38:D38)</f>
        <v>152</v>
      </c>
      <c r="C38" s="174">
        <v>74</v>
      </c>
      <c r="D38" s="174">
        <v>78</v>
      </c>
      <c r="E38" s="175">
        <f>IFERROR(C38/B38,0)</f>
        <v>0.48684210526315791</v>
      </c>
      <c r="F38" s="241">
        <f>IF(A38 = $A$35, "-", (162-D38)-$C$35)</f>
        <v>-8</v>
      </c>
      <c r="G38" s="176">
        <f>IFERROR(IF(IF(NLCentral[[#This Row],[GP]]&lt;$B$35,(((NLCentral[[#This Row],[GP]]-$B$35)/2)+$C$35)-NLCentral[[#This Row],[W]],IF(NLCentral[[#This Row],[GP]]&gt;$B$35,(((NLCentral[[#This Row],[GP]]-$B$35)/2)+$C$35)-NLCentral[[#This Row],[W]],$C$35-NLCentral[[#This Row],[W]])) = 0, "-", IF(NLCentral[[#This Row],[GP]]&lt;$B$35,(((NLCentral[[#This Row],[GP]]-$B$35)/2)+$C$35)-NLCentral[[#This Row],[W]],IF(NLCentral[[#This Row],[GP]]&gt;$B$35,(((NLCentral[[#This Row],[GP]]-$B$35)/2)+$C$35)-NLCentral[[#This Row],[W]],$C$35-NLCentral[[#This Row],[W]]))),"-")</f>
        <v>18.5</v>
      </c>
      <c r="H38" s="177">
        <f>IF((VLOOKUP(A38,Q:X,8,FALSE)) = "-", "-", VLOOKUP(A38,Q:X,8,FALSE))</f>
        <v>4.5</v>
      </c>
      <c r="I38" s="178">
        <v>651</v>
      </c>
      <c r="J38" s="178">
        <v>705</v>
      </c>
      <c r="K38" s="241">
        <f>NLCentral[[#This Row],[RF]]-NLCentral[[#This Row],[RA]]</f>
        <v>-54</v>
      </c>
      <c r="L38" s="179" t="str">
        <f>_xlfn.CONCAT(ROUND(((NLCentral[[#This Row],[RF]]^1.83)/((NLCentral[[#This Row],[RF]]^1.83)+(NLCentral[[#This Row],[RA]]^1.83))*B38),0),"-",NLCentral[[#This Row],[GP]]-ROUND(((NLCentral[[#This Row],[RF]]^1.83)/((NLCentral[[#This Row],[RF]]^1.83)+(NLCentral[[#This Row],[RA]]^1.83))*B38),0))</f>
        <v>70-82</v>
      </c>
      <c r="M38" s="179" t="str">
        <f>_xlfn.CONCAT(ROUND(162*NLCentral[[#This Row],[PCT.]],0),"-",162-ROUND(162*NLCentral[[#This Row],[PCT.]],0))</f>
        <v>79-83</v>
      </c>
      <c r="N38" s="180">
        <f>B38/162</f>
        <v>0.93827160493827155</v>
      </c>
      <c r="O38" s="181" t="str">
        <f>IF(VLOOKUP(NLCentral[[#This Row],[Team]],Q:Y,9,FALSE)=0,"",VLOOKUP(NLCentral[[#This Row],[Team]],Q:Y,9,FALSE))</f>
        <v>od</v>
      </c>
      <c r="Q38" s="194" t="s">
        <v>982</v>
      </c>
      <c r="R38" s="189">
        <f>SUM(S38:T38)</f>
        <v>152</v>
      </c>
      <c r="S38" s="189">
        <f>VLOOKUP(Q38,A:C,3,FALSE)</f>
        <v>69</v>
      </c>
      <c r="T38" s="189">
        <f>VLOOKUP(Q38,A:D,4,FALSE)</f>
        <v>83</v>
      </c>
      <c r="U38" s="190">
        <f>IFERROR(S38/R38,0)</f>
        <v>0.45394736842105265</v>
      </c>
      <c r="V38" s="250">
        <f>IF(OR(Q38 = $Q$30, Q38 = $Q$31, Q38 = $Q$32), (162-MIN($T$33:$T$41))-$S38, (162-T38)-$S$32)</f>
        <v>1</v>
      </c>
      <c r="W38" s="250">
        <f>VLOOKUP(Q38,A:N,11,FALSE)</f>
        <v>-30</v>
      </c>
      <c r="X38" s="191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9.5</v>
      </c>
      <c r="Y38" s="189" t="s">
        <v>961</v>
      </c>
      <c r="AT38" s="26"/>
    </row>
    <row r="39" spans="1:46" ht="15" customHeight="1">
      <c r="A39" s="173" t="s">
        <v>984</v>
      </c>
      <c r="B39" s="174">
        <f>SUM(C39:D39)</f>
        <v>152</v>
      </c>
      <c r="C39" s="174">
        <v>65</v>
      </c>
      <c r="D39" s="174">
        <v>87</v>
      </c>
      <c r="E39" s="175">
        <f>IFERROR(C39/B39,0)</f>
        <v>0.42763157894736842</v>
      </c>
      <c r="F39" s="241">
        <f>IF(A39 = $A$35, "-", (162-D39)-$C$35)</f>
        <v>-17</v>
      </c>
      <c r="G39" s="176">
        <f>IFERROR(IF(IF(NLCentral[[#This Row],[GP]]&lt;$B$35,(((NLCentral[[#This Row],[GP]]-$B$35)/2)+$C$35)-NLCentral[[#This Row],[W]],IF(NLCentral[[#This Row],[GP]]&gt;$B$35,(((NLCentral[[#This Row],[GP]]-$B$35)/2)+$C$35)-NLCentral[[#This Row],[W]],$C$35-NLCentral[[#This Row],[W]])) = 0, "-", IF(NLCentral[[#This Row],[GP]]&lt;$B$35,(((NLCentral[[#This Row],[GP]]-$B$35)/2)+$C$35)-NLCentral[[#This Row],[W]],IF(NLCentral[[#This Row],[GP]]&gt;$B$35,(((NLCentral[[#This Row],[GP]]-$B$35)/2)+$C$35)-NLCentral[[#This Row],[W]],$C$35-NLCentral[[#This Row],[W]]))),"-")</f>
        <v>27.5</v>
      </c>
      <c r="H39" s="177">
        <f>IF((VLOOKUP(A39,Q:X,8,FALSE)) = "-", "-", VLOOKUP(A39,Q:X,8,FALSE))</f>
        <v>13.5</v>
      </c>
      <c r="I39" s="178">
        <v>541</v>
      </c>
      <c r="J39" s="178">
        <v>618</v>
      </c>
      <c r="K39" s="241">
        <f>NLCentral[[#This Row],[RF]]-NLCentral[[#This Row],[RA]]</f>
        <v>-77</v>
      </c>
      <c r="L39" s="179" t="str">
        <f>_xlfn.CONCAT(ROUND(((NLCentral[[#This Row],[RF]]^1.83)/((NLCentral[[#This Row],[RF]]^1.83)+(NLCentral[[#This Row],[RA]]^1.83))*B39),0),"-",NLCentral[[#This Row],[GP]]-ROUND(((NLCentral[[#This Row],[RF]]^1.83)/((NLCentral[[#This Row],[RF]]^1.83)+(NLCentral[[#This Row],[RA]]^1.83))*B39),0))</f>
        <v>67-85</v>
      </c>
      <c r="M39" s="179" t="str">
        <f>_xlfn.CONCAT(ROUND(162*NLCentral[[#This Row],[PCT.]],0),"-",162-ROUND(162*NLCentral[[#This Row],[PCT.]],0))</f>
        <v>69-93</v>
      </c>
      <c r="N39" s="180">
        <f>B39/162</f>
        <v>0.93827160493827155</v>
      </c>
      <c r="O39" s="181" t="str">
        <f>IF(VLOOKUP(NLCentral[[#This Row],[Team]],Q:Y,9,FALSE)=0,"",VLOOKUP(NLCentral[[#This Row],[Team]],Q:Y,9,FALSE))</f>
        <v>o</v>
      </c>
      <c r="Q39" s="194" t="s">
        <v>984</v>
      </c>
      <c r="R39" s="189">
        <f>SUM(S39:T39)</f>
        <v>152</v>
      </c>
      <c r="S39" s="189">
        <f>VLOOKUP(Q39,A:C,3,FALSE)</f>
        <v>65</v>
      </c>
      <c r="T39" s="189">
        <f>VLOOKUP(Q39,A:D,4,FALSE)</f>
        <v>87</v>
      </c>
      <c r="U39" s="190">
        <f>IFERROR(S39/R39,0)</f>
        <v>0.42763157894736842</v>
      </c>
      <c r="V39" s="250">
        <f>IF(OR(Q39 = $Q$30, Q39 = $Q$31, Q39 = $Q$32), (162-MIN($T$33:$T$41))-$S39, (162-T39)-$S$32)</f>
        <v>-3</v>
      </c>
      <c r="W39" s="250">
        <f>VLOOKUP(Q39,A:N,11,FALSE)</f>
        <v>-77</v>
      </c>
      <c r="X39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13.5</v>
      </c>
      <c r="Y39" s="189" t="s">
        <v>963</v>
      </c>
      <c r="AT39" s="26"/>
    </row>
    <row r="40" spans="1:46" ht="15" customHeight="1">
      <c r="B40" s="26"/>
      <c r="C40" s="26"/>
      <c r="D40" s="26"/>
      <c r="E40" s="26"/>
      <c r="F40" s="245"/>
      <c r="G40" s="26"/>
      <c r="H40" s="64"/>
      <c r="I40" s="27"/>
      <c r="J40" s="27"/>
      <c r="K40" s="245"/>
      <c r="L40" s="26"/>
      <c r="M40" s="26"/>
      <c r="N40" s="65"/>
      <c r="Q40" s="194" t="s">
        <v>986</v>
      </c>
      <c r="R40" s="189">
        <f>SUM(S40:T40)</f>
        <v>152</v>
      </c>
      <c r="S40" s="189">
        <f>VLOOKUP(Q40,A:C,3,FALSE)</f>
        <v>62</v>
      </c>
      <c r="T40" s="189">
        <f>VLOOKUP(Q40,A:D,4,FALSE)</f>
        <v>90</v>
      </c>
      <c r="U40" s="190">
        <f>IFERROR(S40/R40,0)</f>
        <v>0.40789473684210525</v>
      </c>
      <c r="V40" s="250">
        <f>IF(OR(Q40 = $Q$30, Q40 = $Q$31, Q40 = $Q$32), (162-MIN($T$33:$T$41))-$S40, (162-T40)-$S$32)</f>
        <v>-6</v>
      </c>
      <c r="W40" s="250">
        <f>VLOOKUP(Q40,A:N,11,FALSE)</f>
        <v>-190</v>
      </c>
      <c r="X40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16.5</v>
      </c>
      <c r="Y40" s="189" t="s">
        <v>963</v>
      </c>
      <c r="AT40" s="26"/>
    </row>
    <row r="41" spans="1:46" ht="15" customHeight="1">
      <c r="A41" s="34" t="s">
        <v>989</v>
      </c>
      <c r="B41" s="35"/>
      <c r="C41" s="35"/>
      <c r="D41" s="35"/>
      <c r="E41" s="35"/>
      <c r="F41" s="239"/>
      <c r="G41" s="35"/>
      <c r="H41" s="35"/>
      <c r="I41" s="36"/>
      <c r="J41" s="36"/>
      <c r="K41" s="239"/>
      <c r="L41" s="35"/>
      <c r="M41" s="35"/>
      <c r="N41" s="35"/>
      <c r="O41" s="37"/>
      <c r="Q41" s="194" t="s">
        <v>987</v>
      </c>
      <c r="R41" s="189">
        <f>SUM(S41:T41)</f>
        <v>151</v>
      </c>
      <c r="S41" s="189">
        <f>VLOOKUP(Q41,A:C,3,FALSE)</f>
        <v>41</v>
      </c>
      <c r="T41" s="189">
        <f>VLOOKUP(Q41,A:D,4,FALSE)</f>
        <v>110</v>
      </c>
      <c r="U41" s="190">
        <f>IFERROR(S41/R41,0)</f>
        <v>0.27152317880794702</v>
      </c>
      <c r="V41" s="250">
        <f>IF(OR(Q41 = $Q$30, Q41 = $Q$31, Q41 = $Q$32), (162-MIN($T$33:$T$41))-$S41, (162-T41)-$S$32)</f>
        <v>-26</v>
      </c>
      <c r="W41" s="250">
        <f>VLOOKUP(Q41,A:N,11,FALSE)</f>
        <v>-398</v>
      </c>
      <c r="X41" s="195">
        <f>IFERROR(IF(IF(NLWildCard[[#This Row],[GP]]&lt;$R$32,(((NLWildCard[[#This Row],[GP]]-$R$32)/2)+$S$32)-NLWildCard[[#This Row],[W]],IF(NLWildCard[[#This Row],[GP]]&gt;$R$32,(((NLWildCard[[#This Row],[GP]]-$R$32)/2)+$S$32)-NLWildCard[[#This Row],[W]],$S$32-NLWildCard[[#This Row],[W]])) = 0, "-", IF(NLWildCard[[#This Row],[GP]]&lt;$R$32,(((NLWildCard[[#This Row],[GP]]-$R$32)/2)+$S$32)-NLWildCard[[#This Row],[W]],IF(NLWildCard[[#This Row],[GP]]&gt;$R$32,(((NLWildCard[[#This Row],[GP]]-$R$32)/2)+$S$32)-NLWildCard[[#This Row],[W]],$S$32-NLWildCard[[#This Row],[W]]))),"-")</f>
        <v>37</v>
      </c>
      <c r="Y41" s="189" t="s">
        <v>963</v>
      </c>
      <c r="AT41" s="26"/>
    </row>
    <row r="42" spans="1:46" ht="15" customHeight="1">
      <c r="A42" s="45" t="s">
        <v>914</v>
      </c>
      <c r="B42" s="46" t="s">
        <v>915</v>
      </c>
      <c r="C42" s="46" t="s">
        <v>28</v>
      </c>
      <c r="D42" s="46" t="s">
        <v>17</v>
      </c>
      <c r="E42" s="46" t="s">
        <v>916</v>
      </c>
      <c r="F42" s="240" t="s">
        <v>917</v>
      </c>
      <c r="G42" s="46" t="s">
        <v>918</v>
      </c>
      <c r="H42" s="47" t="s">
        <v>919</v>
      </c>
      <c r="I42" s="48" t="s">
        <v>5</v>
      </c>
      <c r="J42" s="48" t="s">
        <v>6</v>
      </c>
      <c r="K42" s="240" t="s">
        <v>7</v>
      </c>
      <c r="L42" s="46" t="s">
        <v>920</v>
      </c>
      <c r="M42" s="46" t="s">
        <v>921</v>
      </c>
      <c r="N42" s="49" t="s">
        <v>922</v>
      </c>
      <c r="O42" s="50" t="s">
        <v>923</v>
      </c>
      <c r="AT42" s="26"/>
    </row>
    <row r="43" spans="1:46" ht="15" customHeight="1">
      <c r="A43" s="173" t="s">
        <v>948</v>
      </c>
      <c r="B43" s="174">
        <f>SUM(C43:D43)</f>
        <v>151</v>
      </c>
      <c r="C43" s="174">
        <v>84</v>
      </c>
      <c r="D43" s="174">
        <v>67</v>
      </c>
      <c r="E43" s="175">
        <f>IFERROR(C43/B43,0)</f>
        <v>0.55629139072847678</v>
      </c>
      <c r="F43" s="241" t="str">
        <f>IF(A43 = $A$43, "-", (162-D43)-$C$43)</f>
        <v>-</v>
      </c>
      <c r="G43" s="176" t="str">
        <f>IFERROR(IF(IF(NLWest[[#This Row],[GP]]&lt;$B$43,(((NLWest[[#This Row],[GP]]-$B$43)/2)+$C$43)-NLWest[[#This Row],[W]],IF(NLWest[[#This Row],[GP]]&gt;$B$43,(((NLWest[[#This Row],[GP]]-$B$43)/2)+$C$43)-NLWest[[#This Row],[W]],$C$43-NLWest[[#This Row],[W]])) = 0, "-", IF(NLWest[[#This Row],[GP]]&lt;$B$43,(((NLWest[[#This Row],[GP]]-$B$43)/2)+$C$43)-NLWest[[#This Row],[W]],IF(NLWest[[#This Row],[GP]]&gt;$B$43,(((NLWest[[#This Row],[GP]]-$B$43)/2)+$C$43)-NLWest[[#This Row],[W]],$C$43-NLWest[[#This Row],[W]]))),"-")</f>
        <v>-</v>
      </c>
      <c r="H43" s="177" t="str">
        <f>IF((VLOOKUP(A43,Q:X,8,FALSE)) = "-", "-", VLOOKUP(A43,Q:X,8,FALSE))</f>
        <v>-</v>
      </c>
      <c r="I43" s="178">
        <v>773</v>
      </c>
      <c r="J43" s="178">
        <v>656</v>
      </c>
      <c r="K43" s="241">
        <f>NLWest[[#This Row],[RF]]-NLWest[[#This Row],[RA]]</f>
        <v>117</v>
      </c>
      <c r="L43" s="179" t="str">
        <f>_xlfn.CONCAT(ROUND(((NLWest[[#This Row],[RF]]^1.83)/((NLWest[[#This Row],[RF]]^1.83)+(NLWest[[#This Row],[RA]]^1.83))*B43),0),"-",NLWest[[#This Row],[GP]]-ROUND(((NLWest[[#This Row],[RF]]^1.83)/((NLWest[[#This Row],[RF]]^1.83)+(NLWest[[#This Row],[RA]]^1.83))*B43),0))</f>
        <v>87-64</v>
      </c>
      <c r="M43" s="179" t="str">
        <f>_xlfn.CONCAT(ROUND(162*NLWest[[#This Row],[PCT.]],0),"-",162-ROUND(162*NLWest[[#This Row],[PCT.]],0))</f>
        <v>90-72</v>
      </c>
      <c r="N43" s="180">
        <f>B43/162</f>
        <v>0.9320987654320988</v>
      </c>
      <c r="O43" s="181" t="str">
        <f>IF(VLOOKUP(NLWest[[#This Row],[Team]],Q:Y,9,FALSE)=0,"",VLOOKUP(NLWest[[#This Row],[Team]],Q:Y,9,FALSE))</f>
        <v>nw</v>
      </c>
      <c r="AT43" s="26"/>
    </row>
    <row r="44" spans="1:46" ht="15" customHeight="1">
      <c r="A44" s="173" t="s">
        <v>956</v>
      </c>
      <c r="B44" s="174">
        <f>SUM(C44:D44)</f>
        <v>151</v>
      </c>
      <c r="C44" s="174">
        <v>82</v>
      </c>
      <c r="D44" s="174">
        <v>69</v>
      </c>
      <c r="E44" s="175">
        <f>IFERROR(C44/B44,0)</f>
        <v>0.54304635761589404</v>
      </c>
      <c r="F44" s="241">
        <f>IF(A44 = $A$43, "-", (162-D44)-$C$43)</f>
        <v>9</v>
      </c>
      <c r="G44" s="176">
        <f>IFERROR(IF(IF(NLWest[[#This Row],[GP]]&lt;$B$43,(((NLWest[[#This Row],[GP]]-$B$43)/2)+$C$43)-NLWest[[#This Row],[W]],IF(NLWest[[#This Row],[GP]]&gt;$B$43,(((NLWest[[#This Row],[GP]]-$B$43)/2)+$C$43)-NLWest[[#This Row],[W]],$C$43-NLWest[[#This Row],[W]])) = 0, "-", IF(NLWest[[#This Row],[GP]]&lt;$B$43,(((NLWest[[#This Row],[GP]]-$B$43)/2)+$C$43)-NLWest[[#This Row],[W]],IF(NLWest[[#This Row],[GP]]&gt;$B$43,(((NLWest[[#This Row],[GP]]-$B$43)/2)+$C$43)-NLWest[[#This Row],[W]],$C$43-NLWest[[#This Row],[W]]))),"-")</f>
        <v>2</v>
      </c>
      <c r="H44" s="177">
        <f>IF((VLOOKUP(A44,Q:X,8,FALSE)) = "-", "-", VLOOKUP(A44,Q:X,8,FALSE))</f>
        <v>-4</v>
      </c>
      <c r="I44" s="178">
        <v>644</v>
      </c>
      <c r="J44" s="178">
        <v>586</v>
      </c>
      <c r="K44" s="241">
        <f>NLWest[[#This Row],[RF]]-NLWest[[#This Row],[RA]]</f>
        <v>58</v>
      </c>
      <c r="L44" s="179" t="str">
        <f>_xlfn.CONCAT(ROUND(((NLWest[[#This Row],[RF]]^1.83)/((NLWest[[#This Row],[RF]]^1.83)+(NLWest[[#This Row],[RA]]^1.83))*B44),0),"-",NLWest[[#This Row],[GP]]-ROUND(((NLWest[[#This Row],[RF]]^1.83)/((NLWest[[#This Row],[RF]]^1.83)+(NLWest[[#This Row],[RA]]^1.83))*B44),0))</f>
        <v>82-69</v>
      </c>
      <c r="M44" s="179" t="str">
        <f>_xlfn.CONCAT(ROUND(162*NLWest[[#This Row],[PCT.]],0),"-",162-ROUND(162*NLWest[[#This Row],[PCT.]],0))</f>
        <v>88-74</v>
      </c>
      <c r="N44" s="180">
        <f>B44/162</f>
        <v>0.9320987654320988</v>
      </c>
      <c r="O44" s="181" t="str">
        <f>IF(VLOOKUP(NLWest[[#This Row],[Team]],Q:Y,9,FALSE)=0,"",VLOOKUP(NLWest[[#This Row],[Team]],Q:Y,9,FALSE))</f>
        <v>w2</v>
      </c>
      <c r="AT44" s="26"/>
    </row>
    <row r="45" spans="1:46" ht="15" customHeight="1">
      <c r="A45" s="173" t="s">
        <v>967</v>
      </c>
      <c r="B45" s="174">
        <f>SUM(C45:D45)</f>
        <v>152</v>
      </c>
      <c r="C45" s="174">
        <v>77</v>
      </c>
      <c r="D45" s="174">
        <v>75</v>
      </c>
      <c r="E45" s="175">
        <f>IFERROR(C45/B45,0)</f>
        <v>0.50657894736842102</v>
      </c>
      <c r="F45" s="241">
        <f>IF(A45 = $A$43, "-", (162-D45)-$C$43)</f>
        <v>3</v>
      </c>
      <c r="G45" s="176">
        <f>IFERROR(IF(IF(NLWest[[#This Row],[GP]]&lt;$B$43,(((NLWest[[#This Row],[GP]]-$B$43)/2)+$C$43)-NLWest[[#This Row],[W]],IF(NLWest[[#This Row],[GP]]&gt;$B$43,(((NLWest[[#This Row],[GP]]-$B$43)/2)+$C$43)-NLWest[[#This Row],[W]],$C$43-NLWest[[#This Row],[W]])) = 0, "-", IF(NLWest[[#This Row],[GP]]&lt;$B$43,(((NLWest[[#This Row],[GP]]-$B$43)/2)+$C$43)-NLWest[[#This Row],[W]],IF(NLWest[[#This Row],[GP]]&gt;$B$43,(((NLWest[[#This Row],[GP]]-$B$43)/2)+$C$43)-NLWest[[#This Row],[W]],$C$43-NLWest[[#This Row],[W]]))),"-")</f>
        <v>7.5</v>
      </c>
      <c r="H45" s="177">
        <f>IF((VLOOKUP(A45,Q:X,8,FALSE)) = "-", "-", VLOOKUP(A45,Q:X,8,FALSE))</f>
        <v>1.5</v>
      </c>
      <c r="I45" s="178">
        <v>757</v>
      </c>
      <c r="J45" s="178">
        <v>726</v>
      </c>
      <c r="K45" s="241">
        <f>NLWest[[#This Row],[RF]]-NLWest[[#This Row],[RA]]</f>
        <v>31</v>
      </c>
      <c r="L45" s="179" t="str">
        <f>_xlfn.CONCAT(ROUND(((NLWest[[#This Row],[RF]]^1.83)/((NLWest[[#This Row],[RF]]^1.83)+(NLWest[[#This Row],[RA]]^1.83))*B45),0),"-",NLWest[[#This Row],[GP]]-ROUND(((NLWest[[#This Row],[RF]]^1.83)/((NLWest[[#This Row],[RF]]^1.83)+(NLWest[[#This Row],[RA]]^1.83))*B45),0))</f>
        <v>79-73</v>
      </c>
      <c r="M45" s="179" t="str">
        <f>_xlfn.CONCAT(ROUND(162*NLWest[[#This Row],[PCT.]],0),"-",162-ROUND(162*NLWest[[#This Row],[PCT.]],0))</f>
        <v>82-80</v>
      </c>
      <c r="N45" s="180">
        <f>B45/162</f>
        <v>0.93827160493827155</v>
      </c>
      <c r="O45" s="181" t="str">
        <f>IF(VLOOKUP(NLWest[[#This Row],[Team]],Q:Y,9,FALSE)=0,"",VLOOKUP(NLWest[[#This Row],[Team]],Q:Y,9,FALSE))</f>
        <v/>
      </c>
      <c r="AT45" s="26"/>
    </row>
    <row r="46" spans="1:46" ht="15" customHeight="1">
      <c r="A46" s="173" t="s">
        <v>971</v>
      </c>
      <c r="B46" s="174">
        <f>SUM(C46:D46)</f>
        <v>151</v>
      </c>
      <c r="C46" s="174">
        <v>75</v>
      </c>
      <c r="D46" s="174">
        <v>76</v>
      </c>
      <c r="E46" s="175">
        <f>IFERROR(C46/B46,0)</f>
        <v>0.49668874172185429</v>
      </c>
      <c r="F46" s="241">
        <f>IF(A46 = $A$43, "-", (162-D46)-$C$43)</f>
        <v>2</v>
      </c>
      <c r="G46" s="176">
        <f>IFERROR(IF(IF(NLWest[[#This Row],[GP]]&lt;$B$43,(((NLWest[[#This Row],[GP]]-$B$43)/2)+$C$43)-NLWest[[#This Row],[W]],IF(NLWest[[#This Row],[GP]]&gt;$B$43,(((NLWest[[#This Row],[GP]]-$B$43)/2)+$C$43)-NLWest[[#This Row],[W]],$C$43-NLWest[[#This Row],[W]])) = 0, "-", IF(NLWest[[#This Row],[GP]]&lt;$B$43,(((NLWest[[#This Row],[GP]]-$B$43)/2)+$C$43)-NLWest[[#This Row],[W]],IF(NLWest[[#This Row],[GP]]&gt;$B$43,(((NLWest[[#This Row],[GP]]-$B$43)/2)+$C$43)-NLWest[[#This Row],[W]],$C$43-NLWest[[#This Row],[W]]))),"-")</f>
        <v>9</v>
      </c>
      <c r="H46" s="177">
        <f>IF((VLOOKUP(A46,Q:X,8,FALSE)) = "-", "-", VLOOKUP(A46,Q:X,8,FALSE))</f>
        <v>3</v>
      </c>
      <c r="I46" s="178">
        <v>657</v>
      </c>
      <c r="J46" s="178">
        <v>643</v>
      </c>
      <c r="K46" s="241">
        <f>NLWest[[#This Row],[RF]]-NLWest[[#This Row],[RA]]</f>
        <v>14</v>
      </c>
      <c r="L46" s="179" t="str">
        <f>_xlfn.CONCAT(ROUND(((NLWest[[#This Row],[RF]]^1.83)/((NLWest[[#This Row],[RF]]^1.83)+(NLWest[[#This Row],[RA]]^1.83))*B46),0),"-",NLWest[[#This Row],[GP]]-ROUND(((NLWest[[#This Row],[RF]]^1.83)/((NLWest[[#This Row],[RF]]^1.83)+(NLWest[[#This Row],[RA]]^1.83))*B46),0))</f>
        <v>77-74</v>
      </c>
      <c r="M46" s="179" t="str">
        <f>_xlfn.CONCAT(ROUND(162*NLWest[[#This Row],[PCT.]],0),"-",162-ROUND(162*NLWest[[#This Row],[PCT.]],0))</f>
        <v>80-82</v>
      </c>
      <c r="N46" s="180">
        <f>B46/162</f>
        <v>0.9320987654320988</v>
      </c>
      <c r="O46" s="181" t="str">
        <f>IF(VLOOKUP(NLWest[[#This Row],[Team]],Q:Y,9,FALSE)=0,"",VLOOKUP(NLWest[[#This Row],[Team]],Q:Y,9,FALSE))</f>
        <v/>
      </c>
      <c r="AT46" s="26"/>
    </row>
    <row r="47" spans="1:46" ht="15" customHeight="1">
      <c r="A47" s="173" t="s">
        <v>987</v>
      </c>
      <c r="B47" s="174">
        <f>SUM(C47:D47)</f>
        <v>151</v>
      </c>
      <c r="C47" s="174">
        <v>41</v>
      </c>
      <c r="D47" s="174">
        <v>110</v>
      </c>
      <c r="E47" s="175">
        <f>IFERROR(C47/B47,0)</f>
        <v>0.27152317880794702</v>
      </c>
      <c r="F47" s="241">
        <f>IF(A47 = $A$43, "-", (162-D47)-$C$43)</f>
        <v>-32</v>
      </c>
      <c r="G47" s="176">
        <f>IFERROR(IF(IF(NLWest[[#This Row],[GP]]&lt;$B$43,(((NLWest[[#This Row],[GP]]-$B$43)/2)+$C$43)-NLWest[[#This Row],[W]],IF(NLWest[[#This Row],[GP]]&gt;$B$43,(((NLWest[[#This Row],[GP]]-$B$43)/2)+$C$43)-NLWest[[#This Row],[W]],$C$43-NLWest[[#This Row],[W]])) = 0, "-", IF(NLWest[[#This Row],[GP]]&lt;$B$43,(((NLWest[[#This Row],[GP]]-$B$43)/2)+$C$43)-NLWest[[#This Row],[W]],IF(NLWest[[#This Row],[GP]]&gt;$B$43,(((NLWest[[#This Row],[GP]]-$B$43)/2)+$C$43)-NLWest[[#This Row],[W]],$C$43-NLWest[[#This Row],[W]]))),"-")</f>
        <v>43</v>
      </c>
      <c r="H47" s="177">
        <f>IF((VLOOKUP(A47,Q:X,8,FALSE)) = "-", "-", VLOOKUP(A47,Q:X,8,FALSE))</f>
        <v>37</v>
      </c>
      <c r="I47" s="178">
        <v>563</v>
      </c>
      <c r="J47" s="178">
        <v>961</v>
      </c>
      <c r="K47" s="241">
        <f>NLWest[[#This Row],[RF]]-NLWest[[#This Row],[RA]]</f>
        <v>-398</v>
      </c>
      <c r="L47" s="179" t="str">
        <f>_xlfn.CONCAT(ROUND(((NLWest[[#This Row],[RF]]^1.83)/((NLWest[[#This Row],[RF]]^1.83)+(NLWest[[#This Row],[RA]]^1.83))*B47),0),"-",NLWest[[#This Row],[GP]]-ROUND(((NLWest[[#This Row],[RF]]^1.83)/((NLWest[[#This Row],[RF]]^1.83)+(NLWest[[#This Row],[RA]]^1.83))*B47),0))</f>
        <v>41-110</v>
      </c>
      <c r="M47" s="179" t="str">
        <f>_xlfn.CONCAT(ROUND(162*NLWest[[#This Row],[PCT.]],0),"-",162-ROUND(162*NLWest[[#This Row],[PCT.]],0))</f>
        <v>44-118</v>
      </c>
      <c r="N47" s="180">
        <f>B47/162</f>
        <v>0.9320987654320988</v>
      </c>
      <c r="O47" s="181" t="str">
        <f>IF(VLOOKUP(NLWest[[#This Row],[Team]],Q:Y,9,FALSE)=0,"",VLOOKUP(NLWest[[#This Row],[Team]],Q:Y,9,FALSE))</f>
        <v>o</v>
      </c>
      <c r="AT47" s="26"/>
    </row>
    <row r="48" spans="1:46" ht="15">
      <c r="B48" s="26"/>
      <c r="C48" s="26"/>
      <c r="D48" s="26"/>
      <c r="E48" s="26"/>
      <c r="F48" s="245"/>
      <c r="G48" s="26"/>
      <c r="H48" s="64"/>
      <c r="I48" s="27"/>
      <c r="J48" s="27"/>
      <c r="K48" s="245"/>
      <c r="L48" s="26"/>
      <c r="M48" s="26"/>
      <c r="N48" s="65"/>
      <c r="AT48" s="26"/>
    </row>
    <row r="49" spans="2:46" ht="15">
      <c r="B49" s="26"/>
      <c r="C49" s="26"/>
      <c r="D49" s="26"/>
      <c r="E49" s="26"/>
      <c r="F49" s="245"/>
      <c r="G49" s="26"/>
      <c r="H49" s="64"/>
      <c r="I49" s="27"/>
      <c r="J49" s="27"/>
      <c r="K49" s="245"/>
      <c r="L49" s="26"/>
      <c r="M49" s="26"/>
      <c r="N49" s="65"/>
      <c r="AT49" s="26"/>
    </row>
    <row r="50" spans="2:46" ht="15">
      <c r="B50" s="26"/>
      <c r="C50" s="26"/>
      <c r="D50" s="26"/>
      <c r="E50" s="26"/>
      <c r="F50" s="245"/>
      <c r="G50" s="26"/>
      <c r="H50" s="64"/>
      <c r="I50" s="27"/>
      <c r="J50" s="27"/>
      <c r="K50" s="245"/>
      <c r="L50" s="26"/>
      <c r="M50" s="26"/>
      <c r="N50" s="65"/>
      <c r="AT50" s="26"/>
    </row>
    <row r="51" spans="2:46" ht="15">
      <c r="B51" s="26"/>
      <c r="C51" s="26"/>
      <c r="D51" s="26"/>
      <c r="E51" s="26"/>
      <c r="F51" s="245"/>
      <c r="G51" s="26"/>
      <c r="H51" s="64"/>
      <c r="I51" s="27"/>
      <c r="J51" s="27"/>
      <c r="K51" s="245"/>
      <c r="L51" s="26"/>
      <c r="M51" s="26"/>
      <c r="N51" s="65"/>
      <c r="AT51" s="26"/>
    </row>
    <row r="52" spans="2:46" ht="15">
      <c r="B52" s="26"/>
      <c r="C52" s="26"/>
      <c r="D52" s="26"/>
      <c r="E52" s="26"/>
      <c r="F52" s="245"/>
      <c r="G52" s="26"/>
      <c r="H52" s="64"/>
      <c r="I52" s="27"/>
      <c r="J52" s="27"/>
      <c r="K52" s="245"/>
      <c r="L52" s="26"/>
      <c r="M52" s="26"/>
      <c r="N52" s="65"/>
      <c r="AT52" s="26"/>
    </row>
    <row r="53" spans="2:46" ht="15">
      <c r="B53" s="26"/>
      <c r="C53" s="26"/>
      <c r="D53" s="26"/>
      <c r="E53" s="26"/>
      <c r="F53" s="245"/>
      <c r="G53" s="26"/>
      <c r="H53" s="64"/>
      <c r="I53" s="27"/>
      <c r="J53" s="27"/>
      <c r="K53" s="245"/>
      <c r="L53" s="26"/>
      <c r="M53" s="26"/>
      <c r="N53" s="65"/>
      <c r="AT53" s="26"/>
    </row>
    <row r="54" spans="2:46" ht="15">
      <c r="B54" s="26"/>
      <c r="C54" s="26"/>
      <c r="D54" s="26"/>
      <c r="E54" s="26"/>
      <c r="F54" s="245"/>
      <c r="G54" s="26"/>
      <c r="H54" s="64"/>
      <c r="I54" s="27"/>
      <c r="J54" s="27"/>
      <c r="K54" s="245"/>
      <c r="L54" s="26"/>
      <c r="M54" s="26"/>
      <c r="N54" s="65"/>
      <c r="AT54" s="26"/>
    </row>
    <row r="55" spans="2:46" ht="15">
      <c r="B55" s="26"/>
      <c r="C55" s="26"/>
      <c r="D55" s="26"/>
      <c r="E55" s="26"/>
      <c r="F55" s="245"/>
      <c r="G55" s="26"/>
      <c r="H55" s="64"/>
      <c r="I55" s="27"/>
      <c r="J55" s="27"/>
      <c r="K55" s="245"/>
      <c r="L55" s="26"/>
      <c r="M55" s="26"/>
      <c r="N55" s="65"/>
      <c r="AT55" s="26"/>
    </row>
    <row r="56" spans="2:46" ht="15">
      <c r="B56" s="26"/>
      <c r="C56" s="26"/>
      <c r="D56" s="26"/>
      <c r="E56" s="26"/>
      <c r="F56" s="245"/>
      <c r="G56" s="26"/>
      <c r="H56" s="64"/>
      <c r="I56" s="27"/>
      <c r="J56" s="27"/>
      <c r="K56" s="245"/>
      <c r="L56" s="26"/>
      <c r="M56" s="26"/>
      <c r="N56" s="65"/>
      <c r="AT56" s="26"/>
    </row>
    <row r="57" spans="2:46" ht="15">
      <c r="B57" s="26"/>
      <c r="C57" s="26"/>
      <c r="D57" s="26"/>
      <c r="E57" s="26"/>
      <c r="F57" s="245"/>
      <c r="G57" s="26"/>
      <c r="H57" s="64"/>
      <c r="I57" s="27"/>
      <c r="J57" s="27"/>
      <c r="K57" s="245"/>
      <c r="L57" s="26"/>
      <c r="M57" s="26"/>
      <c r="N57" s="65"/>
      <c r="AT57" s="26"/>
    </row>
    <row r="58" spans="2:46" ht="15">
      <c r="B58" s="26"/>
      <c r="C58" s="26"/>
      <c r="D58" s="26"/>
      <c r="E58" s="26"/>
      <c r="F58" s="245"/>
      <c r="G58" s="26"/>
      <c r="H58" s="64"/>
      <c r="I58" s="27"/>
      <c r="J58" s="27"/>
      <c r="K58" s="245"/>
      <c r="L58" s="26"/>
      <c r="M58" s="26"/>
      <c r="N58" s="65"/>
      <c r="AT58" s="26"/>
    </row>
    <row r="59" spans="2:46" ht="15">
      <c r="B59" s="26"/>
      <c r="C59" s="26"/>
      <c r="D59" s="26"/>
      <c r="E59" s="26"/>
      <c r="F59" s="245"/>
      <c r="G59" s="26"/>
      <c r="H59" s="64"/>
      <c r="I59" s="27"/>
      <c r="J59" s="27"/>
      <c r="K59" s="245"/>
      <c r="L59" s="26"/>
      <c r="M59" s="26"/>
      <c r="N59" s="65"/>
      <c r="AT59" s="26"/>
    </row>
    <row r="60" spans="2:46" ht="15">
      <c r="B60" s="26"/>
      <c r="C60" s="26"/>
      <c r="D60" s="26"/>
      <c r="E60" s="26"/>
      <c r="F60" s="245"/>
      <c r="G60" s="26"/>
      <c r="H60" s="64"/>
      <c r="I60" s="27"/>
      <c r="J60" s="27"/>
      <c r="K60" s="245"/>
      <c r="L60" s="26"/>
      <c r="M60" s="26"/>
      <c r="N60" s="65"/>
      <c r="AT60" s="26"/>
    </row>
    <row r="61" spans="2:46" ht="15">
      <c r="B61" s="26"/>
      <c r="C61" s="26"/>
      <c r="D61" s="26"/>
      <c r="E61" s="26"/>
      <c r="F61" s="245"/>
      <c r="G61" s="26"/>
      <c r="H61" s="64"/>
      <c r="I61" s="27"/>
      <c r="J61" s="27"/>
      <c r="K61" s="245"/>
      <c r="L61" s="26"/>
      <c r="M61" s="26"/>
      <c r="N61" s="65"/>
      <c r="AT61" s="26"/>
    </row>
    <row r="62" spans="2:46" ht="15">
      <c r="B62" s="26"/>
      <c r="C62" s="26"/>
      <c r="D62" s="26"/>
      <c r="E62" s="26"/>
      <c r="F62" s="245"/>
      <c r="G62" s="26"/>
      <c r="H62" s="64"/>
      <c r="I62" s="27"/>
      <c r="J62" s="27"/>
      <c r="K62" s="245"/>
      <c r="L62" s="26"/>
      <c r="M62" s="26"/>
      <c r="N62" s="65"/>
      <c r="AT62" s="26"/>
    </row>
    <row r="63" spans="2:46" ht="15">
      <c r="B63" s="26"/>
      <c r="C63" s="26"/>
      <c r="D63" s="26"/>
      <c r="E63" s="26"/>
      <c r="F63" s="245"/>
      <c r="G63" s="26"/>
      <c r="H63" s="64"/>
      <c r="I63" s="27"/>
      <c r="J63" s="27"/>
      <c r="K63" s="245"/>
      <c r="L63" s="26"/>
      <c r="M63" s="26"/>
      <c r="N63" s="65"/>
      <c r="AT63" s="26"/>
    </row>
    <row r="64" spans="2:46" ht="15">
      <c r="B64" s="26"/>
      <c r="C64" s="26"/>
      <c r="D64" s="26"/>
      <c r="E64" s="26"/>
      <c r="F64" s="245"/>
      <c r="G64" s="26"/>
      <c r="H64" s="64"/>
      <c r="I64" s="27"/>
      <c r="J64" s="27"/>
      <c r="K64" s="245"/>
      <c r="L64" s="26"/>
      <c r="M64" s="26"/>
      <c r="N64" s="65"/>
      <c r="AT64" s="26"/>
    </row>
    <row r="65" spans="2:46" ht="15">
      <c r="B65" s="26"/>
      <c r="C65" s="26"/>
      <c r="D65" s="26"/>
      <c r="E65" s="26"/>
      <c r="F65" s="245"/>
      <c r="G65" s="26"/>
      <c r="H65" s="64"/>
      <c r="I65" s="27"/>
      <c r="J65" s="27"/>
      <c r="K65" s="245"/>
      <c r="L65" s="26"/>
      <c r="M65" s="26"/>
      <c r="N65" s="65"/>
      <c r="AT65" s="26"/>
    </row>
    <row r="66" spans="2:46" ht="15">
      <c r="B66" s="26"/>
      <c r="C66" s="26"/>
      <c r="D66" s="26"/>
      <c r="E66" s="26"/>
      <c r="F66" s="245"/>
      <c r="G66" s="26"/>
      <c r="H66" s="64"/>
      <c r="I66" s="27"/>
      <c r="J66" s="27"/>
      <c r="K66" s="245"/>
      <c r="L66" s="26"/>
      <c r="M66" s="26"/>
      <c r="N66" s="65"/>
      <c r="AT66" s="26"/>
    </row>
    <row r="67" spans="2:46" ht="15">
      <c r="B67" s="26"/>
      <c r="C67" s="26"/>
      <c r="D67" s="26"/>
      <c r="E67" s="26"/>
      <c r="F67" s="245"/>
      <c r="G67" s="26"/>
      <c r="H67" s="64"/>
      <c r="I67" s="27"/>
      <c r="J67" s="27"/>
      <c r="K67" s="245"/>
      <c r="L67" s="26"/>
      <c r="M67" s="26"/>
      <c r="N67" s="65"/>
      <c r="AT67" s="26"/>
    </row>
    <row r="68" spans="2:46" ht="15">
      <c r="B68" s="26"/>
      <c r="C68" s="26"/>
      <c r="D68" s="26"/>
      <c r="E68" s="26"/>
      <c r="F68" s="245"/>
      <c r="G68" s="26"/>
      <c r="H68" s="64"/>
      <c r="I68" s="27"/>
      <c r="J68" s="27"/>
      <c r="K68" s="245"/>
      <c r="L68" s="26"/>
      <c r="M68" s="26"/>
      <c r="N68" s="65"/>
      <c r="AT68" s="26"/>
    </row>
    <row r="69" spans="2:46" ht="15">
      <c r="B69" s="26"/>
      <c r="C69" s="26"/>
      <c r="D69" s="26"/>
      <c r="E69" s="26"/>
      <c r="F69" s="245"/>
      <c r="G69" s="26"/>
      <c r="H69" s="64"/>
      <c r="I69" s="27"/>
      <c r="J69" s="27"/>
      <c r="K69" s="245"/>
      <c r="L69" s="26"/>
      <c r="M69" s="26"/>
      <c r="N69" s="65"/>
      <c r="AT69" s="26"/>
    </row>
    <row r="70" spans="2:46" ht="15">
      <c r="B70" s="26"/>
      <c r="C70" s="26"/>
      <c r="D70" s="26"/>
      <c r="E70" s="26"/>
      <c r="F70" s="245"/>
      <c r="G70" s="26"/>
      <c r="H70" s="64"/>
      <c r="I70" s="27"/>
      <c r="J70" s="27"/>
      <c r="K70" s="245"/>
      <c r="L70" s="26"/>
      <c r="M70" s="26"/>
      <c r="N70" s="65"/>
      <c r="AT70" s="26"/>
    </row>
    <row r="71" spans="2:46" ht="15">
      <c r="B71" s="26"/>
      <c r="C71" s="26"/>
      <c r="D71" s="26"/>
      <c r="E71" s="26"/>
      <c r="F71" s="245"/>
      <c r="G71" s="26"/>
      <c r="H71" s="64"/>
      <c r="I71" s="27"/>
      <c r="J71" s="27"/>
      <c r="K71" s="245"/>
      <c r="L71" s="26"/>
      <c r="M71" s="26"/>
      <c r="N71" s="65"/>
      <c r="AT71" s="26"/>
    </row>
    <row r="72" spans="2:46" ht="15">
      <c r="B72" s="26"/>
      <c r="C72" s="26"/>
      <c r="D72" s="26"/>
      <c r="E72" s="26"/>
      <c r="F72" s="245"/>
      <c r="G72" s="26"/>
      <c r="H72" s="64"/>
      <c r="I72" s="27"/>
      <c r="J72" s="27"/>
      <c r="K72" s="245"/>
      <c r="L72" s="26"/>
      <c r="M72" s="26"/>
      <c r="N72" s="65"/>
      <c r="AT72" s="26"/>
    </row>
    <row r="73" spans="2:46" ht="15">
      <c r="B73" s="26"/>
      <c r="C73" s="26"/>
      <c r="D73" s="26"/>
      <c r="E73" s="26"/>
      <c r="F73" s="245"/>
      <c r="G73" s="26"/>
      <c r="H73" s="64"/>
      <c r="I73" s="27"/>
      <c r="J73" s="27"/>
      <c r="K73" s="245"/>
      <c r="L73" s="26"/>
      <c r="M73" s="26"/>
      <c r="N73" s="65"/>
      <c r="AT73" s="26"/>
    </row>
    <row r="74" spans="2:46" ht="15">
      <c r="B74" s="26"/>
      <c r="C74" s="26"/>
      <c r="D74" s="26"/>
      <c r="E74" s="26"/>
      <c r="F74" s="245"/>
      <c r="G74" s="26"/>
      <c r="H74" s="64"/>
      <c r="I74" s="27"/>
      <c r="J74" s="27"/>
      <c r="K74" s="245"/>
      <c r="L74" s="26"/>
      <c r="M74" s="26"/>
      <c r="N74" s="65"/>
      <c r="AT74" s="26"/>
    </row>
    <row r="75" spans="2:46" ht="15">
      <c r="B75" s="26"/>
      <c r="C75" s="26"/>
      <c r="D75" s="26"/>
      <c r="E75" s="26"/>
      <c r="F75" s="245"/>
      <c r="G75" s="26"/>
      <c r="H75" s="64"/>
      <c r="I75" s="27"/>
      <c r="J75" s="27"/>
      <c r="K75" s="245"/>
      <c r="L75" s="26"/>
      <c r="M75" s="26"/>
      <c r="N75" s="65"/>
      <c r="AT75" s="26"/>
    </row>
    <row r="76" spans="2:46" ht="15">
      <c r="B76" s="26"/>
      <c r="C76" s="26"/>
      <c r="D76" s="26"/>
      <c r="E76" s="26"/>
      <c r="F76" s="245"/>
      <c r="G76" s="26"/>
      <c r="H76" s="64"/>
      <c r="I76" s="27"/>
      <c r="J76" s="27"/>
      <c r="K76" s="245"/>
      <c r="L76" s="26"/>
      <c r="M76" s="26"/>
      <c r="N76" s="65"/>
      <c r="AT76" s="26"/>
    </row>
    <row r="77" spans="2:46" ht="15">
      <c r="B77" s="26"/>
      <c r="C77" s="26"/>
      <c r="D77" s="26"/>
      <c r="E77" s="26"/>
      <c r="F77" s="245"/>
      <c r="G77" s="26"/>
      <c r="H77" s="64"/>
      <c r="I77" s="27"/>
      <c r="J77" s="27"/>
      <c r="K77" s="245"/>
      <c r="L77" s="26"/>
      <c r="M77" s="26"/>
      <c r="N77" s="65"/>
      <c r="AT77" s="26"/>
    </row>
    <row r="78" spans="2:46" ht="15">
      <c r="B78" s="26"/>
      <c r="C78" s="26"/>
      <c r="D78" s="26"/>
      <c r="E78" s="26"/>
      <c r="F78" s="245"/>
      <c r="G78" s="26"/>
      <c r="H78" s="64"/>
      <c r="I78" s="27"/>
      <c r="J78" s="27"/>
      <c r="K78" s="245"/>
      <c r="L78" s="26"/>
      <c r="M78" s="26"/>
      <c r="N78" s="65"/>
      <c r="AT78" s="26"/>
    </row>
    <row r="79" spans="2:46" ht="15">
      <c r="B79" s="26"/>
      <c r="C79" s="26"/>
      <c r="D79" s="26"/>
      <c r="E79" s="26"/>
      <c r="F79" s="245"/>
      <c r="G79" s="26"/>
      <c r="H79" s="64"/>
      <c r="I79" s="27"/>
      <c r="J79" s="27"/>
      <c r="K79" s="245"/>
      <c r="L79" s="26"/>
      <c r="M79" s="26"/>
      <c r="N79" s="65"/>
      <c r="AT79" s="26"/>
    </row>
    <row r="80" spans="2:46" ht="15">
      <c r="B80" s="26"/>
      <c r="C80" s="26"/>
      <c r="D80" s="26"/>
      <c r="E80" s="26"/>
      <c r="F80" s="245"/>
      <c r="G80" s="26"/>
      <c r="H80" s="64"/>
      <c r="I80" s="27"/>
      <c r="J80" s="27"/>
      <c r="K80" s="245"/>
      <c r="L80" s="26"/>
      <c r="M80" s="26"/>
      <c r="N80" s="65"/>
      <c r="AT80" s="26"/>
    </row>
    <row r="81" spans="2:46" ht="15">
      <c r="B81" s="26"/>
      <c r="C81" s="26"/>
      <c r="D81" s="26"/>
      <c r="E81" s="26"/>
      <c r="F81" s="245"/>
      <c r="G81" s="26"/>
      <c r="H81" s="64"/>
      <c r="I81" s="27"/>
      <c r="J81" s="27"/>
      <c r="K81" s="245"/>
      <c r="L81" s="26"/>
      <c r="M81" s="26"/>
      <c r="N81" s="65"/>
      <c r="AT81" s="26"/>
    </row>
    <row r="82" spans="2:46" ht="15">
      <c r="B82" s="26"/>
      <c r="C82" s="26"/>
      <c r="D82" s="26"/>
      <c r="E82" s="26"/>
      <c r="F82" s="245"/>
      <c r="G82" s="26"/>
      <c r="H82" s="64"/>
      <c r="I82" s="27"/>
      <c r="J82" s="27"/>
      <c r="K82" s="245"/>
      <c r="L82" s="26"/>
      <c r="M82" s="26"/>
      <c r="N82" s="65"/>
      <c r="AT82" s="26"/>
    </row>
    <row r="83" spans="2:46" ht="15">
      <c r="B83" s="26"/>
      <c r="C83" s="26"/>
      <c r="D83" s="26"/>
      <c r="E83" s="26"/>
      <c r="F83" s="245"/>
      <c r="G83" s="26"/>
      <c r="H83" s="64"/>
      <c r="I83" s="27"/>
      <c r="J83" s="27"/>
      <c r="K83" s="245"/>
      <c r="L83" s="26"/>
      <c r="M83" s="26"/>
      <c r="N83" s="65"/>
      <c r="AT83" s="26"/>
    </row>
    <row r="84" spans="2:46" ht="15">
      <c r="B84" s="26"/>
      <c r="C84" s="26"/>
      <c r="D84" s="26"/>
      <c r="E84" s="26"/>
      <c r="F84" s="245"/>
      <c r="G84" s="26"/>
      <c r="H84" s="64"/>
      <c r="I84" s="27"/>
      <c r="J84" s="27"/>
      <c r="K84" s="245"/>
      <c r="L84" s="26"/>
      <c r="M84" s="26"/>
      <c r="N84" s="65"/>
      <c r="AT84" s="26"/>
    </row>
    <row r="85" spans="2:46" ht="15">
      <c r="B85" s="26"/>
      <c r="C85" s="26"/>
      <c r="D85" s="26"/>
      <c r="E85" s="26"/>
      <c r="F85" s="245"/>
      <c r="G85" s="26"/>
      <c r="H85" s="64"/>
      <c r="I85" s="27"/>
      <c r="J85" s="27"/>
      <c r="K85" s="245"/>
      <c r="L85" s="26"/>
      <c r="M85" s="26"/>
      <c r="N85" s="65"/>
      <c r="AT85" s="26"/>
    </row>
    <row r="86" spans="2:46" ht="15">
      <c r="B86" s="26"/>
      <c r="C86" s="26"/>
      <c r="D86" s="26"/>
      <c r="E86" s="26"/>
      <c r="F86" s="245"/>
      <c r="G86" s="26"/>
      <c r="H86" s="64"/>
      <c r="I86" s="27"/>
      <c r="J86" s="27"/>
      <c r="K86" s="245"/>
      <c r="L86" s="26"/>
      <c r="M86" s="26"/>
      <c r="N86" s="65"/>
      <c r="AT86" s="26"/>
    </row>
    <row r="87" spans="2:46" ht="15">
      <c r="B87" s="26"/>
      <c r="C87" s="26"/>
      <c r="D87" s="26"/>
      <c r="E87" s="26"/>
      <c r="F87" s="245"/>
      <c r="G87" s="26"/>
      <c r="H87" s="64"/>
      <c r="I87" s="27"/>
      <c r="J87" s="27"/>
      <c r="K87" s="245"/>
      <c r="L87" s="26"/>
      <c r="M87" s="26"/>
      <c r="N87" s="65"/>
      <c r="AT87" s="26"/>
    </row>
    <row r="88" spans="2:46" ht="15">
      <c r="B88" s="26"/>
      <c r="C88" s="26"/>
      <c r="D88" s="26"/>
      <c r="E88" s="26"/>
      <c r="F88" s="245"/>
      <c r="G88" s="26"/>
      <c r="H88" s="64"/>
      <c r="I88" s="27"/>
      <c r="J88" s="27"/>
      <c r="K88" s="245"/>
      <c r="L88" s="26"/>
      <c r="M88" s="26"/>
      <c r="N88" s="65"/>
      <c r="AT88" s="26"/>
    </row>
    <row r="89" spans="2:46" ht="15">
      <c r="B89" s="26"/>
      <c r="C89" s="26"/>
      <c r="D89" s="26"/>
      <c r="E89" s="26"/>
      <c r="F89" s="245"/>
      <c r="G89" s="26"/>
      <c r="H89" s="64"/>
      <c r="I89" s="27"/>
      <c r="J89" s="27"/>
      <c r="K89" s="245"/>
      <c r="L89" s="26"/>
      <c r="M89" s="26"/>
      <c r="N89" s="65"/>
      <c r="AT89" s="26"/>
    </row>
    <row r="90" spans="2:46" ht="15">
      <c r="B90" s="26"/>
      <c r="C90" s="26"/>
      <c r="D90" s="26"/>
      <c r="E90" s="26"/>
      <c r="F90" s="245"/>
      <c r="G90" s="26"/>
      <c r="H90" s="64"/>
      <c r="I90" s="27"/>
      <c r="J90" s="27"/>
      <c r="K90" s="245"/>
      <c r="L90" s="26"/>
      <c r="M90" s="26"/>
      <c r="N90" s="65"/>
      <c r="AT90" s="26"/>
    </row>
    <row r="91" spans="2:46" ht="15">
      <c r="B91" s="26"/>
      <c r="C91" s="26"/>
      <c r="D91" s="26"/>
      <c r="E91" s="26"/>
      <c r="F91" s="245"/>
      <c r="G91" s="26"/>
      <c r="H91" s="64"/>
      <c r="I91" s="27"/>
      <c r="J91" s="27"/>
      <c r="K91" s="245"/>
      <c r="L91" s="26"/>
      <c r="M91" s="26"/>
      <c r="N91" s="65"/>
      <c r="AT91" s="26"/>
    </row>
    <row r="92" spans="2:46" ht="15">
      <c r="B92" s="26"/>
      <c r="C92" s="26"/>
      <c r="D92" s="26"/>
      <c r="E92" s="26"/>
      <c r="F92" s="245"/>
      <c r="G92" s="26"/>
      <c r="H92" s="64"/>
      <c r="I92" s="27"/>
      <c r="J92" s="27"/>
      <c r="K92" s="245"/>
      <c r="L92" s="26"/>
      <c r="M92" s="26"/>
      <c r="N92" s="65"/>
      <c r="AT92" s="26"/>
    </row>
    <row r="93" spans="2:46" ht="15">
      <c r="B93" s="26"/>
      <c r="C93" s="26"/>
      <c r="D93" s="26"/>
      <c r="E93" s="26"/>
      <c r="F93" s="245"/>
      <c r="G93" s="26"/>
      <c r="H93" s="64"/>
      <c r="I93" s="27"/>
      <c r="J93" s="27"/>
      <c r="K93" s="245"/>
      <c r="L93" s="26"/>
      <c r="M93" s="26"/>
      <c r="N93" s="65"/>
      <c r="AT93" s="26"/>
    </row>
    <row r="94" spans="2:46" ht="15">
      <c r="B94" s="26"/>
      <c r="C94" s="26"/>
      <c r="D94" s="26"/>
      <c r="E94" s="26"/>
      <c r="F94" s="245"/>
      <c r="G94" s="26"/>
      <c r="H94" s="64"/>
      <c r="I94" s="27"/>
      <c r="J94" s="27"/>
      <c r="K94" s="245"/>
      <c r="L94" s="26"/>
      <c r="M94" s="26"/>
      <c r="N94" s="65"/>
      <c r="AT94" s="26"/>
    </row>
    <row r="95" spans="2:46" ht="15">
      <c r="B95" s="26"/>
      <c r="C95" s="26"/>
      <c r="D95" s="26"/>
      <c r="E95" s="26"/>
      <c r="F95" s="245"/>
      <c r="G95" s="26"/>
      <c r="H95" s="64"/>
      <c r="I95" s="27"/>
      <c r="J95" s="27"/>
      <c r="K95" s="245"/>
      <c r="L95" s="26"/>
      <c r="M95" s="26"/>
      <c r="N95" s="65"/>
      <c r="AT95" s="26"/>
    </row>
    <row r="96" spans="2:46" ht="15">
      <c r="B96" s="26"/>
      <c r="C96" s="26"/>
      <c r="D96" s="26"/>
      <c r="E96" s="26"/>
      <c r="F96" s="245"/>
      <c r="G96" s="26"/>
      <c r="H96" s="64"/>
      <c r="I96" s="27"/>
      <c r="J96" s="27"/>
      <c r="K96" s="245"/>
      <c r="L96" s="26"/>
      <c r="M96" s="26"/>
      <c r="N96" s="65"/>
      <c r="AT96" s="26"/>
    </row>
    <row r="97" spans="2:46" ht="15">
      <c r="B97" s="26"/>
      <c r="C97" s="26"/>
      <c r="D97" s="26"/>
      <c r="E97" s="26"/>
      <c r="F97" s="245"/>
      <c r="G97" s="26"/>
      <c r="H97" s="64"/>
      <c r="I97" s="27"/>
      <c r="J97" s="27"/>
      <c r="K97" s="245"/>
      <c r="L97" s="26"/>
      <c r="M97" s="26"/>
      <c r="N97" s="65"/>
      <c r="AT97" s="26"/>
    </row>
    <row r="98" spans="2:46" ht="15">
      <c r="B98" s="26"/>
      <c r="C98" s="26"/>
      <c r="D98" s="26"/>
      <c r="E98" s="26"/>
      <c r="F98" s="245"/>
      <c r="G98" s="26"/>
      <c r="H98" s="64"/>
      <c r="I98" s="27"/>
      <c r="J98" s="27"/>
      <c r="K98" s="245"/>
      <c r="L98" s="26"/>
      <c r="M98" s="26"/>
      <c r="N98" s="65"/>
      <c r="AT98" s="26"/>
    </row>
    <row r="99" spans="2:46" ht="15">
      <c r="B99" s="26"/>
      <c r="C99" s="26"/>
      <c r="D99" s="26"/>
      <c r="E99" s="26"/>
      <c r="F99" s="245"/>
      <c r="G99" s="26"/>
      <c r="H99" s="64"/>
      <c r="I99" s="27"/>
      <c r="J99" s="27"/>
      <c r="K99" s="245"/>
      <c r="L99" s="26"/>
      <c r="M99" s="26"/>
      <c r="N99" s="65"/>
      <c r="AT99" s="26"/>
    </row>
    <row r="100" spans="2:46" ht="15">
      <c r="B100" s="26"/>
      <c r="C100" s="26"/>
      <c r="D100" s="26"/>
      <c r="E100" s="26"/>
      <c r="F100" s="245"/>
      <c r="G100" s="26"/>
      <c r="H100" s="64"/>
      <c r="I100" s="27"/>
      <c r="J100" s="27"/>
      <c r="K100" s="245"/>
      <c r="L100" s="26"/>
      <c r="M100" s="26"/>
      <c r="N100" s="65"/>
      <c r="AT100" s="26"/>
    </row>
    <row r="101" spans="2:46" ht="15">
      <c r="B101" s="26"/>
      <c r="C101" s="26"/>
      <c r="D101" s="26"/>
      <c r="E101" s="26"/>
      <c r="F101" s="245"/>
      <c r="G101" s="26"/>
      <c r="H101" s="64"/>
      <c r="I101" s="27"/>
      <c r="J101" s="27"/>
      <c r="K101" s="245"/>
      <c r="L101" s="26"/>
      <c r="M101" s="26"/>
      <c r="N101" s="65"/>
      <c r="AT101" s="26"/>
    </row>
    <row r="102" spans="2:46" ht="15">
      <c r="B102" s="26"/>
      <c r="C102" s="26"/>
      <c r="D102" s="26"/>
      <c r="E102" s="26"/>
      <c r="F102" s="245"/>
      <c r="G102" s="26"/>
      <c r="H102" s="64"/>
      <c r="I102" s="27"/>
      <c r="J102" s="27"/>
      <c r="K102" s="245"/>
      <c r="L102" s="26"/>
      <c r="M102" s="26"/>
      <c r="N102" s="65"/>
      <c r="AT102" s="26"/>
    </row>
    <row r="103" spans="2:46" ht="15">
      <c r="B103" s="26"/>
      <c r="C103" s="26"/>
      <c r="D103" s="26"/>
      <c r="E103" s="26"/>
      <c r="F103" s="245"/>
      <c r="G103" s="26"/>
      <c r="H103" s="64"/>
      <c r="I103" s="27"/>
      <c r="J103" s="27"/>
      <c r="K103" s="245"/>
      <c r="L103" s="26"/>
      <c r="M103" s="26"/>
      <c r="N103" s="65"/>
      <c r="AT103" s="26"/>
    </row>
    <row r="104" spans="2:46" ht="15">
      <c r="B104" s="26"/>
      <c r="C104" s="26"/>
      <c r="D104" s="26"/>
      <c r="E104" s="26"/>
      <c r="F104" s="245"/>
      <c r="G104" s="26"/>
      <c r="H104" s="64"/>
      <c r="I104" s="27"/>
      <c r="J104" s="27"/>
      <c r="K104" s="245"/>
      <c r="L104" s="26"/>
      <c r="M104" s="26"/>
      <c r="N104" s="65"/>
      <c r="AT104" s="26"/>
    </row>
    <row r="105" spans="2:46" ht="15">
      <c r="B105" s="26"/>
      <c r="C105" s="26"/>
      <c r="D105" s="26"/>
      <c r="E105" s="26"/>
      <c r="F105" s="245"/>
      <c r="G105" s="26"/>
      <c r="H105" s="64"/>
      <c r="I105" s="27"/>
      <c r="J105" s="27"/>
      <c r="K105" s="245"/>
      <c r="L105" s="26"/>
      <c r="M105" s="26"/>
      <c r="N105" s="65"/>
      <c r="AT105" s="26"/>
    </row>
    <row r="106" spans="2:46" ht="15">
      <c r="B106" s="26"/>
      <c r="C106" s="26"/>
      <c r="D106" s="26"/>
      <c r="E106" s="26"/>
      <c r="F106" s="245"/>
      <c r="G106" s="26"/>
      <c r="H106" s="64"/>
      <c r="I106" s="27"/>
      <c r="J106" s="27"/>
      <c r="K106" s="245"/>
      <c r="L106" s="26"/>
      <c r="M106" s="26"/>
      <c r="N106" s="65"/>
      <c r="AT106" s="26"/>
    </row>
    <row r="107" spans="2:46" ht="15">
      <c r="B107" s="26"/>
      <c r="C107" s="26"/>
      <c r="D107" s="26"/>
      <c r="E107" s="26"/>
      <c r="F107" s="245"/>
      <c r="G107" s="26"/>
      <c r="H107" s="64"/>
      <c r="I107" s="27"/>
      <c r="J107" s="27"/>
      <c r="K107" s="245"/>
      <c r="L107" s="26"/>
      <c r="M107" s="26"/>
      <c r="N107" s="65"/>
      <c r="AT107" s="26"/>
    </row>
    <row r="108" spans="2:46" ht="15">
      <c r="B108" s="26"/>
      <c r="C108" s="26"/>
      <c r="D108" s="26"/>
      <c r="E108" s="26"/>
      <c r="F108" s="245"/>
      <c r="G108" s="26"/>
      <c r="H108" s="64"/>
      <c r="I108" s="27"/>
      <c r="J108" s="27"/>
      <c r="K108" s="245"/>
      <c r="L108" s="26"/>
      <c r="M108" s="26"/>
      <c r="N108" s="65"/>
      <c r="AT108" s="26"/>
    </row>
    <row r="109" spans="2:46" ht="15">
      <c r="B109" s="26"/>
      <c r="C109" s="26"/>
      <c r="D109" s="26"/>
      <c r="E109" s="26"/>
      <c r="F109" s="245"/>
      <c r="G109" s="26"/>
      <c r="H109" s="64"/>
      <c r="I109" s="27"/>
      <c r="J109" s="27"/>
      <c r="K109" s="245"/>
      <c r="L109" s="26"/>
      <c r="M109" s="26"/>
      <c r="N109" s="65"/>
      <c r="AT109" s="26"/>
    </row>
    <row r="110" spans="2:46" ht="15">
      <c r="B110" s="26"/>
      <c r="C110" s="26"/>
      <c r="D110" s="26"/>
      <c r="E110" s="26"/>
      <c r="F110" s="245"/>
      <c r="G110" s="26"/>
      <c r="H110" s="64"/>
      <c r="I110" s="27"/>
      <c r="J110" s="27"/>
      <c r="K110" s="245"/>
      <c r="L110" s="26"/>
      <c r="M110" s="26"/>
      <c r="N110" s="65"/>
      <c r="AT110" s="26"/>
    </row>
    <row r="111" spans="2:46" ht="15">
      <c r="B111" s="26"/>
      <c r="C111" s="26"/>
      <c r="D111" s="26"/>
      <c r="E111" s="26"/>
      <c r="F111" s="245"/>
      <c r="G111" s="26"/>
      <c r="H111" s="64"/>
      <c r="I111" s="27"/>
      <c r="J111" s="27"/>
      <c r="K111" s="245"/>
      <c r="L111" s="26"/>
      <c r="M111" s="26"/>
      <c r="N111" s="65"/>
      <c r="AT111" s="26"/>
    </row>
    <row r="112" spans="2:46" ht="15">
      <c r="B112" s="26"/>
      <c r="C112" s="26"/>
      <c r="D112" s="26"/>
      <c r="E112" s="26"/>
      <c r="F112" s="245"/>
      <c r="G112" s="26"/>
      <c r="H112" s="64"/>
      <c r="I112" s="27"/>
      <c r="J112" s="27"/>
      <c r="K112" s="245"/>
      <c r="L112" s="26"/>
      <c r="M112" s="26"/>
      <c r="N112" s="65"/>
      <c r="AT112" s="26"/>
    </row>
    <row r="113" spans="2:46" ht="15">
      <c r="B113" s="26"/>
      <c r="C113" s="26"/>
      <c r="D113" s="26"/>
      <c r="E113" s="26"/>
      <c r="F113" s="245"/>
      <c r="G113" s="26"/>
      <c r="H113" s="64"/>
      <c r="I113" s="27"/>
      <c r="J113" s="27"/>
      <c r="K113" s="245"/>
      <c r="L113" s="26"/>
      <c r="M113" s="26"/>
      <c r="N113" s="65"/>
      <c r="AT113" s="26"/>
    </row>
    <row r="114" spans="2:46" ht="15">
      <c r="B114" s="26"/>
      <c r="C114" s="26"/>
      <c r="D114" s="26"/>
      <c r="E114" s="26"/>
      <c r="F114" s="245"/>
      <c r="G114" s="26"/>
      <c r="H114" s="64"/>
      <c r="I114" s="27"/>
      <c r="J114" s="27"/>
      <c r="K114" s="245"/>
      <c r="L114" s="26"/>
      <c r="M114" s="26"/>
      <c r="N114" s="65"/>
      <c r="AT114" s="26"/>
    </row>
    <row r="115" spans="2:46" ht="15">
      <c r="B115" s="26"/>
      <c r="C115" s="26"/>
      <c r="D115" s="26"/>
      <c r="E115" s="26"/>
      <c r="F115" s="245"/>
      <c r="G115" s="26"/>
      <c r="H115" s="64"/>
      <c r="I115" s="27"/>
      <c r="J115" s="27"/>
      <c r="K115" s="245"/>
      <c r="L115" s="26"/>
      <c r="M115" s="26"/>
      <c r="N115" s="65"/>
      <c r="AT115" s="26"/>
    </row>
    <row r="116" spans="2:46" ht="15">
      <c r="B116" s="26"/>
      <c r="C116" s="26"/>
      <c r="D116" s="26"/>
      <c r="E116" s="26"/>
      <c r="F116" s="245"/>
      <c r="G116" s="26"/>
      <c r="H116" s="64"/>
      <c r="I116" s="27"/>
      <c r="J116" s="27"/>
      <c r="K116" s="245"/>
      <c r="L116" s="26"/>
      <c r="M116" s="26"/>
      <c r="N116" s="65"/>
      <c r="AT116" s="26"/>
    </row>
    <row r="117" spans="2:46" ht="15">
      <c r="B117" s="26"/>
      <c r="C117" s="26"/>
      <c r="D117" s="26"/>
      <c r="E117" s="26"/>
      <c r="F117" s="245"/>
      <c r="G117" s="26"/>
      <c r="H117" s="64"/>
      <c r="I117" s="27"/>
      <c r="J117" s="27"/>
      <c r="K117" s="245"/>
      <c r="L117" s="26"/>
      <c r="M117" s="26"/>
      <c r="N117" s="65"/>
      <c r="AT117" s="26"/>
    </row>
    <row r="118" spans="2:46" ht="15">
      <c r="B118" s="26"/>
      <c r="C118" s="26"/>
      <c r="D118" s="26"/>
      <c r="E118" s="26"/>
      <c r="F118" s="245"/>
      <c r="G118" s="26"/>
      <c r="H118" s="64"/>
      <c r="I118" s="27"/>
      <c r="J118" s="27"/>
      <c r="K118" s="245"/>
      <c r="L118" s="26"/>
      <c r="M118" s="26"/>
      <c r="N118" s="65"/>
      <c r="AT118" s="26"/>
    </row>
    <row r="119" spans="2:46" ht="15">
      <c r="B119" s="26"/>
      <c r="C119" s="26"/>
      <c r="D119" s="26"/>
      <c r="E119" s="26"/>
      <c r="F119" s="245"/>
      <c r="G119" s="26"/>
      <c r="H119" s="64"/>
      <c r="I119" s="27"/>
      <c r="J119" s="27"/>
      <c r="K119" s="245"/>
      <c r="L119" s="26"/>
      <c r="M119" s="26"/>
      <c r="N119" s="65"/>
      <c r="AT119" s="26"/>
    </row>
    <row r="120" spans="2:46" ht="15">
      <c r="B120" s="26"/>
      <c r="C120" s="26"/>
      <c r="D120" s="26"/>
      <c r="E120" s="26"/>
      <c r="F120" s="245"/>
      <c r="G120" s="26"/>
      <c r="H120" s="64"/>
      <c r="I120" s="27"/>
      <c r="J120" s="27"/>
      <c r="K120" s="245"/>
      <c r="L120" s="26"/>
      <c r="M120" s="26"/>
      <c r="N120" s="65"/>
      <c r="AT120" s="26"/>
    </row>
    <row r="121" spans="2:46" ht="15">
      <c r="B121" s="26"/>
      <c r="C121" s="26"/>
      <c r="D121" s="26"/>
      <c r="E121" s="26"/>
      <c r="F121" s="245"/>
      <c r="G121" s="26"/>
      <c r="H121" s="64"/>
      <c r="I121" s="27"/>
      <c r="J121" s="27"/>
      <c r="K121" s="245"/>
      <c r="L121" s="26"/>
      <c r="M121" s="26"/>
      <c r="N121" s="65"/>
      <c r="AT121" s="26"/>
    </row>
    <row r="122" spans="2:46" ht="15">
      <c r="B122" s="26"/>
      <c r="C122" s="26"/>
      <c r="D122" s="26"/>
      <c r="E122" s="26"/>
      <c r="F122" s="245"/>
      <c r="G122" s="26"/>
      <c r="H122" s="64"/>
      <c r="I122" s="27"/>
      <c r="J122" s="27"/>
      <c r="K122" s="245"/>
      <c r="L122" s="26"/>
      <c r="M122" s="26"/>
      <c r="N122" s="65"/>
      <c r="AT122" s="26"/>
    </row>
    <row r="123" spans="2:46" ht="15">
      <c r="B123" s="26"/>
      <c r="C123" s="26"/>
      <c r="D123" s="26"/>
      <c r="E123" s="26"/>
      <c r="F123" s="245"/>
      <c r="G123" s="26"/>
      <c r="H123" s="64"/>
      <c r="I123" s="27"/>
      <c r="J123" s="27"/>
      <c r="K123" s="245"/>
      <c r="L123" s="26"/>
      <c r="M123" s="26"/>
      <c r="N123" s="65"/>
      <c r="AT123" s="26"/>
    </row>
    <row r="124" spans="2:46" ht="15">
      <c r="B124" s="26"/>
      <c r="C124" s="26"/>
      <c r="D124" s="26"/>
      <c r="E124" s="26"/>
      <c r="F124" s="245"/>
      <c r="G124" s="26"/>
      <c r="H124" s="64"/>
      <c r="I124" s="27"/>
      <c r="J124" s="27"/>
      <c r="K124" s="245"/>
      <c r="L124" s="26"/>
      <c r="M124" s="26"/>
      <c r="N124" s="65"/>
      <c r="AT124" s="26"/>
    </row>
    <row r="125" spans="2:46" ht="15">
      <c r="B125" s="26"/>
      <c r="C125" s="26"/>
      <c r="D125" s="26"/>
      <c r="E125" s="26"/>
      <c r="F125" s="245"/>
      <c r="G125" s="26"/>
      <c r="H125" s="64"/>
      <c r="I125" s="27"/>
      <c r="J125" s="27"/>
      <c r="K125" s="245"/>
      <c r="L125" s="26"/>
      <c r="M125" s="26"/>
      <c r="N125" s="65"/>
      <c r="AT125" s="26"/>
    </row>
    <row r="126" spans="2:46" ht="15">
      <c r="B126" s="26"/>
      <c r="C126" s="26"/>
      <c r="D126" s="26"/>
      <c r="E126" s="26"/>
      <c r="F126" s="245"/>
      <c r="G126" s="26"/>
      <c r="H126" s="64"/>
      <c r="I126" s="27"/>
      <c r="J126" s="27"/>
      <c r="K126" s="245"/>
      <c r="L126" s="26"/>
      <c r="M126" s="26"/>
      <c r="N126" s="65"/>
      <c r="AT126" s="26"/>
    </row>
    <row r="127" spans="2:46" ht="15">
      <c r="B127" s="26"/>
      <c r="C127" s="26"/>
      <c r="D127" s="26"/>
      <c r="E127" s="26"/>
      <c r="F127" s="245"/>
      <c r="G127" s="26"/>
      <c r="H127" s="64"/>
      <c r="I127" s="27"/>
      <c r="J127" s="27"/>
      <c r="K127" s="245"/>
      <c r="L127" s="26"/>
      <c r="M127" s="26"/>
      <c r="N127" s="65"/>
      <c r="AT127" s="26"/>
    </row>
    <row r="128" spans="2:46" ht="15">
      <c r="B128" s="26"/>
      <c r="C128" s="26"/>
      <c r="D128" s="26"/>
      <c r="E128" s="26"/>
      <c r="F128" s="245"/>
      <c r="G128" s="26"/>
      <c r="H128" s="64"/>
      <c r="I128" s="27"/>
      <c r="J128" s="27"/>
      <c r="K128" s="245"/>
      <c r="L128" s="26"/>
      <c r="M128" s="26"/>
      <c r="N128" s="65"/>
      <c r="AT128" s="26"/>
    </row>
    <row r="129" spans="2:46" ht="15">
      <c r="B129" s="26"/>
      <c r="C129" s="26"/>
      <c r="D129" s="26"/>
      <c r="E129" s="26"/>
      <c r="F129" s="245"/>
      <c r="G129" s="26"/>
      <c r="H129" s="64"/>
      <c r="I129" s="27"/>
      <c r="J129" s="27"/>
      <c r="K129" s="245"/>
      <c r="L129" s="26"/>
      <c r="M129" s="26"/>
      <c r="N129" s="65"/>
      <c r="AT129" s="26"/>
    </row>
    <row r="130" spans="2:46" ht="15">
      <c r="B130" s="26"/>
      <c r="C130" s="26"/>
      <c r="D130" s="26"/>
      <c r="E130" s="26"/>
      <c r="F130" s="245"/>
      <c r="G130" s="26"/>
      <c r="H130" s="64"/>
      <c r="I130" s="27"/>
      <c r="J130" s="27"/>
      <c r="K130" s="245"/>
      <c r="L130" s="26"/>
      <c r="M130" s="26"/>
      <c r="N130" s="65"/>
      <c r="AT130" s="26"/>
    </row>
    <row r="131" spans="2:46" ht="15">
      <c r="B131" s="26"/>
      <c r="C131" s="26"/>
      <c r="D131" s="26"/>
      <c r="E131" s="26"/>
      <c r="F131" s="245"/>
      <c r="G131" s="26"/>
      <c r="H131" s="64"/>
      <c r="I131" s="27"/>
      <c r="J131" s="27"/>
      <c r="K131" s="245"/>
      <c r="L131" s="26"/>
      <c r="M131" s="26"/>
      <c r="N131" s="65"/>
      <c r="AT131" s="26"/>
    </row>
    <row r="132" spans="2:46" ht="15">
      <c r="B132" s="26"/>
      <c r="C132" s="26"/>
      <c r="D132" s="26"/>
      <c r="E132" s="26"/>
      <c r="F132" s="245"/>
      <c r="G132" s="26"/>
      <c r="H132" s="64"/>
      <c r="I132" s="27"/>
      <c r="J132" s="27"/>
      <c r="K132" s="245"/>
      <c r="L132" s="26"/>
      <c r="M132" s="26"/>
      <c r="N132" s="65"/>
      <c r="AT132" s="26"/>
    </row>
    <row r="133" spans="2:46" ht="15">
      <c r="B133" s="26"/>
      <c r="C133" s="26"/>
      <c r="D133" s="26"/>
      <c r="E133" s="26"/>
      <c r="F133" s="245"/>
      <c r="G133" s="26"/>
      <c r="H133" s="64"/>
      <c r="I133" s="27"/>
      <c r="J133" s="27"/>
      <c r="K133" s="245"/>
      <c r="L133" s="26"/>
      <c r="M133" s="26"/>
      <c r="N133" s="65"/>
      <c r="AT133" s="26"/>
    </row>
    <row r="134" spans="2:46" ht="15">
      <c r="B134" s="26"/>
      <c r="C134" s="26"/>
      <c r="D134" s="26"/>
      <c r="E134" s="26"/>
      <c r="F134" s="245"/>
      <c r="G134" s="26"/>
      <c r="H134" s="64"/>
      <c r="I134" s="27"/>
      <c r="J134" s="27"/>
      <c r="K134" s="245"/>
      <c r="L134" s="26"/>
      <c r="M134" s="26"/>
      <c r="N134" s="65"/>
      <c r="AT134" s="26"/>
    </row>
    <row r="135" spans="2:46" ht="15">
      <c r="B135" s="26"/>
      <c r="C135" s="26"/>
      <c r="D135" s="26"/>
      <c r="E135" s="26"/>
      <c r="F135" s="245"/>
      <c r="G135" s="26"/>
      <c r="H135" s="64"/>
      <c r="I135" s="27"/>
      <c r="J135" s="27"/>
      <c r="K135" s="245"/>
      <c r="L135" s="26"/>
      <c r="M135" s="26"/>
      <c r="N135" s="65"/>
      <c r="AT135" s="26"/>
    </row>
    <row r="136" spans="2:46" ht="15">
      <c r="B136" s="26"/>
      <c r="C136" s="26"/>
      <c r="D136" s="26"/>
      <c r="E136" s="26"/>
      <c r="F136" s="245"/>
      <c r="G136" s="26"/>
      <c r="H136" s="64"/>
      <c r="I136" s="27"/>
      <c r="J136" s="27"/>
      <c r="K136" s="245"/>
      <c r="L136" s="26"/>
      <c r="M136" s="26"/>
      <c r="N136" s="65"/>
      <c r="AT136" s="26"/>
    </row>
    <row r="137" spans="2:46" ht="15">
      <c r="B137" s="26"/>
      <c r="C137" s="26"/>
      <c r="D137" s="26"/>
      <c r="E137" s="26"/>
      <c r="F137" s="245"/>
      <c r="G137" s="26"/>
      <c r="H137" s="64"/>
      <c r="I137" s="27"/>
      <c r="J137" s="27"/>
      <c r="K137" s="245"/>
      <c r="L137" s="26"/>
      <c r="M137" s="26"/>
      <c r="N137" s="65"/>
      <c r="AT137" s="26"/>
    </row>
    <row r="138" spans="2:46" ht="15">
      <c r="B138" s="26"/>
      <c r="C138" s="26"/>
      <c r="D138" s="26"/>
      <c r="E138" s="26"/>
      <c r="F138" s="245"/>
      <c r="G138" s="26"/>
      <c r="H138" s="64"/>
      <c r="I138" s="27"/>
      <c r="J138" s="27"/>
      <c r="K138" s="245"/>
      <c r="L138" s="26"/>
      <c r="M138" s="26"/>
      <c r="N138" s="65"/>
      <c r="AT138" s="26"/>
    </row>
    <row r="139" spans="2:46" ht="15">
      <c r="B139" s="26"/>
      <c r="C139" s="26"/>
      <c r="D139" s="26"/>
      <c r="E139" s="26"/>
      <c r="F139" s="245"/>
      <c r="G139" s="26"/>
      <c r="H139" s="64"/>
      <c r="I139" s="27"/>
      <c r="J139" s="27"/>
      <c r="K139" s="245"/>
      <c r="L139" s="26"/>
      <c r="M139" s="26"/>
      <c r="N139" s="65"/>
      <c r="AT139" s="26"/>
    </row>
    <row r="140" spans="2:46" ht="15">
      <c r="B140" s="26"/>
      <c r="C140" s="26"/>
      <c r="D140" s="26"/>
      <c r="E140" s="26"/>
      <c r="F140" s="245"/>
      <c r="G140" s="26"/>
      <c r="H140" s="64"/>
      <c r="I140" s="27"/>
      <c r="J140" s="27"/>
      <c r="K140" s="245"/>
      <c r="L140" s="26"/>
      <c r="M140" s="26"/>
      <c r="N140" s="65"/>
      <c r="AT140" s="26"/>
    </row>
    <row r="141" spans="2:46" ht="15">
      <c r="B141" s="26"/>
      <c r="C141" s="26"/>
      <c r="D141" s="26"/>
      <c r="E141" s="26"/>
      <c r="F141" s="245"/>
      <c r="G141" s="26"/>
      <c r="H141" s="64"/>
      <c r="I141" s="27"/>
      <c r="J141" s="27"/>
      <c r="K141" s="245"/>
      <c r="L141" s="26"/>
      <c r="M141" s="26"/>
      <c r="N141" s="65"/>
      <c r="AT141" s="26"/>
    </row>
    <row r="142" spans="2:46" ht="15">
      <c r="B142" s="26"/>
      <c r="C142" s="26"/>
      <c r="D142" s="26"/>
      <c r="E142" s="26"/>
      <c r="F142" s="245"/>
      <c r="G142" s="26"/>
      <c r="H142" s="64"/>
      <c r="I142" s="27"/>
      <c r="J142" s="27"/>
      <c r="K142" s="245"/>
      <c r="L142" s="26"/>
      <c r="M142" s="26"/>
      <c r="N142" s="65"/>
      <c r="AT142" s="26"/>
    </row>
    <row r="143" spans="2:46" ht="15">
      <c r="B143" s="26"/>
      <c r="C143" s="26"/>
      <c r="D143" s="26"/>
      <c r="E143" s="26"/>
      <c r="F143" s="245"/>
      <c r="G143" s="26"/>
      <c r="H143" s="64"/>
      <c r="I143" s="27"/>
      <c r="J143" s="27"/>
      <c r="K143" s="245"/>
      <c r="L143" s="26"/>
      <c r="M143" s="26"/>
      <c r="N143" s="65"/>
      <c r="AT143" s="26"/>
    </row>
    <row r="144" spans="2:46" ht="15">
      <c r="B144" s="26"/>
      <c r="C144" s="26"/>
      <c r="D144" s="26"/>
      <c r="E144" s="26"/>
      <c r="F144" s="245"/>
      <c r="G144" s="26"/>
      <c r="H144" s="64"/>
      <c r="I144" s="27"/>
      <c r="J144" s="27"/>
      <c r="K144" s="245"/>
      <c r="L144" s="26"/>
      <c r="M144" s="26"/>
      <c r="N144" s="65"/>
      <c r="AT144" s="26"/>
    </row>
    <row r="145" spans="2:46" ht="15">
      <c r="B145" s="26"/>
      <c r="C145" s="26"/>
      <c r="D145" s="26"/>
      <c r="E145" s="26"/>
      <c r="F145" s="245"/>
      <c r="G145" s="26"/>
      <c r="H145" s="64"/>
      <c r="I145" s="27"/>
      <c r="J145" s="27"/>
      <c r="K145" s="245"/>
      <c r="L145" s="26"/>
      <c r="M145" s="26"/>
      <c r="N145" s="65"/>
      <c r="AT145" s="26"/>
    </row>
    <row r="146" spans="2:46" ht="15">
      <c r="B146" s="26"/>
      <c r="C146" s="26"/>
      <c r="D146" s="26"/>
      <c r="E146" s="26"/>
      <c r="F146" s="245"/>
      <c r="G146" s="26"/>
      <c r="H146" s="64"/>
      <c r="I146" s="27"/>
      <c r="J146" s="27"/>
      <c r="K146" s="245"/>
      <c r="L146" s="26"/>
      <c r="M146" s="26"/>
      <c r="N146" s="65"/>
      <c r="AT146" s="26"/>
    </row>
    <row r="147" spans="2:46" ht="15">
      <c r="B147" s="26"/>
      <c r="C147" s="26"/>
      <c r="D147" s="26"/>
      <c r="E147" s="26"/>
      <c r="F147" s="245"/>
      <c r="G147" s="26"/>
      <c r="H147" s="64"/>
      <c r="I147" s="27"/>
      <c r="J147" s="27"/>
      <c r="K147" s="245"/>
      <c r="L147" s="26"/>
      <c r="M147" s="26"/>
      <c r="N147" s="65"/>
      <c r="AT147" s="26"/>
    </row>
    <row r="148" spans="2:46" ht="15">
      <c r="B148" s="26"/>
      <c r="C148" s="26"/>
      <c r="D148" s="26"/>
      <c r="E148" s="26"/>
      <c r="F148" s="245"/>
      <c r="G148" s="26"/>
      <c r="H148" s="64"/>
      <c r="I148" s="27"/>
      <c r="J148" s="27"/>
      <c r="K148" s="245"/>
      <c r="L148" s="26"/>
      <c r="M148" s="26"/>
      <c r="N148" s="65"/>
      <c r="AT148" s="26"/>
    </row>
    <row r="149" spans="2:46" ht="15">
      <c r="B149" s="26"/>
      <c r="C149" s="26"/>
      <c r="D149" s="26"/>
      <c r="E149" s="26"/>
      <c r="F149" s="245"/>
      <c r="G149" s="26"/>
      <c r="H149" s="64"/>
      <c r="I149" s="27"/>
      <c r="J149" s="27"/>
      <c r="K149" s="245"/>
      <c r="L149" s="26"/>
      <c r="M149" s="26"/>
      <c r="N149" s="65"/>
      <c r="AT149" s="26"/>
    </row>
    <row r="150" spans="2:46" ht="15">
      <c r="B150" s="26"/>
      <c r="C150" s="26"/>
      <c r="D150" s="26"/>
      <c r="E150" s="26"/>
      <c r="F150" s="245"/>
      <c r="G150" s="26"/>
      <c r="H150" s="64"/>
      <c r="I150" s="27"/>
      <c r="J150" s="27"/>
      <c r="K150" s="245"/>
      <c r="L150" s="26"/>
      <c r="M150" s="26"/>
      <c r="N150" s="65"/>
      <c r="AT150" s="26"/>
    </row>
    <row r="151" spans="2:46" ht="15">
      <c r="B151" s="26"/>
      <c r="C151" s="26"/>
      <c r="D151" s="26"/>
      <c r="E151" s="26"/>
      <c r="F151" s="245"/>
      <c r="G151" s="26"/>
      <c r="H151" s="64"/>
      <c r="I151" s="27"/>
      <c r="J151" s="27"/>
      <c r="K151" s="245"/>
      <c r="L151" s="26"/>
      <c r="M151" s="26"/>
      <c r="N151" s="65"/>
      <c r="AT151" s="26"/>
    </row>
    <row r="152" spans="2:46" ht="15">
      <c r="B152" s="26"/>
      <c r="C152" s="26"/>
      <c r="D152" s="26"/>
      <c r="E152" s="26"/>
      <c r="F152" s="245"/>
      <c r="G152" s="26"/>
      <c r="H152" s="64"/>
      <c r="I152" s="27"/>
      <c r="J152" s="27"/>
      <c r="K152" s="245"/>
      <c r="L152" s="26"/>
      <c r="M152" s="26"/>
      <c r="N152" s="65"/>
      <c r="AT152" s="26"/>
    </row>
    <row r="153" spans="2:46" ht="15">
      <c r="B153" s="26"/>
      <c r="C153" s="26"/>
      <c r="D153" s="26"/>
      <c r="E153" s="26"/>
      <c r="F153" s="245"/>
      <c r="G153" s="26"/>
      <c r="H153" s="64"/>
      <c r="I153" s="27"/>
      <c r="J153" s="27"/>
      <c r="K153" s="245"/>
      <c r="L153" s="26"/>
      <c r="M153" s="26"/>
      <c r="N153" s="65"/>
      <c r="AT153" s="26"/>
    </row>
    <row r="154" spans="2:46" ht="15">
      <c r="B154" s="26"/>
      <c r="C154" s="26"/>
      <c r="D154" s="26"/>
      <c r="E154" s="26"/>
      <c r="F154" s="245"/>
      <c r="G154" s="26"/>
      <c r="H154" s="64"/>
      <c r="I154" s="27"/>
      <c r="J154" s="27"/>
      <c r="K154" s="245"/>
      <c r="L154" s="26"/>
      <c r="M154" s="26"/>
      <c r="N154" s="65"/>
      <c r="AT154" s="26"/>
    </row>
    <row r="155" spans="2:46" ht="15">
      <c r="B155" s="26"/>
      <c r="C155" s="26"/>
      <c r="D155" s="26"/>
      <c r="E155" s="26"/>
      <c r="F155" s="245"/>
      <c r="G155" s="26"/>
      <c r="H155" s="64"/>
      <c r="I155" s="27"/>
      <c r="J155" s="27"/>
      <c r="K155" s="245"/>
      <c r="L155" s="26"/>
      <c r="M155" s="26"/>
      <c r="N155" s="65"/>
      <c r="AT155" s="26"/>
    </row>
    <row r="156" spans="2:46" ht="15">
      <c r="B156" s="26"/>
      <c r="C156" s="26"/>
      <c r="D156" s="26"/>
      <c r="E156" s="26"/>
      <c r="F156" s="245"/>
      <c r="G156" s="26"/>
      <c r="H156" s="64"/>
      <c r="I156" s="27"/>
      <c r="J156" s="27"/>
      <c r="K156" s="245"/>
      <c r="L156" s="26"/>
      <c r="M156" s="26"/>
      <c r="N156" s="65"/>
      <c r="AT156" s="26"/>
    </row>
    <row r="157" spans="2:46" ht="15">
      <c r="B157" s="26"/>
      <c r="C157" s="26"/>
      <c r="D157" s="26"/>
      <c r="E157" s="26"/>
      <c r="F157" s="245"/>
      <c r="G157" s="26"/>
      <c r="H157" s="64"/>
      <c r="I157" s="27"/>
      <c r="J157" s="27"/>
      <c r="K157" s="245"/>
      <c r="L157" s="26"/>
      <c r="M157" s="26"/>
      <c r="N157" s="65"/>
      <c r="AT157" s="26"/>
    </row>
    <row r="158" spans="2:46" ht="15">
      <c r="B158" s="26"/>
      <c r="C158" s="26"/>
      <c r="D158" s="26"/>
      <c r="E158" s="26"/>
      <c r="F158" s="245"/>
      <c r="G158" s="26"/>
      <c r="H158" s="64"/>
      <c r="I158" s="27"/>
      <c r="J158" s="27"/>
      <c r="K158" s="245"/>
      <c r="L158" s="26"/>
      <c r="M158" s="26"/>
      <c r="N158" s="65"/>
      <c r="AT158" s="26"/>
    </row>
    <row r="159" spans="2:46" ht="15">
      <c r="B159" s="26"/>
      <c r="C159" s="26"/>
      <c r="D159" s="26"/>
      <c r="E159" s="26"/>
      <c r="F159" s="245"/>
      <c r="G159" s="26"/>
      <c r="H159" s="64"/>
      <c r="I159" s="27"/>
      <c r="J159" s="27"/>
      <c r="K159" s="245"/>
      <c r="L159" s="26"/>
      <c r="M159" s="26"/>
      <c r="N159" s="65"/>
      <c r="AT159" s="26"/>
    </row>
    <row r="160" spans="2:46" ht="15">
      <c r="B160" s="26"/>
      <c r="C160" s="26"/>
      <c r="D160" s="26"/>
      <c r="E160" s="26"/>
      <c r="F160" s="245"/>
      <c r="G160" s="26"/>
      <c r="H160" s="64"/>
      <c r="I160" s="27"/>
      <c r="J160" s="27"/>
      <c r="K160" s="245"/>
      <c r="L160" s="26"/>
      <c r="M160" s="26"/>
      <c r="N160" s="65"/>
      <c r="AT160" s="26"/>
    </row>
    <row r="161" spans="2:46" ht="15">
      <c r="B161" s="26"/>
      <c r="C161" s="26"/>
      <c r="D161" s="26"/>
      <c r="E161" s="26"/>
      <c r="F161" s="245"/>
      <c r="G161" s="26"/>
      <c r="H161" s="64"/>
      <c r="I161" s="27"/>
      <c r="J161" s="27"/>
      <c r="K161" s="245"/>
      <c r="L161" s="26"/>
      <c r="M161" s="26"/>
      <c r="N161" s="65"/>
      <c r="AT161" s="26"/>
    </row>
    <row r="162" spans="2:46" ht="15">
      <c r="B162" s="26"/>
      <c r="C162" s="26"/>
      <c r="D162" s="26"/>
      <c r="E162" s="26"/>
      <c r="F162" s="245"/>
      <c r="G162" s="26"/>
      <c r="H162" s="64"/>
      <c r="I162" s="27"/>
      <c r="J162" s="27"/>
      <c r="K162" s="245"/>
      <c r="L162" s="26"/>
      <c r="M162" s="26"/>
      <c r="N162" s="65"/>
      <c r="AT162" s="26"/>
    </row>
    <row r="163" spans="2:46" ht="15">
      <c r="B163" s="26"/>
      <c r="C163" s="26"/>
      <c r="D163" s="26"/>
      <c r="E163" s="26"/>
      <c r="F163" s="245"/>
      <c r="G163" s="26"/>
      <c r="H163" s="64"/>
      <c r="I163" s="27"/>
      <c r="J163" s="27"/>
      <c r="K163" s="245"/>
      <c r="L163" s="26"/>
      <c r="M163" s="26"/>
      <c r="N163" s="65"/>
      <c r="AT163" s="26"/>
    </row>
    <row r="164" spans="2:46" ht="15">
      <c r="B164" s="26"/>
      <c r="C164" s="26"/>
      <c r="D164" s="26"/>
      <c r="E164" s="26"/>
      <c r="F164" s="245"/>
      <c r="G164" s="26"/>
      <c r="H164" s="64"/>
      <c r="I164" s="27"/>
      <c r="J164" s="27"/>
      <c r="K164" s="245"/>
      <c r="L164" s="26"/>
      <c r="M164" s="26"/>
      <c r="N164" s="65"/>
      <c r="AT164" s="26"/>
    </row>
    <row r="165" spans="2:46" ht="15">
      <c r="B165" s="26"/>
      <c r="C165" s="26"/>
      <c r="D165" s="26"/>
      <c r="E165" s="26"/>
      <c r="F165" s="245"/>
      <c r="G165" s="26"/>
      <c r="H165" s="64"/>
      <c r="I165" s="27"/>
      <c r="J165" s="27"/>
      <c r="K165" s="245"/>
      <c r="L165" s="26"/>
      <c r="M165" s="26"/>
      <c r="N165" s="65"/>
      <c r="AT165" s="26"/>
    </row>
    <row r="166" spans="2:46" ht="15">
      <c r="B166" s="26"/>
      <c r="C166" s="26"/>
      <c r="D166" s="26"/>
      <c r="E166" s="26"/>
      <c r="F166" s="245"/>
      <c r="G166" s="26"/>
      <c r="H166" s="64"/>
      <c r="I166" s="27"/>
      <c r="J166" s="27"/>
      <c r="K166" s="245"/>
      <c r="L166" s="26"/>
      <c r="M166" s="26"/>
      <c r="N166" s="65"/>
      <c r="AT166" s="26"/>
    </row>
    <row r="167" spans="2:46" ht="15">
      <c r="B167" s="26"/>
      <c r="C167" s="26"/>
      <c r="D167" s="26"/>
      <c r="E167" s="26"/>
      <c r="F167" s="245"/>
      <c r="G167" s="26"/>
      <c r="H167" s="64"/>
      <c r="I167" s="27"/>
      <c r="J167" s="27"/>
      <c r="K167" s="245"/>
      <c r="L167" s="26"/>
      <c r="M167" s="26"/>
      <c r="N167" s="65"/>
      <c r="AT167" s="26"/>
    </row>
    <row r="168" spans="2:46" ht="15">
      <c r="B168" s="26"/>
      <c r="C168" s="26"/>
      <c r="D168" s="26"/>
      <c r="E168" s="26"/>
      <c r="F168" s="245"/>
      <c r="G168" s="26"/>
      <c r="H168" s="64"/>
      <c r="I168" s="27"/>
      <c r="J168" s="27"/>
      <c r="K168" s="245"/>
      <c r="L168" s="26"/>
      <c r="M168" s="26"/>
      <c r="N168" s="65"/>
      <c r="AT168" s="26"/>
    </row>
    <row r="169" spans="2:46" ht="15">
      <c r="B169" s="26"/>
      <c r="C169" s="26"/>
      <c r="D169" s="26"/>
      <c r="E169" s="26"/>
      <c r="F169" s="245"/>
      <c r="G169" s="26"/>
      <c r="H169" s="64"/>
      <c r="I169" s="27"/>
      <c r="J169" s="27"/>
      <c r="K169" s="245"/>
      <c r="L169" s="26"/>
      <c r="M169" s="26"/>
      <c r="N169" s="65"/>
      <c r="AT169" s="26"/>
    </row>
    <row r="170" spans="2:46" ht="15">
      <c r="B170" s="26"/>
      <c r="C170" s="26"/>
      <c r="D170" s="26"/>
      <c r="E170" s="26"/>
      <c r="F170" s="245"/>
      <c r="G170" s="26"/>
      <c r="H170" s="64"/>
      <c r="I170" s="27"/>
      <c r="J170" s="27"/>
      <c r="K170" s="245"/>
      <c r="L170" s="26"/>
      <c r="M170" s="26"/>
      <c r="N170" s="65"/>
      <c r="AT170" s="26"/>
    </row>
    <row r="171" spans="2:46" ht="15">
      <c r="B171" s="26"/>
      <c r="C171" s="26"/>
      <c r="D171" s="26"/>
      <c r="E171" s="26"/>
      <c r="F171" s="245"/>
      <c r="G171" s="26"/>
      <c r="H171" s="64"/>
      <c r="I171" s="27"/>
      <c r="J171" s="27"/>
      <c r="K171" s="245"/>
      <c r="L171" s="26"/>
      <c r="M171" s="26"/>
      <c r="N171" s="65"/>
      <c r="AT171" s="26"/>
    </row>
    <row r="172" spans="2:46" ht="15">
      <c r="B172" s="26"/>
      <c r="C172" s="26"/>
      <c r="D172" s="26"/>
      <c r="E172" s="26"/>
      <c r="F172" s="245"/>
      <c r="G172" s="26"/>
      <c r="H172" s="64"/>
      <c r="I172" s="27"/>
      <c r="J172" s="27"/>
      <c r="K172" s="245"/>
      <c r="L172" s="26"/>
      <c r="M172" s="26"/>
      <c r="N172" s="65"/>
      <c r="AT172" s="26"/>
    </row>
    <row r="173" spans="2:46" ht="15">
      <c r="B173" s="26"/>
      <c r="C173" s="26"/>
      <c r="D173" s="26"/>
      <c r="E173" s="26"/>
      <c r="F173" s="245"/>
      <c r="G173" s="26"/>
      <c r="H173" s="64"/>
      <c r="I173" s="27"/>
      <c r="J173" s="27"/>
      <c r="K173" s="245"/>
      <c r="L173" s="26"/>
      <c r="M173" s="26"/>
      <c r="N173" s="65"/>
      <c r="AT173" s="26"/>
    </row>
    <row r="174" spans="2:46" ht="15">
      <c r="B174" s="26"/>
      <c r="C174" s="26"/>
      <c r="D174" s="26"/>
      <c r="E174" s="26"/>
      <c r="F174" s="245"/>
      <c r="G174" s="26"/>
      <c r="H174" s="64"/>
      <c r="I174" s="27"/>
      <c r="J174" s="27"/>
      <c r="K174" s="245"/>
      <c r="L174" s="26"/>
      <c r="M174" s="26"/>
      <c r="N174" s="65"/>
      <c r="AT174" s="26"/>
    </row>
    <row r="175" spans="2:46" ht="15">
      <c r="B175" s="26"/>
      <c r="C175" s="26"/>
      <c r="D175" s="26"/>
      <c r="E175" s="26"/>
      <c r="F175" s="245"/>
      <c r="G175" s="26"/>
      <c r="H175" s="64"/>
      <c r="I175" s="27"/>
      <c r="J175" s="27"/>
      <c r="K175" s="245"/>
      <c r="L175" s="26"/>
      <c r="M175" s="26"/>
      <c r="N175" s="65"/>
      <c r="AT175" s="26"/>
    </row>
    <row r="176" spans="2:46" ht="15">
      <c r="B176" s="26"/>
      <c r="C176" s="26"/>
      <c r="D176" s="26"/>
      <c r="E176" s="26"/>
      <c r="F176" s="245"/>
      <c r="G176" s="26"/>
      <c r="H176" s="64"/>
      <c r="I176" s="27"/>
      <c r="J176" s="27"/>
      <c r="K176" s="245"/>
      <c r="L176" s="26"/>
      <c r="M176" s="26"/>
      <c r="N176" s="65"/>
      <c r="AT176" s="26"/>
    </row>
    <row r="177" spans="2:46" ht="15">
      <c r="B177" s="26"/>
      <c r="C177" s="26"/>
      <c r="D177" s="26"/>
      <c r="E177" s="26"/>
      <c r="F177" s="245"/>
      <c r="G177" s="26"/>
      <c r="H177" s="64"/>
      <c r="I177" s="27"/>
      <c r="J177" s="27"/>
      <c r="K177" s="245"/>
      <c r="L177" s="26"/>
      <c r="M177" s="26"/>
      <c r="N177" s="65"/>
      <c r="AT177" s="26"/>
    </row>
    <row r="178" spans="2:46" ht="15">
      <c r="B178" s="26"/>
      <c r="C178" s="26"/>
      <c r="D178" s="26"/>
      <c r="E178" s="26"/>
      <c r="F178" s="245"/>
      <c r="G178" s="26"/>
      <c r="H178" s="64"/>
      <c r="I178" s="27"/>
      <c r="J178" s="27"/>
      <c r="K178" s="245"/>
      <c r="L178" s="26"/>
      <c r="M178" s="26"/>
      <c r="N178" s="65"/>
      <c r="AT178" s="26"/>
    </row>
    <row r="179" spans="2:46" ht="15">
      <c r="B179" s="26"/>
      <c r="C179" s="26"/>
      <c r="D179" s="26"/>
      <c r="E179" s="26"/>
      <c r="F179" s="245"/>
      <c r="G179" s="26"/>
      <c r="H179" s="64"/>
      <c r="I179" s="27"/>
      <c r="J179" s="27"/>
      <c r="K179" s="245"/>
      <c r="L179" s="26"/>
      <c r="M179" s="26"/>
      <c r="N179" s="65"/>
      <c r="AT179" s="26"/>
    </row>
    <row r="180" spans="2:46" ht="15">
      <c r="B180" s="26"/>
      <c r="C180" s="26"/>
      <c r="D180" s="26"/>
      <c r="E180" s="26"/>
      <c r="F180" s="245"/>
      <c r="G180" s="26"/>
      <c r="H180" s="64"/>
      <c r="I180" s="27"/>
      <c r="J180" s="27"/>
      <c r="K180" s="245"/>
      <c r="L180" s="26"/>
      <c r="M180" s="26"/>
      <c r="N180" s="65"/>
      <c r="AT180" s="26"/>
    </row>
    <row r="181" spans="2:46" ht="15">
      <c r="B181" s="26"/>
      <c r="C181" s="26"/>
      <c r="D181" s="26"/>
      <c r="E181" s="26"/>
      <c r="F181" s="245"/>
      <c r="G181" s="26"/>
      <c r="H181" s="64"/>
      <c r="I181" s="27"/>
      <c r="J181" s="27"/>
      <c r="K181" s="245"/>
      <c r="L181" s="26"/>
      <c r="M181" s="26"/>
      <c r="N181" s="65"/>
      <c r="AT181" s="26"/>
    </row>
    <row r="182" spans="2:46" ht="15">
      <c r="B182" s="26"/>
      <c r="C182" s="26"/>
      <c r="D182" s="26"/>
      <c r="E182" s="26"/>
      <c r="F182" s="245"/>
      <c r="G182" s="26"/>
      <c r="H182" s="64"/>
      <c r="I182" s="27"/>
      <c r="J182" s="27"/>
      <c r="K182" s="245"/>
      <c r="L182" s="26"/>
      <c r="M182" s="26"/>
      <c r="N182" s="65"/>
      <c r="AT182" s="26"/>
    </row>
    <row r="183" spans="2:46" ht="15">
      <c r="B183" s="26"/>
      <c r="C183" s="26"/>
      <c r="D183" s="26"/>
      <c r="E183" s="26"/>
      <c r="F183" s="245"/>
      <c r="G183" s="26"/>
      <c r="H183" s="64"/>
      <c r="I183" s="27"/>
      <c r="J183" s="27"/>
      <c r="K183" s="245"/>
      <c r="L183" s="26"/>
      <c r="M183" s="26"/>
      <c r="N183" s="65"/>
      <c r="AT183" s="26"/>
    </row>
    <row r="184" spans="2:46" ht="15">
      <c r="B184" s="26"/>
      <c r="C184" s="26"/>
      <c r="D184" s="26"/>
      <c r="E184" s="26"/>
      <c r="F184" s="245"/>
      <c r="G184" s="26"/>
      <c r="H184" s="64"/>
      <c r="I184" s="27"/>
      <c r="J184" s="27"/>
      <c r="K184" s="245"/>
      <c r="L184" s="26"/>
      <c r="M184" s="26"/>
      <c r="N184" s="65"/>
      <c r="AT184" s="26"/>
    </row>
    <row r="185" spans="2:46" ht="15">
      <c r="B185" s="26"/>
      <c r="C185" s="26"/>
      <c r="D185" s="26"/>
      <c r="E185" s="26"/>
      <c r="F185" s="245"/>
      <c r="G185" s="26"/>
      <c r="H185" s="64"/>
      <c r="I185" s="27"/>
      <c r="J185" s="27"/>
      <c r="K185" s="245"/>
      <c r="L185" s="26"/>
      <c r="M185" s="26"/>
      <c r="N185" s="65"/>
      <c r="AT185" s="26"/>
    </row>
    <row r="186" spans="2:46" ht="15">
      <c r="B186" s="26"/>
      <c r="C186" s="26"/>
      <c r="D186" s="26"/>
      <c r="E186" s="26"/>
      <c r="F186" s="245"/>
      <c r="G186" s="26"/>
      <c r="H186" s="64"/>
      <c r="I186" s="27"/>
      <c r="J186" s="27"/>
      <c r="K186" s="245"/>
      <c r="L186" s="26"/>
      <c r="M186" s="26"/>
      <c r="N186" s="65"/>
      <c r="AT186" s="26"/>
    </row>
    <row r="187" spans="2:46" ht="15">
      <c r="B187" s="26"/>
      <c r="C187" s="26"/>
      <c r="D187" s="26"/>
      <c r="E187" s="26"/>
      <c r="F187" s="245"/>
      <c r="G187" s="26"/>
      <c r="H187" s="64"/>
      <c r="I187" s="27"/>
      <c r="J187" s="27"/>
      <c r="K187" s="245"/>
      <c r="L187" s="26"/>
      <c r="M187" s="26"/>
      <c r="N187" s="65"/>
      <c r="AT187" s="26"/>
    </row>
    <row r="188" spans="2:46" ht="15">
      <c r="B188" s="26"/>
      <c r="C188" s="26"/>
      <c r="D188" s="26"/>
      <c r="E188" s="26"/>
      <c r="F188" s="245"/>
      <c r="G188" s="26"/>
      <c r="H188" s="64"/>
      <c r="I188" s="27"/>
      <c r="J188" s="27"/>
      <c r="K188" s="245"/>
      <c r="L188" s="26"/>
      <c r="M188" s="26"/>
      <c r="N188" s="65"/>
      <c r="AT188" s="26"/>
    </row>
    <row r="189" spans="2:46" ht="15">
      <c r="B189" s="26"/>
      <c r="C189" s="26"/>
      <c r="D189" s="26"/>
      <c r="E189" s="26"/>
      <c r="F189" s="245"/>
      <c r="G189" s="26"/>
      <c r="H189" s="64"/>
      <c r="I189" s="27"/>
      <c r="J189" s="27"/>
      <c r="K189" s="245"/>
      <c r="L189" s="26"/>
      <c r="M189" s="26"/>
      <c r="N189" s="65"/>
      <c r="AT189" s="26"/>
    </row>
    <row r="190" spans="2:46" ht="15">
      <c r="B190" s="26"/>
      <c r="C190" s="26"/>
      <c r="D190" s="26"/>
      <c r="E190" s="26"/>
      <c r="F190" s="245"/>
      <c r="G190" s="26"/>
      <c r="H190" s="64"/>
      <c r="I190" s="27"/>
      <c r="J190" s="27"/>
      <c r="K190" s="245"/>
      <c r="L190" s="26"/>
      <c r="M190" s="26"/>
      <c r="N190" s="65"/>
      <c r="AT190" s="26"/>
    </row>
    <row r="191" spans="2:46" ht="15">
      <c r="B191" s="26"/>
      <c r="C191" s="26"/>
      <c r="D191" s="26"/>
      <c r="E191" s="26"/>
      <c r="F191" s="245"/>
      <c r="G191" s="26"/>
      <c r="H191" s="64"/>
      <c r="I191" s="27"/>
      <c r="J191" s="27"/>
      <c r="K191" s="245"/>
      <c r="L191" s="26"/>
      <c r="M191" s="26"/>
      <c r="N191" s="65"/>
      <c r="AT191" s="26"/>
    </row>
    <row r="192" spans="2:46" ht="15">
      <c r="B192" s="26"/>
      <c r="C192" s="26"/>
      <c r="D192" s="26"/>
      <c r="E192" s="26"/>
      <c r="F192" s="245"/>
      <c r="G192" s="26"/>
      <c r="H192" s="64"/>
      <c r="I192" s="27"/>
      <c r="J192" s="27"/>
      <c r="K192" s="245"/>
      <c r="L192" s="26"/>
      <c r="M192" s="26"/>
      <c r="N192" s="65"/>
      <c r="AT192" s="26"/>
    </row>
    <row r="193" spans="2:46" ht="15">
      <c r="B193" s="26"/>
      <c r="C193" s="26"/>
      <c r="D193" s="26"/>
      <c r="E193" s="26"/>
      <c r="F193" s="245"/>
      <c r="G193" s="26"/>
      <c r="H193" s="64"/>
      <c r="I193" s="27"/>
      <c r="J193" s="27"/>
      <c r="K193" s="245"/>
      <c r="L193" s="26"/>
      <c r="M193" s="26"/>
      <c r="N193" s="65"/>
      <c r="AT193" s="26"/>
    </row>
    <row r="194" spans="2:46" ht="15">
      <c r="B194" s="26"/>
      <c r="C194" s="26"/>
      <c r="D194" s="26"/>
      <c r="E194" s="26"/>
      <c r="F194" s="245"/>
      <c r="G194" s="26"/>
      <c r="H194" s="64"/>
      <c r="I194" s="27"/>
      <c r="J194" s="27"/>
      <c r="K194" s="245"/>
      <c r="L194" s="26"/>
      <c r="M194" s="26"/>
      <c r="N194" s="65"/>
      <c r="AT194" s="26"/>
    </row>
    <row r="195" spans="2:46" ht="15">
      <c r="B195" s="26"/>
      <c r="C195" s="26"/>
      <c r="D195" s="26"/>
      <c r="E195" s="26"/>
      <c r="F195" s="245"/>
      <c r="G195" s="26"/>
      <c r="H195" s="64"/>
      <c r="I195" s="27"/>
      <c r="J195" s="27"/>
      <c r="K195" s="245"/>
      <c r="L195" s="26"/>
      <c r="M195" s="26"/>
      <c r="N195" s="65"/>
      <c r="AT195" s="26"/>
    </row>
    <row r="196" spans="2:46" ht="15">
      <c r="B196" s="26"/>
      <c r="C196" s="26"/>
      <c r="D196" s="26"/>
      <c r="E196" s="26"/>
      <c r="F196" s="245"/>
      <c r="G196" s="26"/>
      <c r="H196" s="64"/>
      <c r="I196" s="27"/>
      <c r="J196" s="27"/>
      <c r="K196" s="245"/>
      <c r="L196" s="26"/>
      <c r="M196" s="26"/>
      <c r="N196" s="65"/>
      <c r="AT196" s="26"/>
    </row>
    <row r="197" spans="2:46" ht="15">
      <c r="B197" s="26"/>
      <c r="C197" s="26"/>
      <c r="D197" s="26"/>
      <c r="E197" s="26"/>
      <c r="F197" s="245"/>
      <c r="G197" s="26"/>
      <c r="H197" s="64"/>
      <c r="I197" s="27"/>
      <c r="J197" s="27"/>
      <c r="K197" s="245"/>
      <c r="L197" s="26"/>
      <c r="M197" s="26"/>
      <c r="N197" s="65"/>
      <c r="AT197" s="26"/>
    </row>
    <row r="198" spans="2:46" ht="15">
      <c r="B198" s="26"/>
      <c r="C198" s="26"/>
      <c r="D198" s="26"/>
      <c r="E198" s="26"/>
      <c r="F198" s="245"/>
      <c r="G198" s="26"/>
      <c r="H198" s="64"/>
      <c r="I198" s="27"/>
      <c r="J198" s="27"/>
      <c r="K198" s="245"/>
      <c r="L198" s="26"/>
      <c r="M198" s="26"/>
      <c r="N198" s="65"/>
      <c r="AT198" s="26"/>
    </row>
    <row r="199" spans="2:46" ht="15">
      <c r="B199" s="26"/>
      <c r="C199" s="26"/>
      <c r="D199" s="26"/>
      <c r="E199" s="26"/>
      <c r="F199" s="245"/>
      <c r="G199" s="26"/>
      <c r="H199" s="64"/>
      <c r="I199" s="27"/>
      <c r="J199" s="27"/>
      <c r="K199" s="245"/>
      <c r="L199" s="26"/>
      <c r="M199" s="26"/>
      <c r="N199" s="65"/>
      <c r="AT199" s="26"/>
    </row>
    <row r="200" spans="2:46" ht="15">
      <c r="B200" s="26"/>
      <c r="C200" s="26"/>
      <c r="D200" s="26"/>
      <c r="E200" s="26"/>
      <c r="F200" s="245"/>
      <c r="G200" s="26"/>
      <c r="H200" s="64"/>
      <c r="I200" s="27"/>
      <c r="J200" s="27"/>
      <c r="K200" s="245"/>
      <c r="L200" s="26"/>
      <c r="M200" s="26"/>
      <c r="N200" s="65"/>
      <c r="AT200" s="26"/>
    </row>
    <row r="201" spans="2:46" ht="15">
      <c r="B201" s="26"/>
      <c r="C201" s="26"/>
      <c r="D201" s="26"/>
      <c r="E201" s="26"/>
      <c r="F201" s="245"/>
      <c r="G201" s="26"/>
      <c r="H201" s="64"/>
      <c r="I201" s="27"/>
      <c r="J201" s="27"/>
      <c r="K201" s="245"/>
      <c r="L201" s="26"/>
      <c r="M201" s="26"/>
      <c r="N201" s="65"/>
      <c r="AT201" s="26"/>
    </row>
    <row r="202" spans="2:46" ht="15">
      <c r="B202" s="26"/>
      <c r="C202" s="26"/>
      <c r="D202" s="26"/>
      <c r="E202" s="26"/>
      <c r="F202" s="245"/>
      <c r="G202" s="26"/>
      <c r="H202" s="64"/>
      <c r="I202" s="27"/>
      <c r="J202" s="27"/>
      <c r="K202" s="245"/>
      <c r="L202" s="26"/>
      <c r="M202" s="26"/>
      <c r="N202" s="65"/>
      <c r="AT202" s="26"/>
    </row>
    <row r="203" spans="2:46" ht="15">
      <c r="B203" s="26"/>
      <c r="C203" s="26"/>
      <c r="D203" s="26"/>
      <c r="E203" s="26"/>
      <c r="F203" s="245"/>
      <c r="G203" s="26"/>
      <c r="H203" s="64"/>
      <c r="I203" s="27"/>
      <c r="J203" s="27"/>
      <c r="K203" s="245"/>
      <c r="L203" s="26"/>
      <c r="M203" s="26"/>
      <c r="N203" s="65"/>
      <c r="AT203" s="26"/>
    </row>
    <row r="204" spans="2:46" ht="15">
      <c r="B204" s="26"/>
      <c r="C204" s="26"/>
      <c r="D204" s="26"/>
      <c r="E204" s="26"/>
      <c r="F204" s="245"/>
      <c r="G204" s="26"/>
      <c r="H204" s="64"/>
      <c r="I204" s="27"/>
      <c r="J204" s="27"/>
      <c r="K204" s="245"/>
      <c r="L204" s="26"/>
      <c r="M204" s="26"/>
      <c r="N204" s="65"/>
      <c r="AT204" s="26"/>
    </row>
    <row r="205" spans="2:46" ht="15">
      <c r="B205" s="26"/>
      <c r="C205" s="26"/>
      <c r="D205" s="26"/>
      <c r="E205" s="26"/>
      <c r="F205" s="245"/>
      <c r="G205" s="26"/>
      <c r="H205" s="64"/>
      <c r="I205" s="27"/>
      <c r="J205" s="27"/>
      <c r="K205" s="245"/>
      <c r="L205" s="26"/>
      <c r="M205" s="26"/>
      <c r="N205" s="65"/>
      <c r="AT205" s="26"/>
    </row>
    <row r="206" spans="2:46" ht="15">
      <c r="B206" s="26"/>
      <c r="C206" s="26"/>
      <c r="D206" s="26"/>
      <c r="E206" s="26"/>
      <c r="F206" s="245"/>
      <c r="G206" s="26"/>
      <c r="H206" s="64"/>
      <c r="I206" s="27"/>
      <c r="J206" s="27"/>
      <c r="K206" s="245"/>
      <c r="L206" s="26"/>
      <c r="M206" s="26"/>
      <c r="N206" s="65"/>
      <c r="AT206" s="26"/>
    </row>
    <row r="207" spans="2:46" ht="15">
      <c r="B207" s="26"/>
      <c r="C207" s="26"/>
      <c r="D207" s="26"/>
      <c r="E207" s="26"/>
      <c r="F207" s="245"/>
      <c r="G207" s="26"/>
      <c r="H207" s="64"/>
      <c r="I207" s="27"/>
      <c r="J207" s="27"/>
      <c r="K207" s="245"/>
      <c r="L207" s="26"/>
      <c r="M207" s="26"/>
      <c r="N207" s="65"/>
      <c r="AT207" s="26"/>
    </row>
    <row r="208" spans="2:46" ht="15">
      <c r="B208" s="26"/>
      <c r="C208" s="26"/>
      <c r="D208" s="26"/>
      <c r="E208" s="26"/>
      <c r="F208" s="245"/>
      <c r="G208" s="26"/>
      <c r="H208" s="64"/>
      <c r="I208" s="27"/>
      <c r="J208" s="27"/>
      <c r="K208" s="245"/>
      <c r="L208" s="26"/>
      <c r="M208" s="26"/>
      <c r="N208" s="65"/>
      <c r="AT208" s="26"/>
    </row>
    <row r="209" spans="2:46" ht="15">
      <c r="B209" s="26"/>
      <c r="C209" s="26"/>
      <c r="D209" s="26"/>
      <c r="E209" s="26"/>
      <c r="F209" s="245"/>
      <c r="G209" s="26"/>
      <c r="H209" s="64"/>
      <c r="I209" s="27"/>
      <c r="J209" s="27"/>
      <c r="K209" s="245"/>
      <c r="L209" s="26"/>
      <c r="M209" s="26"/>
      <c r="N209" s="65"/>
      <c r="AT209" s="26"/>
    </row>
    <row r="210" spans="2:46" ht="15">
      <c r="B210" s="26"/>
      <c r="C210" s="26"/>
      <c r="D210" s="26"/>
      <c r="E210" s="26"/>
      <c r="F210" s="245"/>
      <c r="G210" s="26"/>
      <c r="H210" s="64"/>
      <c r="I210" s="27"/>
      <c r="J210" s="27"/>
      <c r="K210" s="245"/>
      <c r="L210" s="26"/>
      <c r="M210" s="26"/>
      <c r="N210" s="65"/>
      <c r="AT210" s="26"/>
    </row>
    <row r="211" spans="2:46" ht="15">
      <c r="B211" s="26"/>
      <c r="C211" s="26"/>
      <c r="D211" s="26"/>
      <c r="E211" s="26"/>
      <c r="F211" s="245"/>
      <c r="G211" s="26"/>
      <c r="H211" s="64"/>
      <c r="I211" s="27"/>
      <c r="J211" s="27"/>
      <c r="K211" s="245"/>
      <c r="L211" s="26"/>
      <c r="M211" s="26"/>
      <c r="N211" s="65"/>
      <c r="AT211" s="26"/>
    </row>
    <row r="212" spans="2:46" ht="15">
      <c r="B212" s="26"/>
      <c r="C212" s="26"/>
      <c r="D212" s="26"/>
      <c r="E212" s="26"/>
      <c r="F212" s="245"/>
      <c r="G212" s="26"/>
      <c r="H212" s="64"/>
      <c r="I212" s="27"/>
      <c r="J212" s="27"/>
      <c r="K212" s="245"/>
      <c r="L212" s="26"/>
      <c r="M212" s="26"/>
      <c r="N212" s="65"/>
      <c r="AT212" s="26"/>
    </row>
    <row r="213" spans="2:46" ht="15">
      <c r="B213" s="26"/>
      <c r="C213" s="26"/>
      <c r="D213" s="26"/>
      <c r="E213" s="26"/>
      <c r="F213" s="245"/>
      <c r="G213" s="26"/>
      <c r="H213" s="64"/>
      <c r="I213" s="27"/>
      <c r="J213" s="27"/>
      <c r="K213" s="245"/>
      <c r="L213" s="26"/>
      <c r="M213" s="26"/>
      <c r="N213" s="65"/>
      <c r="AT213" s="26"/>
    </row>
    <row r="214" spans="2:46" ht="15">
      <c r="B214" s="26"/>
      <c r="C214" s="26"/>
      <c r="D214" s="26"/>
      <c r="E214" s="26"/>
      <c r="F214" s="245"/>
      <c r="G214" s="26"/>
      <c r="H214" s="64"/>
      <c r="I214" s="27"/>
      <c r="J214" s="27"/>
      <c r="K214" s="245"/>
      <c r="L214" s="26"/>
      <c r="M214" s="26"/>
      <c r="N214" s="65"/>
      <c r="AT214" s="26"/>
    </row>
    <row r="215" spans="2:46" ht="15">
      <c r="B215" s="26"/>
      <c r="C215" s="26"/>
      <c r="D215" s="26"/>
      <c r="E215" s="26"/>
      <c r="F215" s="245"/>
      <c r="G215" s="26"/>
      <c r="H215" s="64"/>
      <c r="I215" s="27"/>
      <c r="J215" s="27"/>
      <c r="K215" s="245"/>
      <c r="L215" s="26"/>
      <c r="M215" s="26"/>
      <c r="N215" s="65"/>
      <c r="AT215" s="26"/>
    </row>
    <row r="216" spans="2:46" ht="15">
      <c r="B216" s="26"/>
      <c r="C216" s="26"/>
      <c r="D216" s="26"/>
      <c r="E216" s="26"/>
      <c r="F216" s="245"/>
      <c r="G216" s="26"/>
      <c r="H216" s="64"/>
      <c r="I216" s="27"/>
      <c r="J216" s="27"/>
      <c r="K216" s="245"/>
      <c r="L216" s="26"/>
      <c r="M216" s="26"/>
      <c r="N216" s="65"/>
      <c r="AT216" s="26"/>
    </row>
    <row r="217" spans="2:46" ht="15">
      <c r="B217" s="26"/>
      <c r="C217" s="26"/>
      <c r="D217" s="26"/>
      <c r="E217" s="26"/>
      <c r="F217" s="245"/>
      <c r="G217" s="26"/>
      <c r="H217" s="64"/>
      <c r="I217" s="27"/>
      <c r="J217" s="27"/>
      <c r="K217" s="245"/>
      <c r="L217" s="26"/>
      <c r="M217" s="26"/>
      <c r="N217" s="65"/>
      <c r="AT217" s="26"/>
    </row>
    <row r="218" spans="2:46" ht="15">
      <c r="B218" s="26"/>
      <c r="C218" s="26"/>
      <c r="D218" s="26"/>
      <c r="E218" s="26"/>
      <c r="F218" s="245"/>
      <c r="G218" s="26"/>
      <c r="H218" s="64"/>
      <c r="I218" s="27"/>
      <c r="J218" s="27"/>
      <c r="K218" s="245"/>
      <c r="L218" s="26"/>
      <c r="M218" s="26"/>
      <c r="N218" s="65"/>
      <c r="AT218" s="26"/>
    </row>
    <row r="219" spans="2:46" ht="15">
      <c r="B219" s="26"/>
      <c r="C219" s="26"/>
      <c r="D219" s="26"/>
      <c r="E219" s="26"/>
      <c r="F219" s="245"/>
      <c r="G219" s="26"/>
      <c r="H219" s="64"/>
      <c r="I219" s="27"/>
      <c r="J219" s="27"/>
      <c r="K219" s="245"/>
      <c r="L219" s="26"/>
      <c r="M219" s="26"/>
      <c r="N219" s="65"/>
      <c r="AT219" s="26"/>
    </row>
    <row r="220" spans="2:46" ht="15">
      <c r="B220" s="26"/>
      <c r="C220" s="26"/>
      <c r="D220" s="26"/>
      <c r="E220" s="26"/>
      <c r="F220" s="245"/>
      <c r="G220" s="26"/>
      <c r="H220" s="64"/>
      <c r="I220" s="27"/>
      <c r="J220" s="27"/>
      <c r="K220" s="245"/>
      <c r="L220" s="26"/>
      <c r="M220" s="26"/>
      <c r="N220" s="65"/>
      <c r="AT220" s="26"/>
    </row>
    <row r="221" spans="2:46" ht="15">
      <c r="B221" s="26"/>
      <c r="C221" s="26"/>
      <c r="D221" s="26"/>
      <c r="E221" s="26"/>
      <c r="F221" s="245"/>
      <c r="G221" s="26"/>
      <c r="H221" s="64"/>
      <c r="I221" s="27"/>
      <c r="J221" s="27"/>
      <c r="K221" s="245"/>
      <c r="L221" s="26"/>
      <c r="M221" s="26"/>
      <c r="N221" s="65"/>
      <c r="AT221" s="26"/>
    </row>
    <row r="222" spans="2:46" ht="15">
      <c r="B222" s="26"/>
      <c r="C222" s="26"/>
      <c r="D222" s="26"/>
      <c r="E222" s="26"/>
      <c r="F222" s="245"/>
      <c r="G222" s="26"/>
      <c r="H222" s="64"/>
      <c r="I222" s="27"/>
      <c r="J222" s="27"/>
      <c r="K222" s="245"/>
      <c r="L222" s="26"/>
      <c r="M222" s="26"/>
      <c r="N222" s="65"/>
      <c r="AT222" s="26"/>
    </row>
    <row r="223" spans="2:46" ht="15">
      <c r="B223" s="26"/>
      <c r="C223" s="26"/>
      <c r="D223" s="26"/>
      <c r="E223" s="26"/>
      <c r="F223" s="245"/>
      <c r="G223" s="26"/>
      <c r="H223" s="64"/>
      <c r="I223" s="27"/>
      <c r="J223" s="27"/>
      <c r="K223" s="245"/>
      <c r="L223" s="26"/>
      <c r="M223" s="26"/>
      <c r="N223" s="65"/>
      <c r="AT223" s="26"/>
    </row>
    <row r="224" spans="2:46" ht="15">
      <c r="B224" s="26"/>
      <c r="C224" s="26"/>
      <c r="D224" s="26"/>
      <c r="E224" s="26"/>
      <c r="F224" s="245"/>
      <c r="G224" s="26"/>
      <c r="H224" s="64"/>
      <c r="I224" s="27"/>
      <c r="J224" s="27"/>
      <c r="K224" s="245"/>
      <c r="L224" s="26"/>
      <c r="M224" s="26"/>
      <c r="N224" s="65"/>
      <c r="AT224" s="26"/>
    </row>
    <row r="225" spans="2:46" ht="15">
      <c r="B225" s="26"/>
      <c r="C225" s="26"/>
      <c r="D225" s="26"/>
      <c r="E225" s="26"/>
      <c r="F225" s="245"/>
      <c r="G225" s="26"/>
      <c r="H225" s="64"/>
      <c r="I225" s="27"/>
      <c r="J225" s="27"/>
      <c r="K225" s="245"/>
      <c r="L225" s="26"/>
      <c r="M225" s="26"/>
      <c r="N225" s="65"/>
      <c r="AT225" s="26"/>
    </row>
    <row r="226" spans="2:46" ht="15">
      <c r="B226" s="26"/>
      <c r="C226" s="26"/>
      <c r="D226" s="26"/>
      <c r="E226" s="26"/>
      <c r="F226" s="245"/>
      <c r="G226" s="26"/>
      <c r="H226" s="64"/>
      <c r="I226" s="27"/>
      <c r="J226" s="27"/>
      <c r="K226" s="245"/>
      <c r="L226" s="26"/>
      <c r="M226" s="26"/>
      <c r="N226" s="65"/>
      <c r="AT226" s="26"/>
    </row>
    <row r="227" spans="2:46" ht="15">
      <c r="B227" s="26"/>
      <c r="C227" s="26"/>
      <c r="D227" s="26"/>
      <c r="E227" s="26"/>
      <c r="F227" s="245"/>
      <c r="G227" s="26"/>
      <c r="H227" s="64"/>
      <c r="I227" s="27"/>
      <c r="J227" s="27"/>
      <c r="K227" s="245"/>
      <c r="L227" s="26"/>
      <c r="M227" s="26"/>
      <c r="N227" s="65"/>
      <c r="AT227" s="26"/>
    </row>
    <row r="228" spans="2:46" ht="15">
      <c r="B228" s="26"/>
      <c r="C228" s="26"/>
      <c r="D228" s="26"/>
      <c r="E228" s="26"/>
      <c r="F228" s="245"/>
      <c r="G228" s="26"/>
      <c r="H228" s="64"/>
      <c r="I228" s="27"/>
      <c r="J228" s="27"/>
      <c r="K228" s="245"/>
      <c r="L228" s="26"/>
      <c r="M228" s="26"/>
      <c r="N228" s="65"/>
      <c r="AT228" s="26"/>
    </row>
    <row r="229" spans="2:46" ht="15">
      <c r="B229" s="26"/>
      <c r="C229" s="26"/>
      <c r="D229" s="26"/>
      <c r="E229" s="26"/>
      <c r="F229" s="245"/>
      <c r="G229" s="26"/>
      <c r="H229" s="64"/>
      <c r="I229" s="27"/>
      <c r="J229" s="27"/>
      <c r="K229" s="245"/>
      <c r="L229" s="26"/>
      <c r="M229" s="26"/>
      <c r="N229" s="65"/>
      <c r="AT229" s="26"/>
    </row>
    <row r="230" spans="2:46" ht="15">
      <c r="B230" s="26"/>
      <c r="C230" s="26"/>
      <c r="D230" s="26"/>
      <c r="E230" s="26"/>
      <c r="F230" s="245"/>
      <c r="G230" s="26"/>
      <c r="H230" s="64"/>
      <c r="I230" s="27"/>
      <c r="J230" s="27"/>
      <c r="K230" s="245"/>
      <c r="L230" s="26"/>
      <c r="M230" s="26"/>
      <c r="N230" s="65"/>
      <c r="AT230" s="26"/>
    </row>
    <row r="231" spans="2:46" ht="15">
      <c r="B231" s="26"/>
      <c r="C231" s="26"/>
      <c r="D231" s="26"/>
      <c r="E231" s="26"/>
      <c r="F231" s="245"/>
      <c r="G231" s="26"/>
      <c r="H231" s="64"/>
      <c r="I231" s="27"/>
      <c r="J231" s="27"/>
      <c r="K231" s="245"/>
      <c r="L231" s="26"/>
      <c r="M231" s="26"/>
      <c r="N231" s="65"/>
      <c r="AT231" s="26"/>
    </row>
    <row r="232" spans="2:46" ht="15">
      <c r="B232" s="26"/>
      <c r="C232" s="26"/>
      <c r="D232" s="26"/>
      <c r="E232" s="26"/>
      <c r="F232" s="245"/>
      <c r="G232" s="26"/>
      <c r="H232" s="64"/>
      <c r="I232" s="27"/>
      <c r="J232" s="27"/>
      <c r="K232" s="245"/>
      <c r="L232" s="26"/>
      <c r="M232" s="26"/>
      <c r="N232" s="65"/>
      <c r="AT232" s="26"/>
    </row>
    <row r="233" spans="2:46" ht="15">
      <c r="B233" s="26"/>
      <c r="C233" s="26"/>
      <c r="D233" s="26"/>
      <c r="E233" s="26"/>
      <c r="F233" s="245"/>
      <c r="G233" s="26"/>
      <c r="H233" s="64"/>
      <c r="I233" s="27"/>
      <c r="J233" s="27"/>
      <c r="K233" s="245"/>
      <c r="L233" s="26"/>
      <c r="M233" s="26"/>
      <c r="N233" s="65"/>
      <c r="AT233" s="26"/>
    </row>
    <row r="234" spans="2:46" ht="15">
      <c r="B234" s="26"/>
      <c r="C234" s="26"/>
      <c r="D234" s="26"/>
      <c r="E234" s="26"/>
      <c r="F234" s="245"/>
      <c r="G234" s="26"/>
      <c r="H234" s="64"/>
      <c r="I234" s="27"/>
      <c r="J234" s="27"/>
      <c r="K234" s="245"/>
      <c r="L234" s="26"/>
      <c r="M234" s="26"/>
      <c r="N234" s="65"/>
      <c r="AT234" s="26"/>
    </row>
    <row r="235" spans="2:46" ht="15">
      <c r="B235" s="26"/>
      <c r="C235" s="26"/>
      <c r="D235" s="26"/>
      <c r="E235" s="26"/>
      <c r="F235" s="245"/>
      <c r="G235" s="26"/>
      <c r="H235" s="64"/>
      <c r="I235" s="27"/>
      <c r="J235" s="27"/>
      <c r="K235" s="245"/>
      <c r="L235" s="26"/>
      <c r="M235" s="26"/>
      <c r="N235" s="65"/>
      <c r="AT235" s="26"/>
    </row>
    <row r="236" spans="2:46" ht="15">
      <c r="B236" s="26"/>
      <c r="C236" s="26"/>
      <c r="D236" s="26"/>
      <c r="E236" s="26"/>
      <c r="F236" s="245"/>
      <c r="G236" s="26"/>
      <c r="H236" s="64"/>
      <c r="I236" s="27"/>
      <c r="J236" s="27"/>
      <c r="K236" s="245"/>
      <c r="L236" s="26"/>
      <c r="M236" s="26"/>
      <c r="N236" s="65"/>
      <c r="AT236" s="26"/>
    </row>
    <row r="237" spans="2:46" ht="15">
      <c r="B237" s="26"/>
      <c r="C237" s="26"/>
      <c r="D237" s="26"/>
      <c r="E237" s="26"/>
      <c r="F237" s="245"/>
      <c r="G237" s="26"/>
      <c r="H237" s="64"/>
      <c r="I237" s="27"/>
      <c r="J237" s="27"/>
      <c r="K237" s="245"/>
      <c r="L237" s="26"/>
      <c r="M237" s="26"/>
      <c r="N237" s="65"/>
      <c r="AT237" s="26"/>
    </row>
    <row r="238" spans="2:46" ht="15">
      <c r="B238" s="26"/>
      <c r="C238" s="26"/>
      <c r="D238" s="26"/>
      <c r="E238" s="26"/>
      <c r="F238" s="245"/>
      <c r="G238" s="26"/>
      <c r="H238" s="64"/>
      <c r="I238" s="27"/>
      <c r="J238" s="27"/>
      <c r="K238" s="245"/>
      <c r="L238" s="26"/>
      <c r="M238" s="26"/>
      <c r="N238" s="65"/>
      <c r="AT238" s="26"/>
    </row>
    <row r="239" spans="2:46" ht="15">
      <c r="B239" s="26"/>
      <c r="C239" s="26"/>
      <c r="D239" s="26"/>
      <c r="E239" s="26"/>
      <c r="F239" s="245"/>
      <c r="G239" s="26"/>
      <c r="H239" s="64"/>
      <c r="I239" s="27"/>
      <c r="J239" s="27"/>
      <c r="K239" s="245"/>
      <c r="L239" s="26"/>
      <c r="M239" s="26"/>
      <c r="N239" s="65"/>
      <c r="AT239" s="26"/>
    </row>
    <row r="240" spans="2:46" ht="15">
      <c r="B240" s="26"/>
      <c r="C240" s="26"/>
      <c r="D240" s="26"/>
      <c r="E240" s="26"/>
      <c r="F240" s="245"/>
      <c r="G240" s="26"/>
      <c r="H240" s="64"/>
      <c r="I240" s="27"/>
      <c r="J240" s="27"/>
      <c r="K240" s="245"/>
      <c r="L240" s="26"/>
      <c r="M240" s="26"/>
      <c r="N240" s="65"/>
      <c r="AT240" s="26"/>
    </row>
    <row r="241" spans="2:46" ht="15">
      <c r="B241" s="26"/>
      <c r="C241" s="26"/>
      <c r="D241" s="26"/>
      <c r="E241" s="26"/>
      <c r="F241" s="245"/>
      <c r="G241" s="26"/>
      <c r="H241" s="64"/>
      <c r="I241" s="27"/>
      <c r="J241" s="27"/>
      <c r="K241" s="245"/>
      <c r="L241" s="26"/>
      <c r="M241" s="26"/>
      <c r="N241" s="65"/>
      <c r="AT241" s="26"/>
    </row>
    <row r="242" spans="2:46" ht="15">
      <c r="B242" s="26"/>
      <c r="C242" s="26"/>
      <c r="D242" s="26"/>
      <c r="E242" s="26"/>
      <c r="F242" s="245"/>
      <c r="G242" s="26"/>
      <c r="H242" s="64"/>
      <c r="I242" s="27"/>
      <c r="J242" s="27"/>
      <c r="K242" s="245"/>
      <c r="L242" s="26"/>
      <c r="M242" s="26"/>
      <c r="N242" s="65"/>
      <c r="AT242" s="26"/>
    </row>
    <row r="243" spans="2:46" ht="15">
      <c r="B243" s="26"/>
      <c r="C243" s="26"/>
      <c r="D243" s="26"/>
      <c r="E243" s="26"/>
      <c r="F243" s="245"/>
      <c r="G243" s="26"/>
      <c r="H243" s="64"/>
      <c r="I243" s="27"/>
      <c r="J243" s="27"/>
      <c r="K243" s="245"/>
      <c r="L243" s="26"/>
      <c r="M243" s="26"/>
      <c r="N243" s="65"/>
      <c r="AT243" s="26"/>
    </row>
    <row r="244" spans="2:46" ht="15">
      <c r="B244" s="26"/>
      <c r="C244" s="26"/>
      <c r="D244" s="26"/>
      <c r="E244" s="26"/>
      <c r="F244" s="245"/>
      <c r="G244" s="26"/>
      <c r="H244" s="64"/>
      <c r="I244" s="27"/>
      <c r="J244" s="27"/>
      <c r="K244" s="245"/>
      <c r="L244" s="26"/>
      <c r="M244" s="26"/>
      <c r="N244" s="65"/>
      <c r="AT244" s="26"/>
    </row>
    <row r="245" spans="2:46" ht="15">
      <c r="B245" s="26"/>
      <c r="C245" s="26"/>
      <c r="D245" s="26"/>
      <c r="E245" s="26"/>
      <c r="F245" s="245"/>
      <c r="G245" s="26"/>
      <c r="H245" s="64"/>
      <c r="I245" s="27"/>
      <c r="J245" s="27"/>
      <c r="K245" s="245"/>
      <c r="L245" s="26"/>
      <c r="M245" s="26"/>
      <c r="N245" s="65"/>
      <c r="AT245" s="26"/>
    </row>
    <row r="246" spans="2:46" ht="15">
      <c r="B246" s="26"/>
      <c r="C246" s="26"/>
      <c r="D246" s="26"/>
      <c r="E246" s="26"/>
      <c r="F246" s="245"/>
      <c r="G246" s="26"/>
      <c r="H246" s="64"/>
      <c r="I246" s="27"/>
      <c r="J246" s="27"/>
      <c r="K246" s="245"/>
      <c r="L246" s="26"/>
      <c r="M246" s="26"/>
      <c r="N246" s="65"/>
      <c r="AT246" s="26"/>
    </row>
    <row r="247" spans="2:46" ht="15">
      <c r="B247" s="26"/>
      <c r="C247" s="26"/>
      <c r="D247" s="26"/>
      <c r="E247" s="26"/>
      <c r="F247" s="245"/>
      <c r="G247" s="26"/>
      <c r="H247" s="64"/>
      <c r="I247" s="27"/>
      <c r="J247" s="27"/>
      <c r="K247" s="245"/>
      <c r="L247" s="26"/>
      <c r="M247" s="26"/>
      <c r="N247" s="65"/>
      <c r="AT247" s="26"/>
    </row>
    <row r="248" spans="2:46" ht="15">
      <c r="B248" s="26"/>
      <c r="C248" s="26"/>
      <c r="D248" s="26"/>
      <c r="E248" s="26"/>
      <c r="F248" s="245"/>
      <c r="G248" s="26"/>
      <c r="H248" s="64"/>
      <c r="I248" s="27"/>
      <c r="J248" s="27"/>
      <c r="K248" s="245"/>
      <c r="L248" s="26"/>
      <c r="M248" s="26"/>
      <c r="N248" s="65"/>
      <c r="AT248" s="26"/>
    </row>
    <row r="249" spans="2:46" ht="15">
      <c r="B249" s="26"/>
      <c r="C249" s="26"/>
      <c r="D249" s="26"/>
      <c r="E249" s="26"/>
      <c r="F249" s="245"/>
      <c r="G249" s="26"/>
      <c r="H249" s="64"/>
      <c r="I249" s="27"/>
      <c r="J249" s="27"/>
      <c r="K249" s="245"/>
      <c r="L249" s="26"/>
      <c r="M249" s="26"/>
      <c r="N249" s="65"/>
      <c r="AT249" s="26"/>
    </row>
    <row r="250" spans="2:46" ht="15">
      <c r="B250" s="26"/>
      <c r="C250" s="26"/>
      <c r="D250" s="26"/>
      <c r="E250" s="26"/>
      <c r="F250" s="245"/>
      <c r="G250" s="26"/>
      <c r="H250" s="64"/>
      <c r="I250" s="27"/>
      <c r="J250" s="27"/>
      <c r="K250" s="245"/>
      <c r="L250" s="26"/>
      <c r="M250" s="26"/>
      <c r="N250" s="65"/>
      <c r="AT250" s="26"/>
    </row>
    <row r="251" spans="2:46" ht="15">
      <c r="B251" s="26"/>
      <c r="C251" s="26"/>
      <c r="D251" s="26"/>
      <c r="E251" s="26"/>
      <c r="F251" s="245"/>
      <c r="G251" s="26"/>
      <c r="H251" s="64"/>
      <c r="I251" s="27"/>
      <c r="J251" s="27"/>
      <c r="K251" s="245"/>
      <c r="L251" s="26"/>
      <c r="M251" s="26"/>
      <c r="N251" s="65"/>
      <c r="AT251" s="26"/>
    </row>
    <row r="252" spans="2:46" ht="15">
      <c r="B252" s="26"/>
      <c r="C252" s="26"/>
      <c r="D252" s="26"/>
      <c r="E252" s="26"/>
      <c r="F252" s="245"/>
      <c r="G252" s="26"/>
      <c r="H252" s="64"/>
      <c r="I252" s="27"/>
      <c r="J252" s="27"/>
      <c r="K252" s="245"/>
      <c r="L252" s="26"/>
      <c r="M252" s="26"/>
      <c r="N252" s="65"/>
      <c r="AT252" s="26"/>
    </row>
    <row r="253" spans="2:46" ht="15">
      <c r="B253" s="26"/>
      <c r="C253" s="26"/>
      <c r="D253" s="26"/>
      <c r="E253" s="26"/>
      <c r="F253" s="245"/>
      <c r="G253" s="26"/>
      <c r="H253" s="64"/>
      <c r="I253" s="27"/>
      <c r="J253" s="27"/>
      <c r="K253" s="245"/>
      <c r="L253" s="26"/>
      <c r="M253" s="26"/>
      <c r="N253" s="65"/>
      <c r="AT253" s="26"/>
    </row>
    <row r="254" spans="2:46" ht="15">
      <c r="B254" s="26"/>
      <c r="C254" s="26"/>
      <c r="D254" s="26"/>
      <c r="E254" s="26"/>
      <c r="F254" s="245"/>
      <c r="G254" s="26"/>
      <c r="H254" s="64"/>
      <c r="I254" s="27"/>
      <c r="J254" s="27"/>
      <c r="K254" s="245"/>
      <c r="L254" s="26"/>
      <c r="M254" s="26"/>
      <c r="N254" s="65"/>
      <c r="AT254" s="26"/>
    </row>
    <row r="255" spans="2:46" ht="15">
      <c r="B255" s="26"/>
      <c r="C255" s="26"/>
      <c r="D255" s="26"/>
      <c r="E255" s="26"/>
      <c r="F255" s="245"/>
      <c r="G255" s="26"/>
      <c r="H255" s="64"/>
      <c r="I255" s="27"/>
      <c r="J255" s="27"/>
      <c r="K255" s="245"/>
      <c r="L255" s="26"/>
      <c r="M255" s="26"/>
      <c r="N255" s="65"/>
      <c r="AT255" s="26"/>
    </row>
    <row r="256" spans="2:46" ht="15">
      <c r="B256" s="26"/>
      <c r="C256" s="26"/>
      <c r="D256" s="26"/>
      <c r="E256" s="26"/>
      <c r="F256" s="245"/>
      <c r="G256" s="26"/>
      <c r="H256" s="64"/>
      <c r="I256" s="27"/>
      <c r="J256" s="27"/>
      <c r="K256" s="245"/>
      <c r="L256" s="26"/>
      <c r="M256" s="26"/>
      <c r="N256" s="65"/>
      <c r="AT256" s="26"/>
    </row>
    <row r="257" spans="2:46" ht="15">
      <c r="B257" s="26"/>
      <c r="C257" s="26"/>
      <c r="D257" s="26"/>
      <c r="E257" s="26"/>
      <c r="F257" s="245"/>
      <c r="G257" s="26"/>
      <c r="H257" s="64"/>
      <c r="I257" s="27"/>
      <c r="J257" s="27"/>
      <c r="K257" s="245"/>
      <c r="L257" s="26"/>
      <c r="M257" s="26"/>
      <c r="N257" s="65"/>
      <c r="AT257" s="26"/>
    </row>
    <row r="258" spans="2:46" ht="15">
      <c r="B258" s="26"/>
      <c r="C258" s="26"/>
      <c r="D258" s="26"/>
      <c r="E258" s="26"/>
      <c r="F258" s="245"/>
      <c r="G258" s="26"/>
      <c r="H258" s="64"/>
      <c r="I258" s="27"/>
      <c r="J258" s="27"/>
      <c r="K258" s="245"/>
      <c r="L258" s="26"/>
      <c r="M258" s="26"/>
      <c r="N258" s="65"/>
      <c r="AT258" s="26"/>
    </row>
    <row r="259" spans="2:46" ht="15">
      <c r="B259" s="26"/>
      <c r="C259" s="26"/>
      <c r="D259" s="26"/>
      <c r="E259" s="26"/>
      <c r="F259" s="245"/>
      <c r="G259" s="26"/>
      <c r="H259" s="64"/>
      <c r="I259" s="27"/>
      <c r="J259" s="27"/>
      <c r="K259" s="245"/>
      <c r="L259" s="26"/>
      <c r="M259" s="26"/>
      <c r="N259" s="65"/>
      <c r="AT259" s="26"/>
    </row>
    <row r="260" spans="2:46" ht="15">
      <c r="B260" s="26"/>
      <c r="C260" s="26"/>
      <c r="D260" s="26"/>
      <c r="E260" s="26"/>
      <c r="F260" s="245"/>
      <c r="G260" s="26"/>
      <c r="H260" s="64"/>
      <c r="I260" s="27"/>
      <c r="J260" s="27"/>
      <c r="K260" s="245"/>
      <c r="L260" s="26"/>
      <c r="M260" s="26"/>
      <c r="N260" s="65"/>
      <c r="AT260" s="26"/>
    </row>
    <row r="261" spans="2:46" ht="15">
      <c r="B261" s="26"/>
      <c r="C261" s="26"/>
      <c r="D261" s="26"/>
      <c r="E261" s="26"/>
      <c r="F261" s="245"/>
      <c r="G261" s="26"/>
      <c r="H261" s="64"/>
      <c r="I261" s="27"/>
      <c r="J261" s="27"/>
      <c r="K261" s="245"/>
      <c r="L261" s="26"/>
      <c r="M261" s="26"/>
      <c r="N261" s="65"/>
      <c r="AT261" s="26"/>
    </row>
    <row r="262" spans="2:46" ht="15">
      <c r="B262" s="26"/>
      <c r="C262" s="26"/>
      <c r="D262" s="26"/>
      <c r="E262" s="26"/>
      <c r="F262" s="245"/>
      <c r="G262" s="26"/>
      <c r="H262" s="64"/>
      <c r="I262" s="27"/>
      <c r="J262" s="27"/>
      <c r="K262" s="245"/>
      <c r="L262" s="26"/>
      <c r="M262" s="26"/>
      <c r="N262" s="65"/>
      <c r="AT262" s="26"/>
    </row>
    <row r="263" spans="2:46" ht="15">
      <c r="B263" s="26"/>
      <c r="C263" s="26"/>
      <c r="D263" s="26"/>
      <c r="E263" s="26"/>
      <c r="F263" s="245"/>
      <c r="G263" s="26"/>
      <c r="H263" s="64"/>
      <c r="I263" s="27"/>
      <c r="J263" s="27"/>
      <c r="K263" s="245"/>
      <c r="L263" s="26"/>
      <c r="M263" s="26"/>
      <c r="N263" s="65"/>
      <c r="AT263" s="26"/>
    </row>
    <row r="264" spans="2:46" ht="15">
      <c r="B264" s="26"/>
      <c r="C264" s="26"/>
      <c r="D264" s="26"/>
      <c r="E264" s="26"/>
      <c r="F264" s="245"/>
      <c r="G264" s="26"/>
      <c r="H264" s="64"/>
      <c r="I264" s="27"/>
      <c r="J264" s="27"/>
      <c r="K264" s="245"/>
      <c r="L264" s="26"/>
      <c r="M264" s="26"/>
      <c r="N264" s="65"/>
      <c r="AT264" s="26"/>
    </row>
    <row r="265" spans="2:46" ht="15">
      <c r="B265" s="26"/>
      <c r="C265" s="26"/>
      <c r="D265" s="26"/>
      <c r="E265" s="26"/>
      <c r="F265" s="245"/>
      <c r="G265" s="26"/>
      <c r="H265" s="64"/>
      <c r="I265" s="27"/>
      <c r="J265" s="27"/>
      <c r="K265" s="245"/>
      <c r="L265" s="26"/>
      <c r="M265" s="26"/>
      <c r="N265" s="65"/>
      <c r="AT265" s="26"/>
    </row>
    <row r="266" spans="2:46" ht="15">
      <c r="B266" s="26"/>
      <c r="C266" s="26"/>
      <c r="D266" s="26"/>
      <c r="E266" s="26"/>
      <c r="F266" s="245"/>
      <c r="G266" s="26"/>
      <c r="H266" s="64"/>
      <c r="I266" s="27"/>
      <c r="J266" s="27"/>
      <c r="K266" s="245"/>
      <c r="L266" s="26"/>
      <c r="M266" s="26"/>
      <c r="N266" s="65"/>
      <c r="AT266" s="26"/>
    </row>
    <row r="267" spans="2:46" ht="15">
      <c r="B267" s="26"/>
      <c r="C267" s="26"/>
      <c r="D267" s="26"/>
      <c r="E267" s="26"/>
      <c r="F267" s="245"/>
      <c r="G267" s="26"/>
      <c r="H267" s="64"/>
      <c r="I267" s="27"/>
      <c r="J267" s="27"/>
      <c r="K267" s="245"/>
      <c r="L267" s="26"/>
      <c r="M267" s="26"/>
      <c r="N267" s="65"/>
      <c r="AT267" s="26"/>
    </row>
    <row r="268" spans="2:46" ht="15">
      <c r="B268" s="26"/>
      <c r="C268" s="26"/>
      <c r="D268" s="26"/>
      <c r="E268" s="26"/>
      <c r="F268" s="245"/>
      <c r="G268" s="26"/>
      <c r="H268" s="64"/>
      <c r="I268" s="27"/>
      <c r="J268" s="27"/>
      <c r="K268" s="245"/>
      <c r="L268" s="26"/>
      <c r="M268" s="26"/>
      <c r="N268" s="65"/>
      <c r="AT268" s="26"/>
    </row>
    <row r="269" spans="2:46" ht="15">
      <c r="B269" s="26"/>
      <c r="C269" s="26"/>
      <c r="D269" s="26"/>
      <c r="E269" s="26"/>
      <c r="F269" s="245"/>
      <c r="G269" s="26"/>
      <c r="H269" s="64"/>
      <c r="I269" s="27"/>
      <c r="J269" s="27"/>
      <c r="K269" s="245"/>
      <c r="L269" s="26"/>
      <c r="M269" s="26"/>
      <c r="N269" s="65"/>
      <c r="AT269" s="26"/>
    </row>
    <row r="270" spans="2:46" ht="15">
      <c r="B270" s="26"/>
      <c r="C270" s="26"/>
      <c r="D270" s="26"/>
      <c r="E270" s="26"/>
      <c r="F270" s="245"/>
      <c r="G270" s="26"/>
      <c r="H270" s="64"/>
      <c r="I270" s="27"/>
      <c r="J270" s="27"/>
      <c r="K270" s="245"/>
      <c r="L270" s="26"/>
      <c r="M270" s="26"/>
      <c r="N270" s="65"/>
      <c r="AT270" s="26"/>
    </row>
    <row r="271" spans="2:46" ht="15">
      <c r="B271" s="26"/>
      <c r="C271" s="26"/>
      <c r="D271" s="26"/>
      <c r="E271" s="26"/>
      <c r="F271" s="245"/>
      <c r="G271" s="26"/>
      <c r="H271" s="64"/>
      <c r="I271" s="27"/>
      <c r="J271" s="27"/>
      <c r="K271" s="245"/>
      <c r="L271" s="26"/>
      <c r="M271" s="26"/>
      <c r="N271" s="65"/>
      <c r="AT271" s="26"/>
    </row>
    <row r="272" spans="2:46" ht="15">
      <c r="B272" s="26"/>
      <c r="C272" s="26"/>
      <c r="D272" s="26"/>
      <c r="E272" s="26"/>
      <c r="F272" s="245"/>
      <c r="G272" s="26"/>
      <c r="H272" s="64"/>
      <c r="I272" s="27"/>
      <c r="J272" s="27"/>
      <c r="K272" s="245"/>
      <c r="L272" s="26"/>
      <c r="M272" s="26"/>
      <c r="N272" s="65"/>
      <c r="AT272" s="26"/>
    </row>
    <row r="273" spans="2:46" ht="15">
      <c r="B273" s="26"/>
      <c r="C273" s="26"/>
      <c r="D273" s="26"/>
      <c r="E273" s="26"/>
      <c r="F273" s="245"/>
      <c r="G273" s="26"/>
      <c r="H273" s="64"/>
      <c r="I273" s="27"/>
      <c r="J273" s="27"/>
      <c r="K273" s="245"/>
      <c r="L273" s="26"/>
      <c r="M273" s="26"/>
      <c r="N273" s="65"/>
      <c r="AT273" s="26"/>
    </row>
    <row r="274" spans="2:46" ht="15">
      <c r="B274" s="26"/>
      <c r="C274" s="26"/>
      <c r="D274" s="26"/>
      <c r="E274" s="26"/>
      <c r="F274" s="245"/>
      <c r="G274" s="26"/>
      <c r="H274" s="64"/>
      <c r="I274" s="27"/>
      <c r="J274" s="27"/>
      <c r="K274" s="245"/>
      <c r="L274" s="26"/>
      <c r="M274" s="26"/>
      <c r="N274" s="65"/>
      <c r="AT274" s="26"/>
    </row>
    <row r="275" spans="2:46" ht="15">
      <c r="B275" s="26"/>
      <c r="C275" s="26"/>
      <c r="D275" s="26"/>
      <c r="E275" s="26"/>
      <c r="F275" s="245"/>
      <c r="G275" s="26"/>
      <c r="H275" s="64"/>
      <c r="I275" s="27"/>
      <c r="J275" s="27"/>
      <c r="K275" s="245"/>
      <c r="L275" s="26"/>
      <c r="M275" s="26"/>
      <c r="N275" s="65"/>
      <c r="AT275" s="26"/>
    </row>
    <row r="276" spans="2:46" ht="15">
      <c r="B276" s="26"/>
      <c r="C276" s="26"/>
      <c r="D276" s="26"/>
      <c r="E276" s="26"/>
      <c r="F276" s="245"/>
      <c r="G276" s="26"/>
      <c r="H276" s="64"/>
      <c r="I276" s="27"/>
      <c r="J276" s="27"/>
      <c r="K276" s="245"/>
      <c r="L276" s="26"/>
      <c r="M276" s="26"/>
      <c r="N276" s="65"/>
      <c r="AT276" s="26"/>
    </row>
    <row r="277" spans="2:46" ht="15">
      <c r="B277" s="26"/>
      <c r="C277" s="26"/>
      <c r="D277" s="26"/>
      <c r="E277" s="26"/>
      <c r="F277" s="245"/>
      <c r="G277" s="26"/>
      <c r="H277" s="64"/>
      <c r="I277" s="27"/>
      <c r="J277" s="27"/>
      <c r="K277" s="245"/>
      <c r="L277" s="26"/>
      <c r="M277" s="26"/>
      <c r="N277" s="65"/>
      <c r="AT277" s="26"/>
    </row>
    <row r="278" spans="2:46" ht="15">
      <c r="B278" s="26"/>
      <c r="C278" s="26"/>
      <c r="D278" s="26"/>
      <c r="E278" s="26"/>
      <c r="F278" s="245"/>
      <c r="G278" s="26"/>
      <c r="H278" s="64"/>
      <c r="I278" s="27"/>
      <c r="J278" s="27"/>
      <c r="K278" s="245"/>
      <c r="L278" s="26"/>
      <c r="M278" s="26"/>
      <c r="N278" s="65"/>
      <c r="AT278" s="26"/>
    </row>
    <row r="279" spans="2:46" ht="15">
      <c r="B279" s="26"/>
      <c r="C279" s="26"/>
      <c r="D279" s="26"/>
      <c r="E279" s="26"/>
      <c r="F279" s="245"/>
      <c r="G279" s="26"/>
      <c r="H279" s="64"/>
      <c r="I279" s="27"/>
      <c r="J279" s="27"/>
      <c r="K279" s="245"/>
      <c r="L279" s="26"/>
      <c r="M279" s="26"/>
      <c r="N279" s="65"/>
      <c r="AT279" s="26"/>
    </row>
    <row r="280" spans="2:46" ht="15">
      <c r="B280" s="26"/>
      <c r="C280" s="26"/>
      <c r="D280" s="26"/>
      <c r="E280" s="26"/>
      <c r="F280" s="245"/>
      <c r="G280" s="26"/>
      <c r="H280" s="64"/>
      <c r="I280" s="27"/>
      <c r="J280" s="27"/>
      <c r="K280" s="245"/>
      <c r="L280" s="26"/>
      <c r="M280" s="26"/>
      <c r="N280" s="65"/>
      <c r="AT280" s="26"/>
    </row>
    <row r="281" spans="2:46" ht="15">
      <c r="B281" s="26"/>
      <c r="C281" s="26"/>
      <c r="D281" s="26"/>
      <c r="E281" s="26"/>
      <c r="F281" s="245"/>
      <c r="G281" s="26"/>
      <c r="H281" s="64"/>
      <c r="I281" s="27"/>
      <c r="J281" s="27"/>
      <c r="K281" s="245"/>
      <c r="L281" s="26"/>
      <c r="M281" s="26"/>
      <c r="N281" s="65"/>
      <c r="AT281" s="26"/>
    </row>
    <row r="282" spans="2:46" ht="15">
      <c r="B282" s="26"/>
      <c r="C282" s="26"/>
      <c r="D282" s="26"/>
      <c r="E282" s="26"/>
      <c r="F282" s="245"/>
      <c r="G282" s="26"/>
      <c r="H282" s="64"/>
      <c r="I282" s="27"/>
      <c r="J282" s="27"/>
      <c r="K282" s="245"/>
      <c r="L282" s="26"/>
      <c r="M282" s="26"/>
      <c r="N282" s="65"/>
      <c r="AT282" s="26"/>
    </row>
    <row r="283" spans="2:46" ht="15">
      <c r="B283" s="26"/>
      <c r="C283" s="26"/>
      <c r="D283" s="26"/>
      <c r="E283" s="26"/>
      <c r="F283" s="245"/>
      <c r="G283" s="26"/>
      <c r="H283" s="64"/>
      <c r="I283" s="27"/>
      <c r="J283" s="27"/>
      <c r="K283" s="245"/>
      <c r="L283" s="26"/>
      <c r="M283" s="26"/>
      <c r="N283" s="65"/>
      <c r="AT283" s="26"/>
    </row>
    <row r="284" spans="2:46" ht="15">
      <c r="B284" s="26"/>
      <c r="C284" s="26"/>
      <c r="D284" s="26"/>
      <c r="E284" s="26"/>
      <c r="F284" s="245"/>
      <c r="G284" s="26"/>
      <c r="H284" s="64"/>
      <c r="I284" s="27"/>
      <c r="J284" s="27"/>
      <c r="K284" s="245"/>
      <c r="L284" s="26"/>
      <c r="M284" s="26"/>
      <c r="N284" s="65"/>
      <c r="AT284" s="26"/>
    </row>
    <row r="285" spans="2:46" ht="15">
      <c r="B285" s="26"/>
      <c r="C285" s="26"/>
      <c r="D285" s="26"/>
      <c r="E285" s="26"/>
      <c r="F285" s="245"/>
      <c r="G285" s="26"/>
      <c r="H285" s="64"/>
      <c r="I285" s="27"/>
      <c r="J285" s="27"/>
      <c r="K285" s="245"/>
      <c r="L285" s="26"/>
      <c r="M285" s="26"/>
      <c r="N285" s="65"/>
      <c r="AT285" s="26"/>
    </row>
    <row r="286" spans="2:46" ht="15">
      <c r="B286" s="26"/>
      <c r="C286" s="26"/>
      <c r="D286" s="26"/>
      <c r="E286" s="26"/>
      <c r="F286" s="245"/>
      <c r="G286" s="26"/>
      <c r="H286" s="64"/>
      <c r="I286" s="27"/>
      <c r="J286" s="27"/>
      <c r="K286" s="245"/>
      <c r="L286" s="26"/>
      <c r="M286" s="26"/>
      <c r="N286" s="65"/>
      <c r="AT286" s="26"/>
    </row>
    <row r="287" spans="2:46" ht="15">
      <c r="B287" s="26"/>
      <c r="C287" s="26"/>
      <c r="D287" s="26"/>
      <c r="E287" s="26"/>
      <c r="F287" s="245"/>
      <c r="G287" s="26"/>
      <c r="H287" s="64"/>
      <c r="I287" s="27"/>
      <c r="J287" s="27"/>
      <c r="K287" s="245"/>
      <c r="L287" s="26"/>
      <c r="M287" s="26"/>
      <c r="N287" s="65"/>
      <c r="AT287" s="26"/>
    </row>
    <row r="288" spans="2:46" ht="15">
      <c r="B288" s="26"/>
      <c r="C288" s="26"/>
      <c r="D288" s="26"/>
      <c r="E288" s="26"/>
      <c r="F288" s="245"/>
      <c r="G288" s="26"/>
      <c r="H288" s="64"/>
      <c r="I288" s="27"/>
      <c r="J288" s="27"/>
      <c r="K288" s="245"/>
      <c r="L288" s="26"/>
      <c r="M288" s="26"/>
      <c r="N288" s="65"/>
      <c r="AT288" s="26"/>
    </row>
    <row r="289" spans="2:46" ht="15">
      <c r="B289" s="26"/>
      <c r="C289" s="26"/>
      <c r="D289" s="26"/>
      <c r="E289" s="26"/>
      <c r="F289" s="245"/>
      <c r="G289" s="26"/>
      <c r="H289" s="64"/>
      <c r="I289" s="27"/>
      <c r="J289" s="27"/>
      <c r="K289" s="245"/>
      <c r="L289" s="26"/>
      <c r="M289" s="26"/>
      <c r="N289" s="65"/>
      <c r="AT289" s="26"/>
    </row>
    <row r="290" spans="2:46" ht="15">
      <c r="B290" s="26"/>
      <c r="C290" s="26"/>
      <c r="D290" s="26"/>
      <c r="E290" s="26"/>
      <c r="F290" s="245"/>
      <c r="G290" s="26"/>
      <c r="H290" s="64"/>
      <c r="I290" s="27"/>
      <c r="J290" s="27"/>
      <c r="K290" s="245"/>
      <c r="L290" s="26"/>
      <c r="M290" s="26"/>
      <c r="N290" s="65"/>
      <c r="AT290" s="26"/>
    </row>
    <row r="291" spans="2:46" ht="15">
      <c r="B291" s="26"/>
      <c r="C291" s="26"/>
      <c r="D291" s="26"/>
      <c r="E291" s="26"/>
      <c r="F291" s="245"/>
      <c r="G291" s="26"/>
      <c r="H291" s="64"/>
      <c r="I291" s="27"/>
      <c r="J291" s="27"/>
      <c r="K291" s="245"/>
      <c r="L291" s="26"/>
      <c r="M291" s="26"/>
      <c r="N291" s="65"/>
      <c r="AT291" s="26"/>
    </row>
    <row r="292" spans="2:46" ht="15">
      <c r="B292" s="26"/>
      <c r="C292" s="26"/>
      <c r="D292" s="26"/>
      <c r="E292" s="26"/>
      <c r="F292" s="245"/>
      <c r="G292" s="26"/>
      <c r="H292" s="64"/>
      <c r="I292" s="27"/>
      <c r="J292" s="27"/>
      <c r="K292" s="245"/>
      <c r="L292" s="26"/>
      <c r="M292" s="26"/>
      <c r="N292" s="65"/>
      <c r="AT292" s="26"/>
    </row>
    <row r="293" spans="2:46" ht="15">
      <c r="B293" s="26"/>
      <c r="C293" s="26"/>
      <c r="D293" s="26"/>
      <c r="E293" s="26"/>
      <c r="F293" s="245"/>
      <c r="G293" s="26"/>
      <c r="H293" s="64"/>
      <c r="I293" s="27"/>
      <c r="J293" s="27"/>
      <c r="K293" s="245"/>
      <c r="L293" s="26"/>
      <c r="M293" s="26"/>
      <c r="N293" s="65"/>
      <c r="AT293" s="26"/>
    </row>
    <row r="294" spans="2:46" ht="15">
      <c r="B294" s="26"/>
      <c r="C294" s="26"/>
      <c r="D294" s="26"/>
      <c r="E294" s="26"/>
      <c r="F294" s="245"/>
      <c r="G294" s="26"/>
      <c r="H294" s="64"/>
      <c r="I294" s="27"/>
      <c r="J294" s="27"/>
      <c r="K294" s="245"/>
      <c r="L294" s="26"/>
      <c r="M294" s="26"/>
      <c r="N294" s="65"/>
      <c r="AT294" s="26"/>
    </row>
    <row r="295" spans="2:46" ht="15">
      <c r="B295" s="26"/>
      <c r="C295" s="26"/>
      <c r="D295" s="26"/>
      <c r="E295" s="26"/>
      <c r="F295" s="245"/>
      <c r="G295" s="26"/>
      <c r="H295" s="64"/>
      <c r="I295" s="27"/>
      <c r="J295" s="27"/>
      <c r="K295" s="245"/>
      <c r="L295" s="26"/>
      <c r="M295" s="26"/>
      <c r="N295" s="65"/>
      <c r="AT295" s="26"/>
    </row>
    <row r="296" spans="2:46" ht="15">
      <c r="B296" s="26"/>
      <c r="C296" s="26"/>
      <c r="D296" s="26"/>
      <c r="E296" s="26"/>
      <c r="F296" s="245"/>
      <c r="G296" s="26"/>
      <c r="H296" s="64"/>
      <c r="I296" s="27"/>
      <c r="J296" s="27"/>
      <c r="K296" s="245"/>
      <c r="L296" s="26"/>
      <c r="M296" s="26"/>
      <c r="N296" s="65"/>
      <c r="AT296" s="26"/>
    </row>
    <row r="297" spans="2:46" ht="15">
      <c r="B297" s="26"/>
      <c r="C297" s="26"/>
      <c r="D297" s="26"/>
      <c r="E297" s="26"/>
      <c r="F297" s="245"/>
      <c r="G297" s="26"/>
      <c r="H297" s="64"/>
      <c r="I297" s="27"/>
      <c r="J297" s="27"/>
      <c r="K297" s="245"/>
      <c r="L297" s="26"/>
      <c r="M297" s="26"/>
      <c r="N297" s="65"/>
      <c r="AT297" s="26"/>
    </row>
    <row r="298" spans="2:46" ht="15">
      <c r="B298" s="26"/>
      <c r="C298" s="26"/>
      <c r="D298" s="26"/>
      <c r="E298" s="26"/>
      <c r="F298" s="245"/>
      <c r="G298" s="26"/>
      <c r="H298" s="64"/>
      <c r="I298" s="27"/>
      <c r="J298" s="27"/>
      <c r="K298" s="245"/>
      <c r="L298" s="26"/>
      <c r="M298" s="26"/>
      <c r="N298" s="65"/>
      <c r="AT298" s="26"/>
    </row>
    <row r="299" spans="2:46" ht="15">
      <c r="B299" s="26"/>
      <c r="C299" s="26"/>
      <c r="D299" s="26"/>
      <c r="E299" s="26"/>
      <c r="F299" s="245"/>
      <c r="G299" s="26"/>
      <c r="H299" s="64"/>
      <c r="I299" s="27"/>
      <c r="J299" s="27"/>
      <c r="K299" s="245"/>
      <c r="L299" s="26"/>
      <c r="M299" s="26"/>
      <c r="N299" s="65"/>
      <c r="AT299" s="26"/>
    </row>
    <row r="300" spans="2:46" ht="15">
      <c r="B300" s="26"/>
      <c r="C300" s="26"/>
      <c r="D300" s="26"/>
      <c r="E300" s="26"/>
      <c r="F300" s="245"/>
      <c r="G300" s="26"/>
      <c r="H300" s="64"/>
      <c r="I300" s="27"/>
      <c r="J300" s="27"/>
      <c r="K300" s="245"/>
      <c r="L300" s="26"/>
      <c r="M300" s="26"/>
      <c r="N300" s="65"/>
      <c r="AT300" s="26"/>
    </row>
    <row r="301" spans="2:46" ht="15">
      <c r="B301" s="26"/>
      <c r="C301" s="26"/>
      <c r="D301" s="26"/>
      <c r="E301" s="26"/>
      <c r="F301" s="245"/>
      <c r="G301" s="26"/>
      <c r="H301" s="64"/>
      <c r="I301" s="27"/>
      <c r="J301" s="27"/>
      <c r="K301" s="245"/>
      <c r="L301" s="26"/>
      <c r="M301" s="26"/>
      <c r="N301" s="65"/>
      <c r="AT301" s="26"/>
    </row>
    <row r="302" spans="2:46" ht="15">
      <c r="B302" s="26"/>
      <c r="C302" s="26"/>
      <c r="D302" s="26"/>
      <c r="E302" s="26"/>
      <c r="F302" s="245"/>
      <c r="G302" s="26"/>
      <c r="H302" s="64"/>
      <c r="I302" s="27"/>
      <c r="J302" s="27"/>
      <c r="K302" s="245"/>
      <c r="L302" s="26"/>
      <c r="M302" s="26"/>
      <c r="N302" s="65"/>
      <c r="AT302" s="26"/>
    </row>
    <row r="303" spans="2:46" ht="15">
      <c r="B303" s="26"/>
      <c r="C303" s="26"/>
      <c r="D303" s="26"/>
      <c r="E303" s="26"/>
      <c r="F303" s="245"/>
      <c r="G303" s="26"/>
      <c r="H303" s="64"/>
      <c r="I303" s="27"/>
      <c r="J303" s="27"/>
      <c r="K303" s="245"/>
      <c r="L303" s="26"/>
      <c r="M303" s="26"/>
      <c r="N303" s="65"/>
      <c r="AT303" s="26"/>
    </row>
    <row r="304" spans="2:46" ht="15">
      <c r="B304" s="26"/>
      <c r="C304" s="26"/>
      <c r="D304" s="26"/>
      <c r="E304" s="26"/>
      <c r="F304" s="245"/>
      <c r="G304" s="26"/>
      <c r="H304" s="64"/>
      <c r="I304" s="27"/>
      <c r="J304" s="27"/>
      <c r="K304" s="245"/>
      <c r="L304" s="26"/>
      <c r="M304" s="26"/>
      <c r="N304" s="65"/>
      <c r="AT304" s="26"/>
    </row>
    <row r="305" spans="2:46" ht="15">
      <c r="B305" s="26"/>
      <c r="C305" s="26"/>
      <c r="D305" s="26"/>
      <c r="E305" s="26"/>
      <c r="F305" s="245"/>
      <c r="G305" s="26"/>
      <c r="H305" s="64"/>
      <c r="I305" s="27"/>
      <c r="J305" s="27"/>
      <c r="K305" s="245"/>
      <c r="L305" s="26"/>
      <c r="M305" s="26"/>
      <c r="N305" s="65"/>
      <c r="AT305" s="26"/>
    </row>
    <row r="306" spans="2:46" ht="15">
      <c r="B306" s="26"/>
      <c r="C306" s="26"/>
      <c r="D306" s="26"/>
      <c r="E306" s="26"/>
      <c r="F306" s="245"/>
      <c r="G306" s="26"/>
      <c r="H306" s="64"/>
      <c r="I306" s="27"/>
      <c r="J306" s="27"/>
      <c r="K306" s="245"/>
      <c r="L306" s="26"/>
      <c r="M306" s="26"/>
      <c r="N306" s="65"/>
      <c r="AT306" s="26"/>
    </row>
    <row r="307" spans="2:46" ht="15">
      <c r="B307" s="26"/>
      <c r="C307" s="26"/>
      <c r="D307" s="26"/>
      <c r="E307" s="26"/>
      <c r="F307" s="245"/>
      <c r="G307" s="26"/>
      <c r="H307" s="64"/>
      <c r="I307" s="27"/>
      <c r="J307" s="27"/>
      <c r="K307" s="245"/>
      <c r="L307" s="26"/>
      <c r="M307" s="26"/>
      <c r="N307" s="65"/>
      <c r="AT307" s="26"/>
    </row>
    <row r="308" spans="2:46" ht="15">
      <c r="B308" s="26"/>
      <c r="C308" s="26"/>
      <c r="D308" s="26"/>
      <c r="E308" s="26"/>
      <c r="F308" s="245"/>
      <c r="G308" s="26"/>
      <c r="H308" s="64"/>
      <c r="I308" s="27"/>
      <c r="J308" s="27"/>
      <c r="K308" s="245"/>
      <c r="L308" s="26"/>
      <c r="M308" s="26"/>
      <c r="N308" s="65"/>
      <c r="AT308" s="26"/>
    </row>
    <row r="309" spans="2:46" ht="15">
      <c r="B309" s="26"/>
      <c r="C309" s="26"/>
      <c r="D309" s="26"/>
      <c r="E309" s="26"/>
      <c r="F309" s="245"/>
      <c r="G309" s="26"/>
      <c r="H309" s="64"/>
      <c r="I309" s="27"/>
      <c r="J309" s="27"/>
      <c r="K309" s="245"/>
      <c r="L309" s="26"/>
      <c r="M309" s="26"/>
      <c r="N309" s="65"/>
      <c r="AT309" s="26"/>
    </row>
    <row r="310" spans="2:46" ht="15">
      <c r="B310" s="26"/>
      <c r="C310" s="26"/>
      <c r="D310" s="26"/>
      <c r="E310" s="26"/>
      <c r="F310" s="245"/>
      <c r="G310" s="26"/>
      <c r="H310" s="64"/>
      <c r="I310" s="27"/>
      <c r="J310" s="27"/>
      <c r="K310" s="245"/>
      <c r="L310" s="26"/>
      <c r="M310" s="26"/>
      <c r="N310" s="65"/>
      <c r="AT310" s="26"/>
    </row>
    <row r="311" spans="2:46" ht="15">
      <c r="B311" s="26"/>
      <c r="C311" s="26"/>
      <c r="D311" s="26"/>
      <c r="E311" s="26"/>
      <c r="F311" s="245"/>
      <c r="G311" s="26"/>
      <c r="H311" s="64"/>
      <c r="I311" s="27"/>
      <c r="J311" s="27"/>
      <c r="K311" s="245"/>
      <c r="L311" s="26"/>
      <c r="M311" s="26"/>
      <c r="N311" s="65"/>
      <c r="AT311" s="26"/>
    </row>
    <row r="312" spans="2:46" ht="15">
      <c r="B312" s="26"/>
      <c r="C312" s="26"/>
      <c r="D312" s="26"/>
      <c r="E312" s="26"/>
      <c r="F312" s="245"/>
      <c r="G312" s="26"/>
      <c r="H312" s="64"/>
      <c r="I312" s="27"/>
      <c r="J312" s="27"/>
      <c r="K312" s="245"/>
      <c r="L312" s="26"/>
      <c r="M312" s="26"/>
      <c r="N312" s="65"/>
      <c r="AT312" s="26"/>
    </row>
    <row r="313" spans="2:46" ht="15">
      <c r="B313" s="26"/>
      <c r="C313" s="26"/>
      <c r="D313" s="26"/>
      <c r="E313" s="26"/>
      <c r="F313" s="245"/>
      <c r="G313" s="26"/>
      <c r="H313" s="64"/>
      <c r="I313" s="27"/>
      <c r="J313" s="27"/>
      <c r="K313" s="245"/>
      <c r="L313" s="26"/>
      <c r="M313" s="26"/>
      <c r="N313" s="65"/>
      <c r="AT313" s="26"/>
    </row>
    <row r="314" spans="2:46" ht="15">
      <c r="B314" s="26"/>
      <c r="C314" s="26"/>
      <c r="D314" s="26"/>
      <c r="E314" s="26"/>
      <c r="F314" s="245"/>
      <c r="G314" s="26"/>
      <c r="H314" s="64"/>
      <c r="I314" s="27"/>
      <c r="J314" s="27"/>
      <c r="K314" s="245"/>
      <c r="L314" s="26"/>
      <c r="M314" s="26"/>
      <c r="N314" s="65"/>
      <c r="AT314" s="26"/>
    </row>
    <row r="315" spans="2:46" ht="15">
      <c r="B315" s="26"/>
      <c r="C315" s="26"/>
      <c r="D315" s="26"/>
      <c r="E315" s="26"/>
      <c r="F315" s="245"/>
      <c r="G315" s="26"/>
      <c r="H315" s="64"/>
      <c r="I315" s="27"/>
      <c r="J315" s="27"/>
      <c r="K315" s="245"/>
      <c r="L315" s="26"/>
      <c r="M315" s="26"/>
      <c r="N315" s="65"/>
      <c r="AT315" s="26"/>
    </row>
    <row r="316" spans="2:46" ht="15">
      <c r="B316" s="26"/>
      <c r="C316" s="26"/>
      <c r="D316" s="26"/>
      <c r="E316" s="26"/>
      <c r="F316" s="245"/>
      <c r="G316" s="26"/>
      <c r="H316" s="64"/>
      <c r="I316" s="27"/>
      <c r="J316" s="27"/>
      <c r="K316" s="245"/>
      <c r="L316" s="26"/>
      <c r="M316" s="26"/>
      <c r="N316" s="65"/>
      <c r="AT316" s="26"/>
    </row>
    <row r="317" spans="2:46" ht="15">
      <c r="B317" s="26"/>
      <c r="C317" s="26"/>
      <c r="D317" s="26"/>
      <c r="E317" s="26"/>
      <c r="F317" s="245"/>
      <c r="G317" s="26"/>
      <c r="H317" s="64"/>
      <c r="I317" s="27"/>
      <c r="J317" s="27"/>
      <c r="K317" s="245"/>
      <c r="L317" s="26"/>
      <c r="M317" s="26"/>
      <c r="N317" s="65"/>
      <c r="AT317" s="26"/>
    </row>
    <row r="318" spans="2:46" ht="15">
      <c r="B318" s="26"/>
      <c r="C318" s="26"/>
      <c r="D318" s="26"/>
      <c r="E318" s="26"/>
      <c r="F318" s="245"/>
      <c r="G318" s="26"/>
      <c r="H318" s="64"/>
      <c r="I318" s="27"/>
      <c r="J318" s="27"/>
      <c r="K318" s="245"/>
      <c r="L318" s="26"/>
      <c r="M318" s="26"/>
      <c r="N318" s="65"/>
      <c r="AT318" s="26"/>
    </row>
    <row r="319" spans="2:46" ht="15">
      <c r="B319" s="26"/>
      <c r="C319" s="26"/>
      <c r="D319" s="26"/>
      <c r="E319" s="26"/>
      <c r="F319" s="245"/>
      <c r="G319" s="26"/>
      <c r="H319" s="64"/>
      <c r="I319" s="27"/>
      <c r="J319" s="27"/>
      <c r="K319" s="245"/>
      <c r="L319" s="26"/>
      <c r="M319" s="26"/>
      <c r="N319" s="65"/>
      <c r="AT319" s="26"/>
    </row>
    <row r="320" spans="2:46" ht="15">
      <c r="B320" s="26"/>
      <c r="C320" s="26"/>
      <c r="D320" s="26"/>
      <c r="E320" s="26"/>
      <c r="F320" s="245"/>
      <c r="G320" s="26"/>
      <c r="H320" s="64"/>
      <c r="I320" s="27"/>
      <c r="J320" s="27"/>
      <c r="K320" s="245"/>
      <c r="L320" s="26"/>
      <c r="M320" s="26"/>
      <c r="N320" s="65"/>
      <c r="AT320" s="26"/>
    </row>
    <row r="321" spans="2:46" ht="15">
      <c r="B321" s="26"/>
      <c r="C321" s="26"/>
      <c r="D321" s="26"/>
      <c r="E321" s="26"/>
      <c r="F321" s="245"/>
      <c r="G321" s="26"/>
      <c r="H321" s="64"/>
      <c r="I321" s="27"/>
      <c r="J321" s="27"/>
      <c r="K321" s="245"/>
      <c r="L321" s="26"/>
      <c r="M321" s="26"/>
      <c r="N321" s="65"/>
      <c r="AT321" s="26"/>
    </row>
    <row r="322" spans="2:46" ht="15">
      <c r="B322" s="26"/>
      <c r="C322" s="26"/>
      <c r="D322" s="26"/>
      <c r="E322" s="26"/>
      <c r="F322" s="245"/>
      <c r="G322" s="26"/>
      <c r="H322" s="64"/>
      <c r="I322" s="27"/>
      <c r="J322" s="27"/>
      <c r="K322" s="245"/>
      <c r="L322" s="26"/>
      <c r="M322" s="26"/>
      <c r="N322" s="65"/>
      <c r="AT322" s="26"/>
    </row>
    <row r="323" spans="2:46" ht="15">
      <c r="B323" s="26"/>
      <c r="C323" s="26"/>
      <c r="D323" s="26"/>
      <c r="E323" s="26"/>
      <c r="F323" s="245"/>
      <c r="G323" s="26"/>
      <c r="H323" s="64"/>
      <c r="I323" s="27"/>
      <c r="J323" s="27"/>
      <c r="K323" s="245"/>
      <c r="L323" s="26"/>
      <c r="M323" s="26"/>
      <c r="N323" s="65"/>
      <c r="AT323" s="26"/>
    </row>
    <row r="324" spans="2:46" ht="15">
      <c r="B324" s="26"/>
      <c r="C324" s="26"/>
      <c r="D324" s="26"/>
      <c r="E324" s="26"/>
      <c r="F324" s="245"/>
      <c r="G324" s="26"/>
      <c r="H324" s="64"/>
      <c r="I324" s="27"/>
      <c r="J324" s="27"/>
      <c r="K324" s="245"/>
      <c r="L324" s="26"/>
      <c r="M324" s="26"/>
      <c r="N324" s="65"/>
      <c r="AT324" s="26"/>
    </row>
    <row r="325" spans="2:46" ht="15">
      <c r="B325" s="26"/>
      <c r="C325" s="26"/>
      <c r="D325" s="26"/>
      <c r="E325" s="26"/>
      <c r="F325" s="245"/>
      <c r="G325" s="26"/>
      <c r="H325" s="64"/>
      <c r="I325" s="27"/>
      <c r="J325" s="27"/>
      <c r="K325" s="245"/>
      <c r="L325" s="26"/>
      <c r="M325" s="26"/>
      <c r="N325" s="65"/>
      <c r="AT325" s="26"/>
    </row>
    <row r="326" spans="2:46" ht="15">
      <c r="B326" s="26"/>
      <c r="C326" s="26"/>
      <c r="D326" s="26"/>
      <c r="E326" s="26"/>
      <c r="F326" s="245"/>
      <c r="G326" s="26"/>
      <c r="H326" s="64"/>
      <c r="I326" s="27"/>
      <c r="J326" s="27"/>
      <c r="K326" s="245"/>
      <c r="L326" s="26"/>
      <c r="M326" s="26"/>
      <c r="N326" s="65"/>
      <c r="AT326" s="26"/>
    </row>
    <row r="327" spans="2:46" ht="15">
      <c r="B327" s="26"/>
      <c r="C327" s="26"/>
      <c r="D327" s="26"/>
      <c r="E327" s="26"/>
      <c r="F327" s="245"/>
      <c r="G327" s="26"/>
      <c r="H327" s="64"/>
      <c r="I327" s="27"/>
      <c r="J327" s="27"/>
      <c r="K327" s="245"/>
      <c r="L327" s="26"/>
      <c r="M327" s="26"/>
      <c r="N327" s="65"/>
      <c r="AT327" s="26"/>
    </row>
    <row r="328" spans="2:46" ht="15">
      <c r="B328" s="26"/>
      <c r="C328" s="26"/>
      <c r="D328" s="26"/>
      <c r="E328" s="26"/>
      <c r="F328" s="245"/>
      <c r="G328" s="26"/>
      <c r="H328" s="64"/>
      <c r="I328" s="27"/>
      <c r="J328" s="27"/>
      <c r="K328" s="245"/>
      <c r="L328" s="26"/>
      <c r="M328" s="26"/>
      <c r="N328" s="65"/>
      <c r="AT328" s="26"/>
    </row>
    <row r="329" spans="2:46" ht="15">
      <c r="B329" s="26"/>
      <c r="C329" s="26"/>
      <c r="D329" s="26"/>
      <c r="E329" s="26"/>
      <c r="F329" s="245"/>
      <c r="G329" s="26"/>
      <c r="H329" s="64"/>
      <c r="I329" s="27"/>
      <c r="J329" s="27"/>
      <c r="K329" s="245"/>
      <c r="L329" s="26"/>
      <c r="M329" s="26"/>
      <c r="N329" s="65"/>
      <c r="AT329" s="26"/>
    </row>
    <row r="330" spans="2:46" ht="15">
      <c r="B330" s="26"/>
      <c r="C330" s="26"/>
      <c r="D330" s="26"/>
      <c r="E330" s="26"/>
      <c r="F330" s="245"/>
      <c r="G330" s="26"/>
      <c r="H330" s="64"/>
      <c r="I330" s="27"/>
      <c r="J330" s="27"/>
      <c r="K330" s="245"/>
      <c r="L330" s="26"/>
      <c r="M330" s="26"/>
      <c r="N330" s="65"/>
      <c r="AT330" s="26"/>
    </row>
    <row r="331" spans="2:46" ht="15">
      <c r="B331" s="26"/>
      <c r="C331" s="26"/>
      <c r="D331" s="26"/>
      <c r="E331" s="26"/>
      <c r="F331" s="245"/>
      <c r="G331" s="26"/>
      <c r="H331" s="64"/>
      <c r="I331" s="27"/>
      <c r="J331" s="27"/>
      <c r="K331" s="245"/>
      <c r="L331" s="26"/>
      <c r="M331" s="26"/>
      <c r="N331" s="65"/>
      <c r="AT331" s="26"/>
    </row>
    <row r="332" spans="2:46" ht="15">
      <c r="B332" s="26"/>
      <c r="C332" s="26"/>
      <c r="D332" s="26"/>
      <c r="E332" s="26"/>
      <c r="F332" s="245"/>
      <c r="G332" s="26"/>
      <c r="H332" s="64"/>
      <c r="I332" s="27"/>
      <c r="J332" s="27"/>
      <c r="K332" s="245"/>
      <c r="L332" s="26"/>
      <c r="M332" s="26"/>
      <c r="N332" s="65"/>
      <c r="AT332" s="26"/>
    </row>
    <row r="333" spans="2:46" ht="15">
      <c r="B333" s="26"/>
      <c r="C333" s="26"/>
      <c r="D333" s="26"/>
      <c r="E333" s="26"/>
      <c r="F333" s="245"/>
      <c r="G333" s="26"/>
      <c r="H333" s="64"/>
      <c r="I333" s="27"/>
      <c r="J333" s="27"/>
      <c r="K333" s="245"/>
      <c r="L333" s="26"/>
      <c r="M333" s="26"/>
      <c r="N333" s="65"/>
      <c r="AT333" s="26"/>
    </row>
    <row r="334" spans="2:46" ht="15">
      <c r="B334" s="26"/>
      <c r="C334" s="26"/>
      <c r="D334" s="26"/>
      <c r="E334" s="26"/>
      <c r="F334" s="245"/>
      <c r="G334" s="26"/>
      <c r="H334" s="64"/>
      <c r="I334" s="27"/>
      <c r="J334" s="27"/>
      <c r="K334" s="245"/>
      <c r="L334" s="26"/>
      <c r="M334" s="26"/>
      <c r="N334" s="65"/>
      <c r="AT334" s="26"/>
    </row>
    <row r="335" spans="2:46" ht="15">
      <c r="B335" s="26"/>
      <c r="C335" s="26"/>
      <c r="D335" s="26"/>
      <c r="E335" s="26"/>
      <c r="F335" s="245"/>
      <c r="G335" s="26"/>
      <c r="H335" s="64"/>
      <c r="I335" s="27"/>
      <c r="J335" s="27"/>
      <c r="K335" s="245"/>
      <c r="L335" s="26"/>
      <c r="M335" s="26"/>
      <c r="N335" s="65"/>
      <c r="AT335" s="26"/>
    </row>
    <row r="336" spans="2:46" ht="15">
      <c r="B336" s="26"/>
      <c r="C336" s="26"/>
      <c r="D336" s="26"/>
      <c r="E336" s="26"/>
      <c r="F336" s="245"/>
      <c r="G336" s="26"/>
      <c r="H336" s="64"/>
      <c r="I336" s="27"/>
      <c r="J336" s="27"/>
      <c r="K336" s="245"/>
      <c r="L336" s="26"/>
      <c r="M336" s="26"/>
      <c r="N336" s="65"/>
      <c r="AT336" s="26"/>
    </row>
    <row r="337" spans="2:46" ht="15">
      <c r="B337" s="26"/>
      <c r="C337" s="26"/>
      <c r="D337" s="26"/>
      <c r="E337" s="26"/>
      <c r="F337" s="245"/>
      <c r="G337" s="26"/>
      <c r="H337" s="64"/>
      <c r="I337" s="27"/>
      <c r="J337" s="27"/>
      <c r="K337" s="245"/>
      <c r="L337" s="26"/>
      <c r="M337" s="26"/>
      <c r="N337" s="65"/>
      <c r="AT337" s="26"/>
    </row>
    <row r="338" spans="2:46" ht="15">
      <c r="B338" s="26"/>
      <c r="C338" s="26"/>
      <c r="D338" s="26"/>
      <c r="E338" s="26"/>
      <c r="F338" s="245"/>
      <c r="G338" s="26"/>
      <c r="H338" s="64"/>
      <c r="I338" s="27"/>
      <c r="J338" s="27"/>
      <c r="K338" s="245"/>
      <c r="L338" s="26"/>
      <c r="M338" s="26"/>
      <c r="N338" s="65"/>
      <c r="AT338" s="26"/>
    </row>
    <row r="339" spans="2:46" ht="15">
      <c r="B339" s="26"/>
      <c r="C339" s="26"/>
      <c r="D339" s="26"/>
      <c r="E339" s="26"/>
      <c r="F339" s="245"/>
      <c r="G339" s="26"/>
      <c r="H339" s="64"/>
      <c r="I339" s="27"/>
      <c r="J339" s="27"/>
      <c r="K339" s="245"/>
      <c r="L339" s="26"/>
      <c r="M339" s="26"/>
      <c r="N339" s="65"/>
      <c r="AT339" s="26"/>
    </row>
    <row r="340" spans="2:46" ht="15">
      <c r="B340" s="26"/>
      <c r="C340" s="26"/>
      <c r="D340" s="26"/>
      <c r="E340" s="26"/>
      <c r="F340" s="245"/>
      <c r="G340" s="26"/>
      <c r="H340" s="64"/>
      <c r="I340" s="27"/>
      <c r="J340" s="27"/>
      <c r="K340" s="245"/>
      <c r="L340" s="26"/>
      <c r="M340" s="26"/>
      <c r="N340" s="65"/>
      <c r="AT340" s="26"/>
    </row>
    <row r="341" spans="2:46" ht="15">
      <c r="B341" s="26"/>
      <c r="C341" s="26"/>
      <c r="D341" s="26"/>
      <c r="E341" s="26"/>
      <c r="F341" s="245"/>
      <c r="G341" s="26"/>
      <c r="H341" s="64"/>
      <c r="I341" s="27"/>
      <c r="J341" s="27"/>
      <c r="K341" s="245"/>
      <c r="L341" s="26"/>
      <c r="M341" s="26"/>
      <c r="N341" s="65"/>
      <c r="AT341" s="26"/>
    </row>
    <row r="342" spans="2:46" ht="15">
      <c r="B342" s="26"/>
      <c r="C342" s="26"/>
      <c r="D342" s="26"/>
      <c r="E342" s="26"/>
      <c r="F342" s="245"/>
      <c r="G342" s="26"/>
      <c r="H342" s="64"/>
      <c r="I342" s="27"/>
      <c r="J342" s="27"/>
      <c r="K342" s="245"/>
      <c r="L342" s="26"/>
      <c r="M342" s="26"/>
      <c r="N342" s="65"/>
      <c r="AT342" s="26"/>
    </row>
    <row r="343" spans="2:46" ht="15">
      <c r="B343" s="26"/>
      <c r="C343" s="26"/>
      <c r="D343" s="26"/>
      <c r="E343" s="26"/>
      <c r="F343" s="245"/>
      <c r="G343" s="26"/>
      <c r="H343" s="64"/>
      <c r="I343" s="27"/>
      <c r="J343" s="27"/>
      <c r="K343" s="245"/>
      <c r="L343" s="26"/>
      <c r="M343" s="26"/>
      <c r="N343" s="65"/>
      <c r="AT343" s="26"/>
    </row>
    <row r="344" spans="2:46" ht="15">
      <c r="B344" s="26"/>
      <c r="C344" s="26"/>
      <c r="D344" s="26"/>
      <c r="E344" s="26"/>
      <c r="F344" s="245"/>
      <c r="G344" s="26"/>
      <c r="H344" s="64"/>
      <c r="I344" s="27"/>
      <c r="J344" s="27"/>
      <c r="K344" s="245"/>
      <c r="L344" s="26"/>
      <c r="M344" s="26"/>
      <c r="N344" s="65"/>
      <c r="AT344" s="26"/>
    </row>
    <row r="345" spans="2:46" ht="15">
      <c r="B345" s="26"/>
      <c r="C345" s="26"/>
      <c r="D345" s="26"/>
      <c r="E345" s="26"/>
      <c r="F345" s="245"/>
      <c r="G345" s="26"/>
      <c r="H345" s="64"/>
      <c r="I345" s="27"/>
      <c r="J345" s="27"/>
      <c r="K345" s="245"/>
      <c r="L345" s="26"/>
      <c r="M345" s="26"/>
      <c r="N345" s="65"/>
      <c r="AT345" s="26"/>
    </row>
    <row r="346" spans="2:46" ht="15">
      <c r="B346" s="26"/>
      <c r="C346" s="26"/>
      <c r="D346" s="26"/>
      <c r="E346" s="26"/>
      <c r="F346" s="245"/>
      <c r="G346" s="26"/>
      <c r="H346" s="64"/>
      <c r="I346" s="27"/>
      <c r="J346" s="27"/>
      <c r="K346" s="245"/>
      <c r="L346" s="26"/>
      <c r="M346" s="26"/>
      <c r="N346" s="65"/>
      <c r="AT346" s="26"/>
    </row>
    <row r="347" spans="2:46" ht="15">
      <c r="B347" s="26"/>
      <c r="C347" s="26"/>
      <c r="D347" s="26"/>
      <c r="E347" s="26"/>
      <c r="F347" s="245"/>
      <c r="G347" s="26"/>
      <c r="H347" s="64"/>
      <c r="I347" s="27"/>
      <c r="J347" s="27"/>
      <c r="K347" s="245"/>
      <c r="L347" s="26"/>
      <c r="M347" s="26"/>
      <c r="N347" s="65"/>
      <c r="AT347" s="26"/>
    </row>
    <row r="348" spans="2:46" ht="15">
      <c r="B348" s="26"/>
      <c r="C348" s="26"/>
      <c r="D348" s="26"/>
      <c r="E348" s="26"/>
      <c r="F348" s="245"/>
      <c r="G348" s="26"/>
      <c r="H348" s="64"/>
      <c r="I348" s="27"/>
      <c r="J348" s="27"/>
      <c r="K348" s="245"/>
      <c r="L348" s="26"/>
      <c r="M348" s="26"/>
      <c r="N348" s="65"/>
      <c r="AT348" s="26"/>
    </row>
    <row r="349" spans="2:46" ht="15">
      <c r="B349" s="26"/>
      <c r="C349" s="26"/>
      <c r="D349" s="26"/>
      <c r="E349" s="26"/>
      <c r="F349" s="245"/>
      <c r="G349" s="26"/>
      <c r="H349" s="64"/>
      <c r="I349" s="27"/>
      <c r="J349" s="27"/>
      <c r="K349" s="245"/>
      <c r="L349" s="26"/>
      <c r="M349" s="26"/>
      <c r="N349" s="65"/>
      <c r="AT349" s="26"/>
    </row>
    <row r="350" spans="2:46" ht="15">
      <c r="B350" s="26"/>
      <c r="C350" s="26"/>
      <c r="D350" s="26"/>
      <c r="E350" s="26"/>
      <c r="F350" s="245"/>
      <c r="G350" s="26"/>
      <c r="H350" s="64"/>
      <c r="I350" s="27"/>
      <c r="J350" s="27"/>
      <c r="K350" s="245"/>
      <c r="L350" s="26"/>
      <c r="M350" s="26"/>
      <c r="N350" s="65"/>
      <c r="AT350" s="26"/>
    </row>
    <row r="351" spans="2:46" ht="15">
      <c r="B351" s="26"/>
      <c r="C351" s="26"/>
      <c r="D351" s="26"/>
      <c r="E351" s="26"/>
      <c r="F351" s="245"/>
      <c r="G351" s="26"/>
      <c r="H351" s="64"/>
      <c r="I351" s="27"/>
      <c r="J351" s="27"/>
      <c r="K351" s="245"/>
      <c r="L351" s="26"/>
      <c r="M351" s="26"/>
      <c r="N351" s="65"/>
      <c r="AT351" s="26"/>
    </row>
    <row r="352" spans="2:46" ht="15">
      <c r="B352" s="26"/>
      <c r="C352" s="26"/>
      <c r="D352" s="26"/>
      <c r="E352" s="26"/>
      <c r="F352" s="245"/>
      <c r="G352" s="26"/>
      <c r="H352" s="64"/>
      <c r="I352" s="27"/>
      <c r="J352" s="27"/>
      <c r="K352" s="245"/>
      <c r="L352" s="26"/>
      <c r="M352" s="26"/>
      <c r="N352" s="65"/>
      <c r="AT352" s="26"/>
    </row>
    <row r="353" spans="2:46" ht="15">
      <c r="B353" s="26"/>
      <c r="C353" s="26"/>
      <c r="D353" s="26"/>
      <c r="E353" s="26"/>
      <c r="F353" s="245"/>
      <c r="G353" s="26"/>
      <c r="H353" s="64"/>
      <c r="I353" s="27"/>
      <c r="J353" s="27"/>
      <c r="K353" s="245"/>
      <c r="L353" s="26"/>
      <c r="M353" s="26"/>
      <c r="N353" s="65"/>
      <c r="AT353" s="26"/>
    </row>
    <row r="354" spans="2:46" ht="15">
      <c r="B354" s="26"/>
      <c r="C354" s="26"/>
      <c r="D354" s="26"/>
      <c r="E354" s="26"/>
      <c r="F354" s="245"/>
      <c r="G354" s="26"/>
      <c r="H354" s="64"/>
      <c r="I354" s="27"/>
      <c r="J354" s="27"/>
      <c r="K354" s="245"/>
      <c r="L354" s="26"/>
      <c r="M354" s="26"/>
      <c r="N354" s="65"/>
      <c r="AT354" s="26"/>
    </row>
    <row r="355" spans="2:46" ht="15">
      <c r="B355" s="26"/>
      <c r="C355" s="26"/>
      <c r="D355" s="26"/>
      <c r="E355" s="26"/>
      <c r="F355" s="245"/>
      <c r="G355" s="26"/>
      <c r="H355" s="64"/>
      <c r="I355" s="27"/>
      <c r="J355" s="27"/>
      <c r="K355" s="245"/>
      <c r="L355" s="26"/>
      <c r="M355" s="26"/>
      <c r="N355" s="65"/>
      <c r="AT355" s="26"/>
    </row>
    <row r="356" spans="2:46" ht="15">
      <c r="B356" s="26"/>
      <c r="C356" s="26"/>
      <c r="D356" s="26"/>
      <c r="E356" s="26"/>
      <c r="F356" s="245"/>
      <c r="G356" s="26"/>
      <c r="H356" s="64"/>
      <c r="I356" s="27"/>
      <c r="J356" s="27"/>
      <c r="K356" s="245"/>
      <c r="L356" s="26"/>
      <c r="M356" s="26"/>
      <c r="N356" s="65"/>
      <c r="AT356" s="26"/>
    </row>
    <row r="357" spans="2:46" ht="15">
      <c r="B357" s="26"/>
      <c r="C357" s="26"/>
      <c r="D357" s="26"/>
      <c r="E357" s="26"/>
      <c r="F357" s="245"/>
      <c r="G357" s="26"/>
      <c r="H357" s="64"/>
      <c r="I357" s="27"/>
      <c r="J357" s="27"/>
      <c r="K357" s="245"/>
      <c r="L357" s="26"/>
      <c r="M357" s="26"/>
      <c r="N357" s="65"/>
      <c r="AT357" s="26"/>
    </row>
    <row r="358" spans="2:46" ht="15">
      <c r="B358" s="26"/>
      <c r="C358" s="26"/>
      <c r="D358" s="26"/>
      <c r="E358" s="26"/>
      <c r="F358" s="245"/>
      <c r="G358" s="26"/>
      <c r="H358" s="64"/>
      <c r="I358" s="27"/>
      <c r="J358" s="27"/>
      <c r="K358" s="245"/>
      <c r="L358" s="26"/>
      <c r="M358" s="26"/>
      <c r="N358" s="65"/>
      <c r="AT358" s="26"/>
    </row>
    <row r="359" spans="2:46" ht="15">
      <c r="B359" s="26"/>
      <c r="C359" s="26"/>
      <c r="D359" s="26"/>
      <c r="E359" s="26"/>
      <c r="F359" s="245"/>
      <c r="G359" s="26"/>
      <c r="H359" s="64"/>
      <c r="I359" s="27"/>
      <c r="J359" s="27"/>
      <c r="K359" s="245"/>
      <c r="L359" s="26"/>
      <c r="M359" s="26"/>
      <c r="N359" s="65"/>
      <c r="AT359" s="26"/>
    </row>
    <row r="360" spans="2:46" ht="15">
      <c r="B360" s="26"/>
      <c r="C360" s="26"/>
      <c r="D360" s="26"/>
      <c r="E360" s="26"/>
      <c r="F360" s="245"/>
      <c r="G360" s="26"/>
      <c r="H360" s="64"/>
      <c r="I360" s="27"/>
      <c r="J360" s="27"/>
      <c r="K360" s="245"/>
      <c r="L360" s="26"/>
      <c r="M360" s="26"/>
      <c r="N360" s="65"/>
      <c r="AT360" s="26"/>
    </row>
    <row r="361" spans="2:46" ht="15">
      <c r="B361" s="26"/>
      <c r="C361" s="26"/>
      <c r="D361" s="26"/>
      <c r="E361" s="26"/>
      <c r="F361" s="245"/>
      <c r="G361" s="26"/>
      <c r="H361" s="64"/>
      <c r="I361" s="27"/>
      <c r="J361" s="27"/>
      <c r="K361" s="245"/>
      <c r="L361" s="26"/>
      <c r="M361" s="26"/>
      <c r="N361" s="65"/>
      <c r="AT361" s="26"/>
    </row>
    <row r="362" spans="2:46" ht="15">
      <c r="B362" s="26"/>
      <c r="C362" s="26"/>
      <c r="D362" s="26"/>
      <c r="E362" s="26"/>
      <c r="F362" s="245"/>
      <c r="G362" s="26"/>
      <c r="H362" s="64"/>
      <c r="I362" s="27"/>
      <c r="J362" s="27"/>
      <c r="K362" s="245"/>
      <c r="L362" s="26"/>
      <c r="M362" s="26"/>
      <c r="N362" s="65"/>
      <c r="AT362" s="26"/>
    </row>
    <row r="363" spans="2:46" ht="15">
      <c r="B363" s="26"/>
      <c r="C363" s="26"/>
      <c r="D363" s="26"/>
      <c r="E363" s="26"/>
      <c r="F363" s="245"/>
      <c r="G363" s="26"/>
      <c r="H363" s="64"/>
      <c r="I363" s="27"/>
      <c r="J363" s="27"/>
      <c r="K363" s="245"/>
      <c r="L363" s="26"/>
      <c r="M363" s="26"/>
      <c r="N363" s="65"/>
      <c r="AT363" s="26"/>
    </row>
    <row r="364" spans="2:46" ht="15">
      <c r="B364" s="26"/>
      <c r="C364" s="26"/>
      <c r="D364" s="26"/>
      <c r="E364" s="26"/>
      <c r="F364" s="245"/>
      <c r="G364" s="26"/>
      <c r="H364" s="64"/>
      <c r="I364" s="27"/>
      <c r="J364" s="27"/>
      <c r="K364" s="245"/>
      <c r="L364" s="26"/>
      <c r="M364" s="26"/>
      <c r="N364" s="65"/>
      <c r="AT364" s="26"/>
    </row>
    <row r="365" spans="2:46" ht="15">
      <c r="B365" s="26"/>
      <c r="C365" s="26"/>
      <c r="D365" s="26"/>
      <c r="E365" s="26"/>
      <c r="F365" s="245"/>
      <c r="G365" s="26"/>
      <c r="H365" s="64"/>
      <c r="I365" s="27"/>
      <c r="J365" s="27"/>
      <c r="K365" s="245"/>
      <c r="L365" s="26"/>
      <c r="M365" s="26"/>
      <c r="N365" s="65"/>
      <c r="AT365" s="26"/>
    </row>
    <row r="366" spans="2:46" ht="15">
      <c r="B366" s="26"/>
      <c r="C366" s="26"/>
      <c r="D366" s="26"/>
      <c r="E366" s="26"/>
      <c r="F366" s="245"/>
      <c r="G366" s="26"/>
      <c r="H366" s="64"/>
      <c r="I366" s="27"/>
      <c r="J366" s="27"/>
      <c r="K366" s="245"/>
      <c r="L366" s="26"/>
      <c r="M366" s="26"/>
      <c r="N366" s="65"/>
      <c r="AT366" s="26"/>
    </row>
    <row r="367" spans="2:46" ht="15">
      <c r="B367" s="26"/>
      <c r="C367" s="26"/>
      <c r="D367" s="26"/>
      <c r="E367" s="26"/>
      <c r="F367" s="245"/>
      <c r="G367" s="26"/>
      <c r="H367" s="64"/>
      <c r="I367" s="27"/>
      <c r="J367" s="27"/>
      <c r="K367" s="245"/>
      <c r="L367" s="26"/>
      <c r="M367" s="26"/>
      <c r="N367" s="65"/>
      <c r="AT367" s="26"/>
    </row>
    <row r="368" spans="2:46" ht="15">
      <c r="B368" s="26"/>
      <c r="C368" s="26"/>
      <c r="D368" s="26"/>
      <c r="E368" s="26"/>
      <c r="F368" s="245"/>
      <c r="G368" s="26"/>
      <c r="H368" s="64"/>
      <c r="I368" s="27"/>
      <c r="J368" s="27"/>
      <c r="K368" s="245"/>
      <c r="L368" s="26"/>
      <c r="M368" s="26"/>
      <c r="N368" s="65"/>
      <c r="AT368" s="26"/>
    </row>
    <row r="369" spans="2:46" ht="15">
      <c r="B369" s="26"/>
      <c r="C369" s="26"/>
      <c r="D369" s="26"/>
      <c r="E369" s="26"/>
      <c r="F369" s="245"/>
      <c r="G369" s="26"/>
      <c r="H369" s="64"/>
      <c r="I369" s="27"/>
      <c r="J369" s="27"/>
      <c r="K369" s="245"/>
      <c r="L369" s="26"/>
      <c r="M369" s="26"/>
      <c r="N369" s="65"/>
      <c r="AT369" s="26"/>
    </row>
    <row r="370" spans="2:46" ht="15">
      <c r="B370" s="26"/>
      <c r="C370" s="26"/>
      <c r="D370" s="26"/>
      <c r="E370" s="26"/>
      <c r="F370" s="245"/>
      <c r="G370" s="26"/>
      <c r="H370" s="64"/>
      <c r="I370" s="27"/>
      <c r="J370" s="27"/>
      <c r="K370" s="245"/>
      <c r="L370" s="26"/>
      <c r="M370" s="26"/>
      <c r="N370" s="65"/>
      <c r="AT370" s="26"/>
    </row>
    <row r="371" spans="2:46" ht="15">
      <c r="B371" s="26"/>
      <c r="C371" s="26"/>
      <c r="D371" s="26"/>
      <c r="E371" s="26"/>
      <c r="F371" s="245"/>
      <c r="G371" s="26"/>
      <c r="H371" s="64"/>
      <c r="I371" s="27"/>
      <c r="J371" s="27"/>
      <c r="K371" s="245"/>
      <c r="L371" s="26"/>
      <c r="M371" s="26"/>
      <c r="N371" s="65"/>
      <c r="AT371" s="26"/>
    </row>
    <row r="372" spans="2:46" ht="15">
      <c r="B372" s="26"/>
      <c r="C372" s="26"/>
      <c r="D372" s="26"/>
      <c r="E372" s="26"/>
      <c r="F372" s="245"/>
      <c r="G372" s="26"/>
      <c r="H372" s="64"/>
      <c r="I372" s="27"/>
      <c r="J372" s="27"/>
      <c r="K372" s="245"/>
      <c r="L372" s="26"/>
      <c r="M372" s="26"/>
      <c r="N372" s="65"/>
      <c r="AT372" s="26"/>
    </row>
    <row r="373" spans="2:46" ht="15">
      <c r="B373" s="26"/>
      <c r="C373" s="26"/>
      <c r="D373" s="26"/>
      <c r="E373" s="26"/>
      <c r="F373" s="245"/>
      <c r="G373" s="26"/>
      <c r="H373" s="64"/>
      <c r="I373" s="27"/>
      <c r="J373" s="27"/>
      <c r="K373" s="245"/>
      <c r="L373" s="26"/>
      <c r="M373" s="26"/>
      <c r="N373" s="65"/>
      <c r="AT373" s="26"/>
    </row>
    <row r="374" spans="2:46" ht="15">
      <c r="B374" s="26"/>
      <c r="C374" s="26"/>
      <c r="D374" s="26"/>
      <c r="E374" s="26"/>
      <c r="F374" s="245"/>
      <c r="G374" s="26"/>
      <c r="H374" s="64"/>
      <c r="I374" s="27"/>
      <c r="J374" s="27"/>
      <c r="K374" s="245"/>
      <c r="L374" s="26"/>
      <c r="M374" s="26"/>
      <c r="N374" s="65"/>
      <c r="AT374" s="26"/>
    </row>
    <row r="375" spans="2:46" ht="15">
      <c r="B375" s="26"/>
      <c r="C375" s="26"/>
      <c r="D375" s="26"/>
      <c r="E375" s="26"/>
      <c r="F375" s="245"/>
      <c r="G375" s="26"/>
      <c r="H375" s="64"/>
      <c r="I375" s="27"/>
      <c r="J375" s="27"/>
      <c r="K375" s="245"/>
      <c r="L375" s="26"/>
      <c r="M375" s="26"/>
      <c r="N375" s="65"/>
      <c r="AT375" s="26"/>
    </row>
    <row r="376" spans="2:46" ht="15">
      <c r="B376" s="26"/>
      <c r="C376" s="26"/>
      <c r="D376" s="26"/>
      <c r="E376" s="26"/>
      <c r="F376" s="245"/>
      <c r="G376" s="26"/>
      <c r="H376" s="64"/>
      <c r="I376" s="27"/>
      <c r="J376" s="27"/>
      <c r="K376" s="245"/>
      <c r="L376" s="26"/>
      <c r="M376" s="26"/>
      <c r="N376" s="65"/>
      <c r="AT376" s="26"/>
    </row>
    <row r="377" spans="2:46" ht="15">
      <c r="B377" s="26"/>
      <c r="C377" s="26"/>
      <c r="D377" s="26"/>
      <c r="E377" s="26"/>
      <c r="F377" s="245"/>
      <c r="G377" s="26"/>
      <c r="H377" s="64"/>
      <c r="I377" s="27"/>
      <c r="J377" s="27"/>
      <c r="K377" s="245"/>
      <c r="L377" s="26"/>
      <c r="M377" s="26"/>
      <c r="N377" s="65"/>
      <c r="AT377" s="26"/>
    </row>
    <row r="378" spans="2:46" ht="15">
      <c r="B378" s="26"/>
      <c r="C378" s="26"/>
      <c r="D378" s="26"/>
      <c r="E378" s="26"/>
      <c r="F378" s="245"/>
      <c r="G378" s="26"/>
      <c r="H378" s="64"/>
      <c r="I378" s="27"/>
      <c r="J378" s="27"/>
      <c r="K378" s="245"/>
      <c r="L378" s="26"/>
      <c r="M378" s="26"/>
      <c r="N378" s="65"/>
      <c r="AT378" s="26"/>
    </row>
    <row r="379" spans="2:46" ht="15">
      <c r="B379" s="26"/>
      <c r="C379" s="26"/>
      <c r="D379" s="26"/>
      <c r="E379" s="26"/>
      <c r="F379" s="245"/>
      <c r="G379" s="26"/>
      <c r="H379" s="64"/>
      <c r="I379" s="27"/>
      <c r="J379" s="27"/>
      <c r="K379" s="245"/>
      <c r="L379" s="26"/>
      <c r="M379" s="26"/>
      <c r="N379" s="65"/>
      <c r="AT379" s="26"/>
    </row>
    <row r="380" spans="2:46" ht="15">
      <c r="B380" s="26"/>
      <c r="C380" s="26"/>
      <c r="D380" s="26"/>
      <c r="E380" s="26"/>
      <c r="F380" s="245"/>
      <c r="G380" s="26"/>
      <c r="H380" s="64"/>
      <c r="I380" s="27"/>
      <c r="J380" s="27"/>
      <c r="K380" s="245"/>
      <c r="L380" s="26"/>
      <c r="M380" s="26"/>
      <c r="N380" s="65"/>
      <c r="AT380" s="26"/>
    </row>
    <row r="381" spans="2:46" ht="15">
      <c r="B381" s="26"/>
      <c r="C381" s="26"/>
      <c r="D381" s="26"/>
      <c r="E381" s="26"/>
      <c r="F381" s="245"/>
      <c r="G381" s="26"/>
      <c r="H381" s="64"/>
      <c r="I381" s="27"/>
      <c r="J381" s="27"/>
      <c r="K381" s="245"/>
      <c r="L381" s="26"/>
      <c r="M381" s="26"/>
      <c r="N381" s="65"/>
      <c r="AT381" s="26"/>
    </row>
    <row r="382" spans="2:46" ht="15">
      <c r="B382" s="26"/>
      <c r="C382" s="26"/>
      <c r="D382" s="26"/>
      <c r="E382" s="26"/>
      <c r="F382" s="245"/>
      <c r="G382" s="26"/>
      <c r="H382" s="64"/>
      <c r="I382" s="27"/>
      <c r="J382" s="27"/>
      <c r="K382" s="245"/>
      <c r="L382" s="26"/>
      <c r="M382" s="26"/>
      <c r="N382" s="65"/>
      <c r="AT382" s="26"/>
    </row>
    <row r="383" spans="2:46" ht="15">
      <c r="B383" s="26"/>
      <c r="C383" s="26"/>
      <c r="D383" s="26"/>
      <c r="E383" s="26"/>
      <c r="F383" s="245"/>
      <c r="G383" s="26"/>
      <c r="H383" s="64"/>
      <c r="I383" s="27"/>
      <c r="J383" s="27"/>
      <c r="K383" s="245"/>
      <c r="L383" s="26"/>
      <c r="M383" s="26"/>
      <c r="N383" s="65"/>
      <c r="AT383" s="26"/>
    </row>
    <row r="384" spans="2:46" ht="15">
      <c r="B384" s="26"/>
      <c r="C384" s="26"/>
      <c r="D384" s="26"/>
      <c r="E384" s="26"/>
      <c r="F384" s="245"/>
      <c r="G384" s="26"/>
      <c r="H384" s="64"/>
      <c r="I384" s="27"/>
      <c r="J384" s="27"/>
      <c r="K384" s="245"/>
      <c r="L384" s="26"/>
      <c r="M384" s="26"/>
      <c r="N384" s="65"/>
      <c r="AT384" s="26"/>
    </row>
    <row r="385" spans="2:46" ht="15">
      <c r="B385" s="26"/>
      <c r="C385" s="26"/>
      <c r="D385" s="26"/>
      <c r="E385" s="26"/>
      <c r="F385" s="245"/>
      <c r="G385" s="26"/>
      <c r="H385" s="64"/>
      <c r="I385" s="27"/>
      <c r="J385" s="27"/>
      <c r="K385" s="245"/>
      <c r="L385" s="26"/>
      <c r="M385" s="26"/>
      <c r="N385" s="65"/>
      <c r="AT385" s="26"/>
    </row>
    <row r="386" spans="2:46" ht="15">
      <c r="B386" s="26"/>
      <c r="C386" s="26"/>
      <c r="D386" s="26"/>
      <c r="E386" s="26"/>
      <c r="F386" s="245"/>
      <c r="G386" s="26"/>
      <c r="H386" s="64"/>
      <c r="I386" s="27"/>
      <c r="J386" s="27"/>
      <c r="K386" s="245"/>
      <c r="L386" s="26"/>
      <c r="M386" s="26"/>
      <c r="N386" s="65"/>
      <c r="AT386" s="26"/>
    </row>
    <row r="387" spans="2:46" ht="15">
      <c r="B387" s="26"/>
      <c r="C387" s="26"/>
      <c r="D387" s="26"/>
      <c r="E387" s="26"/>
      <c r="F387" s="245"/>
      <c r="G387" s="26"/>
      <c r="H387" s="64"/>
      <c r="I387" s="27"/>
      <c r="J387" s="27"/>
      <c r="K387" s="245"/>
      <c r="L387" s="26"/>
      <c r="M387" s="26"/>
      <c r="N387" s="65"/>
      <c r="AT387" s="26"/>
    </row>
    <row r="388" spans="2:46" ht="15">
      <c r="B388" s="26"/>
      <c r="C388" s="26"/>
      <c r="D388" s="26"/>
      <c r="E388" s="26"/>
      <c r="F388" s="245"/>
      <c r="G388" s="26"/>
      <c r="H388" s="64"/>
      <c r="I388" s="27"/>
      <c r="J388" s="27"/>
      <c r="K388" s="245"/>
      <c r="L388" s="26"/>
      <c r="M388" s="26"/>
      <c r="N388" s="65"/>
      <c r="AT388" s="26"/>
    </row>
    <row r="389" spans="2:46" ht="15">
      <c r="B389" s="26"/>
      <c r="C389" s="26"/>
      <c r="D389" s="26"/>
      <c r="E389" s="26"/>
      <c r="F389" s="245"/>
      <c r="G389" s="26"/>
      <c r="H389" s="64"/>
      <c r="I389" s="27"/>
      <c r="J389" s="27"/>
      <c r="K389" s="245"/>
      <c r="L389" s="26"/>
      <c r="M389" s="26"/>
      <c r="N389" s="65"/>
      <c r="AT389" s="26"/>
    </row>
    <row r="390" spans="2:46" ht="15">
      <c r="B390" s="26"/>
      <c r="C390" s="26"/>
      <c r="D390" s="26"/>
      <c r="E390" s="26"/>
      <c r="F390" s="245"/>
      <c r="G390" s="26"/>
      <c r="H390" s="64"/>
      <c r="I390" s="27"/>
      <c r="J390" s="27"/>
      <c r="K390" s="245"/>
      <c r="L390" s="26"/>
      <c r="M390" s="26"/>
      <c r="N390" s="65"/>
      <c r="AT390" s="26"/>
    </row>
    <row r="391" spans="2:46" ht="15">
      <c r="B391" s="26"/>
      <c r="C391" s="26"/>
      <c r="D391" s="26"/>
      <c r="E391" s="26"/>
      <c r="F391" s="245"/>
      <c r="G391" s="26"/>
      <c r="H391" s="64"/>
      <c r="I391" s="27"/>
      <c r="J391" s="27"/>
      <c r="K391" s="245"/>
      <c r="L391" s="26"/>
      <c r="M391" s="26"/>
      <c r="N391" s="65"/>
      <c r="AT391" s="26"/>
    </row>
    <row r="392" spans="2:46" ht="15">
      <c r="B392" s="26"/>
      <c r="C392" s="26"/>
      <c r="D392" s="26"/>
      <c r="E392" s="26"/>
      <c r="F392" s="245"/>
      <c r="G392" s="26"/>
      <c r="H392" s="64"/>
      <c r="I392" s="27"/>
      <c r="J392" s="27"/>
      <c r="K392" s="245"/>
      <c r="L392" s="26"/>
      <c r="M392" s="26"/>
      <c r="N392" s="65"/>
      <c r="AT392" s="26"/>
    </row>
    <row r="393" spans="2:46" ht="15">
      <c r="B393" s="26"/>
      <c r="C393" s="26"/>
      <c r="D393" s="26"/>
      <c r="E393" s="26"/>
      <c r="F393" s="245"/>
      <c r="G393" s="26"/>
      <c r="H393" s="64"/>
      <c r="I393" s="27"/>
      <c r="J393" s="27"/>
      <c r="K393" s="245"/>
      <c r="L393" s="26"/>
      <c r="M393" s="26"/>
      <c r="N393" s="65"/>
      <c r="AT393" s="26"/>
    </row>
    <row r="394" spans="2:46" ht="15">
      <c r="B394" s="26"/>
      <c r="C394" s="26"/>
      <c r="D394" s="26"/>
      <c r="E394" s="26"/>
      <c r="F394" s="245"/>
      <c r="G394" s="26"/>
      <c r="H394" s="64"/>
      <c r="I394" s="27"/>
      <c r="J394" s="27"/>
      <c r="K394" s="245"/>
      <c r="L394" s="26"/>
      <c r="M394" s="26"/>
      <c r="N394" s="65"/>
      <c r="AT394" s="26"/>
    </row>
    <row r="395" spans="2:46" ht="15">
      <c r="B395" s="26"/>
      <c r="C395" s="26"/>
      <c r="D395" s="26"/>
      <c r="E395" s="26"/>
      <c r="F395" s="245"/>
      <c r="G395" s="26"/>
      <c r="H395" s="64"/>
      <c r="I395" s="27"/>
      <c r="J395" s="27"/>
      <c r="K395" s="245"/>
      <c r="L395" s="26"/>
      <c r="M395" s="26"/>
      <c r="N395" s="65"/>
      <c r="AT395" s="26"/>
    </row>
    <row r="396" spans="2:46" ht="15">
      <c r="B396" s="26"/>
      <c r="C396" s="26"/>
      <c r="D396" s="26"/>
      <c r="E396" s="26"/>
      <c r="F396" s="245"/>
      <c r="G396" s="26"/>
      <c r="H396" s="64"/>
      <c r="I396" s="27"/>
      <c r="J396" s="27"/>
      <c r="K396" s="245"/>
      <c r="L396" s="26"/>
      <c r="M396" s="26"/>
      <c r="N396" s="65"/>
      <c r="AT396" s="26"/>
    </row>
    <row r="397" spans="2:46" ht="15">
      <c r="B397" s="26"/>
      <c r="C397" s="26"/>
      <c r="D397" s="26"/>
      <c r="E397" s="26"/>
      <c r="F397" s="245"/>
      <c r="G397" s="26"/>
      <c r="H397" s="64"/>
      <c r="I397" s="27"/>
      <c r="J397" s="27"/>
      <c r="K397" s="245"/>
      <c r="L397" s="26"/>
      <c r="M397" s="26"/>
      <c r="N397" s="65"/>
      <c r="AT397" s="26"/>
    </row>
    <row r="398" spans="2:46" ht="15">
      <c r="B398" s="26"/>
      <c r="C398" s="26"/>
      <c r="D398" s="26"/>
      <c r="E398" s="26"/>
      <c r="F398" s="245"/>
      <c r="G398" s="26"/>
      <c r="H398" s="64"/>
      <c r="I398" s="27"/>
      <c r="J398" s="27"/>
      <c r="K398" s="245"/>
      <c r="L398" s="26"/>
      <c r="M398" s="26"/>
      <c r="N398" s="65"/>
      <c r="AT398" s="26"/>
    </row>
    <row r="399" spans="2:46" ht="15">
      <c r="B399" s="26"/>
      <c r="C399" s="26"/>
      <c r="D399" s="26"/>
      <c r="E399" s="26"/>
      <c r="F399" s="245"/>
      <c r="G399" s="26"/>
      <c r="H399" s="64"/>
      <c r="I399" s="27"/>
      <c r="J399" s="27"/>
      <c r="K399" s="245"/>
      <c r="L399" s="26"/>
      <c r="M399" s="26"/>
      <c r="N399" s="65"/>
      <c r="AT399" s="26"/>
    </row>
    <row r="400" spans="2:46" ht="15">
      <c r="B400" s="26"/>
      <c r="C400" s="26"/>
      <c r="D400" s="26"/>
      <c r="E400" s="26"/>
      <c r="F400" s="245"/>
      <c r="G400" s="26"/>
      <c r="H400" s="64"/>
      <c r="I400" s="27"/>
      <c r="J400" s="27"/>
      <c r="K400" s="245"/>
      <c r="L400" s="26"/>
      <c r="M400" s="26"/>
      <c r="N400" s="65"/>
      <c r="AT400" s="26"/>
    </row>
    <row r="401" spans="2:46" ht="15">
      <c r="B401" s="26"/>
      <c r="C401" s="26"/>
      <c r="D401" s="26"/>
      <c r="E401" s="26"/>
      <c r="F401" s="245"/>
      <c r="G401" s="26"/>
      <c r="H401" s="64"/>
      <c r="I401" s="27"/>
      <c r="J401" s="27"/>
      <c r="K401" s="245"/>
      <c r="L401" s="26"/>
      <c r="M401" s="26"/>
      <c r="N401" s="65"/>
      <c r="AT401" s="26"/>
    </row>
    <row r="402" spans="2:46" ht="15">
      <c r="B402" s="26"/>
      <c r="C402" s="26"/>
      <c r="D402" s="26"/>
      <c r="E402" s="26"/>
      <c r="F402" s="245"/>
      <c r="G402" s="26"/>
      <c r="H402" s="64"/>
      <c r="I402" s="27"/>
      <c r="J402" s="27"/>
      <c r="K402" s="245"/>
      <c r="L402" s="26"/>
      <c r="M402" s="26"/>
      <c r="N402" s="65"/>
      <c r="AT402" s="26"/>
    </row>
    <row r="403" spans="2:46" ht="15">
      <c r="B403" s="26"/>
      <c r="C403" s="26"/>
      <c r="D403" s="26"/>
      <c r="E403" s="26"/>
      <c r="F403" s="245"/>
      <c r="G403" s="26"/>
      <c r="H403" s="64"/>
      <c r="I403" s="27"/>
      <c r="J403" s="27"/>
      <c r="K403" s="245"/>
      <c r="L403" s="26"/>
      <c r="M403" s="26"/>
      <c r="N403" s="65"/>
      <c r="AT403" s="26"/>
    </row>
    <row r="404" spans="2:46" ht="15">
      <c r="B404" s="26"/>
      <c r="C404" s="26"/>
      <c r="D404" s="26"/>
      <c r="E404" s="26"/>
      <c r="F404" s="245"/>
      <c r="G404" s="26"/>
      <c r="H404" s="64"/>
      <c r="I404" s="27"/>
      <c r="J404" s="27"/>
      <c r="K404" s="245"/>
      <c r="L404" s="26"/>
      <c r="M404" s="26"/>
      <c r="N404" s="65"/>
      <c r="AT404" s="26"/>
    </row>
    <row r="405" spans="2:46" ht="15">
      <c r="B405" s="26"/>
      <c r="C405" s="26"/>
      <c r="D405" s="26"/>
      <c r="E405" s="26"/>
      <c r="F405" s="245"/>
      <c r="G405" s="26"/>
      <c r="H405" s="64"/>
      <c r="I405" s="27"/>
      <c r="J405" s="27"/>
      <c r="K405" s="245"/>
      <c r="L405" s="26"/>
      <c r="M405" s="26"/>
      <c r="N405" s="65"/>
      <c r="AT405" s="26"/>
    </row>
    <row r="406" spans="2:46" ht="15">
      <c r="B406" s="26"/>
      <c r="C406" s="26"/>
      <c r="D406" s="26"/>
      <c r="E406" s="26"/>
      <c r="F406" s="245"/>
      <c r="G406" s="26"/>
      <c r="H406" s="64"/>
      <c r="I406" s="27"/>
      <c r="J406" s="27"/>
      <c r="K406" s="245"/>
      <c r="L406" s="26"/>
      <c r="M406" s="26"/>
      <c r="N406" s="65"/>
      <c r="AT406" s="26"/>
    </row>
    <row r="407" spans="2:46" ht="15">
      <c r="B407" s="26"/>
      <c r="C407" s="26"/>
      <c r="D407" s="26"/>
      <c r="E407" s="26"/>
      <c r="F407" s="245"/>
      <c r="G407" s="26"/>
      <c r="H407" s="64"/>
      <c r="I407" s="27"/>
      <c r="J407" s="27"/>
      <c r="K407" s="245"/>
      <c r="L407" s="26"/>
      <c r="M407" s="26"/>
      <c r="N407" s="65"/>
      <c r="AT407" s="26"/>
    </row>
    <row r="408" spans="2:46" ht="15">
      <c r="B408" s="26"/>
      <c r="C408" s="26"/>
      <c r="D408" s="26"/>
      <c r="E408" s="26"/>
      <c r="F408" s="245"/>
      <c r="G408" s="26"/>
      <c r="H408" s="64"/>
      <c r="I408" s="27"/>
      <c r="J408" s="27"/>
      <c r="K408" s="245"/>
      <c r="L408" s="26"/>
      <c r="M408" s="26"/>
      <c r="N408" s="65"/>
      <c r="AT408" s="26"/>
    </row>
    <row r="409" spans="2:46" ht="15">
      <c r="B409" s="26"/>
      <c r="C409" s="26"/>
      <c r="D409" s="26"/>
      <c r="E409" s="26"/>
      <c r="F409" s="245"/>
      <c r="G409" s="26"/>
      <c r="H409" s="64"/>
      <c r="I409" s="27"/>
      <c r="J409" s="27"/>
      <c r="K409" s="245"/>
      <c r="L409" s="26"/>
      <c r="M409" s="26"/>
      <c r="N409" s="65"/>
      <c r="AT409" s="26"/>
    </row>
    <row r="410" spans="2:46" ht="15">
      <c r="B410" s="26"/>
      <c r="C410" s="26"/>
      <c r="D410" s="26"/>
      <c r="E410" s="26"/>
      <c r="F410" s="245"/>
      <c r="G410" s="26"/>
      <c r="H410" s="64"/>
      <c r="I410" s="27"/>
      <c r="J410" s="27"/>
      <c r="K410" s="245"/>
      <c r="L410" s="26"/>
      <c r="M410" s="26"/>
      <c r="N410" s="65"/>
      <c r="AT410" s="26"/>
    </row>
    <row r="411" spans="2:46" ht="15">
      <c r="B411" s="26"/>
      <c r="C411" s="26"/>
      <c r="D411" s="26"/>
      <c r="E411" s="26"/>
      <c r="F411" s="245"/>
      <c r="G411" s="26"/>
      <c r="H411" s="64"/>
      <c r="I411" s="27"/>
      <c r="J411" s="27"/>
      <c r="K411" s="245"/>
      <c r="L411" s="26"/>
      <c r="M411" s="26"/>
      <c r="N411" s="65"/>
      <c r="AT411" s="26"/>
    </row>
    <row r="412" spans="2:46" ht="15">
      <c r="B412" s="26"/>
      <c r="C412" s="26"/>
      <c r="D412" s="26"/>
      <c r="E412" s="26"/>
      <c r="F412" s="245"/>
      <c r="G412" s="26"/>
      <c r="H412" s="64"/>
      <c r="I412" s="27"/>
      <c r="J412" s="27"/>
      <c r="K412" s="245"/>
      <c r="L412" s="26"/>
      <c r="M412" s="26"/>
      <c r="N412" s="65"/>
      <c r="AT412" s="26"/>
    </row>
    <row r="413" spans="2:46" ht="15">
      <c r="B413" s="26"/>
      <c r="C413" s="26"/>
      <c r="D413" s="26"/>
      <c r="E413" s="26"/>
      <c r="F413" s="245"/>
      <c r="G413" s="26"/>
      <c r="H413" s="64"/>
      <c r="I413" s="27"/>
      <c r="J413" s="27"/>
      <c r="K413" s="245"/>
      <c r="L413" s="26"/>
      <c r="M413" s="26"/>
      <c r="N413" s="65"/>
      <c r="AT413" s="26"/>
    </row>
    <row r="414" spans="2:46" ht="15">
      <c r="B414" s="26"/>
      <c r="C414" s="26"/>
      <c r="D414" s="26"/>
      <c r="E414" s="26"/>
      <c r="F414" s="245"/>
      <c r="G414" s="26"/>
      <c r="H414" s="64"/>
      <c r="I414" s="27"/>
      <c r="J414" s="27"/>
      <c r="K414" s="245"/>
      <c r="L414" s="26"/>
      <c r="M414" s="26"/>
      <c r="N414" s="65"/>
      <c r="AT414" s="26"/>
    </row>
    <row r="415" spans="2:46" ht="15">
      <c r="B415" s="26"/>
      <c r="C415" s="26"/>
      <c r="D415" s="26"/>
      <c r="E415" s="26"/>
      <c r="F415" s="245"/>
      <c r="G415" s="26"/>
      <c r="H415" s="64"/>
      <c r="I415" s="27"/>
      <c r="J415" s="27"/>
      <c r="K415" s="245"/>
      <c r="L415" s="26"/>
      <c r="M415" s="26"/>
      <c r="N415" s="65"/>
      <c r="AT415" s="26"/>
    </row>
    <row r="416" spans="2:46" ht="15">
      <c r="B416" s="26"/>
      <c r="C416" s="26"/>
      <c r="D416" s="26"/>
      <c r="E416" s="26"/>
      <c r="F416" s="245"/>
      <c r="G416" s="26"/>
      <c r="H416" s="64"/>
      <c r="I416" s="27"/>
      <c r="J416" s="27"/>
      <c r="K416" s="245"/>
      <c r="L416" s="26"/>
      <c r="M416" s="26"/>
      <c r="N416" s="65"/>
      <c r="AT416" s="26"/>
    </row>
    <row r="417" spans="2:46" ht="15">
      <c r="B417" s="26"/>
      <c r="C417" s="26"/>
      <c r="D417" s="26"/>
      <c r="E417" s="26"/>
      <c r="F417" s="245"/>
      <c r="G417" s="26"/>
      <c r="H417" s="64"/>
      <c r="I417" s="27"/>
      <c r="J417" s="27"/>
      <c r="K417" s="245"/>
      <c r="L417" s="26"/>
      <c r="M417" s="26"/>
      <c r="N417" s="65"/>
      <c r="AT417" s="26"/>
    </row>
    <row r="418" spans="2:46" ht="15">
      <c r="B418" s="26"/>
      <c r="C418" s="26"/>
      <c r="D418" s="26"/>
      <c r="E418" s="26"/>
      <c r="F418" s="245"/>
      <c r="G418" s="26"/>
      <c r="H418" s="64"/>
      <c r="I418" s="27"/>
      <c r="J418" s="27"/>
      <c r="K418" s="245"/>
      <c r="L418" s="26"/>
      <c r="M418" s="26"/>
      <c r="N418" s="65"/>
      <c r="AT418" s="26"/>
    </row>
    <row r="419" spans="2:46" ht="15">
      <c r="B419" s="26"/>
      <c r="C419" s="26"/>
      <c r="D419" s="26"/>
      <c r="E419" s="26"/>
      <c r="F419" s="245"/>
      <c r="G419" s="26"/>
      <c r="H419" s="64"/>
      <c r="I419" s="27"/>
      <c r="J419" s="27"/>
      <c r="K419" s="245"/>
      <c r="L419" s="26"/>
      <c r="M419" s="26"/>
      <c r="N419" s="65"/>
      <c r="AT419" s="26"/>
    </row>
    <row r="420" spans="2:46" ht="15">
      <c r="B420" s="26"/>
      <c r="C420" s="26"/>
      <c r="D420" s="26"/>
      <c r="E420" s="26"/>
      <c r="F420" s="245"/>
      <c r="G420" s="26"/>
      <c r="H420" s="64"/>
      <c r="I420" s="27"/>
      <c r="J420" s="27"/>
      <c r="K420" s="245"/>
      <c r="L420" s="26"/>
      <c r="M420" s="26"/>
      <c r="N420" s="65"/>
      <c r="AT420" s="26"/>
    </row>
    <row r="421" spans="2:46" ht="15">
      <c r="B421" s="26"/>
      <c r="C421" s="26"/>
      <c r="D421" s="26"/>
      <c r="E421" s="26"/>
      <c r="F421" s="245"/>
      <c r="G421" s="26"/>
      <c r="H421" s="64"/>
      <c r="I421" s="27"/>
      <c r="J421" s="27"/>
      <c r="K421" s="245"/>
      <c r="L421" s="26"/>
      <c r="M421" s="26"/>
      <c r="N421" s="65"/>
      <c r="AT421" s="26"/>
    </row>
    <row r="422" spans="2:46" ht="15">
      <c r="B422" s="26"/>
      <c r="C422" s="26"/>
      <c r="D422" s="26"/>
      <c r="E422" s="26"/>
      <c r="F422" s="245"/>
      <c r="G422" s="26"/>
      <c r="H422" s="64"/>
      <c r="I422" s="27"/>
      <c r="J422" s="27"/>
      <c r="K422" s="245"/>
      <c r="L422" s="26"/>
      <c r="M422" s="26"/>
      <c r="N422" s="65"/>
      <c r="AT422" s="26"/>
    </row>
    <row r="423" spans="2:46" ht="15">
      <c r="B423" s="26"/>
      <c r="C423" s="26"/>
      <c r="D423" s="26"/>
      <c r="E423" s="26"/>
      <c r="F423" s="245"/>
      <c r="G423" s="26"/>
      <c r="H423" s="64"/>
      <c r="I423" s="27"/>
      <c r="J423" s="27"/>
      <c r="K423" s="245"/>
      <c r="L423" s="26"/>
      <c r="M423" s="26"/>
      <c r="N423" s="65"/>
      <c r="AT423" s="26"/>
    </row>
    <row r="424" spans="2:46" ht="15">
      <c r="B424" s="26"/>
      <c r="C424" s="26"/>
      <c r="D424" s="26"/>
      <c r="E424" s="26"/>
      <c r="F424" s="245"/>
      <c r="G424" s="26"/>
      <c r="H424" s="64"/>
      <c r="I424" s="27"/>
      <c r="J424" s="27"/>
      <c r="K424" s="245"/>
      <c r="L424" s="26"/>
      <c r="M424" s="26"/>
      <c r="N424" s="65"/>
      <c r="AT424" s="26"/>
    </row>
    <row r="425" spans="2:46" ht="15">
      <c r="B425" s="26"/>
      <c r="C425" s="26"/>
      <c r="D425" s="26"/>
      <c r="E425" s="26"/>
      <c r="F425" s="245"/>
      <c r="G425" s="26"/>
      <c r="H425" s="64"/>
      <c r="I425" s="27"/>
      <c r="J425" s="27"/>
      <c r="K425" s="245"/>
      <c r="L425" s="26"/>
      <c r="M425" s="26"/>
      <c r="N425" s="65"/>
      <c r="AT425" s="26"/>
    </row>
    <row r="426" spans="2:46" ht="15">
      <c r="B426" s="26"/>
      <c r="C426" s="26"/>
      <c r="D426" s="26"/>
      <c r="E426" s="26"/>
      <c r="F426" s="245"/>
      <c r="G426" s="26"/>
      <c r="H426" s="64"/>
      <c r="I426" s="27"/>
      <c r="J426" s="27"/>
      <c r="K426" s="245"/>
      <c r="L426" s="26"/>
      <c r="M426" s="26"/>
      <c r="N426" s="65"/>
      <c r="AT426" s="26"/>
    </row>
    <row r="427" spans="2:46" ht="15">
      <c r="B427" s="26"/>
      <c r="C427" s="26"/>
      <c r="D427" s="26"/>
      <c r="E427" s="26"/>
      <c r="F427" s="245"/>
      <c r="G427" s="26"/>
      <c r="H427" s="64"/>
      <c r="I427" s="27"/>
      <c r="J427" s="27"/>
      <c r="K427" s="245"/>
      <c r="L427" s="26"/>
      <c r="M427" s="26"/>
      <c r="N427" s="65"/>
      <c r="AT427" s="26"/>
    </row>
    <row r="428" spans="2:46" ht="15">
      <c r="B428" s="26"/>
      <c r="C428" s="26"/>
      <c r="D428" s="26"/>
      <c r="E428" s="26"/>
      <c r="F428" s="245"/>
      <c r="G428" s="26"/>
      <c r="H428" s="64"/>
      <c r="I428" s="27"/>
      <c r="J428" s="27"/>
      <c r="K428" s="245"/>
      <c r="L428" s="26"/>
      <c r="M428" s="26"/>
      <c r="N428" s="65"/>
      <c r="AT428" s="26"/>
    </row>
    <row r="429" spans="2:46" ht="15">
      <c r="B429" s="26"/>
      <c r="C429" s="26"/>
      <c r="D429" s="26"/>
      <c r="E429" s="26"/>
      <c r="F429" s="245"/>
      <c r="G429" s="26"/>
      <c r="H429" s="64"/>
      <c r="I429" s="27"/>
      <c r="J429" s="27"/>
      <c r="K429" s="245"/>
      <c r="L429" s="26"/>
      <c r="M429" s="26"/>
      <c r="N429" s="65"/>
      <c r="AT429" s="26"/>
    </row>
    <row r="430" spans="2:46" ht="15">
      <c r="B430" s="26"/>
      <c r="C430" s="26"/>
      <c r="D430" s="26"/>
      <c r="E430" s="26"/>
      <c r="F430" s="245"/>
      <c r="G430" s="26"/>
      <c r="H430" s="64"/>
      <c r="I430" s="27"/>
      <c r="J430" s="27"/>
      <c r="K430" s="245"/>
      <c r="L430" s="26"/>
      <c r="M430" s="26"/>
      <c r="N430" s="65"/>
      <c r="AT430" s="26"/>
    </row>
    <row r="431" spans="2:46" ht="15">
      <c r="B431" s="26"/>
      <c r="C431" s="26"/>
      <c r="D431" s="26"/>
      <c r="E431" s="26"/>
      <c r="F431" s="245"/>
      <c r="G431" s="26"/>
      <c r="H431" s="64"/>
      <c r="I431" s="27"/>
      <c r="J431" s="27"/>
      <c r="K431" s="245"/>
      <c r="L431" s="26"/>
      <c r="M431" s="26"/>
      <c r="N431" s="65"/>
      <c r="AT431" s="26"/>
    </row>
    <row r="432" spans="2:46" ht="15">
      <c r="B432" s="26"/>
      <c r="C432" s="26"/>
      <c r="D432" s="26"/>
      <c r="E432" s="26"/>
      <c r="F432" s="245"/>
      <c r="G432" s="26"/>
      <c r="H432" s="64"/>
      <c r="I432" s="27"/>
      <c r="J432" s="27"/>
      <c r="K432" s="245"/>
      <c r="L432" s="26"/>
      <c r="M432" s="26"/>
      <c r="N432" s="65"/>
      <c r="AT432" s="26"/>
    </row>
    <row r="433" spans="2:46" ht="15">
      <c r="B433" s="26"/>
      <c r="C433" s="26"/>
      <c r="D433" s="26"/>
      <c r="E433" s="26"/>
      <c r="F433" s="245"/>
      <c r="G433" s="26"/>
      <c r="H433" s="64"/>
      <c r="I433" s="27"/>
      <c r="J433" s="27"/>
      <c r="K433" s="245"/>
      <c r="L433" s="26"/>
      <c r="M433" s="26"/>
      <c r="N433" s="65"/>
      <c r="AT433" s="26"/>
    </row>
    <row r="434" spans="2:46" ht="15">
      <c r="B434" s="26"/>
      <c r="C434" s="26"/>
      <c r="D434" s="26"/>
      <c r="E434" s="26"/>
      <c r="F434" s="245"/>
      <c r="G434" s="26"/>
      <c r="H434" s="64"/>
      <c r="I434" s="27"/>
      <c r="J434" s="27"/>
      <c r="K434" s="245"/>
      <c r="L434" s="26"/>
      <c r="M434" s="26"/>
      <c r="N434" s="65"/>
      <c r="AT434" s="26"/>
    </row>
    <row r="435" spans="2:46" ht="15">
      <c r="B435" s="26"/>
      <c r="C435" s="26"/>
      <c r="D435" s="26"/>
      <c r="E435" s="26"/>
      <c r="F435" s="245"/>
      <c r="G435" s="26"/>
      <c r="H435" s="64"/>
      <c r="I435" s="27"/>
      <c r="J435" s="27"/>
      <c r="K435" s="245"/>
      <c r="L435" s="26"/>
      <c r="M435" s="26"/>
      <c r="N435" s="65"/>
      <c r="AT435" s="26"/>
    </row>
    <row r="436" spans="2:46" ht="15">
      <c r="B436" s="26"/>
      <c r="C436" s="26"/>
      <c r="D436" s="26"/>
      <c r="E436" s="26"/>
      <c r="F436" s="245"/>
      <c r="G436" s="26"/>
      <c r="H436" s="64"/>
      <c r="I436" s="27"/>
      <c r="J436" s="27"/>
      <c r="K436" s="245"/>
      <c r="L436" s="26"/>
      <c r="M436" s="26"/>
      <c r="N436" s="65"/>
      <c r="AT436" s="26"/>
    </row>
    <row r="437" spans="2:46" ht="15">
      <c r="B437" s="26"/>
      <c r="C437" s="26"/>
      <c r="D437" s="26"/>
      <c r="E437" s="26"/>
      <c r="F437" s="245"/>
      <c r="G437" s="26"/>
      <c r="H437" s="64"/>
      <c r="I437" s="27"/>
      <c r="J437" s="27"/>
      <c r="K437" s="245"/>
      <c r="L437" s="26"/>
      <c r="M437" s="26"/>
      <c r="N437" s="65"/>
      <c r="AT437" s="26"/>
    </row>
    <row r="438" spans="2:46" ht="15">
      <c r="B438" s="26"/>
      <c r="C438" s="26"/>
      <c r="D438" s="26"/>
      <c r="E438" s="26"/>
      <c r="F438" s="245"/>
      <c r="G438" s="26"/>
      <c r="H438" s="64"/>
      <c r="I438" s="27"/>
      <c r="J438" s="27"/>
      <c r="K438" s="245"/>
      <c r="L438" s="26"/>
      <c r="M438" s="26"/>
      <c r="N438" s="65"/>
      <c r="AT438" s="26"/>
    </row>
    <row r="439" spans="2:46" ht="15">
      <c r="B439" s="26"/>
      <c r="C439" s="26"/>
      <c r="D439" s="26"/>
      <c r="E439" s="26"/>
      <c r="F439" s="245"/>
      <c r="G439" s="26"/>
      <c r="H439" s="64"/>
      <c r="I439" s="27"/>
      <c r="J439" s="27"/>
      <c r="K439" s="245"/>
      <c r="L439" s="26"/>
      <c r="M439" s="26"/>
      <c r="N439" s="65"/>
      <c r="AT439" s="26"/>
    </row>
    <row r="440" spans="2:46" ht="15">
      <c r="B440" s="26"/>
      <c r="C440" s="26"/>
      <c r="D440" s="26"/>
      <c r="E440" s="26"/>
      <c r="F440" s="245"/>
      <c r="G440" s="26"/>
      <c r="H440" s="64"/>
      <c r="I440" s="27"/>
      <c r="J440" s="27"/>
      <c r="K440" s="245"/>
      <c r="L440" s="26"/>
      <c r="M440" s="26"/>
      <c r="N440" s="65"/>
      <c r="AT440" s="26"/>
    </row>
    <row r="441" spans="2:46" ht="15">
      <c r="B441" s="26"/>
      <c r="C441" s="26"/>
      <c r="D441" s="26"/>
      <c r="E441" s="26"/>
      <c r="F441" s="245"/>
      <c r="G441" s="26"/>
      <c r="H441" s="64"/>
      <c r="I441" s="27"/>
      <c r="J441" s="27"/>
      <c r="K441" s="245"/>
      <c r="L441" s="26"/>
      <c r="M441" s="26"/>
      <c r="N441" s="65"/>
      <c r="AT441" s="26"/>
    </row>
    <row r="442" spans="2:46" ht="15">
      <c r="B442" s="26"/>
      <c r="C442" s="26"/>
      <c r="D442" s="26"/>
      <c r="E442" s="26"/>
      <c r="F442" s="245"/>
      <c r="G442" s="26"/>
      <c r="H442" s="64"/>
      <c r="I442" s="27"/>
      <c r="J442" s="27"/>
      <c r="K442" s="245"/>
      <c r="L442" s="26"/>
      <c r="M442" s="26"/>
      <c r="N442" s="65"/>
      <c r="AT442" s="26"/>
    </row>
    <row r="443" spans="2:46" ht="15">
      <c r="B443" s="26"/>
      <c r="C443" s="26"/>
      <c r="D443" s="26"/>
      <c r="E443" s="26"/>
      <c r="F443" s="245"/>
      <c r="G443" s="26"/>
      <c r="H443" s="64"/>
      <c r="I443" s="27"/>
      <c r="J443" s="27"/>
      <c r="K443" s="245"/>
      <c r="L443" s="26"/>
      <c r="M443" s="26"/>
      <c r="N443" s="65"/>
      <c r="AT443" s="26"/>
    </row>
    <row r="444" spans="2:46" ht="15">
      <c r="B444" s="26"/>
      <c r="C444" s="26"/>
      <c r="D444" s="26"/>
      <c r="E444" s="26"/>
      <c r="F444" s="245"/>
      <c r="G444" s="26"/>
      <c r="H444" s="64"/>
      <c r="I444" s="27"/>
      <c r="J444" s="27"/>
      <c r="K444" s="245"/>
      <c r="L444" s="26"/>
      <c r="M444" s="26"/>
      <c r="N444" s="65"/>
      <c r="AT444" s="26"/>
    </row>
    <row r="445" spans="2:46" ht="15">
      <c r="B445" s="26"/>
      <c r="C445" s="26"/>
      <c r="D445" s="26"/>
      <c r="E445" s="26"/>
      <c r="F445" s="245"/>
      <c r="G445" s="26"/>
      <c r="H445" s="64"/>
      <c r="I445" s="27"/>
      <c r="J445" s="27"/>
      <c r="K445" s="245"/>
      <c r="L445" s="26"/>
      <c r="M445" s="26"/>
      <c r="N445" s="65"/>
      <c r="AT445" s="26"/>
    </row>
    <row r="446" spans="2:46" ht="15">
      <c r="B446" s="26"/>
      <c r="C446" s="26"/>
      <c r="D446" s="26"/>
      <c r="E446" s="26"/>
      <c r="F446" s="245"/>
      <c r="G446" s="26"/>
      <c r="H446" s="64"/>
      <c r="I446" s="27"/>
      <c r="J446" s="27"/>
      <c r="K446" s="245"/>
      <c r="L446" s="26"/>
      <c r="M446" s="26"/>
      <c r="N446" s="65"/>
      <c r="AT446" s="26"/>
    </row>
    <row r="447" spans="2:46" ht="15">
      <c r="B447" s="26"/>
      <c r="C447" s="26"/>
      <c r="D447" s="26"/>
      <c r="E447" s="26"/>
      <c r="F447" s="245"/>
      <c r="G447" s="26"/>
      <c r="H447" s="64"/>
      <c r="I447" s="27"/>
      <c r="J447" s="27"/>
      <c r="K447" s="245"/>
      <c r="L447" s="26"/>
      <c r="M447" s="26"/>
      <c r="N447" s="65"/>
      <c r="AT447" s="26"/>
    </row>
    <row r="448" spans="2:46" ht="15">
      <c r="B448" s="26"/>
      <c r="C448" s="26"/>
      <c r="D448" s="26"/>
      <c r="E448" s="26"/>
      <c r="F448" s="245"/>
      <c r="G448" s="26"/>
      <c r="H448" s="64"/>
      <c r="I448" s="27"/>
      <c r="J448" s="27"/>
      <c r="K448" s="245"/>
      <c r="L448" s="26"/>
      <c r="M448" s="26"/>
      <c r="N448" s="65"/>
      <c r="AT448" s="26"/>
    </row>
    <row r="449" spans="2:46" ht="15">
      <c r="B449" s="26"/>
      <c r="C449" s="26"/>
      <c r="D449" s="26"/>
      <c r="E449" s="26"/>
      <c r="F449" s="245"/>
      <c r="G449" s="26"/>
      <c r="H449" s="64"/>
      <c r="I449" s="27"/>
      <c r="J449" s="27"/>
      <c r="K449" s="245"/>
      <c r="L449" s="26"/>
      <c r="M449" s="26"/>
      <c r="N449" s="65"/>
      <c r="AT449" s="26"/>
    </row>
    <row r="450" spans="2:46" ht="15">
      <c r="B450" s="26"/>
      <c r="C450" s="26"/>
      <c r="D450" s="26"/>
      <c r="E450" s="26"/>
      <c r="F450" s="245"/>
      <c r="G450" s="26"/>
      <c r="H450" s="64"/>
      <c r="I450" s="27"/>
      <c r="J450" s="27"/>
      <c r="K450" s="245"/>
      <c r="L450" s="26"/>
      <c r="M450" s="26"/>
      <c r="N450" s="65"/>
      <c r="AT450" s="26"/>
    </row>
    <row r="451" spans="2:46" ht="15">
      <c r="B451" s="26"/>
      <c r="C451" s="26"/>
      <c r="D451" s="26"/>
      <c r="E451" s="26"/>
      <c r="F451" s="245"/>
      <c r="G451" s="26"/>
      <c r="H451" s="64"/>
      <c r="I451" s="27"/>
      <c r="J451" s="27"/>
      <c r="K451" s="245"/>
      <c r="L451" s="26"/>
      <c r="M451" s="26"/>
      <c r="N451" s="65"/>
      <c r="AT451" s="26"/>
    </row>
    <row r="452" spans="2:46" ht="15">
      <c r="B452" s="26"/>
      <c r="C452" s="26"/>
      <c r="D452" s="26"/>
      <c r="E452" s="26"/>
      <c r="F452" s="245"/>
      <c r="G452" s="26"/>
      <c r="H452" s="64"/>
      <c r="I452" s="27"/>
      <c r="J452" s="27"/>
      <c r="K452" s="245"/>
      <c r="L452" s="26"/>
      <c r="M452" s="26"/>
      <c r="N452" s="65"/>
      <c r="AT452" s="26"/>
    </row>
    <row r="453" spans="2:46" ht="15">
      <c r="B453" s="26"/>
      <c r="C453" s="26"/>
      <c r="D453" s="26"/>
      <c r="E453" s="26"/>
      <c r="F453" s="245"/>
      <c r="G453" s="26"/>
      <c r="H453" s="64"/>
      <c r="I453" s="27"/>
      <c r="J453" s="27"/>
      <c r="K453" s="245"/>
      <c r="L453" s="26"/>
      <c r="M453" s="26"/>
      <c r="N453" s="65"/>
      <c r="AT453" s="26"/>
    </row>
    <row r="454" spans="2:46" ht="15">
      <c r="B454" s="26"/>
      <c r="C454" s="26"/>
      <c r="D454" s="26"/>
      <c r="E454" s="26"/>
      <c r="F454" s="245"/>
      <c r="G454" s="26"/>
      <c r="H454" s="64"/>
      <c r="I454" s="27"/>
      <c r="J454" s="27"/>
      <c r="K454" s="245"/>
      <c r="L454" s="26"/>
      <c r="M454" s="26"/>
      <c r="N454" s="65"/>
      <c r="AT454" s="26"/>
    </row>
    <row r="455" spans="2:46" ht="15">
      <c r="B455" s="26"/>
      <c r="C455" s="26"/>
      <c r="D455" s="26"/>
      <c r="E455" s="26"/>
      <c r="F455" s="245"/>
      <c r="G455" s="26"/>
      <c r="H455" s="64"/>
      <c r="I455" s="27"/>
      <c r="J455" s="27"/>
      <c r="K455" s="245"/>
      <c r="L455" s="26"/>
      <c r="M455" s="26"/>
      <c r="N455" s="65"/>
      <c r="AT455" s="26"/>
    </row>
    <row r="456" spans="2:46" ht="15">
      <c r="B456" s="26"/>
      <c r="C456" s="26"/>
      <c r="D456" s="26"/>
      <c r="E456" s="26"/>
      <c r="F456" s="245"/>
      <c r="G456" s="26"/>
      <c r="H456" s="64"/>
      <c r="I456" s="27"/>
      <c r="J456" s="27"/>
      <c r="K456" s="245"/>
      <c r="L456" s="26"/>
      <c r="M456" s="26"/>
      <c r="N456" s="65"/>
      <c r="AT456" s="26"/>
    </row>
    <row r="457" spans="2:46" ht="15">
      <c r="B457" s="26"/>
      <c r="C457" s="26"/>
      <c r="D457" s="26"/>
      <c r="E457" s="26"/>
      <c r="F457" s="245"/>
      <c r="G457" s="26"/>
      <c r="H457" s="64"/>
      <c r="I457" s="27"/>
      <c r="J457" s="27"/>
      <c r="K457" s="245"/>
      <c r="L457" s="26"/>
      <c r="M457" s="26"/>
      <c r="N457" s="65"/>
      <c r="AT457" s="26"/>
    </row>
    <row r="458" spans="2:46" ht="15">
      <c r="B458" s="26"/>
      <c r="C458" s="26"/>
      <c r="D458" s="26"/>
      <c r="E458" s="26"/>
      <c r="F458" s="245"/>
      <c r="G458" s="26"/>
      <c r="H458" s="64"/>
      <c r="I458" s="27"/>
      <c r="J458" s="27"/>
      <c r="K458" s="245"/>
      <c r="L458" s="26"/>
      <c r="M458" s="26"/>
      <c r="N458" s="65"/>
      <c r="AT458" s="26"/>
    </row>
    <row r="459" spans="2:46" ht="15">
      <c r="B459" s="26"/>
      <c r="C459" s="26"/>
      <c r="D459" s="26"/>
      <c r="E459" s="26"/>
      <c r="F459" s="245"/>
      <c r="G459" s="26"/>
      <c r="H459" s="64"/>
      <c r="I459" s="27"/>
      <c r="J459" s="27"/>
      <c r="K459" s="245"/>
      <c r="L459" s="26"/>
      <c r="M459" s="26"/>
      <c r="N459" s="65"/>
      <c r="AT459" s="26"/>
    </row>
    <row r="460" spans="2:46" ht="15">
      <c r="B460" s="26"/>
      <c r="C460" s="26"/>
      <c r="D460" s="26"/>
      <c r="E460" s="26"/>
      <c r="F460" s="245"/>
      <c r="G460" s="26"/>
      <c r="H460" s="64"/>
      <c r="I460" s="27"/>
      <c r="J460" s="27"/>
      <c r="K460" s="245"/>
      <c r="L460" s="26"/>
      <c r="M460" s="26"/>
      <c r="N460" s="65"/>
      <c r="AT460" s="26"/>
    </row>
    <row r="461" spans="2:46" ht="15">
      <c r="B461" s="26"/>
      <c r="C461" s="26"/>
      <c r="D461" s="26"/>
      <c r="E461" s="26"/>
      <c r="F461" s="245"/>
      <c r="G461" s="26"/>
      <c r="H461" s="64"/>
      <c r="I461" s="27"/>
      <c r="J461" s="27"/>
      <c r="K461" s="245"/>
      <c r="L461" s="26"/>
      <c r="M461" s="26"/>
      <c r="N461" s="65"/>
      <c r="AT461" s="26"/>
    </row>
    <row r="462" spans="2:46" ht="15">
      <c r="B462" s="26"/>
      <c r="C462" s="26"/>
      <c r="D462" s="26"/>
      <c r="E462" s="26"/>
      <c r="F462" s="245"/>
      <c r="G462" s="26"/>
      <c r="H462" s="64"/>
      <c r="I462" s="27"/>
      <c r="J462" s="27"/>
      <c r="K462" s="245"/>
      <c r="L462" s="26"/>
      <c r="M462" s="26"/>
      <c r="N462" s="65"/>
      <c r="AT462" s="26"/>
    </row>
    <row r="463" spans="2:46" ht="15">
      <c r="B463" s="26"/>
      <c r="C463" s="26"/>
      <c r="D463" s="26"/>
      <c r="E463" s="26"/>
      <c r="F463" s="245"/>
      <c r="G463" s="26"/>
      <c r="H463" s="64"/>
      <c r="I463" s="27"/>
      <c r="J463" s="27"/>
      <c r="K463" s="245"/>
      <c r="L463" s="26"/>
      <c r="M463" s="26"/>
      <c r="N463" s="65"/>
      <c r="AT463" s="26"/>
    </row>
    <row r="464" spans="2:46" ht="15">
      <c r="B464" s="26"/>
      <c r="C464" s="26"/>
      <c r="D464" s="26"/>
      <c r="E464" s="26"/>
      <c r="F464" s="245"/>
      <c r="G464" s="26"/>
      <c r="H464" s="64"/>
      <c r="I464" s="27"/>
      <c r="J464" s="27"/>
      <c r="K464" s="245"/>
      <c r="L464" s="26"/>
      <c r="M464" s="26"/>
      <c r="N464" s="65"/>
      <c r="AT464" s="26"/>
    </row>
    <row r="465" spans="2:46" ht="15">
      <c r="B465" s="26"/>
      <c r="C465" s="26"/>
      <c r="D465" s="26"/>
      <c r="E465" s="26"/>
      <c r="F465" s="245"/>
      <c r="G465" s="26"/>
      <c r="H465" s="64"/>
      <c r="I465" s="27"/>
      <c r="J465" s="27"/>
      <c r="K465" s="245"/>
      <c r="L465" s="26"/>
      <c r="M465" s="26"/>
      <c r="N465" s="65"/>
      <c r="AT465" s="26"/>
    </row>
    <row r="466" spans="2:46" ht="15">
      <c r="B466" s="26"/>
      <c r="C466" s="26"/>
      <c r="D466" s="26"/>
      <c r="E466" s="26"/>
      <c r="F466" s="245"/>
      <c r="G466" s="26"/>
      <c r="H466" s="64"/>
      <c r="I466" s="27"/>
      <c r="J466" s="27"/>
      <c r="K466" s="245"/>
      <c r="L466" s="26"/>
      <c r="M466" s="26"/>
      <c r="N466" s="65"/>
      <c r="AT466" s="26"/>
    </row>
    <row r="467" spans="2:46" ht="15">
      <c r="B467" s="26"/>
      <c r="C467" s="26"/>
      <c r="D467" s="26"/>
      <c r="E467" s="26"/>
      <c r="F467" s="245"/>
      <c r="G467" s="26"/>
      <c r="H467" s="64"/>
      <c r="I467" s="27"/>
      <c r="J467" s="27"/>
      <c r="K467" s="245"/>
      <c r="L467" s="26"/>
      <c r="M467" s="26"/>
      <c r="N467" s="65"/>
      <c r="AT467" s="26"/>
    </row>
    <row r="468" spans="2:46" ht="15">
      <c r="B468" s="26"/>
      <c r="C468" s="26"/>
      <c r="D468" s="26"/>
      <c r="E468" s="26"/>
      <c r="F468" s="245"/>
      <c r="G468" s="26"/>
      <c r="H468" s="64"/>
      <c r="I468" s="27"/>
      <c r="J468" s="27"/>
      <c r="K468" s="245"/>
      <c r="L468" s="26"/>
      <c r="M468" s="26"/>
      <c r="N468" s="65"/>
      <c r="AT468" s="26"/>
    </row>
    <row r="469" spans="2:46" ht="15">
      <c r="B469" s="26"/>
      <c r="C469" s="26"/>
      <c r="D469" s="26"/>
      <c r="E469" s="26"/>
      <c r="F469" s="245"/>
      <c r="G469" s="26"/>
      <c r="H469" s="64"/>
      <c r="I469" s="27"/>
      <c r="J469" s="27"/>
      <c r="K469" s="245"/>
      <c r="L469" s="26"/>
      <c r="M469" s="26"/>
      <c r="N469" s="65"/>
      <c r="AT469" s="26"/>
    </row>
    <row r="470" spans="2:46" ht="15">
      <c r="B470" s="26"/>
      <c r="C470" s="26"/>
      <c r="D470" s="26"/>
      <c r="E470" s="26"/>
      <c r="F470" s="245"/>
      <c r="G470" s="26"/>
      <c r="H470" s="64"/>
      <c r="I470" s="27"/>
      <c r="J470" s="27"/>
      <c r="K470" s="245"/>
      <c r="L470" s="26"/>
      <c r="M470" s="26"/>
      <c r="N470" s="65"/>
      <c r="AT470" s="26"/>
    </row>
    <row r="471" spans="2:46" ht="15">
      <c r="B471" s="26"/>
      <c r="C471" s="26"/>
      <c r="D471" s="26"/>
      <c r="E471" s="26"/>
      <c r="F471" s="245"/>
      <c r="G471" s="26"/>
      <c r="H471" s="64"/>
      <c r="I471" s="27"/>
      <c r="J471" s="27"/>
      <c r="K471" s="245"/>
      <c r="L471" s="26"/>
      <c r="M471" s="26"/>
      <c r="N471" s="65"/>
      <c r="AT471" s="26"/>
    </row>
    <row r="472" spans="2:46" ht="15">
      <c r="B472" s="26"/>
      <c r="C472" s="26"/>
      <c r="D472" s="26"/>
      <c r="E472" s="26"/>
      <c r="F472" s="245"/>
      <c r="G472" s="26"/>
      <c r="H472" s="64"/>
      <c r="I472" s="27"/>
      <c r="J472" s="27"/>
      <c r="K472" s="245"/>
      <c r="L472" s="26"/>
      <c r="M472" s="26"/>
      <c r="N472" s="65"/>
      <c r="AT472" s="26"/>
    </row>
    <row r="473" spans="2:46" ht="15">
      <c r="B473" s="26"/>
      <c r="C473" s="26"/>
      <c r="D473" s="26"/>
      <c r="E473" s="26"/>
      <c r="F473" s="245"/>
      <c r="G473" s="26"/>
      <c r="H473" s="64"/>
      <c r="I473" s="27"/>
      <c r="J473" s="27"/>
      <c r="K473" s="245"/>
      <c r="L473" s="26"/>
      <c r="M473" s="26"/>
      <c r="N473" s="65"/>
      <c r="AT473" s="26"/>
    </row>
    <row r="474" spans="2:46" ht="15">
      <c r="B474" s="26"/>
      <c r="C474" s="26"/>
      <c r="D474" s="26"/>
      <c r="E474" s="26"/>
      <c r="F474" s="245"/>
      <c r="G474" s="26"/>
      <c r="H474" s="64"/>
      <c r="I474" s="27"/>
      <c r="J474" s="27"/>
      <c r="K474" s="245"/>
      <c r="L474" s="26"/>
      <c r="M474" s="26"/>
      <c r="N474" s="65"/>
      <c r="AT474" s="26"/>
    </row>
    <row r="475" spans="2:46" ht="15">
      <c r="B475" s="26"/>
      <c r="C475" s="26"/>
      <c r="D475" s="26"/>
      <c r="E475" s="26"/>
      <c r="F475" s="245"/>
      <c r="G475" s="26"/>
      <c r="H475" s="64"/>
      <c r="I475" s="27"/>
      <c r="J475" s="27"/>
      <c r="K475" s="245"/>
      <c r="L475" s="26"/>
      <c r="M475" s="26"/>
      <c r="N475" s="65"/>
      <c r="AT475" s="26"/>
    </row>
    <row r="476" spans="2:46" ht="15">
      <c r="B476" s="26"/>
      <c r="C476" s="26"/>
      <c r="D476" s="26"/>
      <c r="E476" s="26"/>
      <c r="F476" s="245"/>
      <c r="G476" s="26"/>
      <c r="H476" s="64"/>
      <c r="I476" s="27"/>
      <c r="J476" s="27"/>
      <c r="K476" s="245"/>
      <c r="L476" s="26"/>
      <c r="M476" s="26"/>
      <c r="N476" s="65"/>
      <c r="AT476" s="26"/>
    </row>
    <row r="477" spans="2:46" ht="15">
      <c r="B477" s="26"/>
      <c r="C477" s="26"/>
      <c r="D477" s="26"/>
      <c r="E477" s="26"/>
      <c r="F477" s="245"/>
      <c r="G477" s="26"/>
      <c r="H477" s="64"/>
      <c r="I477" s="27"/>
      <c r="J477" s="27"/>
      <c r="K477" s="245"/>
      <c r="L477" s="26"/>
      <c r="M477" s="26"/>
      <c r="N477" s="65"/>
      <c r="AT477" s="26"/>
    </row>
    <row r="478" spans="2:46" ht="15">
      <c r="B478" s="26"/>
      <c r="C478" s="26"/>
      <c r="D478" s="26"/>
      <c r="E478" s="26"/>
      <c r="F478" s="245"/>
      <c r="G478" s="26"/>
      <c r="H478" s="64"/>
      <c r="I478" s="27"/>
      <c r="J478" s="27"/>
      <c r="K478" s="245"/>
      <c r="L478" s="26"/>
      <c r="M478" s="26"/>
      <c r="N478" s="65"/>
      <c r="AT478" s="26"/>
    </row>
    <row r="479" spans="2:46" ht="15">
      <c r="B479" s="26"/>
      <c r="C479" s="26"/>
      <c r="D479" s="26"/>
      <c r="E479" s="26"/>
      <c r="F479" s="245"/>
      <c r="G479" s="26"/>
      <c r="H479" s="64"/>
      <c r="I479" s="27"/>
      <c r="J479" s="27"/>
      <c r="K479" s="245"/>
      <c r="L479" s="26"/>
      <c r="M479" s="26"/>
      <c r="N479" s="65"/>
      <c r="AT479" s="26"/>
    </row>
    <row r="480" spans="2:46" ht="15">
      <c r="B480" s="26"/>
      <c r="C480" s="26"/>
      <c r="D480" s="26"/>
      <c r="E480" s="26"/>
      <c r="F480" s="245"/>
      <c r="G480" s="26"/>
      <c r="H480" s="64"/>
      <c r="I480" s="27"/>
      <c r="J480" s="27"/>
      <c r="K480" s="245"/>
      <c r="L480" s="26"/>
      <c r="M480" s="26"/>
      <c r="N480" s="65"/>
      <c r="AT480" s="26"/>
    </row>
    <row r="481" spans="2:46" ht="15">
      <c r="B481" s="26"/>
      <c r="C481" s="26"/>
      <c r="D481" s="26"/>
      <c r="E481" s="26"/>
      <c r="F481" s="245"/>
      <c r="G481" s="26"/>
      <c r="H481" s="64"/>
      <c r="I481" s="27"/>
      <c r="J481" s="27"/>
      <c r="K481" s="245"/>
      <c r="L481" s="26"/>
      <c r="M481" s="26"/>
      <c r="N481" s="65"/>
      <c r="AT481" s="26"/>
    </row>
    <row r="482" spans="2:46" ht="15">
      <c r="B482" s="26"/>
      <c r="C482" s="26"/>
      <c r="D482" s="26"/>
      <c r="E482" s="26"/>
      <c r="F482" s="245"/>
      <c r="G482" s="26"/>
      <c r="H482" s="64"/>
      <c r="I482" s="27"/>
      <c r="J482" s="27"/>
      <c r="K482" s="245"/>
      <c r="L482" s="26"/>
      <c r="M482" s="26"/>
      <c r="N482" s="65"/>
      <c r="AT482" s="26"/>
    </row>
    <row r="483" spans="2:46" ht="15">
      <c r="B483" s="26"/>
      <c r="C483" s="26"/>
      <c r="D483" s="26"/>
      <c r="E483" s="26"/>
      <c r="F483" s="245"/>
      <c r="G483" s="26"/>
      <c r="H483" s="64"/>
      <c r="I483" s="27"/>
      <c r="J483" s="27"/>
      <c r="K483" s="245"/>
      <c r="L483" s="26"/>
      <c r="M483" s="26"/>
      <c r="N483" s="65"/>
      <c r="AT483" s="26"/>
    </row>
    <row r="484" spans="2:46" ht="15">
      <c r="B484" s="26"/>
      <c r="C484" s="26"/>
      <c r="D484" s="26"/>
      <c r="E484" s="26"/>
      <c r="F484" s="245"/>
      <c r="G484" s="26"/>
      <c r="H484" s="64"/>
      <c r="I484" s="27"/>
      <c r="J484" s="27"/>
      <c r="K484" s="245"/>
      <c r="L484" s="26"/>
      <c r="M484" s="26"/>
      <c r="N484" s="65"/>
      <c r="AT484" s="26"/>
    </row>
    <row r="485" spans="2:46" ht="15">
      <c r="B485" s="26"/>
      <c r="C485" s="26"/>
      <c r="D485" s="26"/>
      <c r="E485" s="26"/>
      <c r="F485" s="245"/>
      <c r="G485" s="26"/>
      <c r="H485" s="64"/>
      <c r="I485" s="27"/>
      <c r="J485" s="27"/>
      <c r="K485" s="245"/>
      <c r="L485" s="26"/>
      <c r="M485" s="26"/>
      <c r="N485" s="65"/>
      <c r="AT485" s="26"/>
    </row>
    <row r="486" spans="2:46" ht="15">
      <c r="B486" s="26"/>
      <c r="C486" s="26"/>
      <c r="D486" s="26"/>
      <c r="E486" s="26"/>
      <c r="F486" s="245"/>
      <c r="G486" s="26"/>
      <c r="H486" s="64"/>
      <c r="I486" s="27"/>
      <c r="J486" s="27"/>
      <c r="K486" s="245"/>
      <c r="L486" s="26"/>
      <c r="M486" s="26"/>
      <c r="N486" s="65"/>
      <c r="AT486" s="26"/>
    </row>
    <row r="487" spans="2:46" ht="15">
      <c r="B487" s="26"/>
      <c r="C487" s="26"/>
      <c r="D487" s="26"/>
      <c r="E487" s="26"/>
      <c r="F487" s="245"/>
      <c r="G487" s="26"/>
      <c r="H487" s="64"/>
      <c r="I487" s="27"/>
      <c r="J487" s="27"/>
      <c r="K487" s="245"/>
      <c r="L487" s="26"/>
      <c r="M487" s="26"/>
      <c r="N487" s="65"/>
      <c r="AT487" s="26"/>
    </row>
    <row r="488" spans="2:46" ht="15">
      <c r="B488" s="26"/>
      <c r="C488" s="26"/>
      <c r="D488" s="26"/>
      <c r="E488" s="26"/>
      <c r="F488" s="245"/>
      <c r="G488" s="26"/>
      <c r="H488" s="64"/>
      <c r="I488" s="27"/>
      <c r="J488" s="27"/>
      <c r="K488" s="245"/>
      <c r="L488" s="26"/>
      <c r="M488" s="26"/>
      <c r="N488" s="65"/>
      <c r="AT488" s="26"/>
    </row>
    <row r="489" spans="2:46" ht="15">
      <c r="B489" s="26"/>
      <c r="C489" s="26"/>
      <c r="D489" s="26"/>
      <c r="E489" s="26"/>
      <c r="F489" s="245"/>
      <c r="G489" s="26"/>
      <c r="H489" s="64"/>
      <c r="I489" s="27"/>
      <c r="J489" s="27"/>
      <c r="K489" s="245"/>
      <c r="L489" s="26"/>
      <c r="M489" s="26"/>
      <c r="N489" s="65"/>
      <c r="AT489" s="26"/>
    </row>
    <row r="490" spans="2:46" ht="15">
      <c r="B490" s="26"/>
      <c r="C490" s="26"/>
      <c r="D490" s="26"/>
      <c r="E490" s="26"/>
      <c r="F490" s="245"/>
      <c r="G490" s="26"/>
      <c r="H490" s="64"/>
      <c r="I490" s="27"/>
      <c r="J490" s="27"/>
      <c r="K490" s="245"/>
      <c r="L490" s="26"/>
      <c r="M490" s="26"/>
      <c r="N490" s="65"/>
      <c r="AT490" s="26"/>
    </row>
    <row r="491" spans="2:46" ht="15">
      <c r="B491" s="26"/>
      <c r="C491" s="26"/>
      <c r="D491" s="26"/>
      <c r="E491" s="26"/>
      <c r="F491" s="245"/>
      <c r="G491" s="26"/>
      <c r="H491" s="64"/>
      <c r="I491" s="27"/>
      <c r="J491" s="27"/>
      <c r="K491" s="245"/>
      <c r="L491" s="26"/>
      <c r="M491" s="26"/>
      <c r="N491" s="65"/>
      <c r="AT491" s="26"/>
    </row>
    <row r="492" spans="2:46" ht="15">
      <c r="B492" s="26"/>
      <c r="C492" s="26"/>
      <c r="D492" s="26"/>
      <c r="E492" s="26"/>
      <c r="F492" s="245"/>
      <c r="G492" s="26"/>
      <c r="H492" s="64"/>
      <c r="I492" s="27"/>
      <c r="J492" s="27"/>
      <c r="K492" s="245"/>
      <c r="L492" s="26"/>
      <c r="M492" s="26"/>
      <c r="N492" s="65"/>
      <c r="AT492" s="26"/>
    </row>
    <row r="493" spans="2:46" ht="15">
      <c r="B493" s="26"/>
      <c r="C493" s="26"/>
      <c r="D493" s="26"/>
      <c r="E493" s="26"/>
      <c r="F493" s="245"/>
      <c r="G493" s="26"/>
      <c r="H493" s="64"/>
      <c r="I493" s="27"/>
      <c r="J493" s="27"/>
      <c r="K493" s="245"/>
      <c r="L493" s="26"/>
      <c r="M493" s="26"/>
      <c r="N493" s="65"/>
      <c r="AT493" s="26"/>
    </row>
    <row r="494" spans="2:46" ht="15">
      <c r="B494" s="26"/>
      <c r="C494" s="26"/>
      <c r="D494" s="26"/>
      <c r="E494" s="26"/>
      <c r="F494" s="245"/>
      <c r="G494" s="26"/>
      <c r="H494" s="64"/>
      <c r="I494" s="27"/>
      <c r="J494" s="27"/>
      <c r="K494" s="245"/>
      <c r="L494" s="26"/>
      <c r="M494" s="26"/>
      <c r="N494" s="65"/>
      <c r="AT494" s="26"/>
    </row>
    <row r="495" spans="2:46" ht="15">
      <c r="B495" s="26"/>
      <c r="C495" s="26"/>
      <c r="D495" s="26"/>
      <c r="E495" s="26"/>
      <c r="F495" s="245"/>
      <c r="G495" s="26"/>
      <c r="H495" s="64"/>
      <c r="I495" s="27"/>
      <c r="J495" s="27"/>
      <c r="K495" s="245"/>
      <c r="L495" s="26"/>
      <c r="M495" s="26"/>
      <c r="N495" s="65"/>
      <c r="AT495" s="26"/>
    </row>
    <row r="496" spans="2:46" ht="15">
      <c r="B496" s="26"/>
      <c r="C496" s="26"/>
      <c r="D496" s="26"/>
      <c r="E496" s="26"/>
      <c r="F496" s="245"/>
      <c r="G496" s="26"/>
      <c r="H496" s="64"/>
      <c r="I496" s="27"/>
      <c r="J496" s="27"/>
      <c r="K496" s="245"/>
      <c r="L496" s="26"/>
      <c r="M496" s="26"/>
      <c r="N496" s="65"/>
      <c r="AT496" s="26"/>
    </row>
    <row r="497" spans="2:46" ht="15">
      <c r="B497" s="26"/>
      <c r="C497" s="26"/>
      <c r="D497" s="26"/>
      <c r="E497" s="26"/>
      <c r="F497" s="245"/>
      <c r="G497" s="26"/>
      <c r="H497" s="64"/>
      <c r="I497" s="27"/>
      <c r="J497" s="27"/>
      <c r="K497" s="245"/>
      <c r="L497" s="26"/>
      <c r="M497" s="26"/>
      <c r="N497" s="65"/>
      <c r="AT497" s="26"/>
    </row>
    <row r="498" spans="2:46" ht="15">
      <c r="B498" s="26"/>
      <c r="C498" s="26"/>
      <c r="D498" s="26"/>
      <c r="E498" s="26"/>
      <c r="F498" s="245"/>
      <c r="G498" s="26"/>
      <c r="H498" s="64"/>
      <c r="I498" s="27"/>
      <c r="J498" s="27"/>
      <c r="K498" s="245"/>
      <c r="L498" s="26"/>
      <c r="M498" s="26"/>
      <c r="N498" s="65"/>
      <c r="AT498" s="26"/>
    </row>
    <row r="499" spans="2:46" ht="15">
      <c r="B499" s="26"/>
      <c r="C499" s="26"/>
      <c r="D499" s="26"/>
      <c r="E499" s="26"/>
      <c r="F499" s="245"/>
      <c r="G499" s="26"/>
      <c r="H499" s="64"/>
      <c r="I499" s="27"/>
      <c r="J499" s="27"/>
      <c r="K499" s="245"/>
      <c r="L499" s="26"/>
      <c r="M499" s="26"/>
      <c r="N499" s="65"/>
      <c r="AT499" s="26"/>
    </row>
    <row r="500" spans="2:46" ht="15">
      <c r="B500" s="26"/>
      <c r="C500" s="26"/>
      <c r="D500" s="26"/>
      <c r="E500" s="26"/>
      <c r="F500" s="245"/>
      <c r="G500" s="26"/>
      <c r="H500" s="64"/>
      <c r="I500" s="27"/>
      <c r="J500" s="27"/>
      <c r="K500" s="245"/>
      <c r="L500" s="26"/>
      <c r="M500" s="26"/>
      <c r="N500" s="65"/>
      <c r="AT500" s="26"/>
    </row>
    <row r="501" spans="2:46" ht="15">
      <c r="B501" s="26"/>
      <c r="C501" s="26"/>
      <c r="D501" s="26"/>
      <c r="E501" s="26"/>
      <c r="F501" s="245"/>
      <c r="G501" s="26"/>
      <c r="H501" s="64"/>
      <c r="I501" s="27"/>
      <c r="J501" s="27"/>
      <c r="K501" s="245"/>
      <c r="L501" s="26"/>
      <c r="M501" s="26"/>
      <c r="N501" s="65"/>
      <c r="AT501" s="26"/>
    </row>
    <row r="502" spans="2:46" ht="15">
      <c r="B502" s="26"/>
      <c r="C502" s="26"/>
      <c r="D502" s="26"/>
      <c r="E502" s="26"/>
      <c r="F502" s="245"/>
      <c r="G502" s="26"/>
      <c r="H502" s="64"/>
      <c r="I502" s="27"/>
      <c r="J502" s="27"/>
      <c r="K502" s="245"/>
      <c r="L502" s="26"/>
      <c r="M502" s="26"/>
      <c r="N502" s="65"/>
      <c r="AT502" s="26"/>
    </row>
    <row r="503" spans="2:46" ht="15">
      <c r="B503" s="26"/>
      <c r="C503" s="26"/>
      <c r="D503" s="26"/>
      <c r="E503" s="26"/>
      <c r="F503" s="245"/>
      <c r="G503" s="26"/>
      <c r="H503" s="64"/>
      <c r="I503" s="27"/>
      <c r="J503" s="27"/>
      <c r="K503" s="245"/>
      <c r="L503" s="26"/>
      <c r="M503" s="26"/>
      <c r="N503" s="65"/>
      <c r="AT503" s="26"/>
    </row>
    <row r="504" spans="2:46" ht="15">
      <c r="B504" s="26"/>
      <c r="C504" s="26"/>
      <c r="D504" s="26"/>
      <c r="E504" s="26"/>
      <c r="F504" s="245"/>
      <c r="G504" s="26"/>
      <c r="H504" s="64"/>
      <c r="I504" s="27"/>
      <c r="J504" s="27"/>
      <c r="K504" s="245"/>
      <c r="L504" s="26"/>
      <c r="M504" s="26"/>
      <c r="N504" s="65"/>
      <c r="AT504" s="26"/>
    </row>
    <row r="505" spans="2:46" ht="15">
      <c r="B505" s="26"/>
      <c r="C505" s="26"/>
      <c r="D505" s="26"/>
      <c r="E505" s="26"/>
      <c r="F505" s="245"/>
      <c r="G505" s="26"/>
      <c r="H505" s="64"/>
      <c r="I505" s="27"/>
      <c r="J505" s="27"/>
      <c r="K505" s="245"/>
      <c r="L505" s="26"/>
      <c r="M505" s="26"/>
      <c r="N505" s="65"/>
      <c r="AT505" s="26"/>
    </row>
    <row r="506" spans="2:46" ht="15">
      <c r="B506" s="26"/>
      <c r="C506" s="26"/>
      <c r="D506" s="26"/>
      <c r="E506" s="26"/>
      <c r="F506" s="245"/>
      <c r="G506" s="26"/>
      <c r="H506" s="64"/>
      <c r="I506" s="27"/>
      <c r="J506" s="27"/>
      <c r="K506" s="245"/>
      <c r="L506" s="26"/>
      <c r="M506" s="26"/>
      <c r="N506" s="65"/>
      <c r="AT506" s="26"/>
    </row>
    <row r="507" spans="2:46" ht="15">
      <c r="B507" s="26"/>
      <c r="C507" s="26"/>
      <c r="D507" s="26"/>
      <c r="E507" s="26"/>
      <c r="F507" s="245"/>
      <c r="G507" s="26"/>
      <c r="H507" s="64"/>
      <c r="I507" s="27"/>
      <c r="J507" s="27"/>
      <c r="K507" s="245"/>
      <c r="L507" s="26"/>
      <c r="M507" s="26"/>
      <c r="N507" s="65"/>
      <c r="AT507" s="26"/>
    </row>
    <row r="508" spans="2:46" ht="15">
      <c r="B508" s="26"/>
      <c r="C508" s="26"/>
      <c r="D508" s="26"/>
      <c r="E508" s="26"/>
      <c r="F508" s="245"/>
      <c r="G508" s="26"/>
      <c r="H508" s="64"/>
      <c r="I508" s="27"/>
      <c r="J508" s="27"/>
      <c r="K508" s="245"/>
      <c r="L508" s="26"/>
      <c r="M508" s="26"/>
      <c r="N508" s="65"/>
      <c r="AT508" s="26"/>
    </row>
    <row r="509" spans="2:46" ht="15">
      <c r="B509" s="26"/>
      <c r="C509" s="26"/>
      <c r="D509" s="26"/>
      <c r="E509" s="26"/>
      <c r="F509" s="245"/>
      <c r="G509" s="26"/>
      <c r="H509" s="64"/>
      <c r="I509" s="27"/>
      <c r="J509" s="27"/>
      <c r="K509" s="245"/>
      <c r="L509" s="26"/>
      <c r="M509" s="26"/>
      <c r="N509" s="65"/>
      <c r="AT509" s="26"/>
    </row>
    <row r="510" spans="2:46" ht="15">
      <c r="B510" s="26"/>
      <c r="C510" s="26"/>
      <c r="D510" s="26"/>
      <c r="E510" s="26"/>
      <c r="F510" s="245"/>
      <c r="G510" s="26"/>
      <c r="H510" s="64"/>
      <c r="I510" s="27"/>
      <c r="J510" s="27"/>
      <c r="K510" s="245"/>
      <c r="L510" s="26"/>
      <c r="M510" s="26"/>
      <c r="N510" s="65"/>
      <c r="AT510" s="26"/>
    </row>
    <row r="511" spans="2:46" ht="15">
      <c r="B511" s="26"/>
      <c r="C511" s="26"/>
      <c r="D511" s="26"/>
      <c r="E511" s="26"/>
      <c r="F511" s="245"/>
      <c r="G511" s="26"/>
      <c r="H511" s="64"/>
      <c r="I511" s="27"/>
      <c r="J511" s="27"/>
      <c r="K511" s="245"/>
      <c r="L511" s="26"/>
      <c r="M511" s="26"/>
      <c r="N511" s="65"/>
      <c r="AT511" s="26"/>
    </row>
    <row r="512" spans="2:46" ht="15">
      <c r="B512" s="26"/>
      <c r="C512" s="26"/>
      <c r="D512" s="26"/>
      <c r="E512" s="26"/>
      <c r="F512" s="245"/>
      <c r="G512" s="26"/>
      <c r="H512" s="64"/>
      <c r="I512" s="27"/>
      <c r="J512" s="27"/>
      <c r="K512" s="245"/>
      <c r="L512" s="26"/>
      <c r="M512" s="26"/>
      <c r="N512" s="65"/>
      <c r="AT512" s="26"/>
    </row>
    <row r="513" spans="2:46" ht="15">
      <c r="B513" s="26"/>
      <c r="C513" s="26"/>
      <c r="D513" s="26"/>
      <c r="E513" s="26"/>
      <c r="F513" s="245"/>
      <c r="G513" s="26"/>
      <c r="H513" s="64"/>
      <c r="I513" s="27"/>
      <c r="J513" s="27"/>
      <c r="K513" s="245"/>
      <c r="L513" s="26"/>
      <c r="M513" s="26"/>
      <c r="N513" s="65"/>
      <c r="AT513" s="26"/>
    </row>
    <row r="514" spans="2:46" ht="15">
      <c r="B514" s="26"/>
      <c r="C514" s="26"/>
      <c r="D514" s="26"/>
      <c r="E514" s="26"/>
      <c r="F514" s="245"/>
      <c r="G514" s="26"/>
      <c r="H514" s="64"/>
      <c r="I514" s="27"/>
      <c r="J514" s="27"/>
      <c r="K514" s="245"/>
      <c r="L514" s="26"/>
      <c r="M514" s="26"/>
      <c r="N514" s="65"/>
      <c r="AT514" s="26"/>
    </row>
    <row r="515" spans="2:46" ht="15">
      <c r="B515" s="26"/>
      <c r="C515" s="26"/>
      <c r="D515" s="26"/>
      <c r="E515" s="26"/>
      <c r="F515" s="245"/>
      <c r="G515" s="26"/>
      <c r="H515" s="64"/>
      <c r="I515" s="27"/>
      <c r="J515" s="27"/>
      <c r="K515" s="245"/>
      <c r="L515" s="26"/>
      <c r="M515" s="26"/>
      <c r="N515" s="65"/>
      <c r="AT515" s="26"/>
    </row>
    <row r="516" spans="2:46" ht="15">
      <c r="B516" s="26"/>
      <c r="C516" s="26"/>
      <c r="D516" s="26"/>
      <c r="E516" s="26"/>
      <c r="F516" s="245"/>
      <c r="G516" s="26"/>
      <c r="H516" s="64"/>
      <c r="I516" s="27"/>
      <c r="J516" s="27"/>
      <c r="K516" s="245"/>
      <c r="L516" s="26"/>
      <c r="M516" s="26"/>
      <c r="N516" s="65"/>
      <c r="AT516" s="26"/>
    </row>
    <row r="517" spans="2:46" ht="15">
      <c r="B517" s="26"/>
      <c r="C517" s="26"/>
      <c r="D517" s="26"/>
      <c r="E517" s="26"/>
      <c r="F517" s="245"/>
      <c r="G517" s="26"/>
      <c r="H517" s="64"/>
      <c r="I517" s="27"/>
      <c r="J517" s="27"/>
      <c r="K517" s="245"/>
      <c r="L517" s="26"/>
      <c r="M517" s="26"/>
      <c r="N517" s="65"/>
      <c r="AT517" s="26"/>
    </row>
    <row r="518" spans="2:46" ht="15">
      <c r="B518" s="26"/>
      <c r="C518" s="26"/>
      <c r="D518" s="26"/>
      <c r="E518" s="26"/>
      <c r="F518" s="245"/>
      <c r="G518" s="26"/>
      <c r="H518" s="64"/>
      <c r="I518" s="27"/>
      <c r="J518" s="27"/>
      <c r="K518" s="245"/>
      <c r="L518" s="26"/>
      <c r="M518" s="26"/>
      <c r="N518" s="65"/>
      <c r="AT518" s="26"/>
    </row>
    <row r="519" spans="2:46" ht="15">
      <c r="B519" s="26"/>
      <c r="C519" s="26"/>
      <c r="D519" s="26"/>
      <c r="E519" s="26"/>
      <c r="F519" s="245"/>
      <c r="G519" s="26"/>
      <c r="H519" s="64"/>
      <c r="I519" s="27"/>
      <c r="J519" s="27"/>
      <c r="K519" s="245"/>
      <c r="L519" s="26"/>
      <c r="M519" s="26"/>
      <c r="N519" s="65"/>
      <c r="AT519" s="26"/>
    </row>
    <row r="520" spans="2:46" ht="15">
      <c r="B520" s="26"/>
      <c r="C520" s="26"/>
      <c r="D520" s="26"/>
      <c r="E520" s="26"/>
      <c r="F520" s="245"/>
      <c r="G520" s="26"/>
      <c r="H520" s="64"/>
      <c r="I520" s="27"/>
      <c r="J520" s="27"/>
      <c r="K520" s="245"/>
      <c r="L520" s="26"/>
      <c r="M520" s="26"/>
      <c r="N520" s="65"/>
      <c r="AT520" s="26"/>
    </row>
    <row r="521" spans="2:46" ht="15">
      <c r="B521" s="26"/>
      <c r="C521" s="26"/>
      <c r="D521" s="26"/>
      <c r="E521" s="26"/>
      <c r="F521" s="245"/>
      <c r="G521" s="26"/>
      <c r="H521" s="64"/>
      <c r="I521" s="27"/>
      <c r="J521" s="27"/>
      <c r="K521" s="245"/>
      <c r="L521" s="26"/>
      <c r="M521" s="26"/>
      <c r="N521" s="65"/>
      <c r="AT521" s="26"/>
    </row>
    <row r="522" spans="2:46" ht="15">
      <c r="B522" s="26"/>
      <c r="C522" s="26"/>
      <c r="D522" s="26"/>
      <c r="E522" s="26"/>
      <c r="F522" s="245"/>
      <c r="G522" s="26"/>
      <c r="H522" s="64"/>
      <c r="I522" s="27"/>
      <c r="J522" s="27"/>
      <c r="K522" s="245"/>
      <c r="L522" s="26"/>
      <c r="M522" s="26"/>
      <c r="N522" s="65"/>
      <c r="AT522" s="26"/>
    </row>
    <row r="523" spans="2:46" ht="15">
      <c r="B523" s="26"/>
      <c r="C523" s="26"/>
      <c r="D523" s="26"/>
      <c r="E523" s="26"/>
      <c r="F523" s="245"/>
      <c r="G523" s="26"/>
      <c r="H523" s="64"/>
      <c r="I523" s="27"/>
      <c r="J523" s="27"/>
      <c r="K523" s="245"/>
      <c r="L523" s="26"/>
      <c r="M523" s="26"/>
      <c r="N523" s="65"/>
      <c r="AT523" s="26"/>
    </row>
    <row r="524" spans="2:46" ht="15">
      <c r="B524" s="26"/>
      <c r="C524" s="26"/>
      <c r="D524" s="26"/>
      <c r="E524" s="26"/>
      <c r="F524" s="245"/>
      <c r="G524" s="26"/>
      <c r="H524" s="64"/>
      <c r="I524" s="27"/>
      <c r="J524" s="27"/>
      <c r="K524" s="245"/>
      <c r="L524" s="26"/>
      <c r="M524" s="26"/>
      <c r="N524" s="65"/>
      <c r="AT524" s="26"/>
    </row>
    <row r="525" spans="2:46" ht="15">
      <c r="B525" s="26"/>
      <c r="C525" s="26"/>
      <c r="D525" s="26"/>
      <c r="E525" s="26"/>
      <c r="F525" s="245"/>
      <c r="G525" s="26"/>
      <c r="H525" s="64"/>
      <c r="I525" s="27"/>
      <c r="J525" s="27"/>
      <c r="K525" s="245"/>
      <c r="L525" s="26"/>
      <c r="M525" s="26"/>
      <c r="N525" s="65"/>
      <c r="AT525" s="26"/>
    </row>
    <row r="526" spans="2:46" ht="15">
      <c r="B526" s="26"/>
      <c r="C526" s="26"/>
      <c r="D526" s="26"/>
      <c r="E526" s="26"/>
      <c r="F526" s="245"/>
      <c r="G526" s="26"/>
      <c r="H526" s="64"/>
      <c r="I526" s="27"/>
      <c r="J526" s="27"/>
      <c r="K526" s="245"/>
      <c r="L526" s="26"/>
      <c r="M526" s="26"/>
      <c r="N526" s="65"/>
      <c r="AT526" s="26"/>
    </row>
    <row r="527" spans="2:46" ht="15">
      <c r="B527" s="26"/>
      <c r="C527" s="26"/>
      <c r="D527" s="26"/>
      <c r="E527" s="26"/>
      <c r="F527" s="245"/>
      <c r="G527" s="26"/>
      <c r="H527" s="64"/>
      <c r="I527" s="27"/>
      <c r="J527" s="27"/>
      <c r="K527" s="245"/>
      <c r="L527" s="26"/>
      <c r="M527" s="26"/>
      <c r="N527" s="65"/>
      <c r="AT527" s="26"/>
    </row>
    <row r="528" spans="2:46" ht="15">
      <c r="B528" s="26"/>
      <c r="C528" s="26"/>
      <c r="D528" s="26"/>
      <c r="E528" s="26"/>
      <c r="F528" s="245"/>
      <c r="G528" s="26"/>
      <c r="H528" s="64"/>
      <c r="I528" s="27"/>
      <c r="J528" s="27"/>
      <c r="K528" s="245"/>
      <c r="L528" s="26"/>
      <c r="M528" s="26"/>
      <c r="N528" s="65"/>
      <c r="AT528" s="26"/>
    </row>
    <row r="529" spans="2:46" ht="15">
      <c r="B529" s="26"/>
      <c r="C529" s="26"/>
      <c r="D529" s="26"/>
      <c r="E529" s="26"/>
      <c r="F529" s="245"/>
      <c r="G529" s="26"/>
      <c r="H529" s="64"/>
      <c r="I529" s="27"/>
      <c r="J529" s="27"/>
      <c r="K529" s="245"/>
      <c r="L529" s="26"/>
      <c r="M529" s="26"/>
      <c r="N529" s="65"/>
      <c r="AT529" s="26"/>
    </row>
    <row r="530" spans="2:46" ht="15">
      <c r="B530" s="26"/>
      <c r="C530" s="26"/>
      <c r="D530" s="26"/>
      <c r="E530" s="26"/>
      <c r="F530" s="245"/>
      <c r="G530" s="26"/>
      <c r="H530" s="64"/>
      <c r="I530" s="27"/>
      <c r="J530" s="27"/>
      <c r="K530" s="245"/>
      <c r="L530" s="26"/>
      <c r="M530" s="26"/>
      <c r="N530" s="65"/>
      <c r="AT530" s="26"/>
    </row>
    <row r="531" spans="2:46" ht="15">
      <c r="B531" s="26"/>
      <c r="C531" s="26"/>
      <c r="D531" s="26"/>
      <c r="E531" s="26"/>
      <c r="F531" s="245"/>
      <c r="G531" s="26"/>
      <c r="H531" s="64"/>
      <c r="I531" s="27"/>
      <c r="J531" s="27"/>
      <c r="K531" s="245"/>
      <c r="L531" s="26"/>
      <c r="M531" s="26"/>
      <c r="N531" s="65"/>
      <c r="AT531" s="26"/>
    </row>
    <row r="532" spans="2:46" ht="15">
      <c r="B532" s="26"/>
      <c r="C532" s="26"/>
      <c r="D532" s="26"/>
      <c r="E532" s="26"/>
      <c r="F532" s="245"/>
      <c r="G532" s="26"/>
      <c r="H532" s="64"/>
      <c r="I532" s="27"/>
      <c r="J532" s="27"/>
      <c r="K532" s="245"/>
      <c r="L532" s="26"/>
      <c r="M532" s="26"/>
      <c r="N532" s="65"/>
      <c r="AT532" s="26"/>
    </row>
    <row r="533" spans="2:46" ht="15">
      <c r="B533" s="26"/>
      <c r="C533" s="26"/>
      <c r="D533" s="26"/>
      <c r="E533" s="26"/>
      <c r="F533" s="245"/>
      <c r="G533" s="26"/>
      <c r="H533" s="64"/>
      <c r="I533" s="27"/>
      <c r="J533" s="27"/>
      <c r="K533" s="245"/>
      <c r="L533" s="26"/>
      <c r="M533" s="26"/>
      <c r="N533" s="65"/>
      <c r="AT533" s="26"/>
    </row>
    <row r="534" spans="2:46" ht="15">
      <c r="B534" s="26"/>
      <c r="C534" s="26"/>
      <c r="D534" s="26"/>
      <c r="E534" s="26"/>
      <c r="F534" s="245"/>
      <c r="G534" s="26"/>
      <c r="H534" s="64"/>
      <c r="I534" s="27"/>
      <c r="J534" s="27"/>
      <c r="K534" s="245"/>
      <c r="L534" s="26"/>
      <c r="M534" s="26"/>
      <c r="N534" s="65"/>
      <c r="AT534" s="26"/>
    </row>
    <row r="535" spans="2:46" ht="15">
      <c r="B535" s="26"/>
      <c r="C535" s="26"/>
      <c r="D535" s="26"/>
      <c r="E535" s="26"/>
      <c r="F535" s="245"/>
      <c r="G535" s="26"/>
      <c r="H535" s="64"/>
      <c r="I535" s="27"/>
      <c r="J535" s="27"/>
      <c r="K535" s="245"/>
      <c r="L535" s="26"/>
      <c r="M535" s="26"/>
      <c r="N535" s="65"/>
      <c r="AT535" s="26"/>
    </row>
    <row r="536" spans="2:46" ht="15">
      <c r="B536" s="26"/>
      <c r="C536" s="26"/>
      <c r="D536" s="26"/>
      <c r="E536" s="26"/>
      <c r="F536" s="245"/>
      <c r="G536" s="26"/>
      <c r="H536" s="64"/>
      <c r="I536" s="27"/>
      <c r="J536" s="27"/>
      <c r="K536" s="245"/>
      <c r="L536" s="26"/>
      <c r="M536" s="26"/>
      <c r="N536" s="65"/>
      <c r="AT536" s="26"/>
    </row>
    <row r="537" spans="2:46" ht="15">
      <c r="B537" s="26"/>
      <c r="C537" s="26"/>
      <c r="D537" s="26"/>
      <c r="E537" s="26"/>
      <c r="F537" s="245"/>
      <c r="G537" s="26"/>
      <c r="H537" s="64"/>
      <c r="I537" s="27"/>
      <c r="J537" s="27"/>
      <c r="K537" s="245"/>
      <c r="L537" s="26"/>
      <c r="M537" s="26"/>
      <c r="N537" s="65"/>
      <c r="AT537" s="26"/>
    </row>
    <row r="538" spans="2:46" ht="15">
      <c r="B538" s="26"/>
      <c r="C538" s="26"/>
      <c r="D538" s="26"/>
      <c r="E538" s="26"/>
      <c r="F538" s="245"/>
      <c r="G538" s="26"/>
      <c r="H538" s="64"/>
      <c r="I538" s="27"/>
      <c r="J538" s="27"/>
      <c r="K538" s="245"/>
      <c r="L538" s="26"/>
      <c r="M538" s="26"/>
      <c r="N538" s="65"/>
      <c r="AT538" s="26"/>
    </row>
    <row r="539" spans="2:46" ht="15">
      <c r="B539" s="26"/>
      <c r="C539" s="26"/>
      <c r="D539" s="26"/>
      <c r="E539" s="26"/>
      <c r="F539" s="245"/>
      <c r="G539" s="26"/>
      <c r="H539" s="64"/>
      <c r="I539" s="27"/>
      <c r="J539" s="27"/>
      <c r="K539" s="245"/>
      <c r="L539" s="26"/>
      <c r="M539" s="26"/>
      <c r="N539" s="65"/>
      <c r="AT539" s="26"/>
    </row>
    <row r="540" spans="2:46" ht="15">
      <c r="B540" s="26"/>
      <c r="C540" s="26"/>
      <c r="D540" s="26"/>
      <c r="E540" s="26"/>
      <c r="F540" s="245"/>
      <c r="G540" s="26"/>
      <c r="H540" s="64"/>
      <c r="I540" s="27"/>
      <c r="J540" s="27"/>
      <c r="K540" s="245"/>
      <c r="L540" s="26"/>
      <c r="M540" s="26"/>
      <c r="N540" s="65"/>
      <c r="AT540" s="26"/>
    </row>
    <row r="541" spans="2:46" ht="15">
      <c r="B541" s="26"/>
      <c r="C541" s="26"/>
      <c r="D541" s="26"/>
      <c r="E541" s="26"/>
      <c r="F541" s="245"/>
      <c r="G541" s="26"/>
      <c r="H541" s="64"/>
      <c r="I541" s="27"/>
      <c r="J541" s="27"/>
      <c r="K541" s="245"/>
      <c r="L541" s="26"/>
      <c r="M541" s="26"/>
      <c r="N541" s="65"/>
      <c r="AT541" s="26"/>
    </row>
    <row r="542" spans="2:46" ht="15">
      <c r="B542" s="26"/>
      <c r="C542" s="26"/>
      <c r="D542" s="26"/>
      <c r="E542" s="26"/>
      <c r="F542" s="245"/>
      <c r="G542" s="26"/>
      <c r="H542" s="64"/>
      <c r="I542" s="27"/>
      <c r="J542" s="27"/>
      <c r="K542" s="245"/>
      <c r="L542" s="26"/>
      <c r="M542" s="26"/>
      <c r="N542" s="65"/>
      <c r="AT542" s="26"/>
    </row>
    <row r="543" spans="2:46" ht="15">
      <c r="B543" s="26"/>
      <c r="C543" s="26"/>
      <c r="D543" s="26"/>
      <c r="E543" s="26"/>
      <c r="F543" s="245"/>
      <c r="G543" s="26"/>
      <c r="H543" s="64"/>
      <c r="I543" s="27"/>
      <c r="J543" s="27"/>
      <c r="K543" s="245"/>
      <c r="L543" s="26"/>
      <c r="M543" s="26"/>
      <c r="N543" s="65"/>
      <c r="AT543" s="26"/>
    </row>
    <row r="544" spans="2:46" ht="15">
      <c r="B544" s="26"/>
      <c r="C544" s="26"/>
      <c r="D544" s="26"/>
      <c r="E544" s="26"/>
      <c r="F544" s="245"/>
      <c r="G544" s="26"/>
      <c r="H544" s="64"/>
      <c r="I544" s="27"/>
      <c r="J544" s="27"/>
      <c r="K544" s="245"/>
      <c r="L544" s="26"/>
      <c r="M544" s="26"/>
      <c r="N544" s="65"/>
      <c r="AT544" s="26"/>
    </row>
    <row r="545" spans="2:46" ht="15">
      <c r="B545" s="26"/>
      <c r="C545" s="26"/>
      <c r="D545" s="26"/>
      <c r="E545" s="26"/>
      <c r="F545" s="245"/>
      <c r="G545" s="26"/>
      <c r="H545" s="64"/>
      <c r="I545" s="27"/>
      <c r="J545" s="27"/>
      <c r="K545" s="245"/>
      <c r="L545" s="26"/>
      <c r="M545" s="26"/>
      <c r="N545" s="65"/>
      <c r="AT545" s="26"/>
    </row>
    <row r="546" spans="2:46" ht="15">
      <c r="B546" s="26"/>
      <c r="C546" s="26"/>
      <c r="D546" s="26"/>
      <c r="E546" s="26"/>
      <c r="F546" s="245"/>
      <c r="G546" s="26"/>
      <c r="H546" s="64"/>
      <c r="I546" s="27"/>
      <c r="J546" s="27"/>
      <c r="K546" s="245"/>
      <c r="L546" s="26"/>
      <c r="M546" s="26"/>
      <c r="N546" s="65"/>
      <c r="AT546" s="26"/>
    </row>
    <row r="547" spans="2:46" ht="15">
      <c r="B547" s="26"/>
      <c r="C547" s="26"/>
      <c r="D547" s="26"/>
      <c r="E547" s="26"/>
      <c r="F547" s="245"/>
      <c r="G547" s="26"/>
      <c r="H547" s="64"/>
      <c r="I547" s="27"/>
      <c r="J547" s="27"/>
      <c r="K547" s="245"/>
      <c r="L547" s="26"/>
      <c r="M547" s="26"/>
      <c r="N547" s="65"/>
      <c r="AT547" s="26"/>
    </row>
    <row r="548" spans="2:46" ht="15">
      <c r="B548" s="26"/>
      <c r="C548" s="26"/>
      <c r="D548" s="26"/>
      <c r="E548" s="26"/>
      <c r="F548" s="245"/>
      <c r="G548" s="26"/>
      <c r="H548" s="64"/>
      <c r="I548" s="27"/>
      <c r="J548" s="27"/>
      <c r="K548" s="245"/>
      <c r="L548" s="26"/>
      <c r="M548" s="26"/>
      <c r="N548" s="65"/>
      <c r="AT548" s="26"/>
    </row>
    <row r="549" spans="2:46" ht="15">
      <c r="B549" s="26"/>
      <c r="C549" s="26"/>
      <c r="D549" s="26"/>
      <c r="E549" s="26"/>
      <c r="F549" s="245"/>
      <c r="G549" s="26"/>
      <c r="H549" s="64"/>
      <c r="I549" s="27"/>
      <c r="J549" s="27"/>
      <c r="K549" s="245"/>
      <c r="L549" s="26"/>
      <c r="M549" s="26"/>
      <c r="N549" s="65"/>
      <c r="AT549" s="26"/>
    </row>
    <row r="550" spans="2:46" ht="15">
      <c r="B550" s="26"/>
      <c r="C550" s="26"/>
      <c r="D550" s="26"/>
      <c r="E550" s="26"/>
      <c r="F550" s="245"/>
      <c r="G550" s="26"/>
      <c r="H550" s="64"/>
      <c r="I550" s="27"/>
      <c r="J550" s="27"/>
      <c r="K550" s="245"/>
      <c r="L550" s="26"/>
      <c r="M550" s="26"/>
      <c r="N550" s="65"/>
      <c r="AT550" s="26"/>
    </row>
    <row r="551" spans="2:46" ht="15">
      <c r="B551" s="26"/>
      <c r="C551" s="26"/>
      <c r="D551" s="26"/>
      <c r="E551" s="26"/>
      <c r="F551" s="245"/>
      <c r="G551" s="26"/>
      <c r="H551" s="64"/>
      <c r="I551" s="27"/>
      <c r="J551" s="27"/>
      <c r="K551" s="245"/>
      <c r="L551" s="26"/>
      <c r="M551" s="26"/>
      <c r="N551" s="65"/>
      <c r="AT551" s="26"/>
    </row>
    <row r="552" spans="2:46" ht="15">
      <c r="B552" s="26"/>
      <c r="C552" s="26"/>
      <c r="D552" s="26"/>
      <c r="E552" s="26"/>
      <c r="F552" s="245"/>
      <c r="G552" s="26"/>
      <c r="H552" s="64"/>
      <c r="I552" s="27"/>
      <c r="J552" s="27"/>
      <c r="K552" s="245"/>
      <c r="L552" s="26"/>
      <c r="M552" s="26"/>
      <c r="N552" s="65"/>
      <c r="AT552" s="26"/>
    </row>
    <row r="553" spans="2:46" ht="15">
      <c r="B553" s="26"/>
      <c r="C553" s="26"/>
      <c r="D553" s="26"/>
      <c r="E553" s="26"/>
      <c r="F553" s="245"/>
      <c r="G553" s="26"/>
      <c r="H553" s="64"/>
      <c r="I553" s="27"/>
      <c r="J553" s="27"/>
      <c r="K553" s="245"/>
      <c r="L553" s="26"/>
      <c r="M553" s="26"/>
      <c r="N553" s="65"/>
      <c r="AT553" s="26"/>
    </row>
    <row r="554" spans="2:46" ht="15">
      <c r="B554" s="26"/>
      <c r="C554" s="26"/>
      <c r="D554" s="26"/>
      <c r="E554" s="26"/>
      <c r="F554" s="245"/>
      <c r="G554" s="26"/>
      <c r="H554" s="64"/>
      <c r="I554" s="27"/>
      <c r="J554" s="27"/>
      <c r="K554" s="245"/>
      <c r="L554" s="26"/>
      <c r="M554" s="26"/>
      <c r="N554" s="65"/>
      <c r="AT554" s="26"/>
    </row>
    <row r="555" spans="2:46" ht="15">
      <c r="B555" s="26"/>
      <c r="C555" s="26"/>
      <c r="D555" s="26"/>
      <c r="E555" s="26"/>
      <c r="F555" s="245"/>
      <c r="G555" s="26"/>
      <c r="H555" s="64"/>
      <c r="I555" s="27"/>
      <c r="J555" s="27"/>
      <c r="K555" s="245"/>
      <c r="L555" s="26"/>
      <c r="M555" s="26"/>
      <c r="N555" s="65"/>
      <c r="AT555" s="26"/>
    </row>
    <row r="556" spans="2:46" ht="15">
      <c r="B556" s="26"/>
      <c r="C556" s="26"/>
      <c r="D556" s="26"/>
      <c r="E556" s="26"/>
      <c r="F556" s="245"/>
      <c r="G556" s="26"/>
      <c r="H556" s="64"/>
      <c r="I556" s="27"/>
      <c r="J556" s="27"/>
      <c r="K556" s="245"/>
      <c r="L556" s="26"/>
      <c r="M556" s="26"/>
      <c r="N556" s="65"/>
      <c r="AT556" s="26"/>
    </row>
    <row r="557" spans="2:46" ht="15">
      <c r="B557" s="26"/>
      <c r="C557" s="26"/>
      <c r="D557" s="26"/>
      <c r="E557" s="26"/>
      <c r="F557" s="245"/>
      <c r="G557" s="26"/>
      <c r="H557" s="64"/>
      <c r="I557" s="27"/>
      <c r="J557" s="27"/>
      <c r="K557" s="245"/>
      <c r="L557" s="26"/>
      <c r="M557" s="26"/>
      <c r="N557" s="65"/>
      <c r="AT557" s="26"/>
    </row>
    <row r="558" spans="2:46" ht="15">
      <c r="B558" s="26"/>
      <c r="C558" s="26"/>
      <c r="D558" s="26"/>
      <c r="E558" s="26"/>
      <c r="F558" s="245"/>
      <c r="G558" s="26"/>
      <c r="H558" s="64"/>
      <c r="I558" s="27"/>
      <c r="J558" s="27"/>
      <c r="K558" s="245"/>
      <c r="L558" s="26"/>
      <c r="M558" s="26"/>
      <c r="N558" s="65"/>
      <c r="AT558" s="26"/>
    </row>
    <row r="559" spans="2:46" ht="15">
      <c r="B559" s="26"/>
      <c r="C559" s="26"/>
      <c r="D559" s="26"/>
      <c r="E559" s="26"/>
      <c r="F559" s="245"/>
      <c r="G559" s="26"/>
      <c r="H559" s="64"/>
      <c r="I559" s="27"/>
      <c r="J559" s="27"/>
      <c r="K559" s="245"/>
      <c r="L559" s="26"/>
      <c r="M559" s="26"/>
      <c r="N559" s="65"/>
      <c r="AT559" s="26"/>
    </row>
    <row r="560" spans="2:46" ht="15">
      <c r="B560" s="26"/>
      <c r="C560" s="26"/>
      <c r="D560" s="26"/>
      <c r="E560" s="26"/>
      <c r="F560" s="245"/>
      <c r="G560" s="26"/>
      <c r="H560" s="64"/>
      <c r="I560" s="27"/>
      <c r="J560" s="27"/>
      <c r="K560" s="245"/>
      <c r="L560" s="26"/>
      <c r="M560" s="26"/>
      <c r="N560" s="65"/>
      <c r="AT560" s="26"/>
    </row>
    <row r="561" spans="2:46" ht="15">
      <c r="B561" s="26"/>
      <c r="C561" s="26"/>
      <c r="D561" s="26"/>
      <c r="E561" s="26"/>
      <c r="F561" s="245"/>
      <c r="G561" s="26"/>
      <c r="H561" s="64"/>
      <c r="I561" s="27"/>
      <c r="J561" s="27"/>
      <c r="K561" s="245"/>
      <c r="L561" s="26"/>
      <c r="M561" s="26"/>
      <c r="N561" s="65"/>
      <c r="AT561" s="26"/>
    </row>
    <row r="562" spans="2:46" ht="15">
      <c r="B562" s="26"/>
      <c r="C562" s="26"/>
      <c r="D562" s="26"/>
      <c r="E562" s="26"/>
      <c r="F562" s="245"/>
      <c r="G562" s="26"/>
      <c r="H562" s="64"/>
      <c r="I562" s="27"/>
      <c r="J562" s="27"/>
      <c r="K562" s="245"/>
      <c r="L562" s="26"/>
      <c r="M562" s="26"/>
      <c r="N562" s="65"/>
      <c r="AT562" s="26"/>
    </row>
    <row r="563" spans="2:46" ht="15">
      <c r="B563" s="26"/>
      <c r="C563" s="26"/>
      <c r="D563" s="26"/>
      <c r="E563" s="26"/>
      <c r="F563" s="245"/>
      <c r="G563" s="26"/>
      <c r="H563" s="64"/>
      <c r="I563" s="27"/>
      <c r="J563" s="27"/>
      <c r="K563" s="245"/>
      <c r="L563" s="26"/>
      <c r="M563" s="26"/>
      <c r="N563" s="65"/>
      <c r="AT563" s="26"/>
    </row>
    <row r="564" spans="2:46" ht="15">
      <c r="B564" s="26"/>
      <c r="C564" s="26"/>
      <c r="D564" s="26"/>
      <c r="E564" s="26"/>
      <c r="F564" s="245"/>
      <c r="G564" s="26"/>
      <c r="H564" s="64"/>
      <c r="I564" s="27"/>
      <c r="J564" s="27"/>
      <c r="K564" s="245"/>
      <c r="L564" s="26"/>
      <c r="M564" s="26"/>
      <c r="N564" s="65"/>
      <c r="AT564" s="26"/>
    </row>
    <row r="565" spans="2:46" ht="15">
      <c r="B565" s="26"/>
      <c r="C565" s="26"/>
      <c r="D565" s="26"/>
      <c r="E565" s="26"/>
      <c r="F565" s="245"/>
      <c r="G565" s="26"/>
      <c r="H565" s="64"/>
      <c r="I565" s="27"/>
      <c r="J565" s="27"/>
      <c r="K565" s="245"/>
      <c r="L565" s="26"/>
      <c r="M565" s="26"/>
      <c r="N565" s="65"/>
      <c r="AT565" s="26"/>
    </row>
    <row r="566" spans="2:46" ht="15">
      <c r="B566" s="26"/>
      <c r="C566" s="26"/>
      <c r="D566" s="26"/>
      <c r="E566" s="26"/>
      <c r="F566" s="245"/>
      <c r="G566" s="26"/>
      <c r="H566" s="64"/>
      <c r="I566" s="27"/>
      <c r="J566" s="27"/>
      <c r="K566" s="245"/>
      <c r="L566" s="26"/>
      <c r="M566" s="26"/>
      <c r="N566" s="65"/>
      <c r="AT566" s="26"/>
    </row>
    <row r="567" spans="2:46" ht="15">
      <c r="B567" s="26"/>
      <c r="C567" s="26"/>
      <c r="D567" s="26"/>
      <c r="E567" s="26"/>
      <c r="F567" s="245"/>
      <c r="G567" s="26"/>
      <c r="H567" s="64"/>
      <c r="I567" s="27"/>
      <c r="J567" s="27"/>
      <c r="K567" s="245"/>
      <c r="L567" s="26"/>
      <c r="M567" s="26"/>
      <c r="N567" s="65"/>
      <c r="AT567" s="26"/>
    </row>
    <row r="568" spans="2:46" ht="15">
      <c r="B568" s="26"/>
      <c r="C568" s="26"/>
      <c r="D568" s="26"/>
      <c r="E568" s="26"/>
      <c r="F568" s="245"/>
      <c r="G568" s="26"/>
      <c r="H568" s="64"/>
      <c r="I568" s="27"/>
      <c r="J568" s="27"/>
      <c r="K568" s="245"/>
      <c r="L568" s="26"/>
      <c r="M568" s="26"/>
      <c r="N568" s="65"/>
      <c r="AT568" s="26"/>
    </row>
    <row r="569" spans="2:46" ht="15">
      <c r="B569" s="26"/>
      <c r="C569" s="26"/>
      <c r="D569" s="26"/>
      <c r="E569" s="26"/>
      <c r="F569" s="245"/>
      <c r="G569" s="26"/>
      <c r="H569" s="64"/>
      <c r="I569" s="27"/>
      <c r="J569" s="27"/>
      <c r="K569" s="245"/>
      <c r="L569" s="26"/>
      <c r="M569" s="26"/>
      <c r="N569" s="65"/>
      <c r="AT569" s="26"/>
    </row>
    <row r="570" spans="2:46" ht="15">
      <c r="B570" s="26"/>
      <c r="C570" s="26"/>
      <c r="D570" s="26"/>
      <c r="E570" s="26"/>
      <c r="F570" s="245"/>
      <c r="G570" s="26"/>
      <c r="H570" s="64"/>
      <c r="I570" s="27"/>
      <c r="J570" s="27"/>
      <c r="K570" s="245"/>
      <c r="L570" s="26"/>
      <c r="M570" s="26"/>
      <c r="N570" s="65"/>
      <c r="AT570" s="26"/>
    </row>
    <row r="571" spans="2:46" ht="15">
      <c r="B571" s="26"/>
      <c r="C571" s="26"/>
      <c r="D571" s="26"/>
      <c r="E571" s="26"/>
      <c r="F571" s="245"/>
      <c r="G571" s="26"/>
      <c r="H571" s="64"/>
      <c r="I571" s="27"/>
      <c r="J571" s="27"/>
      <c r="K571" s="245"/>
      <c r="L571" s="26"/>
      <c r="M571" s="26"/>
      <c r="N571" s="65"/>
      <c r="AT571" s="26"/>
    </row>
    <row r="572" spans="2:46" ht="15">
      <c r="B572" s="26"/>
      <c r="C572" s="26"/>
      <c r="D572" s="26"/>
      <c r="E572" s="26"/>
      <c r="F572" s="245"/>
      <c r="G572" s="26"/>
      <c r="H572" s="64"/>
      <c r="I572" s="27"/>
      <c r="J572" s="27"/>
      <c r="K572" s="245"/>
      <c r="L572" s="26"/>
      <c r="M572" s="26"/>
      <c r="N572" s="65"/>
      <c r="AT572" s="26"/>
    </row>
    <row r="573" spans="2:46" ht="15">
      <c r="B573" s="26"/>
      <c r="C573" s="26"/>
      <c r="D573" s="26"/>
      <c r="E573" s="26"/>
      <c r="F573" s="245"/>
      <c r="G573" s="26"/>
      <c r="H573" s="64"/>
      <c r="I573" s="27"/>
      <c r="J573" s="27"/>
      <c r="K573" s="245"/>
      <c r="L573" s="26"/>
      <c r="M573" s="26"/>
      <c r="N573" s="65"/>
      <c r="AT573" s="26"/>
    </row>
    <row r="574" spans="2:46" ht="15">
      <c r="B574" s="26"/>
      <c r="C574" s="26"/>
      <c r="D574" s="26"/>
      <c r="E574" s="26"/>
      <c r="F574" s="245"/>
      <c r="G574" s="26"/>
      <c r="H574" s="64"/>
      <c r="I574" s="27"/>
      <c r="J574" s="27"/>
      <c r="K574" s="245"/>
      <c r="L574" s="26"/>
      <c r="M574" s="26"/>
      <c r="N574" s="65"/>
      <c r="AT574" s="26"/>
    </row>
    <row r="575" spans="2:46" ht="15">
      <c r="B575" s="26"/>
      <c r="C575" s="26"/>
      <c r="D575" s="26"/>
      <c r="E575" s="26"/>
      <c r="F575" s="245"/>
      <c r="G575" s="26"/>
      <c r="H575" s="64"/>
      <c r="I575" s="27"/>
      <c r="J575" s="27"/>
      <c r="K575" s="245"/>
      <c r="L575" s="26"/>
      <c r="M575" s="26"/>
      <c r="N575" s="65"/>
      <c r="AT575" s="26"/>
    </row>
    <row r="576" spans="2:46" ht="15">
      <c r="B576" s="26"/>
      <c r="C576" s="26"/>
      <c r="D576" s="26"/>
      <c r="E576" s="26"/>
      <c r="F576" s="245"/>
      <c r="G576" s="26"/>
      <c r="H576" s="64"/>
      <c r="I576" s="27"/>
      <c r="J576" s="27"/>
      <c r="K576" s="245"/>
      <c r="L576" s="26"/>
      <c r="M576" s="26"/>
      <c r="N576" s="65"/>
      <c r="AT576" s="26"/>
    </row>
    <row r="577" spans="2:46" ht="15">
      <c r="B577" s="26"/>
      <c r="C577" s="26"/>
      <c r="D577" s="26"/>
      <c r="E577" s="26"/>
      <c r="F577" s="245"/>
      <c r="G577" s="26"/>
      <c r="H577" s="64"/>
      <c r="I577" s="27"/>
      <c r="J577" s="27"/>
      <c r="K577" s="245"/>
      <c r="L577" s="26"/>
      <c r="M577" s="26"/>
      <c r="N577" s="65"/>
      <c r="AT577" s="26"/>
    </row>
    <row r="578" spans="2:46" ht="15">
      <c r="B578" s="26"/>
      <c r="C578" s="26"/>
      <c r="D578" s="26"/>
      <c r="E578" s="26"/>
      <c r="F578" s="245"/>
      <c r="G578" s="26"/>
      <c r="H578" s="64"/>
      <c r="I578" s="27"/>
      <c r="J578" s="27"/>
      <c r="K578" s="245"/>
      <c r="L578" s="26"/>
      <c r="M578" s="26"/>
      <c r="N578" s="65"/>
      <c r="AT578" s="26"/>
    </row>
    <row r="579" spans="2:46" ht="15">
      <c r="B579" s="26"/>
      <c r="C579" s="26"/>
      <c r="D579" s="26"/>
      <c r="E579" s="26"/>
      <c r="F579" s="245"/>
      <c r="G579" s="26"/>
      <c r="H579" s="64"/>
      <c r="I579" s="27"/>
      <c r="J579" s="27"/>
      <c r="K579" s="245"/>
      <c r="L579" s="26"/>
      <c r="M579" s="26"/>
      <c r="N579" s="65"/>
      <c r="AT579" s="26"/>
    </row>
    <row r="580" spans="2:46" ht="15">
      <c r="B580" s="26"/>
      <c r="C580" s="26"/>
      <c r="D580" s="26"/>
      <c r="E580" s="26"/>
      <c r="F580" s="245"/>
      <c r="G580" s="26"/>
      <c r="H580" s="64"/>
      <c r="I580" s="27"/>
      <c r="J580" s="27"/>
      <c r="K580" s="245"/>
      <c r="L580" s="26"/>
      <c r="M580" s="26"/>
      <c r="N580" s="65"/>
      <c r="AT580" s="26"/>
    </row>
    <row r="581" spans="2:46" ht="15">
      <c r="B581" s="26"/>
      <c r="C581" s="26"/>
      <c r="D581" s="26"/>
      <c r="E581" s="26"/>
      <c r="F581" s="245"/>
      <c r="G581" s="26"/>
      <c r="H581" s="64"/>
      <c r="I581" s="27"/>
      <c r="J581" s="27"/>
      <c r="K581" s="245"/>
      <c r="L581" s="26"/>
      <c r="M581" s="26"/>
      <c r="N581" s="65"/>
      <c r="AT581" s="26"/>
    </row>
    <row r="582" spans="2:46" ht="15">
      <c r="B582" s="26"/>
      <c r="C582" s="26"/>
      <c r="D582" s="26"/>
      <c r="E582" s="26"/>
      <c r="F582" s="245"/>
      <c r="G582" s="26"/>
      <c r="H582" s="64"/>
      <c r="I582" s="27"/>
      <c r="J582" s="27"/>
      <c r="K582" s="245"/>
      <c r="L582" s="26"/>
      <c r="M582" s="26"/>
      <c r="N582" s="65"/>
      <c r="AT582" s="26"/>
    </row>
    <row r="583" spans="2:46" ht="15">
      <c r="B583" s="26"/>
      <c r="C583" s="26"/>
      <c r="D583" s="26"/>
      <c r="E583" s="26"/>
      <c r="F583" s="245"/>
      <c r="G583" s="26"/>
      <c r="H583" s="64"/>
      <c r="I583" s="27"/>
      <c r="J583" s="27"/>
      <c r="K583" s="245"/>
      <c r="L583" s="26"/>
      <c r="M583" s="26"/>
      <c r="N583" s="65"/>
      <c r="AT583" s="26"/>
    </row>
    <row r="584" spans="2:46" ht="15">
      <c r="B584" s="26"/>
      <c r="C584" s="26"/>
      <c r="D584" s="26"/>
      <c r="E584" s="26"/>
      <c r="F584" s="245"/>
      <c r="G584" s="26"/>
      <c r="H584" s="64"/>
      <c r="I584" s="27"/>
      <c r="J584" s="27"/>
      <c r="K584" s="245"/>
      <c r="L584" s="26"/>
      <c r="M584" s="26"/>
      <c r="N584" s="65"/>
      <c r="AT584" s="26"/>
    </row>
    <row r="585" spans="2:46" ht="15">
      <c r="B585" s="26"/>
      <c r="C585" s="26"/>
      <c r="D585" s="26"/>
      <c r="E585" s="26"/>
      <c r="F585" s="245"/>
      <c r="G585" s="26"/>
      <c r="H585" s="64"/>
      <c r="I585" s="27"/>
      <c r="J585" s="27"/>
      <c r="K585" s="245"/>
      <c r="L585" s="26"/>
      <c r="M585" s="26"/>
      <c r="N585" s="65"/>
      <c r="AT585" s="26"/>
    </row>
    <row r="586" spans="2:46" ht="15">
      <c r="B586" s="26"/>
      <c r="C586" s="26"/>
      <c r="D586" s="26"/>
      <c r="E586" s="26"/>
      <c r="F586" s="245"/>
      <c r="G586" s="26"/>
      <c r="H586" s="64"/>
      <c r="I586" s="27"/>
      <c r="J586" s="27"/>
      <c r="K586" s="245"/>
      <c r="L586" s="26"/>
      <c r="M586" s="26"/>
      <c r="N586" s="65"/>
      <c r="AT586" s="26"/>
    </row>
    <row r="587" spans="2:46" ht="15">
      <c r="B587" s="26"/>
      <c r="C587" s="26"/>
      <c r="D587" s="26"/>
      <c r="E587" s="26"/>
      <c r="F587" s="245"/>
      <c r="G587" s="26"/>
      <c r="H587" s="64"/>
      <c r="I587" s="27"/>
      <c r="J587" s="27"/>
      <c r="K587" s="245"/>
      <c r="L587" s="26"/>
      <c r="M587" s="26"/>
      <c r="N587" s="65"/>
      <c r="AT587" s="26"/>
    </row>
    <row r="588" spans="2:46" ht="15">
      <c r="B588" s="26"/>
      <c r="C588" s="26"/>
      <c r="D588" s="26"/>
      <c r="E588" s="26"/>
      <c r="F588" s="245"/>
      <c r="G588" s="26"/>
      <c r="H588" s="64"/>
      <c r="I588" s="27"/>
      <c r="J588" s="27"/>
      <c r="K588" s="245"/>
      <c r="L588" s="26"/>
      <c r="M588" s="26"/>
      <c r="N588" s="65"/>
      <c r="AT588" s="26"/>
    </row>
    <row r="589" spans="2:46" ht="15">
      <c r="B589" s="26"/>
      <c r="C589" s="26"/>
      <c r="D589" s="26"/>
      <c r="E589" s="26"/>
      <c r="F589" s="245"/>
      <c r="G589" s="26"/>
      <c r="H589" s="64"/>
      <c r="I589" s="27"/>
      <c r="J589" s="27"/>
      <c r="K589" s="245"/>
      <c r="L589" s="26"/>
      <c r="M589" s="26"/>
      <c r="N589" s="65"/>
      <c r="AT589" s="26"/>
    </row>
    <row r="590" spans="2:46" ht="15">
      <c r="B590" s="26"/>
      <c r="C590" s="26"/>
      <c r="D590" s="26"/>
      <c r="E590" s="26"/>
      <c r="F590" s="245"/>
      <c r="G590" s="26"/>
      <c r="H590" s="64"/>
      <c r="I590" s="27"/>
      <c r="J590" s="27"/>
      <c r="K590" s="245"/>
      <c r="L590" s="26"/>
      <c r="M590" s="26"/>
      <c r="N590" s="65"/>
      <c r="AT590" s="26"/>
    </row>
    <row r="591" spans="2:46" ht="15">
      <c r="B591" s="26"/>
      <c r="C591" s="26"/>
      <c r="D591" s="26"/>
      <c r="E591" s="26"/>
      <c r="F591" s="245"/>
      <c r="G591" s="26"/>
      <c r="H591" s="64"/>
      <c r="I591" s="27"/>
      <c r="J591" s="27"/>
      <c r="K591" s="245"/>
      <c r="L591" s="26"/>
      <c r="M591" s="26"/>
      <c r="N591" s="65"/>
      <c r="AT591" s="26"/>
    </row>
    <row r="592" spans="2:46" ht="15">
      <c r="B592" s="26"/>
      <c r="C592" s="26"/>
      <c r="D592" s="26"/>
      <c r="E592" s="26"/>
      <c r="F592" s="245"/>
      <c r="G592" s="26"/>
      <c r="H592" s="64"/>
      <c r="I592" s="27"/>
      <c r="J592" s="27"/>
      <c r="K592" s="245"/>
      <c r="L592" s="26"/>
      <c r="M592" s="26"/>
      <c r="N592" s="65"/>
      <c r="AT592" s="26"/>
    </row>
    <row r="593" spans="2:46" ht="15">
      <c r="B593" s="26"/>
      <c r="C593" s="26"/>
      <c r="D593" s="26"/>
      <c r="E593" s="26"/>
      <c r="F593" s="245"/>
      <c r="G593" s="26"/>
      <c r="H593" s="64"/>
      <c r="I593" s="27"/>
      <c r="J593" s="27"/>
      <c r="K593" s="245"/>
      <c r="L593" s="26"/>
      <c r="M593" s="26"/>
      <c r="N593" s="65"/>
      <c r="AT593" s="26"/>
    </row>
    <row r="594" spans="2:46" ht="15">
      <c r="B594" s="26"/>
      <c r="C594" s="26"/>
      <c r="D594" s="26"/>
      <c r="E594" s="26"/>
      <c r="F594" s="245"/>
      <c r="G594" s="26"/>
      <c r="H594" s="64"/>
      <c r="I594" s="27"/>
      <c r="J594" s="27"/>
      <c r="K594" s="245"/>
      <c r="L594" s="26"/>
      <c r="M594" s="26"/>
      <c r="N594" s="65"/>
      <c r="AT594" s="26"/>
    </row>
    <row r="595" spans="2:46" ht="15">
      <c r="B595" s="26"/>
      <c r="C595" s="26"/>
      <c r="D595" s="26"/>
      <c r="E595" s="26"/>
      <c r="F595" s="245"/>
      <c r="G595" s="26"/>
      <c r="H595" s="64"/>
      <c r="I595" s="27"/>
      <c r="J595" s="27"/>
      <c r="K595" s="245"/>
      <c r="L595" s="26"/>
      <c r="M595" s="26"/>
      <c r="N595" s="65"/>
      <c r="AT595" s="26"/>
    </row>
    <row r="596" spans="2:46" ht="15">
      <c r="B596" s="26"/>
      <c r="C596" s="26"/>
      <c r="D596" s="26"/>
      <c r="E596" s="26"/>
      <c r="F596" s="245"/>
      <c r="G596" s="26"/>
      <c r="H596" s="64"/>
      <c r="I596" s="27"/>
      <c r="J596" s="27"/>
      <c r="K596" s="245"/>
      <c r="L596" s="26"/>
      <c r="M596" s="26"/>
      <c r="N596" s="65"/>
      <c r="AT596" s="26"/>
    </row>
    <row r="597" spans="2:46" ht="15">
      <c r="B597" s="26"/>
      <c r="C597" s="26"/>
      <c r="D597" s="26"/>
      <c r="E597" s="26"/>
      <c r="F597" s="245"/>
      <c r="G597" s="26"/>
      <c r="H597" s="64"/>
      <c r="I597" s="27"/>
      <c r="J597" s="27"/>
      <c r="K597" s="245"/>
      <c r="L597" s="26"/>
      <c r="M597" s="26"/>
      <c r="N597" s="65"/>
      <c r="AT597" s="26"/>
    </row>
    <row r="598" spans="2:46" ht="15">
      <c r="B598" s="26"/>
      <c r="C598" s="26"/>
      <c r="D598" s="26"/>
      <c r="E598" s="26"/>
      <c r="F598" s="245"/>
      <c r="G598" s="26"/>
      <c r="H598" s="64"/>
      <c r="I598" s="27"/>
      <c r="J598" s="27"/>
      <c r="K598" s="245"/>
      <c r="L598" s="26"/>
      <c r="M598" s="26"/>
      <c r="N598" s="65"/>
      <c r="AT598" s="26"/>
    </row>
    <row r="599" spans="2:46" ht="15">
      <c r="B599" s="26"/>
      <c r="C599" s="26"/>
      <c r="D599" s="26"/>
      <c r="E599" s="26"/>
      <c r="F599" s="245"/>
      <c r="G599" s="26"/>
      <c r="H599" s="64"/>
      <c r="I599" s="27"/>
      <c r="J599" s="27"/>
      <c r="K599" s="245"/>
      <c r="L599" s="26"/>
      <c r="M599" s="26"/>
      <c r="N599" s="65"/>
      <c r="AT599" s="26"/>
    </row>
    <row r="600" spans="2:46" ht="15">
      <c r="B600" s="26"/>
      <c r="C600" s="26"/>
      <c r="D600" s="26"/>
      <c r="E600" s="26"/>
      <c r="F600" s="245"/>
      <c r="G600" s="26"/>
      <c r="H600" s="64"/>
      <c r="I600" s="27"/>
      <c r="J600" s="27"/>
      <c r="K600" s="245"/>
      <c r="L600" s="26"/>
      <c r="M600" s="26"/>
      <c r="N600" s="65"/>
      <c r="AT600" s="26"/>
    </row>
    <row r="601" spans="2:46" ht="15">
      <c r="B601" s="26"/>
      <c r="C601" s="26"/>
      <c r="D601" s="26"/>
      <c r="E601" s="26"/>
      <c r="F601" s="245"/>
      <c r="G601" s="26"/>
      <c r="H601" s="64"/>
      <c r="I601" s="27"/>
      <c r="J601" s="27"/>
      <c r="K601" s="245"/>
      <c r="L601" s="26"/>
      <c r="M601" s="26"/>
      <c r="N601" s="65"/>
      <c r="AT601" s="26"/>
    </row>
    <row r="602" spans="2:46" ht="15">
      <c r="B602" s="26"/>
      <c r="C602" s="26"/>
      <c r="D602" s="26"/>
      <c r="E602" s="26"/>
      <c r="F602" s="245"/>
      <c r="G602" s="26"/>
      <c r="H602" s="64"/>
      <c r="I602" s="27"/>
      <c r="J602" s="27"/>
      <c r="K602" s="245"/>
      <c r="L602" s="26"/>
      <c r="M602" s="26"/>
      <c r="N602" s="65"/>
      <c r="AT602" s="26"/>
    </row>
    <row r="603" spans="2:46" ht="15">
      <c r="B603" s="26"/>
      <c r="C603" s="26"/>
      <c r="D603" s="26"/>
      <c r="E603" s="26"/>
      <c r="F603" s="245"/>
      <c r="G603" s="26"/>
      <c r="H603" s="64"/>
      <c r="I603" s="27"/>
      <c r="J603" s="27"/>
      <c r="K603" s="245"/>
      <c r="L603" s="26"/>
      <c r="M603" s="26"/>
      <c r="N603" s="65"/>
      <c r="AT603" s="26"/>
    </row>
    <row r="604" spans="2:46" ht="15">
      <c r="B604" s="26"/>
      <c r="C604" s="26"/>
      <c r="D604" s="26"/>
      <c r="E604" s="26"/>
      <c r="F604" s="245"/>
      <c r="G604" s="26"/>
      <c r="H604" s="64"/>
      <c r="I604" s="27"/>
      <c r="J604" s="27"/>
      <c r="K604" s="245"/>
      <c r="L604" s="26"/>
      <c r="M604" s="26"/>
      <c r="N604" s="65"/>
      <c r="AT604" s="26"/>
    </row>
    <row r="605" spans="2:46" ht="15">
      <c r="B605" s="26"/>
      <c r="C605" s="26"/>
      <c r="D605" s="26"/>
      <c r="E605" s="26"/>
      <c r="F605" s="245"/>
      <c r="G605" s="26"/>
      <c r="H605" s="64"/>
      <c r="I605" s="27"/>
      <c r="J605" s="27"/>
      <c r="K605" s="245"/>
      <c r="L605" s="26"/>
      <c r="M605" s="26"/>
      <c r="N605" s="65"/>
      <c r="AT605" s="26"/>
    </row>
    <row r="606" spans="2:46" ht="15">
      <c r="B606" s="26"/>
      <c r="C606" s="26"/>
      <c r="D606" s="26"/>
      <c r="E606" s="26"/>
      <c r="F606" s="245"/>
      <c r="G606" s="26"/>
      <c r="H606" s="64"/>
      <c r="I606" s="27"/>
      <c r="J606" s="27"/>
      <c r="K606" s="245"/>
      <c r="L606" s="26"/>
      <c r="M606" s="26"/>
      <c r="N606" s="65"/>
      <c r="AT606" s="26"/>
    </row>
    <row r="607" spans="2:46" ht="15">
      <c r="B607" s="26"/>
      <c r="C607" s="26"/>
      <c r="D607" s="26"/>
      <c r="E607" s="26"/>
      <c r="F607" s="245"/>
      <c r="G607" s="26"/>
      <c r="H607" s="64"/>
      <c r="I607" s="27"/>
      <c r="J607" s="27"/>
      <c r="K607" s="245"/>
      <c r="L607" s="26"/>
      <c r="M607" s="26"/>
      <c r="N607" s="65"/>
      <c r="AT607" s="26"/>
    </row>
    <row r="608" spans="2:46" ht="15">
      <c r="B608" s="26"/>
      <c r="C608" s="26"/>
      <c r="D608" s="26"/>
      <c r="E608" s="26"/>
      <c r="F608" s="245"/>
      <c r="G608" s="26"/>
      <c r="H608" s="64"/>
      <c r="I608" s="27"/>
      <c r="J608" s="27"/>
      <c r="K608" s="245"/>
      <c r="L608" s="26"/>
      <c r="M608" s="26"/>
      <c r="N608" s="65"/>
      <c r="AT608" s="26"/>
    </row>
    <row r="609" spans="2:46" ht="15">
      <c r="B609" s="26"/>
      <c r="C609" s="26"/>
      <c r="D609" s="26"/>
      <c r="E609" s="26"/>
      <c r="F609" s="245"/>
      <c r="G609" s="26"/>
      <c r="H609" s="64"/>
      <c r="I609" s="27"/>
      <c r="J609" s="27"/>
      <c r="K609" s="245"/>
      <c r="L609" s="26"/>
      <c r="M609" s="26"/>
      <c r="N609" s="65"/>
      <c r="AT609" s="26"/>
    </row>
    <row r="610" spans="2:46" ht="15">
      <c r="B610" s="26"/>
      <c r="C610" s="26"/>
      <c r="D610" s="26"/>
      <c r="E610" s="26"/>
      <c r="F610" s="245"/>
      <c r="G610" s="26"/>
      <c r="H610" s="64"/>
      <c r="I610" s="27"/>
      <c r="J610" s="27"/>
      <c r="K610" s="245"/>
      <c r="L610" s="26"/>
      <c r="M610" s="26"/>
      <c r="N610" s="65"/>
      <c r="AT610" s="26"/>
    </row>
    <row r="611" spans="2:46" ht="15">
      <c r="B611" s="26"/>
      <c r="C611" s="26"/>
      <c r="D611" s="26"/>
      <c r="E611" s="26"/>
      <c r="F611" s="245"/>
      <c r="G611" s="26"/>
      <c r="H611" s="64"/>
      <c r="I611" s="27"/>
      <c r="J611" s="27"/>
      <c r="K611" s="245"/>
      <c r="L611" s="26"/>
      <c r="M611" s="26"/>
      <c r="N611" s="65"/>
      <c r="AT611" s="26"/>
    </row>
    <row r="612" spans="2:46" ht="15">
      <c r="B612" s="26"/>
      <c r="C612" s="26"/>
      <c r="D612" s="26"/>
      <c r="E612" s="26"/>
      <c r="F612" s="245"/>
      <c r="G612" s="26"/>
      <c r="H612" s="64"/>
      <c r="I612" s="27"/>
      <c r="J612" s="27"/>
      <c r="K612" s="245"/>
      <c r="L612" s="26"/>
      <c r="M612" s="26"/>
      <c r="N612" s="65"/>
      <c r="AT612" s="26"/>
    </row>
    <row r="613" spans="2:46" ht="15">
      <c r="B613" s="26"/>
      <c r="C613" s="26"/>
      <c r="D613" s="26"/>
      <c r="E613" s="26"/>
      <c r="F613" s="245"/>
      <c r="G613" s="26"/>
      <c r="H613" s="64"/>
      <c r="I613" s="27"/>
      <c r="J613" s="27"/>
      <c r="K613" s="245"/>
      <c r="L613" s="26"/>
      <c r="M613" s="26"/>
      <c r="N613" s="65"/>
      <c r="AT613" s="26"/>
    </row>
    <row r="614" spans="2:46" ht="15">
      <c r="B614" s="26"/>
      <c r="C614" s="26"/>
      <c r="D614" s="26"/>
      <c r="E614" s="26"/>
      <c r="F614" s="245"/>
      <c r="G614" s="26"/>
      <c r="H614" s="64"/>
      <c r="I614" s="27"/>
      <c r="J614" s="27"/>
      <c r="K614" s="245"/>
      <c r="L614" s="26"/>
      <c r="M614" s="26"/>
      <c r="N614" s="65"/>
      <c r="AT614" s="26"/>
    </row>
    <row r="615" spans="2:46" ht="15">
      <c r="B615" s="26"/>
      <c r="C615" s="26"/>
      <c r="D615" s="26"/>
      <c r="E615" s="26"/>
      <c r="F615" s="245"/>
      <c r="G615" s="26"/>
      <c r="H615" s="64"/>
      <c r="I615" s="27"/>
      <c r="J615" s="27"/>
      <c r="K615" s="245"/>
      <c r="L615" s="26"/>
      <c r="M615" s="26"/>
      <c r="N615" s="65"/>
      <c r="AT615" s="26"/>
    </row>
    <row r="616" spans="2:46" ht="15">
      <c r="B616" s="26"/>
      <c r="C616" s="26"/>
      <c r="D616" s="26"/>
      <c r="E616" s="26"/>
      <c r="F616" s="245"/>
      <c r="G616" s="26"/>
      <c r="H616" s="64"/>
      <c r="I616" s="27"/>
      <c r="J616" s="27"/>
      <c r="K616" s="245"/>
      <c r="L616" s="26"/>
      <c r="M616" s="26"/>
      <c r="N616" s="65"/>
      <c r="AT616" s="26"/>
    </row>
    <row r="617" spans="2:46" ht="15">
      <c r="B617" s="26"/>
      <c r="C617" s="26"/>
      <c r="D617" s="26"/>
      <c r="E617" s="26"/>
      <c r="F617" s="245"/>
      <c r="G617" s="26"/>
      <c r="H617" s="64"/>
      <c r="I617" s="27"/>
      <c r="J617" s="27"/>
      <c r="K617" s="245"/>
      <c r="L617" s="26"/>
      <c r="M617" s="26"/>
      <c r="N617" s="65"/>
      <c r="AT617" s="26"/>
    </row>
    <row r="618" spans="2:46" ht="15">
      <c r="B618" s="26"/>
      <c r="C618" s="26"/>
      <c r="D618" s="26"/>
      <c r="E618" s="26"/>
      <c r="F618" s="245"/>
      <c r="G618" s="26"/>
      <c r="H618" s="64"/>
      <c r="I618" s="27"/>
      <c r="J618" s="27"/>
      <c r="K618" s="245"/>
      <c r="L618" s="26"/>
      <c r="M618" s="26"/>
      <c r="N618" s="65"/>
      <c r="AT618" s="26"/>
    </row>
    <row r="619" spans="2:46" ht="15">
      <c r="B619" s="26"/>
      <c r="C619" s="26"/>
      <c r="D619" s="26"/>
      <c r="E619" s="26"/>
      <c r="F619" s="245"/>
      <c r="G619" s="26"/>
      <c r="H619" s="64"/>
      <c r="I619" s="27"/>
      <c r="J619" s="27"/>
      <c r="K619" s="245"/>
      <c r="L619" s="26"/>
      <c r="M619" s="26"/>
      <c r="N619" s="65"/>
      <c r="AT619" s="26"/>
    </row>
    <row r="620" spans="2:46" ht="15">
      <c r="B620" s="26"/>
      <c r="C620" s="26"/>
      <c r="D620" s="26"/>
      <c r="E620" s="26"/>
      <c r="F620" s="245"/>
      <c r="G620" s="26"/>
      <c r="H620" s="64"/>
      <c r="I620" s="27"/>
      <c r="J620" s="27"/>
      <c r="K620" s="245"/>
      <c r="L620" s="26"/>
      <c r="M620" s="26"/>
      <c r="N620" s="65"/>
      <c r="AT620" s="26"/>
    </row>
    <row r="621" spans="2:46" ht="15">
      <c r="B621" s="26"/>
      <c r="C621" s="26"/>
      <c r="D621" s="26"/>
      <c r="E621" s="26"/>
      <c r="F621" s="245"/>
      <c r="G621" s="26"/>
      <c r="H621" s="64"/>
      <c r="I621" s="27"/>
      <c r="J621" s="27"/>
      <c r="K621" s="245"/>
      <c r="L621" s="26"/>
      <c r="M621" s="26"/>
      <c r="N621" s="65"/>
      <c r="AT621" s="26"/>
    </row>
    <row r="622" spans="2:46" ht="15">
      <c r="B622" s="26"/>
      <c r="C622" s="26"/>
      <c r="D622" s="26"/>
      <c r="E622" s="26"/>
      <c r="F622" s="245"/>
      <c r="G622" s="26"/>
      <c r="H622" s="64"/>
      <c r="I622" s="27"/>
      <c r="J622" s="27"/>
      <c r="K622" s="245"/>
      <c r="L622" s="26"/>
      <c r="M622" s="26"/>
      <c r="N622" s="65"/>
      <c r="AT622" s="26"/>
    </row>
    <row r="623" spans="2:46" ht="15">
      <c r="B623" s="26"/>
      <c r="C623" s="26"/>
      <c r="D623" s="26"/>
      <c r="E623" s="26"/>
      <c r="F623" s="245"/>
      <c r="G623" s="26"/>
      <c r="H623" s="64"/>
      <c r="I623" s="27"/>
      <c r="J623" s="27"/>
      <c r="K623" s="245"/>
      <c r="L623" s="26"/>
      <c r="M623" s="26"/>
      <c r="N623" s="65"/>
      <c r="AT623" s="26"/>
    </row>
    <row r="624" spans="2:46" ht="15">
      <c r="B624" s="26"/>
      <c r="C624" s="26"/>
      <c r="D624" s="26"/>
      <c r="E624" s="26"/>
      <c r="F624" s="245"/>
      <c r="G624" s="26"/>
      <c r="H624" s="64"/>
      <c r="I624" s="27"/>
      <c r="J624" s="27"/>
      <c r="K624" s="245"/>
      <c r="L624" s="26"/>
      <c r="M624" s="26"/>
      <c r="N624" s="65"/>
      <c r="AT624" s="26"/>
    </row>
    <row r="625" spans="2:46" ht="15">
      <c r="B625" s="26"/>
      <c r="C625" s="26"/>
      <c r="D625" s="26"/>
      <c r="E625" s="26"/>
      <c r="F625" s="245"/>
      <c r="G625" s="26"/>
      <c r="H625" s="64"/>
      <c r="I625" s="27"/>
      <c r="J625" s="27"/>
      <c r="K625" s="245"/>
      <c r="L625" s="26"/>
      <c r="M625" s="26"/>
      <c r="N625" s="65"/>
      <c r="AT625" s="26"/>
    </row>
    <row r="626" spans="2:46" ht="15">
      <c r="B626" s="26"/>
      <c r="C626" s="26"/>
      <c r="D626" s="26"/>
      <c r="E626" s="26"/>
      <c r="F626" s="245"/>
      <c r="G626" s="26"/>
      <c r="H626" s="64"/>
      <c r="I626" s="27"/>
      <c r="J626" s="27"/>
      <c r="K626" s="245"/>
      <c r="L626" s="26"/>
      <c r="M626" s="26"/>
      <c r="N626" s="65"/>
      <c r="AT626" s="26"/>
    </row>
    <row r="627" spans="2:46" ht="15">
      <c r="B627" s="26"/>
      <c r="C627" s="26"/>
      <c r="D627" s="26"/>
      <c r="E627" s="26"/>
      <c r="F627" s="245"/>
      <c r="G627" s="26"/>
      <c r="H627" s="64"/>
      <c r="I627" s="27"/>
      <c r="J627" s="27"/>
      <c r="K627" s="245"/>
      <c r="L627" s="26"/>
      <c r="M627" s="26"/>
      <c r="N627" s="65"/>
      <c r="AT627" s="26"/>
    </row>
    <row r="628" spans="2:46" ht="15">
      <c r="B628" s="26"/>
      <c r="C628" s="26"/>
      <c r="D628" s="26"/>
      <c r="E628" s="26"/>
      <c r="F628" s="245"/>
      <c r="G628" s="26"/>
      <c r="H628" s="64"/>
      <c r="I628" s="27"/>
      <c r="J628" s="27"/>
      <c r="K628" s="245"/>
      <c r="L628" s="26"/>
      <c r="M628" s="26"/>
      <c r="N628" s="65"/>
      <c r="AT628" s="26"/>
    </row>
    <row r="629" spans="2:46" ht="15">
      <c r="B629" s="26"/>
      <c r="C629" s="26"/>
      <c r="D629" s="26"/>
      <c r="E629" s="26"/>
      <c r="F629" s="245"/>
      <c r="G629" s="26"/>
      <c r="H629" s="64"/>
      <c r="I629" s="27"/>
      <c r="J629" s="27"/>
      <c r="K629" s="245"/>
      <c r="L629" s="26"/>
      <c r="M629" s="26"/>
      <c r="N629" s="65"/>
      <c r="AT629" s="26"/>
    </row>
    <row r="630" spans="2:46" ht="15">
      <c r="B630" s="26"/>
      <c r="C630" s="26"/>
      <c r="D630" s="26"/>
      <c r="E630" s="26"/>
      <c r="F630" s="245"/>
      <c r="G630" s="26"/>
      <c r="H630" s="64"/>
      <c r="I630" s="27"/>
      <c r="J630" s="27"/>
      <c r="K630" s="245"/>
      <c r="L630" s="26"/>
      <c r="M630" s="26"/>
      <c r="N630" s="65"/>
      <c r="AT630" s="26"/>
    </row>
    <row r="631" spans="2:46" ht="15">
      <c r="B631" s="26"/>
      <c r="C631" s="26"/>
      <c r="D631" s="26"/>
      <c r="E631" s="26"/>
      <c r="F631" s="245"/>
      <c r="G631" s="26"/>
      <c r="H631" s="64"/>
      <c r="I631" s="27"/>
      <c r="J631" s="27"/>
      <c r="K631" s="245"/>
      <c r="L631" s="26"/>
      <c r="M631" s="26"/>
      <c r="N631" s="65"/>
      <c r="AT631" s="26"/>
    </row>
    <row r="632" spans="2:46" ht="15">
      <c r="B632" s="26"/>
      <c r="C632" s="26"/>
      <c r="D632" s="26"/>
      <c r="E632" s="26"/>
      <c r="F632" s="245"/>
      <c r="G632" s="26"/>
      <c r="H632" s="64"/>
      <c r="I632" s="27"/>
      <c r="J632" s="27"/>
      <c r="K632" s="245"/>
      <c r="L632" s="26"/>
      <c r="M632" s="26"/>
      <c r="N632" s="65"/>
      <c r="AT632" s="26"/>
    </row>
    <row r="633" spans="2:46" ht="15">
      <c r="B633" s="26"/>
      <c r="C633" s="26"/>
      <c r="D633" s="26"/>
      <c r="E633" s="26"/>
      <c r="F633" s="245"/>
      <c r="G633" s="26"/>
      <c r="H633" s="64"/>
      <c r="I633" s="27"/>
      <c r="J633" s="27"/>
      <c r="K633" s="245"/>
      <c r="L633" s="26"/>
      <c r="M633" s="26"/>
      <c r="N633" s="65"/>
      <c r="AT633" s="26"/>
    </row>
    <row r="634" spans="2:46" ht="15">
      <c r="B634" s="26"/>
      <c r="C634" s="26"/>
      <c r="D634" s="26"/>
      <c r="E634" s="26"/>
      <c r="F634" s="245"/>
      <c r="G634" s="26"/>
      <c r="H634" s="64"/>
      <c r="I634" s="27"/>
      <c r="J634" s="27"/>
      <c r="K634" s="245"/>
      <c r="L634" s="26"/>
      <c r="M634" s="26"/>
      <c r="N634" s="65"/>
      <c r="AT634" s="26"/>
    </row>
    <row r="635" spans="2:46" ht="15">
      <c r="B635" s="26"/>
      <c r="C635" s="26"/>
      <c r="D635" s="26"/>
      <c r="E635" s="26"/>
      <c r="F635" s="245"/>
      <c r="G635" s="26"/>
      <c r="H635" s="64"/>
      <c r="I635" s="27"/>
      <c r="J635" s="27"/>
      <c r="K635" s="245"/>
      <c r="L635" s="26"/>
      <c r="M635" s="26"/>
      <c r="N635" s="65"/>
      <c r="AT635" s="26"/>
    </row>
    <row r="636" spans="2:46" ht="15">
      <c r="B636" s="26"/>
      <c r="C636" s="26"/>
      <c r="D636" s="26"/>
      <c r="E636" s="26"/>
      <c r="F636" s="245"/>
      <c r="G636" s="26"/>
      <c r="H636" s="64"/>
      <c r="I636" s="27"/>
      <c r="J636" s="27"/>
      <c r="K636" s="245"/>
      <c r="L636" s="26"/>
      <c r="M636" s="26"/>
      <c r="N636" s="65"/>
      <c r="AT636" s="26"/>
    </row>
    <row r="637" spans="2:46" ht="15">
      <c r="B637" s="26"/>
      <c r="C637" s="26"/>
      <c r="D637" s="26"/>
      <c r="E637" s="26"/>
      <c r="F637" s="245"/>
      <c r="G637" s="26"/>
      <c r="H637" s="64"/>
      <c r="I637" s="27"/>
      <c r="J637" s="27"/>
      <c r="K637" s="245"/>
      <c r="L637" s="26"/>
      <c r="M637" s="26"/>
      <c r="N637" s="65"/>
      <c r="AT637" s="26"/>
    </row>
    <row r="638" spans="2:46" ht="15">
      <c r="B638" s="26"/>
      <c r="C638" s="26"/>
      <c r="D638" s="26"/>
      <c r="E638" s="26"/>
      <c r="F638" s="245"/>
      <c r="G638" s="26"/>
      <c r="H638" s="64"/>
      <c r="I638" s="27"/>
      <c r="J638" s="27"/>
      <c r="K638" s="245"/>
      <c r="L638" s="26"/>
      <c r="M638" s="26"/>
      <c r="N638" s="65"/>
      <c r="AT638" s="26"/>
    </row>
    <row r="639" spans="2:46" ht="15">
      <c r="B639" s="26"/>
      <c r="C639" s="26"/>
      <c r="D639" s="26"/>
      <c r="E639" s="26"/>
      <c r="F639" s="245"/>
      <c r="G639" s="26"/>
      <c r="H639" s="64"/>
      <c r="I639" s="27"/>
      <c r="J639" s="27"/>
      <c r="K639" s="245"/>
      <c r="L639" s="26"/>
      <c r="M639" s="26"/>
      <c r="N639" s="65"/>
      <c r="AT639" s="26"/>
    </row>
    <row r="640" spans="2:46" ht="15">
      <c r="B640" s="26"/>
      <c r="C640" s="26"/>
      <c r="D640" s="26"/>
      <c r="E640" s="26"/>
      <c r="F640" s="245"/>
      <c r="G640" s="26"/>
      <c r="H640" s="64"/>
      <c r="I640" s="27"/>
      <c r="J640" s="27"/>
      <c r="K640" s="245"/>
      <c r="L640" s="26"/>
      <c r="M640" s="26"/>
      <c r="N640" s="65"/>
      <c r="AT640" s="26"/>
    </row>
    <row r="641" spans="2:46" ht="15">
      <c r="B641" s="26"/>
      <c r="C641" s="26"/>
      <c r="D641" s="26"/>
      <c r="E641" s="26"/>
      <c r="F641" s="245"/>
      <c r="G641" s="26"/>
      <c r="H641" s="64"/>
      <c r="I641" s="27"/>
      <c r="J641" s="27"/>
      <c r="K641" s="245"/>
      <c r="L641" s="26"/>
      <c r="M641" s="26"/>
      <c r="N641" s="65"/>
      <c r="AT641" s="26"/>
    </row>
    <row r="642" spans="2:46" ht="15">
      <c r="B642" s="26"/>
      <c r="C642" s="26"/>
      <c r="D642" s="26"/>
      <c r="E642" s="26"/>
      <c r="F642" s="245"/>
      <c r="G642" s="26"/>
      <c r="H642" s="64"/>
      <c r="I642" s="27"/>
      <c r="J642" s="27"/>
      <c r="K642" s="245"/>
      <c r="L642" s="26"/>
      <c r="M642" s="26"/>
      <c r="N642" s="65"/>
      <c r="AT642" s="26"/>
    </row>
    <row r="643" spans="2:46" ht="15">
      <c r="B643" s="26"/>
      <c r="C643" s="26"/>
      <c r="D643" s="26"/>
      <c r="E643" s="26"/>
      <c r="F643" s="245"/>
      <c r="G643" s="26"/>
      <c r="H643" s="64"/>
      <c r="I643" s="27"/>
      <c r="J643" s="27"/>
      <c r="K643" s="245"/>
      <c r="L643" s="26"/>
      <c r="M643" s="26"/>
      <c r="N643" s="65"/>
      <c r="AT643" s="26"/>
    </row>
    <row r="644" spans="2:46" ht="15">
      <c r="B644" s="26"/>
      <c r="C644" s="26"/>
      <c r="D644" s="26"/>
      <c r="E644" s="26"/>
      <c r="F644" s="245"/>
      <c r="G644" s="26"/>
      <c r="H644" s="64"/>
      <c r="I644" s="27"/>
      <c r="J644" s="27"/>
      <c r="K644" s="245"/>
      <c r="L644" s="26"/>
      <c r="M644" s="26"/>
      <c r="N644" s="65"/>
      <c r="AT644" s="26"/>
    </row>
    <row r="645" spans="2:46" ht="15">
      <c r="B645" s="26"/>
      <c r="C645" s="26"/>
      <c r="D645" s="26"/>
      <c r="E645" s="26"/>
      <c r="F645" s="245"/>
      <c r="G645" s="26"/>
      <c r="H645" s="64"/>
      <c r="I645" s="27"/>
      <c r="J645" s="27"/>
      <c r="K645" s="245"/>
      <c r="L645" s="26"/>
      <c r="M645" s="26"/>
      <c r="N645" s="65"/>
      <c r="AT645" s="26"/>
    </row>
    <row r="646" spans="2:46" ht="15">
      <c r="B646" s="26"/>
      <c r="C646" s="26"/>
      <c r="D646" s="26"/>
      <c r="E646" s="26"/>
      <c r="F646" s="245"/>
      <c r="G646" s="26"/>
      <c r="H646" s="64"/>
      <c r="I646" s="27"/>
      <c r="J646" s="27"/>
      <c r="K646" s="245"/>
      <c r="L646" s="26"/>
      <c r="M646" s="26"/>
      <c r="N646" s="65"/>
      <c r="AT646" s="26"/>
    </row>
    <row r="647" spans="2:46" ht="15">
      <c r="B647" s="26"/>
      <c r="C647" s="26"/>
      <c r="D647" s="26"/>
      <c r="E647" s="26"/>
      <c r="F647" s="245"/>
      <c r="G647" s="26"/>
      <c r="H647" s="64"/>
      <c r="I647" s="27"/>
      <c r="J647" s="27"/>
      <c r="K647" s="245"/>
      <c r="L647" s="26"/>
      <c r="M647" s="26"/>
      <c r="N647" s="65"/>
      <c r="AT647" s="26"/>
    </row>
    <row r="648" spans="2:46" ht="15">
      <c r="B648" s="26"/>
      <c r="C648" s="26"/>
      <c r="D648" s="26"/>
      <c r="E648" s="26"/>
      <c r="F648" s="245"/>
      <c r="G648" s="26"/>
      <c r="H648" s="64"/>
      <c r="I648" s="27"/>
      <c r="J648" s="27"/>
      <c r="K648" s="245"/>
      <c r="L648" s="26"/>
      <c r="M648" s="26"/>
      <c r="N648" s="65"/>
      <c r="AT648" s="26"/>
    </row>
    <row r="649" spans="2:46" ht="15">
      <c r="B649" s="26"/>
      <c r="C649" s="26"/>
      <c r="D649" s="26"/>
      <c r="E649" s="26"/>
      <c r="F649" s="245"/>
      <c r="G649" s="26"/>
      <c r="H649" s="64"/>
      <c r="I649" s="27"/>
      <c r="J649" s="27"/>
      <c r="K649" s="245"/>
      <c r="L649" s="26"/>
      <c r="M649" s="26"/>
      <c r="N649" s="65"/>
      <c r="AT649" s="26"/>
    </row>
    <row r="650" spans="2:46" ht="15">
      <c r="B650" s="26"/>
      <c r="C650" s="26"/>
      <c r="D650" s="26"/>
      <c r="E650" s="26"/>
      <c r="F650" s="245"/>
      <c r="G650" s="26"/>
      <c r="H650" s="64"/>
      <c r="I650" s="27"/>
      <c r="J650" s="27"/>
      <c r="K650" s="245"/>
      <c r="L650" s="26"/>
      <c r="M650" s="26"/>
      <c r="N650" s="65"/>
      <c r="AT650" s="26"/>
    </row>
    <row r="651" spans="2:46" ht="15">
      <c r="B651" s="26"/>
      <c r="C651" s="26"/>
      <c r="D651" s="26"/>
      <c r="E651" s="26"/>
      <c r="F651" s="245"/>
      <c r="G651" s="26"/>
      <c r="H651" s="64"/>
      <c r="I651" s="27"/>
      <c r="J651" s="27"/>
      <c r="K651" s="245"/>
      <c r="L651" s="26"/>
      <c r="M651" s="26"/>
      <c r="N651" s="65"/>
      <c r="AT651" s="26"/>
    </row>
    <row r="652" spans="2:46" ht="15">
      <c r="B652" s="26"/>
      <c r="C652" s="26"/>
      <c r="D652" s="26"/>
      <c r="E652" s="26"/>
      <c r="F652" s="245"/>
      <c r="G652" s="26"/>
      <c r="H652" s="64"/>
      <c r="I652" s="27"/>
      <c r="J652" s="27"/>
      <c r="K652" s="245"/>
      <c r="L652" s="26"/>
      <c r="M652" s="26"/>
      <c r="N652" s="65"/>
      <c r="AT652" s="26"/>
    </row>
    <row r="653" spans="2:46" ht="15">
      <c r="B653" s="26"/>
      <c r="C653" s="26"/>
      <c r="D653" s="26"/>
      <c r="E653" s="26"/>
      <c r="F653" s="245"/>
      <c r="G653" s="26"/>
      <c r="H653" s="64"/>
      <c r="I653" s="27"/>
      <c r="J653" s="27"/>
      <c r="K653" s="245"/>
      <c r="L653" s="26"/>
      <c r="M653" s="26"/>
      <c r="N653" s="65"/>
      <c r="AT653" s="26"/>
    </row>
    <row r="654" spans="2:46" ht="15">
      <c r="B654" s="26"/>
      <c r="C654" s="26"/>
      <c r="D654" s="26"/>
      <c r="E654" s="26"/>
      <c r="F654" s="245"/>
      <c r="G654" s="26"/>
      <c r="H654" s="64"/>
      <c r="I654" s="27"/>
      <c r="J654" s="27"/>
      <c r="K654" s="245"/>
      <c r="L654" s="26"/>
      <c r="M654" s="26"/>
      <c r="N654" s="65"/>
      <c r="AT654" s="26"/>
    </row>
    <row r="655" spans="2:46" ht="15">
      <c r="B655" s="26"/>
      <c r="C655" s="26"/>
      <c r="D655" s="26"/>
      <c r="E655" s="26"/>
      <c r="F655" s="245"/>
      <c r="G655" s="26"/>
      <c r="H655" s="64"/>
      <c r="I655" s="27"/>
      <c r="J655" s="27"/>
      <c r="K655" s="245"/>
      <c r="L655" s="26"/>
      <c r="M655" s="26"/>
      <c r="N655" s="65"/>
      <c r="AT655" s="26"/>
    </row>
    <row r="656" spans="2:46" ht="15">
      <c r="B656" s="26"/>
      <c r="C656" s="26"/>
      <c r="D656" s="26"/>
      <c r="E656" s="26"/>
      <c r="F656" s="245"/>
      <c r="G656" s="26"/>
      <c r="H656" s="64"/>
      <c r="I656" s="27"/>
      <c r="J656" s="27"/>
      <c r="K656" s="245"/>
      <c r="L656" s="26"/>
      <c r="M656" s="26"/>
      <c r="N656" s="65"/>
      <c r="AT656" s="26"/>
    </row>
    <row r="657" spans="2:46" ht="15">
      <c r="B657" s="26"/>
      <c r="C657" s="26"/>
      <c r="D657" s="26"/>
      <c r="E657" s="26"/>
      <c r="F657" s="245"/>
      <c r="G657" s="26"/>
      <c r="H657" s="64"/>
      <c r="I657" s="27"/>
      <c r="J657" s="27"/>
      <c r="K657" s="245"/>
      <c r="L657" s="26"/>
      <c r="M657" s="26"/>
      <c r="N657" s="65"/>
      <c r="AT657" s="26"/>
    </row>
    <row r="658" spans="2:46" ht="15">
      <c r="B658" s="26"/>
      <c r="C658" s="26"/>
      <c r="D658" s="26"/>
      <c r="E658" s="26"/>
      <c r="F658" s="245"/>
      <c r="G658" s="26"/>
      <c r="H658" s="64"/>
      <c r="I658" s="27"/>
      <c r="J658" s="27"/>
      <c r="K658" s="245"/>
      <c r="L658" s="26"/>
      <c r="M658" s="26"/>
      <c r="N658" s="65"/>
      <c r="AT658" s="26"/>
    </row>
    <row r="659" spans="2:46" ht="15">
      <c r="B659" s="26"/>
      <c r="C659" s="26"/>
      <c r="D659" s="26"/>
      <c r="E659" s="26"/>
      <c r="F659" s="245"/>
      <c r="G659" s="26"/>
      <c r="H659" s="64"/>
      <c r="I659" s="27"/>
      <c r="J659" s="27"/>
      <c r="K659" s="245"/>
      <c r="L659" s="26"/>
      <c r="M659" s="26"/>
      <c r="N659" s="65"/>
      <c r="AT659" s="26"/>
    </row>
    <row r="660" spans="2:46" ht="15">
      <c r="B660" s="26"/>
      <c r="C660" s="26"/>
      <c r="D660" s="26"/>
      <c r="E660" s="26"/>
      <c r="F660" s="245"/>
      <c r="G660" s="26"/>
      <c r="H660" s="64"/>
      <c r="I660" s="27"/>
      <c r="J660" s="27"/>
      <c r="K660" s="245"/>
      <c r="L660" s="26"/>
      <c r="M660" s="26"/>
      <c r="N660" s="65"/>
      <c r="AT660" s="26"/>
    </row>
    <row r="661" spans="2:46" ht="15">
      <c r="B661" s="26"/>
      <c r="C661" s="26"/>
      <c r="D661" s="26"/>
      <c r="E661" s="26"/>
      <c r="F661" s="245"/>
      <c r="G661" s="26"/>
      <c r="H661" s="64"/>
      <c r="I661" s="27"/>
      <c r="J661" s="27"/>
      <c r="K661" s="245"/>
      <c r="L661" s="26"/>
      <c r="M661" s="26"/>
      <c r="N661" s="65"/>
      <c r="AT661" s="26"/>
    </row>
    <row r="662" spans="2:46" ht="15">
      <c r="B662" s="26"/>
      <c r="C662" s="26"/>
      <c r="D662" s="26"/>
      <c r="E662" s="26"/>
      <c r="F662" s="245"/>
      <c r="G662" s="26"/>
      <c r="H662" s="64"/>
      <c r="I662" s="27"/>
      <c r="J662" s="27"/>
      <c r="K662" s="245"/>
      <c r="L662" s="26"/>
      <c r="M662" s="26"/>
      <c r="N662" s="65"/>
      <c r="AT662" s="26"/>
    </row>
    <row r="663" spans="2:46" ht="15">
      <c r="B663" s="26"/>
      <c r="C663" s="26"/>
      <c r="D663" s="26"/>
      <c r="E663" s="26"/>
      <c r="F663" s="245"/>
      <c r="G663" s="26"/>
      <c r="H663" s="64"/>
      <c r="I663" s="27"/>
      <c r="J663" s="27"/>
      <c r="K663" s="245"/>
      <c r="L663" s="26"/>
      <c r="M663" s="26"/>
      <c r="N663" s="65"/>
      <c r="AT663" s="26"/>
    </row>
    <row r="664" spans="2:46" ht="15">
      <c r="B664" s="26"/>
      <c r="C664" s="26"/>
      <c r="D664" s="26"/>
      <c r="E664" s="26"/>
      <c r="F664" s="245"/>
      <c r="G664" s="26"/>
      <c r="H664" s="64"/>
      <c r="I664" s="27"/>
      <c r="J664" s="27"/>
      <c r="K664" s="245"/>
      <c r="L664" s="26"/>
      <c r="M664" s="26"/>
      <c r="N664" s="65"/>
      <c r="AT664" s="26"/>
    </row>
    <row r="665" spans="2:46" ht="15">
      <c r="B665" s="26"/>
      <c r="C665" s="26"/>
      <c r="D665" s="26"/>
      <c r="E665" s="26"/>
      <c r="F665" s="245"/>
      <c r="G665" s="26"/>
      <c r="H665" s="64"/>
      <c r="I665" s="27"/>
      <c r="J665" s="27"/>
      <c r="K665" s="245"/>
      <c r="L665" s="26"/>
      <c r="M665" s="26"/>
      <c r="N665" s="65"/>
      <c r="AT665" s="26"/>
    </row>
    <row r="666" spans="2:46" ht="15">
      <c r="B666" s="26"/>
      <c r="C666" s="26"/>
      <c r="D666" s="26"/>
      <c r="E666" s="26"/>
      <c r="F666" s="245"/>
      <c r="G666" s="26"/>
      <c r="H666" s="64"/>
      <c r="I666" s="27"/>
      <c r="J666" s="27"/>
      <c r="K666" s="245"/>
      <c r="L666" s="26"/>
      <c r="M666" s="26"/>
      <c r="N666" s="65"/>
      <c r="AT666" s="26"/>
    </row>
    <row r="667" spans="2:46" ht="15">
      <c r="B667" s="26"/>
      <c r="C667" s="26"/>
      <c r="D667" s="26"/>
      <c r="E667" s="26"/>
      <c r="F667" s="245"/>
      <c r="G667" s="26"/>
      <c r="H667" s="64"/>
      <c r="I667" s="27"/>
      <c r="J667" s="27"/>
      <c r="K667" s="245"/>
      <c r="L667" s="26"/>
      <c r="M667" s="26"/>
      <c r="N667" s="65"/>
      <c r="AT667" s="26"/>
    </row>
    <row r="668" spans="2:46" ht="15">
      <c r="B668" s="26"/>
      <c r="C668" s="26"/>
      <c r="D668" s="26"/>
      <c r="E668" s="26"/>
      <c r="F668" s="245"/>
      <c r="G668" s="26"/>
      <c r="H668" s="64"/>
      <c r="I668" s="27"/>
      <c r="J668" s="27"/>
      <c r="K668" s="245"/>
      <c r="L668" s="26"/>
      <c r="M668" s="26"/>
      <c r="N668" s="65"/>
      <c r="AT668" s="26"/>
    </row>
    <row r="669" spans="2:46" ht="15">
      <c r="B669" s="26"/>
      <c r="C669" s="26"/>
      <c r="D669" s="26"/>
      <c r="E669" s="26"/>
      <c r="F669" s="245"/>
      <c r="G669" s="26"/>
      <c r="H669" s="64"/>
      <c r="I669" s="27"/>
      <c r="J669" s="27"/>
      <c r="K669" s="245"/>
      <c r="L669" s="26"/>
      <c r="M669" s="26"/>
      <c r="N669" s="65"/>
      <c r="AT669" s="26"/>
    </row>
    <row r="670" spans="2:46" ht="15">
      <c r="B670" s="26"/>
      <c r="C670" s="26"/>
      <c r="D670" s="26"/>
      <c r="E670" s="26"/>
      <c r="F670" s="245"/>
      <c r="G670" s="26"/>
      <c r="H670" s="64"/>
      <c r="I670" s="27"/>
      <c r="J670" s="27"/>
      <c r="K670" s="245"/>
      <c r="L670" s="26"/>
      <c r="M670" s="26"/>
      <c r="N670" s="65"/>
      <c r="AT670" s="26"/>
    </row>
    <row r="671" spans="2:46" ht="15">
      <c r="B671" s="26"/>
      <c r="C671" s="26"/>
      <c r="D671" s="26"/>
      <c r="E671" s="26"/>
      <c r="F671" s="245"/>
      <c r="G671" s="26"/>
      <c r="H671" s="64"/>
      <c r="I671" s="27"/>
      <c r="J671" s="27"/>
      <c r="K671" s="245"/>
      <c r="L671" s="26"/>
      <c r="M671" s="26"/>
      <c r="N671" s="65"/>
      <c r="AT671" s="26"/>
    </row>
    <row r="672" spans="2:46" ht="15">
      <c r="B672" s="26"/>
      <c r="C672" s="26"/>
      <c r="D672" s="26"/>
      <c r="E672" s="26"/>
      <c r="F672" s="245"/>
      <c r="G672" s="26"/>
      <c r="H672" s="64"/>
      <c r="I672" s="27"/>
      <c r="J672" s="27"/>
      <c r="K672" s="245"/>
      <c r="L672" s="26"/>
      <c r="M672" s="26"/>
      <c r="N672" s="65"/>
      <c r="AT672" s="26"/>
    </row>
    <row r="673" spans="2:46" ht="15">
      <c r="B673" s="26"/>
      <c r="C673" s="26"/>
      <c r="D673" s="26"/>
      <c r="E673" s="26"/>
      <c r="F673" s="245"/>
      <c r="G673" s="26"/>
      <c r="H673" s="64"/>
      <c r="I673" s="27"/>
      <c r="J673" s="27"/>
      <c r="K673" s="245"/>
      <c r="L673" s="26"/>
      <c r="M673" s="26"/>
      <c r="N673" s="65"/>
      <c r="AT673" s="26"/>
    </row>
    <row r="674" spans="2:46" ht="15">
      <c r="B674" s="26"/>
      <c r="C674" s="26"/>
      <c r="D674" s="26"/>
      <c r="E674" s="26"/>
      <c r="F674" s="245"/>
      <c r="G674" s="26"/>
      <c r="H674" s="64"/>
      <c r="I674" s="27"/>
      <c r="J674" s="27"/>
      <c r="K674" s="245"/>
      <c r="L674" s="26"/>
      <c r="M674" s="26"/>
      <c r="N674" s="65"/>
      <c r="AT674" s="26"/>
    </row>
    <row r="675" spans="2:46" ht="15">
      <c r="B675" s="26"/>
      <c r="C675" s="26"/>
      <c r="D675" s="26"/>
      <c r="E675" s="26"/>
      <c r="F675" s="245"/>
      <c r="G675" s="26"/>
      <c r="H675" s="64"/>
      <c r="I675" s="27"/>
      <c r="J675" s="27"/>
      <c r="K675" s="245"/>
      <c r="L675" s="26"/>
      <c r="M675" s="26"/>
      <c r="N675" s="65"/>
      <c r="AT675" s="26"/>
    </row>
    <row r="676" spans="2:46" ht="15">
      <c r="B676" s="26"/>
      <c r="C676" s="26"/>
      <c r="D676" s="26"/>
      <c r="E676" s="26"/>
      <c r="F676" s="245"/>
      <c r="G676" s="26"/>
      <c r="H676" s="64"/>
      <c r="I676" s="27"/>
      <c r="J676" s="27"/>
      <c r="K676" s="245"/>
      <c r="L676" s="26"/>
      <c r="M676" s="26"/>
      <c r="N676" s="65"/>
      <c r="AT676" s="26"/>
    </row>
    <row r="677" spans="2:46" ht="15">
      <c r="B677" s="26"/>
      <c r="C677" s="26"/>
      <c r="D677" s="26"/>
      <c r="E677" s="26"/>
      <c r="F677" s="245"/>
      <c r="G677" s="26"/>
      <c r="H677" s="64"/>
      <c r="I677" s="27"/>
      <c r="J677" s="27"/>
      <c r="K677" s="245"/>
      <c r="L677" s="26"/>
      <c r="M677" s="26"/>
      <c r="N677" s="65"/>
      <c r="AT677" s="26"/>
    </row>
    <row r="678" spans="2:46" ht="15">
      <c r="B678" s="26"/>
      <c r="C678" s="26"/>
      <c r="D678" s="26"/>
      <c r="E678" s="26"/>
      <c r="F678" s="245"/>
      <c r="G678" s="26"/>
      <c r="H678" s="64"/>
      <c r="I678" s="27"/>
      <c r="J678" s="27"/>
      <c r="K678" s="245"/>
      <c r="L678" s="26"/>
      <c r="M678" s="26"/>
      <c r="N678" s="65"/>
      <c r="AT678" s="26"/>
    </row>
    <row r="679" spans="2:46" ht="15">
      <c r="B679" s="26"/>
      <c r="C679" s="26"/>
      <c r="D679" s="26"/>
      <c r="E679" s="26"/>
      <c r="F679" s="245"/>
      <c r="G679" s="26"/>
      <c r="H679" s="64"/>
      <c r="I679" s="27"/>
      <c r="J679" s="27"/>
      <c r="K679" s="245"/>
      <c r="L679" s="26"/>
      <c r="M679" s="26"/>
      <c r="N679" s="65"/>
      <c r="AT679" s="26"/>
    </row>
    <row r="680" spans="2:46" ht="15">
      <c r="B680" s="26"/>
      <c r="C680" s="26"/>
      <c r="D680" s="26"/>
      <c r="E680" s="26"/>
      <c r="F680" s="245"/>
      <c r="G680" s="26"/>
      <c r="H680" s="64"/>
      <c r="I680" s="27"/>
      <c r="J680" s="27"/>
      <c r="K680" s="245"/>
      <c r="L680" s="26"/>
      <c r="M680" s="26"/>
      <c r="N680" s="65"/>
      <c r="AT680" s="26"/>
    </row>
    <row r="681" spans="2:46" ht="15">
      <c r="B681" s="26"/>
      <c r="C681" s="26"/>
      <c r="D681" s="26"/>
      <c r="E681" s="26"/>
      <c r="F681" s="245"/>
      <c r="G681" s="26"/>
      <c r="H681" s="64"/>
      <c r="I681" s="27"/>
      <c r="J681" s="27"/>
      <c r="K681" s="245"/>
      <c r="L681" s="26"/>
      <c r="M681" s="26"/>
      <c r="N681" s="65"/>
      <c r="AT681" s="26"/>
    </row>
    <row r="682" spans="2:46" ht="15">
      <c r="B682" s="26"/>
      <c r="C682" s="26"/>
      <c r="D682" s="26"/>
      <c r="E682" s="26"/>
      <c r="F682" s="245"/>
      <c r="G682" s="26"/>
      <c r="H682" s="64"/>
      <c r="I682" s="27"/>
      <c r="J682" s="27"/>
      <c r="K682" s="245"/>
      <c r="L682" s="26"/>
      <c r="M682" s="26"/>
      <c r="N682" s="65"/>
      <c r="AT682" s="26"/>
    </row>
    <row r="683" spans="2:46" ht="15">
      <c r="B683" s="26"/>
      <c r="C683" s="26"/>
      <c r="D683" s="26"/>
      <c r="E683" s="26"/>
      <c r="F683" s="245"/>
      <c r="G683" s="26"/>
      <c r="H683" s="64"/>
      <c r="I683" s="27"/>
      <c r="J683" s="27"/>
      <c r="K683" s="245"/>
      <c r="L683" s="26"/>
      <c r="M683" s="26"/>
      <c r="N683" s="65"/>
      <c r="AT683" s="26"/>
    </row>
    <row r="684" spans="2:46" ht="15">
      <c r="B684" s="26"/>
      <c r="C684" s="26"/>
      <c r="D684" s="26"/>
      <c r="E684" s="26"/>
      <c r="F684" s="245"/>
      <c r="G684" s="26"/>
      <c r="H684" s="64"/>
      <c r="I684" s="27"/>
      <c r="J684" s="27"/>
      <c r="K684" s="245"/>
      <c r="L684" s="26"/>
      <c r="M684" s="26"/>
      <c r="N684" s="65"/>
      <c r="AT684" s="26"/>
    </row>
    <row r="685" spans="2:46" ht="15">
      <c r="B685" s="26"/>
      <c r="C685" s="26"/>
      <c r="D685" s="26"/>
      <c r="E685" s="26"/>
      <c r="F685" s="245"/>
      <c r="G685" s="26"/>
      <c r="H685" s="64"/>
      <c r="I685" s="27"/>
      <c r="J685" s="27"/>
      <c r="K685" s="245"/>
      <c r="L685" s="26"/>
      <c r="M685" s="26"/>
      <c r="N685" s="65"/>
      <c r="AT685" s="26"/>
    </row>
    <row r="686" spans="2:46" ht="15">
      <c r="B686" s="26"/>
      <c r="C686" s="26"/>
      <c r="D686" s="26"/>
      <c r="E686" s="26"/>
      <c r="F686" s="245"/>
      <c r="G686" s="26"/>
      <c r="H686" s="64"/>
      <c r="I686" s="27"/>
      <c r="J686" s="27"/>
      <c r="K686" s="245"/>
      <c r="L686" s="26"/>
      <c r="M686" s="26"/>
      <c r="N686" s="65"/>
      <c r="AT686" s="26"/>
    </row>
    <row r="687" spans="2:46" ht="15">
      <c r="B687" s="26"/>
      <c r="C687" s="26"/>
      <c r="D687" s="26"/>
      <c r="E687" s="26"/>
      <c r="F687" s="245"/>
      <c r="G687" s="26"/>
      <c r="H687" s="64"/>
      <c r="I687" s="27"/>
      <c r="J687" s="27"/>
      <c r="K687" s="245"/>
      <c r="L687" s="26"/>
      <c r="M687" s="26"/>
      <c r="N687" s="65"/>
      <c r="AT687" s="26"/>
    </row>
    <row r="688" spans="2:46" ht="15">
      <c r="B688" s="26"/>
      <c r="C688" s="26"/>
      <c r="D688" s="26"/>
      <c r="E688" s="26"/>
      <c r="F688" s="245"/>
      <c r="G688" s="26"/>
      <c r="H688" s="64"/>
      <c r="I688" s="27"/>
      <c r="J688" s="27"/>
      <c r="K688" s="245"/>
      <c r="L688" s="26"/>
      <c r="M688" s="26"/>
      <c r="N688" s="65"/>
      <c r="AT688" s="26"/>
    </row>
    <row r="689" spans="2:46" ht="15">
      <c r="B689" s="26"/>
      <c r="C689" s="26"/>
      <c r="D689" s="26"/>
      <c r="E689" s="26"/>
      <c r="F689" s="245"/>
      <c r="G689" s="26"/>
      <c r="H689" s="64"/>
      <c r="I689" s="27"/>
      <c r="J689" s="27"/>
      <c r="K689" s="245"/>
      <c r="L689" s="26"/>
      <c r="M689" s="26"/>
      <c r="N689" s="65"/>
      <c r="AT689" s="26"/>
    </row>
    <row r="690" spans="2:46" ht="15">
      <c r="B690" s="26"/>
      <c r="C690" s="26"/>
      <c r="D690" s="26"/>
      <c r="E690" s="26"/>
      <c r="F690" s="245"/>
      <c r="G690" s="26"/>
      <c r="H690" s="64"/>
      <c r="I690" s="27"/>
      <c r="J690" s="27"/>
      <c r="K690" s="245"/>
      <c r="L690" s="26"/>
      <c r="M690" s="26"/>
      <c r="N690" s="65"/>
      <c r="AT690" s="26"/>
    </row>
    <row r="691" spans="2:46" ht="15">
      <c r="B691" s="26"/>
      <c r="C691" s="26"/>
      <c r="D691" s="26"/>
      <c r="E691" s="26"/>
      <c r="F691" s="245"/>
      <c r="G691" s="26"/>
      <c r="H691" s="64"/>
      <c r="I691" s="27"/>
      <c r="J691" s="27"/>
      <c r="K691" s="245"/>
      <c r="L691" s="26"/>
      <c r="M691" s="26"/>
      <c r="N691" s="65"/>
      <c r="AT691" s="26"/>
    </row>
    <row r="692" spans="2:46" ht="15">
      <c r="B692" s="26"/>
      <c r="C692" s="26"/>
      <c r="D692" s="26"/>
      <c r="E692" s="26"/>
      <c r="F692" s="245"/>
      <c r="G692" s="26"/>
      <c r="H692" s="64"/>
      <c r="I692" s="27"/>
      <c r="J692" s="27"/>
      <c r="K692" s="245"/>
      <c r="L692" s="26"/>
      <c r="M692" s="26"/>
      <c r="N692" s="65"/>
      <c r="AT692" s="26"/>
    </row>
    <row r="693" spans="2:46" ht="15">
      <c r="B693" s="26"/>
      <c r="C693" s="26"/>
      <c r="D693" s="26"/>
      <c r="E693" s="26"/>
      <c r="F693" s="245"/>
      <c r="G693" s="26"/>
      <c r="H693" s="64"/>
      <c r="I693" s="27"/>
      <c r="J693" s="27"/>
      <c r="K693" s="245"/>
      <c r="L693" s="26"/>
      <c r="M693" s="26"/>
      <c r="N693" s="65"/>
      <c r="AT693" s="26"/>
    </row>
    <row r="694" spans="2:46" ht="15">
      <c r="B694" s="26"/>
      <c r="C694" s="26"/>
      <c r="D694" s="26"/>
      <c r="E694" s="26"/>
      <c r="F694" s="245"/>
      <c r="G694" s="26"/>
      <c r="H694" s="64"/>
      <c r="I694" s="27"/>
      <c r="J694" s="27"/>
      <c r="K694" s="245"/>
      <c r="L694" s="26"/>
      <c r="M694" s="26"/>
      <c r="N694" s="65"/>
      <c r="AT694" s="26"/>
    </row>
    <row r="695" spans="2:46" ht="15">
      <c r="B695" s="26"/>
      <c r="C695" s="26"/>
      <c r="D695" s="26"/>
      <c r="E695" s="26"/>
      <c r="F695" s="245"/>
      <c r="G695" s="26"/>
      <c r="H695" s="64"/>
      <c r="I695" s="27"/>
      <c r="J695" s="27"/>
      <c r="K695" s="245"/>
      <c r="L695" s="26"/>
      <c r="M695" s="26"/>
      <c r="N695" s="65"/>
      <c r="AT695" s="26"/>
    </row>
    <row r="696" spans="2:46" ht="15">
      <c r="B696" s="26"/>
      <c r="C696" s="26"/>
      <c r="D696" s="26"/>
      <c r="E696" s="26"/>
      <c r="F696" s="245"/>
      <c r="G696" s="26"/>
      <c r="H696" s="64"/>
      <c r="I696" s="27"/>
      <c r="J696" s="27"/>
      <c r="K696" s="245"/>
      <c r="L696" s="26"/>
      <c r="M696" s="26"/>
      <c r="N696" s="65"/>
      <c r="AT696" s="26"/>
    </row>
    <row r="697" spans="2:46" ht="15">
      <c r="B697" s="26"/>
      <c r="C697" s="26"/>
      <c r="D697" s="26"/>
      <c r="E697" s="26"/>
      <c r="F697" s="245"/>
      <c r="G697" s="26"/>
      <c r="H697" s="64"/>
      <c r="I697" s="27"/>
      <c r="J697" s="27"/>
      <c r="K697" s="245"/>
      <c r="L697" s="26"/>
      <c r="M697" s="26"/>
      <c r="N697" s="65"/>
      <c r="AT697" s="26"/>
    </row>
    <row r="698" spans="2:46" ht="15">
      <c r="B698" s="26"/>
      <c r="C698" s="26"/>
      <c r="D698" s="26"/>
      <c r="E698" s="26"/>
      <c r="F698" s="245"/>
      <c r="G698" s="26"/>
      <c r="H698" s="64"/>
      <c r="I698" s="27"/>
      <c r="J698" s="27"/>
      <c r="K698" s="245"/>
      <c r="L698" s="26"/>
      <c r="M698" s="26"/>
      <c r="N698" s="65"/>
      <c r="AT698" s="26"/>
    </row>
    <row r="699" spans="2:46" ht="15">
      <c r="B699" s="26"/>
      <c r="C699" s="26"/>
      <c r="D699" s="26"/>
      <c r="E699" s="26"/>
      <c r="F699" s="245"/>
      <c r="G699" s="26"/>
      <c r="H699" s="64"/>
      <c r="I699" s="27"/>
      <c r="J699" s="27"/>
      <c r="K699" s="245"/>
      <c r="L699" s="26"/>
      <c r="M699" s="26"/>
      <c r="N699" s="65"/>
      <c r="AT699" s="26"/>
    </row>
    <row r="700" spans="2:46" ht="15">
      <c r="B700" s="26"/>
      <c r="C700" s="26"/>
      <c r="D700" s="26"/>
      <c r="E700" s="26"/>
      <c r="F700" s="245"/>
      <c r="G700" s="26"/>
      <c r="H700" s="64"/>
      <c r="I700" s="27"/>
      <c r="J700" s="27"/>
      <c r="K700" s="245"/>
      <c r="L700" s="26"/>
      <c r="M700" s="26"/>
      <c r="N700" s="65"/>
      <c r="AT700" s="26"/>
    </row>
    <row r="701" spans="2:46" ht="15">
      <c r="B701" s="26"/>
      <c r="C701" s="26"/>
      <c r="D701" s="26"/>
      <c r="E701" s="26"/>
      <c r="F701" s="245"/>
      <c r="G701" s="26"/>
      <c r="H701" s="64"/>
      <c r="I701" s="27"/>
      <c r="J701" s="27"/>
      <c r="K701" s="245"/>
      <c r="L701" s="26"/>
      <c r="M701" s="26"/>
      <c r="N701" s="65"/>
      <c r="AT701" s="26"/>
    </row>
    <row r="702" spans="2:46" ht="15">
      <c r="B702" s="26"/>
      <c r="C702" s="26"/>
      <c r="D702" s="26"/>
      <c r="E702" s="26"/>
      <c r="F702" s="245"/>
      <c r="G702" s="26"/>
      <c r="H702" s="64"/>
      <c r="I702" s="27"/>
      <c r="J702" s="27"/>
      <c r="K702" s="245"/>
      <c r="L702" s="26"/>
      <c r="M702" s="26"/>
      <c r="N702" s="65"/>
      <c r="AT702" s="26"/>
    </row>
    <row r="703" spans="2:46" ht="15">
      <c r="B703" s="26"/>
      <c r="C703" s="26"/>
      <c r="D703" s="26"/>
      <c r="E703" s="26"/>
      <c r="F703" s="245"/>
      <c r="G703" s="26"/>
      <c r="H703" s="64"/>
      <c r="I703" s="27"/>
      <c r="J703" s="27"/>
      <c r="K703" s="245"/>
      <c r="L703" s="26"/>
      <c r="M703" s="26"/>
      <c r="N703" s="65"/>
      <c r="AT703" s="26"/>
    </row>
    <row r="704" spans="2:46" ht="15">
      <c r="B704" s="26"/>
      <c r="C704" s="26"/>
      <c r="D704" s="26"/>
      <c r="E704" s="26"/>
      <c r="F704" s="245"/>
      <c r="G704" s="26"/>
      <c r="H704" s="64"/>
      <c r="I704" s="27"/>
      <c r="J704" s="27"/>
      <c r="K704" s="245"/>
      <c r="L704" s="26"/>
      <c r="M704" s="26"/>
      <c r="N704" s="65"/>
      <c r="AT704" s="26"/>
    </row>
    <row r="705" spans="2:46" ht="15">
      <c r="B705" s="26"/>
      <c r="C705" s="26"/>
      <c r="D705" s="26"/>
      <c r="E705" s="26"/>
      <c r="F705" s="245"/>
      <c r="G705" s="26"/>
      <c r="H705" s="64"/>
      <c r="I705" s="27"/>
      <c r="J705" s="27"/>
      <c r="K705" s="245"/>
      <c r="L705" s="26"/>
      <c r="M705" s="26"/>
      <c r="N705" s="65"/>
      <c r="AT705" s="26"/>
    </row>
    <row r="706" spans="2:46" ht="15">
      <c r="B706" s="26"/>
      <c r="C706" s="26"/>
      <c r="D706" s="26"/>
      <c r="E706" s="26"/>
      <c r="F706" s="245"/>
      <c r="G706" s="26"/>
      <c r="H706" s="64"/>
      <c r="I706" s="27"/>
      <c r="J706" s="27"/>
      <c r="K706" s="245"/>
      <c r="L706" s="26"/>
      <c r="M706" s="26"/>
      <c r="N706" s="65"/>
      <c r="AT706" s="26"/>
    </row>
    <row r="707" spans="2:46" ht="15">
      <c r="B707" s="26"/>
      <c r="C707" s="26"/>
      <c r="D707" s="26"/>
      <c r="E707" s="26"/>
      <c r="F707" s="245"/>
      <c r="G707" s="26"/>
      <c r="H707" s="64"/>
      <c r="I707" s="27"/>
      <c r="J707" s="27"/>
      <c r="K707" s="245"/>
      <c r="L707" s="26"/>
      <c r="M707" s="26"/>
      <c r="N707" s="65"/>
      <c r="AT707" s="26"/>
    </row>
    <row r="708" spans="2:46" ht="15">
      <c r="B708" s="26"/>
      <c r="C708" s="26"/>
      <c r="D708" s="26"/>
      <c r="E708" s="26"/>
      <c r="F708" s="245"/>
      <c r="G708" s="26"/>
      <c r="H708" s="64"/>
      <c r="I708" s="27"/>
      <c r="J708" s="27"/>
      <c r="K708" s="245"/>
      <c r="L708" s="26"/>
      <c r="M708" s="26"/>
      <c r="N708" s="65"/>
      <c r="AT708" s="26"/>
    </row>
    <row r="709" spans="2:46" ht="15">
      <c r="B709" s="26"/>
      <c r="C709" s="26"/>
      <c r="D709" s="26"/>
      <c r="E709" s="26"/>
      <c r="F709" s="245"/>
      <c r="G709" s="26"/>
      <c r="H709" s="64"/>
      <c r="I709" s="27"/>
      <c r="J709" s="27"/>
      <c r="K709" s="245"/>
      <c r="L709" s="26"/>
      <c r="M709" s="26"/>
      <c r="N709" s="65"/>
      <c r="AT709" s="26"/>
    </row>
    <row r="710" spans="2:46" ht="15">
      <c r="B710" s="26"/>
      <c r="C710" s="26"/>
      <c r="D710" s="26"/>
      <c r="E710" s="26"/>
      <c r="F710" s="245"/>
      <c r="G710" s="26"/>
      <c r="H710" s="64"/>
      <c r="I710" s="27"/>
      <c r="J710" s="27"/>
      <c r="K710" s="245"/>
      <c r="L710" s="26"/>
      <c r="M710" s="26"/>
      <c r="N710" s="65"/>
      <c r="AT710" s="26"/>
    </row>
    <row r="711" spans="2:46" ht="15">
      <c r="B711" s="26"/>
      <c r="C711" s="26"/>
      <c r="D711" s="26"/>
      <c r="E711" s="26"/>
      <c r="F711" s="245"/>
      <c r="G711" s="26"/>
      <c r="H711" s="64"/>
      <c r="I711" s="27"/>
      <c r="J711" s="27"/>
      <c r="K711" s="245"/>
      <c r="L711" s="26"/>
      <c r="M711" s="26"/>
      <c r="N711" s="65"/>
      <c r="AT711" s="26"/>
    </row>
    <row r="712" spans="2:46" ht="15">
      <c r="B712" s="26"/>
      <c r="C712" s="26"/>
      <c r="D712" s="26"/>
      <c r="E712" s="26"/>
      <c r="F712" s="245"/>
      <c r="G712" s="26"/>
      <c r="H712" s="64"/>
      <c r="I712" s="27"/>
      <c r="J712" s="27"/>
      <c r="K712" s="245"/>
      <c r="L712" s="26"/>
      <c r="M712" s="26"/>
      <c r="N712" s="65"/>
      <c r="AT712" s="26"/>
    </row>
    <row r="713" spans="2:46" ht="15">
      <c r="B713" s="26"/>
      <c r="C713" s="26"/>
      <c r="D713" s="26"/>
      <c r="E713" s="26"/>
      <c r="F713" s="245"/>
      <c r="G713" s="26"/>
      <c r="H713" s="64"/>
      <c r="I713" s="27"/>
      <c r="J713" s="27"/>
      <c r="K713" s="245"/>
      <c r="L713" s="26"/>
      <c r="M713" s="26"/>
      <c r="N713" s="65"/>
      <c r="AT713" s="26"/>
    </row>
    <row r="714" spans="2:46" ht="15">
      <c r="B714" s="26"/>
      <c r="C714" s="26"/>
      <c r="D714" s="26"/>
      <c r="E714" s="26"/>
      <c r="F714" s="245"/>
      <c r="G714" s="26"/>
      <c r="H714" s="64"/>
      <c r="I714" s="27"/>
      <c r="J714" s="27"/>
      <c r="K714" s="245"/>
      <c r="L714" s="26"/>
      <c r="M714" s="26"/>
      <c r="N714" s="65"/>
      <c r="AT714" s="26"/>
    </row>
    <row r="715" spans="2:46" ht="15">
      <c r="B715" s="26"/>
      <c r="C715" s="26"/>
      <c r="D715" s="26"/>
      <c r="E715" s="26"/>
      <c r="F715" s="245"/>
      <c r="G715" s="26"/>
      <c r="H715" s="64"/>
      <c r="I715" s="27"/>
      <c r="J715" s="27"/>
      <c r="K715" s="245"/>
      <c r="L715" s="26"/>
      <c r="M715" s="26"/>
      <c r="N715" s="65"/>
      <c r="AT715" s="26"/>
    </row>
    <row r="716" spans="2:46" ht="15">
      <c r="B716" s="26"/>
      <c r="C716" s="26"/>
      <c r="D716" s="26"/>
      <c r="E716" s="26"/>
      <c r="F716" s="245"/>
      <c r="G716" s="26"/>
      <c r="H716" s="64"/>
      <c r="I716" s="27"/>
      <c r="J716" s="27"/>
      <c r="K716" s="245"/>
      <c r="L716" s="26"/>
      <c r="M716" s="26"/>
      <c r="N716" s="65"/>
      <c r="AT716" s="26"/>
    </row>
    <row r="717" spans="2:46" ht="15">
      <c r="B717" s="26"/>
      <c r="C717" s="26"/>
      <c r="D717" s="26"/>
      <c r="E717" s="26"/>
      <c r="F717" s="245"/>
      <c r="G717" s="26"/>
      <c r="H717" s="64"/>
      <c r="I717" s="27"/>
      <c r="J717" s="27"/>
      <c r="K717" s="245"/>
      <c r="L717" s="26"/>
      <c r="M717" s="26"/>
      <c r="N717" s="65"/>
      <c r="AT717" s="26"/>
    </row>
    <row r="718" spans="2:46" ht="15">
      <c r="B718" s="26"/>
      <c r="C718" s="26"/>
      <c r="D718" s="26"/>
      <c r="E718" s="26"/>
      <c r="F718" s="245"/>
      <c r="G718" s="26"/>
      <c r="H718" s="64"/>
      <c r="I718" s="27"/>
      <c r="J718" s="27"/>
      <c r="K718" s="245"/>
      <c r="L718" s="26"/>
      <c r="M718" s="26"/>
      <c r="N718" s="65"/>
      <c r="AT718" s="26"/>
    </row>
    <row r="719" spans="2:46" ht="15">
      <c r="B719" s="26"/>
      <c r="C719" s="26"/>
      <c r="D719" s="26"/>
      <c r="E719" s="26"/>
      <c r="F719" s="245"/>
      <c r="G719" s="26"/>
      <c r="H719" s="64"/>
      <c r="I719" s="27"/>
      <c r="J719" s="27"/>
      <c r="K719" s="245"/>
      <c r="L719" s="26"/>
      <c r="M719" s="26"/>
      <c r="N719" s="65"/>
      <c r="AT719" s="26"/>
    </row>
    <row r="720" spans="2:46" ht="15">
      <c r="B720" s="26"/>
      <c r="C720" s="26"/>
      <c r="D720" s="26"/>
      <c r="E720" s="26"/>
      <c r="F720" s="245"/>
      <c r="G720" s="26"/>
      <c r="H720" s="64"/>
      <c r="I720" s="27"/>
      <c r="J720" s="27"/>
      <c r="K720" s="245"/>
      <c r="L720" s="26"/>
      <c r="M720" s="26"/>
      <c r="N720" s="65"/>
      <c r="AT720" s="26"/>
    </row>
    <row r="721" spans="2:46" ht="15">
      <c r="B721" s="26"/>
      <c r="C721" s="26"/>
      <c r="D721" s="26"/>
      <c r="E721" s="26"/>
      <c r="F721" s="245"/>
      <c r="G721" s="26"/>
      <c r="H721" s="64"/>
      <c r="I721" s="27"/>
      <c r="J721" s="27"/>
      <c r="K721" s="245"/>
      <c r="L721" s="26"/>
      <c r="M721" s="26"/>
      <c r="N721" s="65"/>
      <c r="AT721" s="26"/>
    </row>
    <row r="722" spans="2:46" ht="15">
      <c r="B722" s="26"/>
      <c r="C722" s="26"/>
      <c r="D722" s="26"/>
      <c r="E722" s="26"/>
      <c r="F722" s="245"/>
      <c r="G722" s="26"/>
      <c r="H722" s="64"/>
      <c r="I722" s="27"/>
      <c r="J722" s="27"/>
      <c r="K722" s="245"/>
      <c r="L722" s="26"/>
      <c r="M722" s="26"/>
      <c r="N722" s="65"/>
      <c r="AT722" s="26"/>
    </row>
    <row r="723" spans="2:46" ht="15">
      <c r="B723" s="26"/>
      <c r="C723" s="26"/>
      <c r="D723" s="26"/>
      <c r="E723" s="26"/>
      <c r="F723" s="245"/>
      <c r="G723" s="26"/>
      <c r="H723" s="64"/>
      <c r="I723" s="27"/>
      <c r="J723" s="27"/>
      <c r="K723" s="245"/>
      <c r="L723" s="26"/>
      <c r="M723" s="26"/>
      <c r="N723" s="65"/>
      <c r="AT723" s="26"/>
    </row>
    <row r="724" spans="2:46" ht="15">
      <c r="B724" s="26"/>
      <c r="C724" s="26"/>
      <c r="D724" s="26"/>
      <c r="E724" s="26"/>
      <c r="F724" s="245"/>
      <c r="G724" s="26"/>
      <c r="H724" s="64"/>
      <c r="I724" s="27"/>
      <c r="J724" s="27"/>
      <c r="K724" s="245"/>
      <c r="L724" s="26"/>
      <c r="M724" s="26"/>
      <c r="N724" s="65"/>
      <c r="AT724" s="26"/>
    </row>
    <row r="725" spans="2:46" ht="15">
      <c r="B725" s="26"/>
      <c r="C725" s="26"/>
      <c r="D725" s="26"/>
      <c r="E725" s="26"/>
      <c r="F725" s="245"/>
      <c r="G725" s="26"/>
      <c r="H725" s="64"/>
      <c r="I725" s="27"/>
      <c r="J725" s="27"/>
      <c r="K725" s="245"/>
      <c r="L725" s="26"/>
      <c r="M725" s="26"/>
      <c r="N725" s="65"/>
      <c r="AT725" s="26"/>
    </row>
    <row r="726" spans="2:46" ht="15">
      <c r="B726" s="26"/>
      <c r="C726" s="26"/>
      <c r="D726" s="26"/>
      <c r="E726" s="26"/>
      <c r="F726" s="245"/>
      <c r="G726" s="26"/>
      <c r="H726" s="64"/>
      <c r="I726" s="27"/>
      <c r="J726" s="27"/>
      <c r="K726" s="245"/>
      <c r="L726" s="26"/>
      <c r="M726" s="26"/>
      <c r="N726" s="65"/>
      <c r="AT726" s="26"/>
    </row>
    <row r="727" spans="2:46" ht="15">
      <c r="B727" s="26"/>
      <c r="C727" s="26"/>
      <c r="D727" s="26"/>
      <c r="E727" s="26"/>
      <c r="F727" s="245"/>
      <c r="G727" s="26"/>
      <c r="H727" s="64"/>
      <c r="I727" s="27"/>
      <c r="J727" s="27"/>
      <c r="K727" s="245"/>
      <c r="L727" s="26"/>
      <c r="M727" s="26"/>
      <c r="N727" s="65"/>
      <c r="AT727" s="26"/>
    </row>
    <row r="728" spans="2:46" ht="15">
      <c r="B728" s="26"/>
      <c r="C728" s="26"/>
      <c r="D728" s="26"/>
      <c r="E728" s="26"/>
      <c r="F728" s="245"/>
      <c r="G728" s="26"/>
      <c r="H728" s="64"/>
      <c r="I728" s="27"/>
      <c r="J728" s="27"/>
      <c r="K728" s="245"/>
      <c r="L728" s="26"/>
      <c r="M728" s="26"/>
      <c r="N728" s="65"/>
      <c r="AT728" s="26"/>
    </row>
    <row r="729" spans="2:46" ht="15">
      <c r="B729" s="26"/>
      <c r="C729" s="26"/>
      <c r="D729" s="26"/>
      <c r="E729" s="26"/>
      <c r="F729" s="245"/>
      <c r="G729" s="26"/>
      <c r="H729" s="64"/>
      <c r="I729" s="27"/>
      <c r="J729" s="27"/>
      <c r="K729" s="245"/>
      <c r="L729" s="26"/>
      <c r="M729" s="26"/>
      <c r="N729" s="65"/>
      <c r="AT729" s="26"/>
    </row>
    <row r="730" spans="2:46" ht="15">
      <c r="B730" s="26"/>
      <c r="C730" s="26"/>
      <c r="D730" s="26"/>
      <c r="E730" s="26"/>
      <c r="F730" s="245"/>
      <c r="G730" s="26"/>
      <c r="H730" s="64"/>
      <c r="I730" s="27"/>
      <c r="J730" s="27"/>
      <c r="K730" s="245"/>
      <c r="L730" s="26"/>
      <c r="M730" s="26"/>
      <c r="N730" s="65"/>
      <c r="AT730" s="26"/>
    </row>
    <row r="731" spans="2:46" ht="15">
      <c r="B731" s="26"/>
      <c r="C731" s="26"/>
      <c r="D731" s="26"/>
      <c r="E731" s="26"/>
      <c r="F731" s="245"/>
      <c r="G731" s="26"/>
      <c r="H731" s="64"/>
      <c r="I731" s="27"/>
      <c r="J731" s="27"/>
      <c r="K731" s="245"/>
      <c r="L731" s="26"/>
      <c r="M731" s="26"/>
      <c r="N731" s="65"/>
      <c r="AT731" s="26"/>
    </row>
    <row r="732" spans="2:46" ht="15">
      <c r="B732" s="26"/>
      <c r="C732" s="26"/>
      <c r="D732" s="26"/>
      <c r="E732" s="26"/>
      <c r="F732" s="245"/>
      <c r="G732" s="26"/>
      <c r="H732" s="64"/>
      <c r="I732" s="27"/>
      <c r="J732" s="27"/>
      <c r="K732" s="245"/>
      <c r="L732" s="26"/>
      <c r="M732" s="26"/>
      <c r="N732" s="65"/>
      <c r="AT732" s="26"/>
    </row>
    <row r="733" spans="2:46" ht="15">
      <c r="B733" s="26"/>
      <c r="C733" s="26"/>
      <c r="D733" s="26"/>
      <c r="E733" s="26"/>
      <c r="F733" s="245"/>
      <c r="G733" s="26"/>
      <c r="H733" s="64"/>
      <c r="I733" s="27"/>
      <c r="J733" s="27"/>
      <c r="K733" s="245"/>
      <c r="L733" s="26"/>
      <c r="M733" s="26"/>
      <c r="N733" s="65"/>
      <c r="AT733" s="26"/>
    </row>
    <row r="734" spans="2:46" ht="15">
      <c r="B734" s="26"/>
      <c r="C734" s="26"/>
      <c r="D734" s="26"/>
      <c r="E734" s="26"/>
      <c r="F734" s="245"/>
      <c r="G734" s="26"/>
      <c r="H734" s="64"/>
      <c r="I734" s="27"/>
      <c r="J734" s="27"/>
      <c r="K734" s="245"/>
      <c r="L734" s="26"/>
      <c r="M734" s="26"/>
      <c r="N734" s="65"/>
      <c r="AT734" s="26"/>
    </row>
    <row r="735" spans="2:46" ht="15">
      <c r="B735" s="26"/>
      <c r="C735" s="26"/>
      <c r="D735" s="26"/>
      <c r="E735" s="26"/>
      <c r="F735" s="245"/>
      <c r="G735" s="26"/>
      <c r="H735" s="64"/>
      <c r="I735" s="27"/>
      <c r="J735" s="27"/>
      <c r="K735" s="245"/>
      <c r="L735" s="26"/>
      <c r="M735" s="26"/>
      <c r="N735" s="65"/>
      <c r="AT735" s="26"/>
    </row>
    <row r="736" spans="2:46" ht="15">
      <c r="B736" s="26"/>
      <c r="C736" s="26"/>
      <c r="D736" s="26"/>
      <c r="E736" s="26"/>
      <c r="F736" s="245"/>
      <c r="G736" s="26"/>
      <c r="H736" s="64"/>
      <c r="I736" s="27"/>
      <c r="J736" s="27"/>
      <c r="K736" s="245"/>
      <c r="L736" s="26"/>
      <c r="M736" s="26"/>
      <c r="N736" s="65"/>
      <c r="AT736" s="26"/>
    </row>
    <row r="737" spans="2:46" ht="15">
      <c r="B737" s="26"/>
      <c r="C737" s="26"/>
      <c r="D737" s="26"/>
      <c r="E737" s="26"/>
      <c r="F737" s="245"/>
      <c r="G737" s="26"/>
      <c r="H737" s="64"/>
      <c r="I737" s="27"/>
      <c r="J737" s="27"/>
      <c r="K737" s="245"/>
      <c r="L737" s="26"/>
      <c r="M737" s="26"/>
      <c r="N737" s="65"/>
      <c r="AT737" s="26"/>
    </row>
    <row r="738" spans="2:46" ht="15">
      <c r="B738" s="26"/>
      <c r="C738" s="26"/>
      <c r="D738" s="26"/>
      <c r="E738" s="26"/>
      <c r="F738" s="245"/>
      <c r="G738" s="26"/>
      <c r="H738" s="64"/>
      <c r="I738" s="27"/>
      <c r="J738" s="27"/>
      <c r="K738" s="245"/>
      <c r="L738" s="26"/>
      <c r="M738" s="26"/>
      <c r="N738" s="65"/>
      <c r="AT738" s="26"/>
    </row>
    <row r="739" spans="2:46" ht="15">
      <c r="B739" s="26"/>
      <c r="C739" s="26"/>
      <c r="D739" s="26"/>
      <c r="E739" s="26"/>
      <c r="F739" s="245"/>
      <c r="G739" s="26"/>
      <c r="H739" s="64"/>
      <c r="I739" s="27"/>
      <c r="J739" s="27"/>
      <c r="K739" s="245"/>
      <c r="L739" s="26"/>
      <c r="M739" s="26"/>
      <c r="N739" s="65"/>
      <c r="AT739" s="26"/>
    </row>
    <row r="740" spans="2:46" ht="15">
      <c r="B740" s="26"/>
      <c r="C740" s="26"/>
      <c r="D740" s="26"/>
      <c r="E740" s="26"/>
      <c r="F740" s="245"/>
      <c r="G740" s="26"/>
      <c r="H740" s="64"/>
      <c r="I740" s="27"/>
      <c r="J740" s="27"/>
      <c r="K740" s="245"/>
      <c r="L740" s="26"/>
      <c r="M740" s="26"/>
      <c r="N740" s="65"/>
      <c r="AT740" s="26"/>
    </row>
    <row r="741" spans="2:46" ht="15">
      <c r="B741" s="26"/>
      <c r="C741" s="26"/>
      <c r="D741" s="26"/>
      <c r="E741" s="26"/>
      <c r="F741" s="245"/>
      <c r="G741" s="26"/>
      <c r="H741" s="64"/>
      <c r="I741" s="27"/>
      <c r="J741" s="27"/>
      <c r="K741" s="245"/>
      <c r="L741" s="26"/>
      <c r="M741" s="26"/>
      <c r="N741" s="65"/>
      <c r="AT741" s="26"/>
    </row>
    <row r="742" spans="2:46" ht="15">
      <c r="B742" s="26"/>
      <c r="C742" s="26"/>
      <c r="D742" s="26"/>
      <c r="E742" s="26"/>
      <c r="F742" s="245"/>
      <c r="G742" s="26"/>
      <c r="H742" s="64"/>
      <c r="I742" s="27"/>
      <c r="J742" s="27"/>
      <c r="K742" s="245"/>
      <c r="L742" s="26"/>
      <c r="M742" s="26"/>
      <c r="N742" s="65"/>
      <c r="AT742" s="26"/>
    </row>
    <row r="743" spans="2:46" ht="15">
      <c r="B743" s="26"/>
      <c r="C743" s="26"/>
      <c r="D743" s="26"/>
      <c r="E743" s="26"/>
      <c r="F743" s="245"/>
      <c r="G743" s="26"/>
      <c r="H743" s="64"/>
      <c r="I743" s="27"/>
      <c r="J743" s="27"/>
      <c r="K743" s="245"/>
      <c r="L743" s="26"/>
      <c r="M743" s="26"/>
      <c r="N743" s="65"/>
      <c r="AT743" s="26"/>
    </row>
    <row r="744" spans="2:46" ht="15">
      <c r="B744" s="26"/>
      <c r="C744" s="26"/>
      <c r="D744" s="26"/>
      <c r="E744" s="26"/>
      <c r="F744" s="245"/>
      <c r="G744" s="26"/>
      <c r="H744" s="64"/>
      <c r="I744" s="27"/>
      <c r="J744" s="27"/>
      <c r="K744" s="245"/>
      <c r="L744" s="26"/>
      <c r="M744" s="26"/>
      <c r="N744" s="65"/>
      <c r="AT744" s="26"/>
    </row>
    <row r="745" spans="2:46" ht="15">
      <c r="B745" s="26"/>
      <c r="C745" s="26"/>
      <c r="D745" s="26"/>
      <c r="E745" s="26"/>
      <c r="F745" s="245"/>
      <c r="G745" s="26"/>
      <c r="H745" s="64"/>
      <c r="I745" s="27"/>
      <c r="J745" s="27"/>
      <c r="K745" s="245"/>
      <c r="L745" s="26"/>
      <c r="M745" s="26"/>
      <c r="N745" s="65"/>
      <c r="AT745" s="26"/>
    </row>
    <row r="746" spans="2:46" ht="15">
      <c r="B746" s="26"/>
      <c r="C746" s="26"/>
      <c r="D746" s="26"/>
      <c r="E746" s="26"/>
      <c r="F746" s="245"/>
      <c r="G746" s="26"/>
      <c r="H746" s="64"/>
      <c r="I746" s="27"/>
      <c r="J746" s="27"/>
      <c r="K746" s="245"/>
      <c r="L746" s="26"/>
      <c r="M746" s="26"/>
      <c r="N746" s="65"/>
      <c r="AT746" s="26"/>
    </row>
    <row r="747" spans="2:46" ht="15">
      <c r="B747" s="26"/>
      <c r="C747" s="26"/>
      <c r="D747" s="26"/>
      <c r="E747" s="26"/>
      <c r="F747" s="245"/>
      <c r="G747" s="26"/>
      <c r="H747" s="64"/>
      <c r="I747" s="27"/>
      <c r="J747" s="27"/>
      <c r="K747" s="245"/>
      <c r="L747" s="26"/>
      <c r="M747" s="26"/>
      <c r="N747" s="65"/>
      <c r="AT747" s="26"/>
    </row>
    <row r="748" spans="2:46" ht="15">
      <c r="B748" s="26"/>
      <c r="C748" s="26"/>
      <c r="D748" s="26"/>
      <c r="E748" s="26"/>
      <c r="F748" s="245"/>
      <c r="G748" s="26"/>
      <c r="H748" s="64"/>
      <c r="I748" s="27"/>
      <c r="J748" s="27"/>
      <c r="K748" s="245"/>
      <c r="L748" s="26"/>
      <c r="M748" s="26"/>
      <c r="N748" s="65"/>
      <c r="AT748" s="26"/>
    </row>
    <row r="749" spans="2:46" ht="15">
      <c r="B749" s="26"/>
      <c r="C749" s="26"/>
      <c r="D749" s="26"/>
      <c r="E749" s="26"/>
      <c r="F749" s="245"/>
      <c r="G749" s="26"/>
      <c r="H749" s="64"/>
      <c r="I749" s="27"/>
      <c r="J749" s="27"/>
      <c r="K749" s="245"/>
      <c r="L749" s="26"/>
      <c r="M749" s="26"/>
      <c r="N749" s="65"/>
      <c r="AT749" s="26"/>
    </row>
    <row r="750" spans="2:46" ht="15">
      <c r="B750" s="26"/>
      <c r="C750" s="26"/>
      <c r="D750" s="26"/>
      <c r="E750" s="26"/>
      <c r="F750" s="245"/>
      <c r="G750" s="26"/>
      <c r="H750" s="64"/>
      <c r="I750" s="27"/>
      <c r="J750" s="27"/>
      <c r="K750" s="245"/>
      <c r="L750" s="26"/>
      <c r="M750" s="26"/>
      <c r="N750" s="65"/>
      <c r="AT750" s="26"/>
    </row>
    <row r="751" spans="2:46" ht="15">
      <c r="B751" s="26"/>
      <c r="C751" s="26"/>
      <c r="D751" s="26"/>
      <c r="E751" s="26"/>
      <c r="F751" s="245"/>
      <c r="G751" s="26"/>
      <c r="H751" s="64"/>
      <c r="I751" s="27"/>
      <c r="J751" s="27"/>
      <c r="K751" s="245"/>
      <c r="L751" s="26"/>
      <c r="M751" s="26"/>
      <c r="N751" s="65"/>
      <c r="AT751" s="26"/>
    </row>
    <row r="752" spans="2:46" ht="15">
      <c r="B752" s="26"/>
      <c r="C752" s="26"/>
      <c r="D752" s="26"/>
      <c r="E752" s="26"/>
      <c r="F752" s="245"/>
      <c r="G752" s="26"/>
      <c r="H752" s="64"/>
      <c r="I752" s="27"/>
      <c r="J752" s="27"/>
      <c r="K752" s="245"/>
      <c r="L752" s="26"/>
      <c r="M752" s="26"/>
      <c r="N752" s="65"/>
      <c r="AT752" s="26"/>
    </row>
    <row r="753" spans="2:46" ht="15">
      <c r="B753" s="26"/>
      <c r="C753" s="26"/>
      <c r="D753" s="26"/>
      <c r="E753" s="26"/>
      <c r="F753" s="245"/>
      <c r="G753" s="26"/>
      <c r="H753" s="64"/>
      <c r="I753" s="27"/>
      <c r="J753" s="27"/>
      <c r="K753" s="245"/>
      <c r="L753" s="26"/>
      <c r="M753" s="26"/>
      <c r="N753" s="65"/>
      <c r="AT753" s="26"/>
    </row>
    <row r="754" spans="2:46" ht="15">
      <c r="B754" s="26"/>
      <c r="C754" s="26"/>
      <c r="D754" s="26"/>
      <c r="E754" s="26"/>
      <c r="F754" s="245"/>
      <c r="G754" s="26"/>
      <c r="H754" s="64"/>
      <c r="I754" s="27"/>
      <c r="J754" s="27"/>
      <c r="K754" s="245"/>
      <c r="L754" s="26"/>
      <c r="M754" s="26"/>
      <c r="N754" s="65"/>
      <c r="AT754" s="26"/>
    </row>
    <row r="755" spans="2:46" ht="15">
      <c r="B755" s="26"/>
      <c r="C755" s="26"/>
      <c r="D755" s="26"/>
      <c r="E755" s="26"/>
      <c r="F755" s="245"/>
      <c r="G755" s="26"/>
      <c r="H755" s="64"/>
      <c r="I755" s="27"/>
      <c r="J755" s="27"/>
      <c r="K755" s="245"/>
      <c r="L755" s="26"/>
      <c r="M755" s="26"/>
      <c r="N755" s="65"/>
      <c r="AT755" s="26"/>
    </row>
    <row r="756" spans="2:46" ht="15">
      <c r="B756" s="26"/>
      <c r="C756" s="26"/>
      <c r="D756" s="26"/>
      <c r="E756" s="26"/>
      <c r="F756" s="245"/>
      <c r="G756" s="26"/>
      <c r="H756" s="64"/>
      <c r="I756" s="27"/>
      <c r="J756" s="27"/>
      <c r="K756" s="245"/>
      <c r="L756" s="26"/>
      <c r="M756" s="26"/>
      <c r="N756" s="65"/>
      <c r="AT756" s="26"/>
    </row>
    <row r="757" spans="2:46" ht="15">
      <c r="B757" s="26"/>
      <c r="C757" s="26"/>
      <c r="D757" s="26"/>
      <c r="E757" s="26"/>
      <c r="F757" s="245"/>
      <c r="G757" s="26"/>
      <c r="H757" s="64"/>
      <c r="I757" s="27"/>
      <c r="J757" s="27"/>
      <c r="K757" s="245"/>
      <c r="L757" s="26"/>
      <c r="M757" s="26"/>
      <c r="N757" s="65"/>
      <c r="AT757" s="26"/>
    </row>
    <row r="758" spans="2:46" ht="15">
      <c r="B758" s="26"/>
      <c r="C758" s="26"/>
      <c r="D758" s="26"/>
      <c r="E758" s="26"/>
      <c r="F758" s="245"/>
      <c r="G758" s="26"/>
      <c r="H758" s="64"/>
      <c r="I758" s="27"/>
      <c r="J758" s="27"/>
      <c r="K758" s="245"/>
      <c r="L758" s="26"/>
      <c r="M758" s="26"/>
      <c r="N758" s="65"/>
      <c r="AT758" s="26"/>
    </row>
    <row r="759" spans="2:46" ht="15">
      <c r="B759" s="26"/>
      <c r="C759" s="26"/>
      <c r="D759" s="26"/>
      <c r="E759" s="26"/>
      <c r="F759" s="245"/>
      <c r="G759" s="26"/>
      <c r="H759" s="64"/>
      <c r="I759" s="27"/>
      <c r="J759" s="27"/>
      <c r="K759" s="245"/>
      <c r="L759" s="26"/>
      <c r="M759" s="26"/>
      <c r="N759" s="65"/>
      <c r="AT759" s="26"/>
    </row>
    <row r="760" spans="2:46" ht="15">
      <c r="B760" s="26"/>
      <c r="C760" s="26"/>
      <c r="D760" s="26"/>
      <c r="E760" s="26"/>
      <c r="F760" s="245"/>
      <c r="G760" s="26"/>
      <c r="H760" s="64"/>
      <c r="I760" s="27"/>
      <c r="J760" s="27"/>
      <c r="K760" s="245"/>
      <c r="L760" s="26"/>
      <c r="M760" s="26"/>
      <c r="N760" s="65"/>
      <c r="AT760" s="26"/>
    </row>
    <row r="761" spans="2:46" ht="15">
      <c r="B761" s="26"/>
      <c r="C761" s="26"/>
      <c r="D761" s="26"/>
      <c r="E761" s="26"/>
      <c r="F761" s="245"/>
      <c r="G761" s="26"/>
      <c r="H761" s="64"/>
      <c r="I761" s="27"/>
      <c r="J761" s="27"/>
      <c r="K761" s="245"/>
      <c r="L761" s="26"/>
      <c r="M761" s="26"/>
      <c r="N761" s="65"/>
      <c r="AT761" s="26"/>
    </row>
    <row r="762" spans="2:46" ht="15">
      <c r="B762" s="26"/>
      <c r="C762" s="26"/>
      <c r="D762" s="26"/>
      <c r="E762" s="26"/>
      <c r="F762" s="245"/>
      <c r="G762" s="26"/>
      <c r="H762" s="64"/>
      <c r="I762" s="27"/>
      <c r="J762" s="27"/>
      <c r="K762" s="245"/>
      <c r="L762" s="26"/>
      <c r="M762" s="26"/>
      <c r="N762" s="65"/>
      <c r="AT762" s="26"/>
    </row>
    <row r="763" spans="2:46" ht="15">
      <c r="B763" s="26"/>
      <c r="C763" s="26"/>
      <c r="D763" s="26"/>
      <c r="E763" s="26"/>
      <c r="F763" s="245"/>
      <c r="G763" s="26"/>
      <c r="H763" s="64"/>
      <c r="I763" s="27"/>
      <c r="J763" s="27"/>
      <c r="K763" s="245"/>
      <c r="L763" s="26"/>
      <c r="M763" s="26"/>
      <c r="N763" s="65"/>
      <c r="AT763" s="26"/>
    </row>
    <row r="764" spans="2:46" ht="15">
      <c r="B764" s="26"/>
      <c r="C764" s="26"/>
      <c r="D764" s="26"/>
      <c r="E764" s="26"/>
      <c r="F764" s="245"/>
      <c r="G764" s="26"/>
      <c r="H764" s="64"/>
      <c r="I764" s="27"/>
      <c r="J764" s="27"/>
      <c r="K764" s="245"/>
      <c r="L764" s="26"/>
      <c r="M764" s="26"/>
      <c r="N764" s="65"/>
      <c r="AT764" s="26"/>
    </row>
    <row r="765" spans="2:46" ht="15">
      <c r="B765" s="26"/>
      <c r="C765" s="26"/>
      <c r="D765" s="26"/>
      <c r="E765" s="26"/>
      <c r="F765" s="245"/>
      <c r="G765" s="26"/>
      <c r="H765" s="64"/>
      <c r="I765" s="27"/>
      <c r="J765" s="27"/>
      <c r="K765" s="245"/>
      <c r="L765" s="26"/>
      <c r="M765" s="26"/>
      <c r="N765" s="65"/>
      <c r="AT765" s="26"/>
    </row>
    <row r="766" spans="2:46" ht="15">
      <c r="B766" s="26"/>
      <c r="C766" s="26"/>
      <c r="D766" s="26"/>
      <c r="E766" s="26"/>
      <c r="F766" s="245"/>
      <c r="G766" s="26"/>
      <c r="H766" s="64"/>
      <c r="I766" s="27"/>
      <c r="J766" s="27"/>
      <c r="K766" s="245"/>
      <c r="L766" s="26"/>
      <c r="M766" s="26"/>
      <c r="N766" s="65"/>
      <c r="AT766" s="26"/>
    </row>
    <row r="767" spans="2:46" ht="15">
      <c r="B767" s="26"/>
      <c r="C767" s="26"/>
      <c r="D767" s="26"/>
      <c r="E767" s="26"/>
      <c r="F767" s="245"/>
      <c r="G767" s="26"/>
      <c r="H767" s="64"/>
      <c r="I767" s="27"/>
      <c r="J767" s="27"/>
      <c r="K767" s="245"/>
      <c r="L767" s="26"/>
      <c r="M767" s="26"/>
      <c r="N767" s="65"/>
      <c r="AT767" s="26"/>
    </row>
    <row r="768" spans="2:46" ht="15">
      <c r="B768" s="26"/>
      <c r="C768" s="26"/>
      <c r="D768" s="26"/>
      <c r="E768" s="26"/>
      <c r="F768" s="245"/>
      <c r="G768" s="26"/>
      <c r="H768" s="64"/>
      <c r="I768" s="27"/>
      <c r="J768" s="27"/>
      <c r="K768" s="245"/>
      <c r="L768" s="26"/>
      <c r="M768" s="26"/>
      <c r="N768" s="65"/>
      <c r="AT768" s="26"/>
    </row>
    <row r="769" spans="2:46" ht="15">
      <c r="B769" s="26"/>
      <c r="C769" s="26"/>
      <c r="D769" s="26"/>
      <c r="E769" s="26"/>
      <c r="F769" s="245"/>
      <c r="G769" s="26"/>
      <c r="H769" s="64"/>
      <c r="I769" s="27"/>
      <c r="J769" s="27"/>
      <c r="K769" s="245"/>
      <c r="L769" s="26"/>
      <c r="M769" s="26"/>
      <c r="N769" s="65"/>
      <c r="AT769" s="26"/>
    </row>
    <row r="770" spans="2:46" ht="15">
      <c r="B770" s="26"/>
      <c r="C770" s="26"/>
      <c r="D770" s="26"/>
      <c r="E770" s="26"/>
      <c r="F770" s="245"/>
      <c r="G770" s="26"/>
      <c r="H770" s="64"/>
      <c r="I770" s="27"/>
      <c r="J770" s="27"/>
      <c r="K770" s="245"/>
      <c r="L770" s="26"/>
      <c r="M770" s="26"/>
      <c r="N770" s="65"/>
      <c r="AT770" s="26"/>
    </row>
    <row r="771" spans="2:46" ht="15">
      <c r="B771" s="26"/>
      <c r="C771" s="26"/>
      <c r="D771" s="26"/>
      <c r="E771" s="26"/>
      <c r="F771" s="245"/>
      <c r="G771" s="26"/>
      <c r="H771" s="64"/>
      <c r="I771" s="27"/>
      <c r="J771" s="27"/>
      <c r="K771" s="245"/>
      <c r="L771" s="26"/>
      <c r="M771" s="26"/>
      <c r="N771" s="65"/>
      <c r="AT771" s="26"/>
    </row>
    <row r="772" spans="2:46" ht="15">
      <c r="B772" s="26"/>
      <c r="C772" s="26"/>
      <c r="D772" s="26"/>
      <c r="E772" s="26"/>
      <c r="F772" s="245"/>
      <c r="G772" s="26"/>
      <c r="H772" s="64"/>
      <c r="I772" s="27"/>
      <c r="J772" s="27"/>
      <c r="K772" s="245"/>
      <c r="L772" s="26"/>
      <c r="M772" s="26"/>
      <c r="N772" s="65"/>
      <c r="AT772" s="26"/>
    </row>
    <row r="773" spans="2:46" ht="15">
      <c r="B773" s="26"/>
      <c r="C773" s="26"/>
      <c r="D773" s="26"/>
      <c r="E773" s="26"/>
      <c r="F773" s="245"/>
      <c r="G773" s="26"/>
      <c r="H773" s="64"/>
      <c r="I773" s="27"/>
      <c r="J773" s="27"/>
      <c r="K773" s="245"/>
      <c r="L773" s="26"/>
      <c r="M773" s="26"/>
      <c r="N773" s="65"/>
      <c r="AT773" s="26"/>
    </row>
    <row r="774" spans="2:46" ht="15">
      <c r="B774" s="26"/>
      <c r="C774" s="26"/>
      <c r="D774" s="26"/>
      <c r="E774" s="26"/>
      <c r="F774" s="245"/>
      <c r="G774" s="26"/>
      <c r="H774" s="64"/>
      <c r="I774" s="27"/>
      <c r="J774" s="27"/>
      <c r="K774" s="245"/>
      <c r="L774" s="26"/>
      <c r="M774" s="26"/>
      <c r="N774" s="65"/>
      <c r="AT774" s="26"/>
    </row>
    <row r="775" spans="2:46" ht="15">
      <c r="B775" s="26"/>
      <c r="C775" s="26"/>
      <c r="D775" s="26"/>
      <c r="E775" s="26"/>
      <c r="F775" s="245"/>
      <c r="G775" s="26"/>
      <c r="H775" s="64"/>
      <c r="I775" s="27"/>
      <c r="J775" s="27"/>
      <c r="K775" s="245"/>
      <c r="L775" s="26"/>
      <c r="M775" s="26"/>
      <c r="N775" s="65"/>
      <c r="AT775" s="26"/>
    </row>
    <row r="776" spans="2:46" ht="15">
      <c r="B776" s="26"/>
      <c r="C776" s="26"/>
      <c r="D776" s="26"/>
      <c r="E776" s="26"/>
      <c r="F776" s="245"/>
      <c r="G776" s="26"/>
      <c r="H776" s="64"/>
      <c r="I776" s="27"/>
      <c r="J776" s="27"/>
      <c r="K776" s="245"/>
      <c r="L776" s="26"/>
      <c r="M776" s="26"/>
      <c r="N776" s="65"/>
      <c r="AT776" s="26"/>
    </row>
    <row r="777" spans="2:46" ht="15">
      <c r="B777" s="26"/>
      <c r="C777" s="26"/>
      <c r="D777" s="26"/>
      <c r="E777" s="26"/>
      <c r="F777" s="245"/>
      <c r="G777" s="26"/>
      <c r="H777" s="64"/>
      <c r="I777" s="27"/>
      <c r="J777" s="27"/>
      <c r="K777" s="245"/>
      <c r="L777" s="26"/>
      <c r="M777" s="26"/>
      <c r="N777" s="65"/>
      <c r="AT777" s="26"/>
    </row>
    <row r="778" spans="2:46" ht="15">
      <c r="B778" s="26"/>
      <c r="C778" s="26"/>
      <c r="D778" s="26"/>
      <c r="E778" s="26"/>
      <c r="F778" s="245"/>
      <c r="G778" s="26"/>
      <c r="H778" s="64"/>
      <c r="I778" s="27"/>
      <c r="J778" s="27"/>
      <c r="K778" s="245"/>
      <c r="L778" s="26"/>
      <c r="M778" s="26"/>
      <c r="N778" s="65"/>
      <c r="AT778" s="26"/>
    </row>
    <row r="779" spans="2:46" ht="15">
      <c r="B779" s="26"/>
      <c r="C779" s="26"/>
      <c r="D779" s="26"/>
      <c r="E779" s="26"/>
      <c r="F779" s="245"/>
      <c r="G779" s="26"/>
      <c r="H779" s="64"/>
      <c r="I779" s="27"/>
      <c r="J779" s="27"/>
      <c r="K779" s="245"/>
      <c r="L779" s="26"/>
      <c r="M779" s="26"/>
      <c r="N779" s="65"/>
      <c r="AT779" s="26"/>
    </row>
    <row r="780" spans="2:46" ht="15">
      <c r="B780" s="26"/>
      <c r="C780" s="26"/>
      <c r="D780" s="26"/>
      <c r="E780" s="26"/>
      <c r="F780" s="245"/>
      <c r="G780" s="26"/>
      <c r="H780" s="64"/>
      <c r="I780" s="27"/>
      <c r="J780" s="27"/>
      <c r="K780" s="245"/>
      <c r="L780" s="26"/>
      <c r="M780" s="26"/>
      <c r="N780" s="65"/>
      <c r="AT780" s="26"/>
    </row>
    <row r="781" spans="2:46" ht="15">
      <c r="B781" s="26"/>
      <c r="C781" s="26"/>
      <c r="D781" s="26"/>
      <c r="E781" s="26"/>
      <c r="F781" s="245"/>
      <c r="G781" s="26"/>
      <c r="H781" s="64"/>
      <c r="I781" s="27"/>
      <c r="J781" s="27"/>
      <c r="K781" s="245"/>
      <c r="L781" s="26"/>
      <c r="M781" s="26"/>
      <c r="N781" s="65"/>
      <c r="AT781" s="26"/>
    </row>
    <row r="782" spans="2:46" ht="15">
      <c r="B782" s="26"/>
      <c r="C782" s="26"/>
      <c r="D782" s="26"/>
      <c r="E782" s="26"/>
      <c r="F782" s="245"/>
      <c r="G782" s="26"/>
      <c r="H782" s="64"/>
      <c r="I782" s="27"/>
      <c r="J782" s="27"/>
      <c r="K782" s="245"/>
      <c r="L782" s="26"/>
      <c r="M782" s="26"/>
      <c r="N782" s="65"/>
      <c r="AT782" s="26"/>
    </row>
    <row r="783" spans="2:46" ht="15">
      <c r="B783" s="26"/>
      <c r="C783" s="26"/>
      <c r="D783" s="26"/>
      <c r="E783" s="26"/>
      <c r="F783" s="245"/>
      <c r="G783" s="26"/>
      <c r="H783" s="64"/>
      <c r="I783" s="27"/>
      <c r="J783" s="27"/>
      <c r="K783" s="245"/>
      <c r="L783" s="26"/>
      <c r="M783" s="26"/>
      <c r="N783" s="65"/>
      <c r="AT783" s="26"/>
    </row>
    <row r="784" spans="2:46" ht="15">
      <c r="B784" s="26"/>
      <c r="C784" s="26"/>
      <c r="D784" s="26"/>
      <c r="E784" s="26"/>
      <c r="F784" s="245"/>
      <c r="G784" s="26"/>
      <c r="H784" s="64"/>
      <c r="I784" s="27"/>
      <c r="J784" s="27"/>
      <c r="K784" s="245"/>
      <c r="L784" s="26"/>
      <c r="M784" s="26"/>
      <c r="N784" s="65"/>
      <c r="AT784" s="26"/>
    </row>
    <row r="785" spans="2:46" ht="15">
      <c r="B785" s="26"/>
      <c r="C785" s="26"/>
      <c r="D785" s="26"/>
      <c r="E785" s="26"/>
      <c r="F785" s="245"/>
      <c r="G785" s="26"/>
      <c r="H785" s="64"/>
      <c r="I785" s="27"/>
      <c r="J785" s="27"/>
      <c r="K785" s="245"/>
      <c r="L785" s="26"/>
      <c r="M785" s="26"/>
      <c r="N785" s="65"/>
      <c r="AT785" s="26"/>
    </row>
    <row r="786" spans="2:46" ht="15">
      <c r="B786" s="26"/>
      <c r="C786" s="26"/>
      <c r="D786" s="26"/>
      <c r="E786" s="26"/>
      <c r="F786" s="245"/>
      <c r="G786" s="26"/>
      <c r="H786" s="64"/>
      <c r="I786" s="27"/>
      <c r="J786" s="27"/>
      <c r="K786" s="245"/>
      <c r="L786" s="26"/>
      <c r="M786" s="26"/>
      <c r="N786" s="65"/>
      <c r="AT786" s="26"/>
    </row>
    <row r="787" spans="2:46" ht="15">
      <c r="B787" s="26"/>
      <c r="C787" s="26"/>
      <c r="D787" s="26"/>
      <c r="E787" s="26"/>
      <c r="F787" s="245"/>
      <c r="G787" s="26"/>
      <c r="H787" s="64"/>
      <c r="I787" s="27"/>
      <c r="J787" s="27"/>
      <c r="K787" s="245"/>
      <c r="L787" s="26"/>
      <c r="M787" s="26"/>
      <c r="N787" s="65"/>
      <c r="AT787" s="26"/>
    </row>
    <row r="788" spans="2:46" ht="15">
      <c r="B788" s="26"/>
      <c r="C788" s="26"/>
      <c r="D788" s="26"/>
      <c r="E788" s="26"/>
      <c r="F788" s="245"/>
      <c r="G788" s="26"/>
      <c r="H788" s="64"/>
      <c r="I788" s="27"/>
      <c r="J788" s="27"/>
      <c r="K788" s="245"/>
      <c r="L788" s="26"/>
      <c r="M788" s="26"/>
      <c r="N788" s="65"/>
      <c r="AT788" s="26"/>
    </row>
    <row r="789" spans="2:46" ht="15">
      <c r="B789" s="26"/>
      <c r="C789" s="26"/>
      <c r="D789" s="26"/>
      <c r="E789" s="26"/>
      <c r="F789" s="245"/>
      <c r="G789" s="26"/>
      <c r="H789" s="64"/>
      <c r="I789" s="27"/>
      <c r="J789" s="27"/>
      <c r="K789" s="245"/>
      <c r="L789" s="26"/>
      <c r="M789" s="26"/>
      <c r="N789" s="65"/>
      <c r="AT789" s="26"/>
    </row>
    <row r="790" spans="2:46" ht="15">
      <c r="B790" s="26"/>
      <c r="C790" s="26"/>
      <c r="D790" s="26"/>
      <c r="E790" s="26"/>
      <c r="F790" s="245"/>
      <c r="G790" s="26"/>
      <c r="H790" s="64"/>
      <c r="I790" s="27"/>
      <c r="J790" s="27"/>
      <c r="K790" s="245"/>
      <c r="L790" s="26"/>
      <c r="M790" s="26"/>
      <c r="N790" s="65"/>
      <c r="AT790" s="26"/>
    </row>
    <row r="791" spans="2:46" ht="15">
      <c r="B791" s="26"/>
      <c r="C791" s="26"/>
      <c r="D791" s="26"/>
      <c r="E791" s="26"/>
      <c r="F791" s="245"/>
      <c r="G791" s="26"/>
      <c r="H791" s="64"/>
      <c r="I791" s="27"/>
      <c r="J791" s="27"/>
      <c r="K791" s="245"/>
      <c r="L791" s="26"/>
      <c r="M791" s="26"/>
      <c r="N791" s="65"/>
      <c r="AT791" s="26"/>
    </row>
    <row r="792" spans="2:46" ht="15">
      <c r="B792" s="26"/>
      <c r="C792" s="26"/>
      <c r="D792" s="26"/>
      <c r="E792" s="26"/>
      <c r="F792" s="245"/>
      <c r="G792" s="26"/>
      <c r="H792" s="64"/>
      <c r="I792" s="27"/>
      <c r="J792" s="27"/>
      <c r="K792" s="245"/>
      <c r="L792" s="26"/>
      <c r="M792" s="26"/>
      <c r="N792" s="65"/>
      <c r="AT792" s="26"/>
    </row>
    <row r="793" spans="2:46" ht="15">
      <c r="B793" s="26"/>
      <c r="C793" s="26"/>
      <c r="D793" s="26"/>
      <c r="E793" s="26"/>
      <c r="F793" s="245"/>
      <c r="G793" s="26"/>
      <c r="H793" s="64"/>
      <c r="I793" s="27"/>
      <c r="J793" s="27"/>
      <c r="K793" s="245"/>
      <c r="L793" s="26"/>
      <c r="M793" s="26"/>
      <c r="N793" s="65"/>
      <c r="AT793" s="26"/>
    </row>
    <row r="794" spans="2:46" ht="15">
      <c r="B794" s="26"/>
      <c r="C794" s="26"/>
      <c r="D794" s="26"/>
      <c r="E794" s="26"/>
      <c r="F794" s="245"/>
      <c r="G794" s="26"/>
      <c r="H794" s="64"/>
      <c r="I794" s="27"/>
      <c r="J794" s="27"/>
      <c r="K794" s="245"/>
      <c r="L794" s="26"/>
      <c r="M794" s="26"/>
      <c r="N794" s="65"/>
      <c r="AT794" s="26"/>
    </row>
    <row r="795" spans="2:46" ht="15">
      <c r="B795" s="26"/>
      <c r="C795" s="26"/>
      <c r="D795" s="26"/>
      <c r="E795" s="26"/>
      <c r="F795" s="245"/>
      <c r="G795" s="26"/>
      <c r="H795" s="64"/>
      <c r="I795" s="27"/>
      <c r="J795" s="27"/>
      <c r="K795" s="245"/>
      <c r="L795" s="26"/>
      <c r="M795" s="26"/>
      <c r="N795" s="65"/>
      <c r="AT795" s="26"/>
    </row>
    <row r="796" spans="2:46" ht="15">
      <c r="B796" s="26"/>
      <c r="C796" s="26"/>
      <c r="D796" s="26"/>
      <c r="E796" s="26"/>
      <c r="F796" s="245"/>
      <c r="G796" s="26"/>
      <c r="H796" s="64"/>
      <c r="I796" s="27"/>
      <c r="J796" s="27"/>
      <c r="K796" s="245"/>
      <c r="L796" s="26"/>
      <c r="M796" s="26"/>
      <c r="N796" s="65"/>
      <c r="AT796" s="26"/>
    </row>
    <row r="797" spans="2:46" ht="15">
      <c r="B797" s="26"/>
      <c r="C797" s="26"/>
      <c r="D797" s="26"/>
      <c r="E797" s="26"/>
      <c r="F797" s="245"/>
      <c r="G797" s="26"/>
      <c r="H797" s="64"/>
      <c r="I797" s="27"/>
      <c r="J797" s="27"/>
      <c r="K797" s="245"/>
      <c r="L797" s="26"/>
      <c r="M797" s="26"/>
      <c r="N797" s="65"/>
      <c r="AT797" s="26"/>
    </row>
    <row r="798" spans="2:46" ht="15">
      <c r="B798" s="26"/>
      <c r="C798" s="26"/>
      <c r="D798" s="26"/>
      <c r="E798" s="26"/>
      <c r="F798" s="245"/>
      <c r="G798" s="26"/>
      <c r="H798" s="64"/>
      <c r="I798" s="27"/>
      <c r="J798" s="27"/>
      <c r="K798" s="245"/>
      <c r="L798" s="26"/>
      <c r="M798" s="26"/>
      <c r="N798" s="65"/>
      <c r="AT798" s="26"/>
    </row>
    <row r="799" spans="2:46" ht="15">
      <c r="B799" s="26"/>
      <c r="C799" s="26"/>
      <c r="D799" s="26"/>
      <c r="E799" s="26"/>
      <c r="F799" s="245"/>
      <c r="G799" s="26"/>
      <c r="H799" s="64"/>
      <c r="I799" s="27"/>
      <c r="J799" s="27"/>
      <c r="K799" s="245"/>
      <c r="L799" s="26"/>
      <c r="M799" s="26"/>
      <c r="N799" s="65"/>
      <c r="AT799" s="26"/>
    </row>
    <row r="800" spans="2:46" ht="15">
      <c r="B800" s="26"/>
      <c r="C800" s="26"/>
      <c r="D800" s="26"/>
      <c r="E800" s="26"/>
      <c r="F800" s="245"/>
      <c r="G800" s="26"/>
      <c r="H800" s="64"/>
      <c r="I800" s="27"/>
      <c r="J800" s="27"/>
      <c r="K800" s="245"/>
      <c r="L800" s="26"/>
      <c r="M800" s="26"/>
      <c r="N800" s="65"/>
      <c r="AT800" s="26"/>
    </row>
    <row r="801" spans="2:46" ht="15">
      <c r="B801" s="26"/>
      <c r="C801" s="26"/>
      <c r="D801" s="26"/>
      <c r="E801" s="26"/>
      <c r="F801" s="245"/>
      <c r="G801" s="26"/>
      <c r="H801" s="64"/>
      <c r="I801" s="27"/>
      <c r="J801" s="27"/>
      <c r="K801" s="245"/>
      <c r="L801" s="26"/>
      <c r="M801" s="26"/>
      <c r="N801" s="65"/>
      <c r="AT801" s="26"/>
    </row>
    <row r="802" spans="2:46" ht="15">
      <c r="B802" s="26"/>
      <c r="C802" s="26"/>
      <c r="D802" s="26"/>
      <c r="E802" s="26"/>
      <c r="F802" s="245"/>
      <c r="G802" s="26"/>
      <c r="H802" s="64"/>
      <c r="I802" s="27"/>
      <c r="J802" s="27"/>
      <c r="K802" s="245"/>
      <c r="L802" s="26"/>
      <c r="M802" s="26"/>
      <c r="N802" s="65"/>
      <c r="AT802" s="26"/>
    </row>
    <row r="803" spans="2:46" ht="15">
      <c r="B803" s="26"/>
      <c r="C803" s="26"/>
      <c r="D803" s="26"/>
      <c r="E803" s="26"/>
      <c r="F803" s="245"/>
      <c r="G803" s="26"/>
      <c r="H803" s="64"/>
      <c r="I803" s="27"/>
      <c r="J803" s="27"/>
      <c r="K803" s="245"/>
      <c r="L803" s="26"/>
      <c r="M803" s="26"/>
      <c r="N803" s="65"/>
      <c r="AT803" s="26"/>
    </row>
    <row r="804" spans="2:46" ht="15">
      <c r="B804" s="26"/>
      <c r="C804" s="26"/>
      <c r="D804" s="26"/>
      <c r="E804" s="26"/>
      <c r="F804" s="245"/>
      <c r="G804" s="26"/>
      <c r="H804" s="64"/>
      <c r="I804" s="27"/>
      <c r="J804" s="27"/>
      <c r="K804" s="245"/>
      <c r="L804" s="26"/>
      <c r="M804" s="26"/>
      <c r="N804" s="65"/>
      <c r="AT804" s="26"/>
    </row>
    <row r="805" spans="2:46" ht="15">
      <c r="B805" s="26"/>
      <c r="C805" s="26"/>
      <c r="D805" s="26"/>
      <c r="E805" s="26"/>
      <c r="F805" s="245"/>
      <c r="G805" s="26"/>
      <c r="H805" s="64"/>
      <c r="I805" s="27"/>
      <c r="J805" s="27"/>
      <c r="K805" s="245"/>
      <c r="L805" s="26"/>
      <c r="M805" s="26"/>
      <c r="N805" s="65"/>
      <c r="AT805" s="26"/>
    </row>
    <row r="806" spans="2:46" ht="15">
      <c r="B806" s="26"/>
      <c r="C806" s="26"/>
      <c r="D806" s="26"/>
      <c r="E806" s="26"/>
      <c r="F806" s="245"/>
      <c r="G806" s="26"/>
      <c r="H806" s="64"/>
      <c r="I806" s="27"/>
      <c r="J806" s="27"/>
      <c r="K806" s="245"/>
      <c r="L806" s="26"/>
      <c r="M806" s="26"/>
      <c r="N806" s="65"/>
      <c r="AT806" s="26"/>
    </row>
    <row r="807" spans="2:46" ht="15">
      <c r="B807" s="26"/>
      <c r="C807" s="26"/>
      <c r="D807" s="26"/>
      <c r="E807" s="26"/>
      <c r="F807" s="245"/>
      <c r="G807" s="26"/>
      <c r="H807" s="64"/>
      <c r="I807" s="27"/>
      <c r="J807" s="27"/>
      <c r="K807" s="245"/>
      <c r="L807" s="26"/>
      <c r="M807" s="26"/>
      <c r="N807" s="65"/>
      <c r="AT807" s="26"/>
    </row>
    <row r="808" spans="2:46" ht="15">
      <c r="B808" s="26"/>
      <c r="C808" s="26"/>
      <c r="D808" s="26"/>
      <c r="E808" s="26"/>
      <c r="F808" s="245"/>
      <c r="G808" s="26"/>
      <c r="H808" s="64"/>
      <c r="I808" s="27"/>
      <c r="J808" s="27"/>
      <c r="K808" s="245"/>
      <c r="L808" s="26"/>
      <c r="M808" s="26"/>
      <c r="N808" s="65"/>
      <c r="AT808" s="26"/>
    </row>
    <row r="809" spans="2:46" ht="15">
      <c r="B809" s="26"/>
      <c r="C809" s="26"/>
      <c r="D809" s="26"/>
      <c r="E809" s="26"/>
      <c r="F809" s="245"/>
      <c r="G809" s="26"/>
      <c r="H809" s="64"/>
      <c r="I809" s="27"/>
      <c r="J809" s="27"/>
      <c r="K809" s="245"/>
      <c r="L809" s="26"/>
      <c r="M809" s="26"/>
      <c r="N809" s="65"/>
      <c r="AT809" s="26"/>
    </row>
    <row r="810" spans="2:46" ht="15">
      <c r="B810" s="26"/>
      <c r="C810" s="26"/>
      <c r="D810" s="26"/>
      <c r="E810" s="26"/>
      <c r="F810" s="245"/>
      <c r="G810" s="26"/>
      <c r="H810" s="64"/>
      <c r="I810" s="27"/>
      <c r="J810" s="27"/>
      <c r="K810" s="245"/>
      <c r="L810" s="26"/>
      <c r="M810" s="26"/>
      <c r="N810" s="65"/>
      <c r="AT810" s="26"/>
    </row>
    <row r="811" spans="2:46" ht="15">
      <c r="B811" s="26"/>
      <c r="C811" s="26"/>
      <c r="D811" s="26"/>
      <c r="E811" s="26"/>
      <c r="F811" s="245"/>
      <c r="G811" s="26"/>
      <c r="H811" s="64"/>
      <c r="I811" s="27"/>
      <c r="J811" s="27"/>
      <c r="K811" s="245"/>
      <c r="L811" s="26"/>
      <c r="M811" s="26"/>
      <c r="N811" s="65"/>
      <c r="AT811" s="26"/>
    </row>
    <row r="812" spans="2:46" ht="15">
      <c r="B812" s="26"/>
      <c r="C812" s="26"/>
      <c r="D812" s="26"/>
      <c r="E812" s="26"/>
      <c r="F812" s="245"/>
      <c r="G812" s="26"/>
      <c r="H812" s="64"/>
      <c r="I812" s="27"/>
      <c r="J812" s="27"/>
      <c r="K812" s="245"/>
      <c r="L812" s="26"/>
      <c r="M812" s="26"/>
      <c r="N812" s="65"/>
      <c r="AT812" s="26"/>
    </row>
    <row r="813" spans="2:46" ht="15">
      <c r="B813" s="26"/>
      <c r="C813" s="26"/>
      <c r="D813" s="26"/>
      <c r="E813" s="26"/>
      <c r="F813" s="245"/>
      <c r="G813" s="26"/>
      <c r="H813" s="64"/>
      <c r="I813" s="27"/>
      <c r="J813" s="27"/>
      <c r="K813" s="245"/>
      <c r="L813" s="26"/>
      <c r="M813" s="26"/>
      <c r="N813" s="65"/>
      <c r="AT813" s="26"/>
    </row>
    <row r="814" spans="2:46" ht="15">
      <c r="B814" s="26"/>
      <c r="C814" s="26"/>
      <c r="D814" s="26"/>
      <c r="E814" s="26"/>
      <c r="F814" s="245"/>
      <c r="G814" s="26"/>
      <c r="H814" s="64"/>
      <c r="I814" s="27"/>
      <c r="J814" s="27"/>
      <c r="K814" s="245"/>
      <c r="L814" s="26"/>
      <c r="M814" s="26"/>
      <c r="N814" s="65"/>
      <c r="AT814" s="26"/>
    </row>
    <row r="815" spans="2:46" ht="15">
      <c r="B815" s="26"/>
      <c r="C815" s="26"/>
      <c r="D815" s="26"/>
      <c r="E815" s="26"/>
      <c r="F815" s="245"/>
      <c r="G815" s="26"/>
      <c r="H815" s="64"/>
      <c r="I815" s="27"/>
      <c r="J815" s="27"/>
      <c r="K815" s="245"/>
      <c r="L815" s="26"/>
      <c r="M815" s="26"/>
      <c r="N815" s="65"/>
      <c r="AT815" s="26"/>
    </row>
    <row r="816" spans="2:46" ht="15">
      <c r="B816" s="26"/>
      <c r="C816" s="26"/>
      <c r="D816" s="26"/>
      <c r="E816" s="26"/>
      <c r="F816" s="245"/>
      <c r="G816" s="26"/>
      <c r="H816" s="64"/>
      <c r="I816" s="27"/>
      <c r="J816" s="27"/>
      <c r="K816" s="245"/>
      <c r="L816" s="26"/>
      <c r="M816" s="26"/>
      <c r="N816" s="65"/>
      <c r="AT816" s="26"/>
    </row>
    <row r="817" spans="2:46" ht="15">
      <c r="B817" s="26"/>
      <c r="C817" s="26"/>
      <c r="D817" s="26"/>
      <c r="E817" s="26"/>
      <c r="F817" s="245"/>
      <c r="G817" s="26"/>
      <c r="H817" s="64"/>
      <c r="I817" s="27"/>
      <c r="J817" s="27"/>
      <c r="K817" s="245"/>
      <c r="L817" s="26"/>
      <c r="M817" s="26"/>
      <c r="N817" s="65"/>
      <c r="AT817" s="26"/>
    </row>
    <row r="818" spans="2:46" ht="15">
      <c r="B818" s="26"/>
      <c r="C818" s="26"/>
      <c r="D818" s="26"/>
      <c r="E818" s="26"/>
      <c r="F818" s="245"/>
      <c r="G818" s="26"/>
      <c r="H818" s="64"/>
      <c r="I818" s="27"/>
      <c r="J818" s="27"/>
      <c r="K818" s="245"/>
      <c r="L818" s="26"/>
      <c r="M818" s="26"/>
      <c r="N818" s="65"/>
      <c r="AT818" s="26"/>
    </row>
    <row r="819" spans="2:46" ht="15">
      <c r="B819" s="26"/>
      <c r="C819" s="26"/>
      <c r="D819" s="26"/>
      <c r="E819" s="26"/>
      <c r="F819" s="245"/>
      <c r="G819" s="26"/>
      <c r="H819" s="64"/>
      <c r="I819" s="27"/>
      <c r="J819" s="27"/>
      <c r="K819" s="245"/>
      <c r="L819" s="26"/>
      <c r="M819" s="26"/>
      <c r="N819" s="65"/>
      <c r="AT819" s="26"/>
    </row>
    <row r="820" spans="2:46" ht="15">
      <c r="B820" s="26"/>
      <c r="C820" s="26"/>
      <c r="D820" s="26"/>
      <c r="E820" s="26"/>
      <c r="F820" s="245"/>
      <c r="G820" s="26"/>
      <c r="H820" s="64"/>
      <c r="I820" s="27"/>
      <c r="J820" s="27"/>
      <c r="K820" s="245"/>
      <c r="L820" s="26"/>
      <c r="M820" s="26"/>
      <c r="N820" s="65"/>
      <c r="AT820" s="26"/>
    </row>
    <row r="821" spans="2:46" ht="15">
      <c r="B821" s="26"/>
      <c r="C821" s="26"/>
      <c r="D821" s="26"/>
      <c r="E821" s="26"/>
      <c r="F821" s="245"/>
      <c r="G821" s="26"/>
      <c r="H821" s="64"/>
      <c r="I821" s="27"/>
      <c r="J821" s="27"/>
      <c r="K821" s="245"/>
      <c r="L821" s="26"/>
      <c r="M821" s="26"/>
      <c r="N821" s="65"/>
      <c r="AT821" s="26"/>
    </row>
    <row r="822" spans="2:46" ht="15">
      <c r="B822" s="26"/>
      <c r="C822" s="26"/>
      <c r="D822" s="26"/>
      <c r="E822" s="26"/>
      <c r="F822" s="245"/>
      <c r="G822" s="26"/>
      <c r="H822" s="64"/>
      <c r="I822" s="27"/>
      <c r="J822" s="27"/>
      <c r="K822" s="245"/>
      <c r="L822" s="26"/>
      <c r="M822" s="26"/>
      <c r="N822" s="65"/>
      <c r="AT822" s="26"/>
    </row>
    <row r="823" spans="2:46" ht="15">
      <c r="B823" s="26"/>
      <c r="C823" s="26"/>
      <c r="D823" s="26"/>
      <c r="E823" s="26"/>
      <c r="F823" s="245"/>
      <c r="G823" s="26"/>
      <c r="H823" s="64"/>
      <c r="I823" s="27"/>
      <c r="J823" s="27"/>
      <c r="K823" s="245"/>
      <c r="L823" s="26"/>
      <c r="M823" s="26"/>
      <c r="N823" s="65"/>
      <c r="AT823" s="26"/>
    </row>
    <row r="824" spans="2:46" ht="15">
      <c r="B824" s="26"/>
      <c r="C824" s="26"/>
      <c r="D824" s="26"/>
      <c r="E824" s="26"/>
      <c r="F824" s="245"/>
      <c r="G824" s="26"/>
      <c r="H824" s="64"/>
      <c r="I824" s="27"/>
      <c r="J824" s="27"/>
      <c r="K824" s="245"/>
      <c r="L824" s="26"/>
      <c r="M824" s="26"/>
      <c r="N824" s="65"/>
      <c r="AT824" s="26"/>
    </row>
    <row r="825" spans="2:46" ht="15">
      <c r="B825" s="26"/>
      <c r="C825" s="26"/>
      <c r="D825" s="26"/>
      <c r="E825" s="26"/>
      <c r="F825" s="245"/>
      <c r="G825" s="26"/>
      <c r="H825" s="64"/>
      <c r="I825" s="27"/>
      <c r="J825" s="27"/>
      <c r="K825" s="245"/>
      <c r="L825" s="26"/>
      <c r="M825" s="26"/>
      <c r="N825" s="65"/>
      <c r="AT825" s="26"/>
    </row>
    <row r="826" spans="2:46" ht="15">
      <c r="B826" s="26"/>
      <c r="C826" s="26"/>
      <c r="D826" s="26"/>
      <c r="E826" s="26"/>
      <c r="F826" s="245"/>
      <c r="G826" s="26"/>
      <c r="H826" s="64"/>
      <c r="I826" s="27"/>
      <c r="J826" s="27"/>
      <c r="K826" s="245"/>
      <c r="L826" s="26"/>
      <c r="M826" s="26"/>
      <c r="N826" s="65"/>
      <c r="AT826" s="26"/>
    </row>
    <row r="827" spans="2:46" ht="15">
      <c r="B827" s="26"/>
      <c r="C827" s="26"/>
      <c r="D827" s="26"/>
      <c r="E827" s="26"/>
      <c r="F827" s="245"/>
      <c r="G827" s="26"/>
      <c r="H827" s="64"/>
      <c r="I827" s="27"/>
      <c r="J827" s="27"/>
      <c r="K827" s="245"/>
      <c r="L827" s="26"/>
      <c r="M827" s="26"/>
      <c r="N827" s="65"/>
      <c r="AT827" s="26"/>
    </row>
    <row r="828" spans="2:46" ht="15">
      <c r="B828" s="26"/>
      <c r="C828" s="26"/>
      <c r="D828" s="26"/>
      <c r="E828" s="26"/>
      <c r="F828" s="245"/>
      <c r="G828" s="26"/>
      <c r="H828" s="64"/>
      <c r="I828" s="27"/>
      <c r="J828" s="27"/>
      <c r="K828" s="245"/>
      <c r="L828" s="26"/>
      <c r="M828" s="26"/>
      <c r="N828" s="65"/>
      <c r="AT828" s="26"/>
    </row>
    <row r="829" spans="2:46" ht="15">
      <c r="B829" s="26"/>
      <c r="C829" s="26"/>
      <c r="D829" s="26"/>
      <c r="E829" s="26"/>
      <c r="F829" s="245"/>
      <c r="G829" s="26"/>
      <c r="H829" s="64"/>
      <c r="I829" s="27"/>
      <c r="J829" s="27"/>
      <c r="K829" s="245"/>
      <c r="L829" s="26"/>
      <c r="M829" s="26"/>
      <c r="N829" s="65"/>
      <c r="AT829" s="26"/>
    </row>
    <row r="830" spans="2:46" ht="15">
      <c r="B830" s="26"/>
      <c r="C830" s="26"/>
      <c r="D830" s="26"/>
      <c r="E830" s="26"/>
      <c r="F830" s="245"/>
      <c r="G830" s="26"/>
      <c r="H830" s="64"/>
      <c r="I830" s="27"/>
      <c r="J830" s="27"/>
      <c r="K830" s="245"/>
      <c r="L830" s="26"/>
      <c r="M830" s="26"/>
      <c r="N830" s="65"/>
      <c r="AT830" s="26"/>
    </row>
    <row r="831" spans="2:46" ht="15">
      <c r="B831" s="26"/>
      <c r="C831" s="26"/>
      <c r="D831" s="26"/>
      <c r="E831" s="26"/>
      <c r="F831" s="245"/>
      <c r="G831" s="26"/>
      <c r="H831" s="64"/>
      <c r="I831" s="27"/>
      <c r="J831" s="27"/>
      <c r="K831" s="245"/>
      <c r="L831" s="26"/>
      <c r="M831" s="26"/>
      <c r="N831" s="65"/>
      <c r="AT831" s="26"/>
    </row>
    <row r="832" spans="2:46" ht="15">
      <c r="B832" s="26"/>
      <c r="C832" s="26"/>
      <c r="D832" s="26"/>
      <c r="E832" s="26"/>
      <c r="F832" s="245"/>
      <c r="G832" s="26"/>
      <c r="H832" s="64"/>
      <c r="I832" s="27"/>
      <c r="J832" s="27"/>
      <c r="K832" s="245"/>
      <c r="L832" s="26"/>
      <c r="M832" s="26"/>
      <c r="N832" s="65"/>
      <c r="AT832" s="26"/>
    </row>
    <row r="833" spans="2:46" ht="15">
      <c r="B833" s="26"/>
      <c r="C833" s="26"/>
      <c r="D833" s="26"/>
      <c r="E833" s="26"/>
      <c r="F833" s="245"/>
      <c r="G833" s="26"/>
      <c r="H833" s="64"/>
      <c r="I833" s="27"/>
      <c r="J833" s="27"/>
      <c r="K833" s="245"/>
      <c r="L833" s="26"/>
      <c r="M833" s="26"/>
      <c r="N833" s="65"/>
      <c r="AT833" s="26"/>
    </row>
    <row r="834" spans="2:46" ht="15">
      <c r="B834" s="26"/>
      <c r="C834" s="26"/>
      <c r="D834" s="26"/>
      <c r="E834" s="26"/>
      <c r="F834" s="245"/>
      <c r="G834" s="26"/>
      <c r="H834" s="64"/>
      <c r="I834" s="27"/>
      <c r="J834" s="27"/>
      <c r="K834" s="245"/>
      <c r="L834" s="26"/>
      <c r="M834" s="26"/>
      <c r="N834" s="65"/>
      <c r="AT834" s="26"/>
    </row>
    <row r="835" spans="2:46" ht="15">
      <c r="B835" s="26"/>
      <c r="C835" s="26"/>
      <c r="D835" s="26"/>
      <c r="E835" s="26"/>
      <c r="F835" s="245"/>
      <c r="G835" s="26"/>
      <c r="H835" s="64"/>
      <c r="I835" s="27"/>
      <c r="J835" s="27"/>
      <c r="K835" s="245"/>
      <c r="L835" s="26"/>
      <c r="M835" s="26"/>
      <c r="N835" s="65"/>
      <c r="AT835" s="26"/>
    </row>
    <row r="836" spans="2:46" ht="15">
      <c r="B836" s="26"/>
      <c r="C836" s="26"/>
      <c r="D836" s="26"/>
      <c r="E836" s="26"/>
      <c r="F836" s="245"/>
      <c r="G836" s="26"/>
      <c r="H836" s="64"/>
      <c r="I836" s="27"/>
      <c r="J836" s="27"/>
      <c r="K836" s="245"/>
      <c r="L836" s="26"/>
      <c r="M836" s="26"/>
      <c r="N836" s="65"/>
      <c r="AT836" s="26"/>
    </row>
    <row r="837" spans="2:46" ht="15">
      <c r="B837" s="26"/>
      <c r="C837" s="26"/>
      <c r="D837" s="26"/>
      <c r="E837" s="26"/>
      <c r="F837" s="245"/>
      <c r="G837" s="26"/>
      <c r="H837" s="64"/>
      <c r="I837" s="27"/>
      <c r="J837" s="27"/>
      <c r="K837" s="245"/>
      <c r="L837" s="26"/>
      <c r="M837" s="26"/>
      <c r="N837" s="65"/>
      <c r="AT837" s="26"/>
    </row>
    <row r="838" spans="2:46" ht="15">
      <c r="B838" s="26"/>
      <c r="C838" s="26"/>
      <c r="D838" s="26"/>
      <c r="E838" s="26"/>
      <c r="F838" s="245"/>
      <c r="G838" s="26"/>
      <c r="H838" s="64"/>
      <c r="I838" s="27"/>
      <c r="J838" s="27"/>
      <c r="K838" s="245"/>
      <c r="L838" s="26"/>
      <c r="M838" s="26"/>
      <c r="N838" s="65"/>
      <c r="AT838" s="26"/>
    </row>
    <row r="839" spans="2:46" ht="15">
      <c r="B839" s="26"/>
      <c r="C839" s="26"/>
      <c r="D839" s="26"/>
      <c r="E839" s="26"/>
      <c r="F839" s="245"/>
      <c r="G839" s="26"/>
      <c r="H839" s="64"/>
      <c r="I839" s="27"/>
      <c r="J839" s="27"/>
      <c r="K839" s="245"/>
      <c r="L839" s="26"/>
      <c r="M839" s="26"/>
      <c r="N839" s="65"/>
      <c r="AT839" s="26"/>
    </row>
    <row r="840" spans="2:46" ht="15">
      <c r="B840" s="26"/>
      <c r="C840" s="26"/>
      <c r="D840" s="26"/>
      <c r="E840" s="26"/>
      <c r="F840" s="245"/>
      <c r="G840" s="26"/>
      <c r="H840" s="64"/>
      <c r="I840" s="27"/>
      <c r="J840" s="27"/>
      <c r="K840" s="245"/>
      <c r="L840" s="26"/>
      <c r="M840" s="26"/>
      <c r="N840" s="65"/>
      <c r="AT840" s="26"/>
    </row>
    <row r="841" spans="2:46" ht="15">
      <c r="B841" s="26"/>
      <c r="C841" s="26"/>
      <c r="D841" s="26"/>
      <c r="E841" s="26"/>
      <c r="F841" s="245"/>
      <c r="G841" s="26"/>
      <c r="H841" s="64"/>
      <c r="I841" s="27"/>
      <c r="J841" s="27"/>
      <c r="K841" s="245"/>
      <c r="L841" s="26"/>
      <c r="M841" s="26"/>
      <c r="N841" s="65"/>
      <c r="AT841" s="26"/>
    </row>
    <row r="842" spans="2:46" ht="15">
      <c r="B842" s="26"/>
      <c r="C842" s="26"/>
      <c r="D842" s="26"/>
      <c r="E842" s="26"/>
      <c r="F842" s="245"/>
      <c r="G842" s="26"/>
      <c r="H842" s="64"/>
      <c r="I842" s="27"/>
      <c r="J842" s="27"/>
      <c r="K842" s="245"/>
      <c r="L842" s="26"/>
      <c r="M842" s="26"/>
      <c r="N842" s="65"/>
      <c r="AT842" s="26"/>
    </row>
    <row r="843" spans="2:46" ht="15">
      <c r="B843" s="26"/>
      <c r="C843" s="26"/>
      <c r="D843" s="26"/>
      <c r="E843" s="26"/>
      <c r="F843" s="245"/>
      <c r="G843" s="26"/>
      <c r="H843" s="64"/>
      <c r="I843" s="27"/>
      <c r="J843" s="27"/>
      <c r="K843" s="245"/>
      <c r="L843" s="26"/>
      <c r="M843" s="26"/>
      <c r="N843" s="65"/>
      <c r="AT843" s="26"/>
    </row>
    <row r="844" spans="2:46" ht="15">
      <c r="B844" s="26"/>
      <c r="C844" s="26"/>
      <c r="D844" s="26"/>
      <c r="E844" s="26"/>
      <c r="F844" s="245"/>
      <c r="G844" s="26"/>
      <c r="H844" s="64"/>
      <c r="I844" s="27"/>
      <c r="J844" s="27"/>
      <c r="K844" s="245"/>
      <c r="L844" s="26"/>
      <c r="M844" s="26"/>
      <c r="N844" s="65"/>
      <c r="AT844" s="26"/>
    </row>
    <row r="845" spans="2:46" ht="15">
      <c r="B845" s="26"/>
      <c r="C845" s="26"/>
      <c r="D845" s="26"/>
      <c r="E845" s="26"/>
      <c r="F845" s="245"/>
      <c r="G845" s="26"/>
      <c r="H845" s="64"/>
      <c r="I845" s="27"/>
      <c r="J845" s="27"/>
      <c r="K845" s="245"/>
      <c r="L845" s="26"/>
      <c r="M845" s="26"/>
      <c r="N845" s="65"/>
      <c r="AT845" s="26"/>
    </row>
    <row r="846" spans="2:46" ht="15">
      <c r="B846" s="26"/>
      <c r="C846" s="26"/>
      <c r="D846" s="26"/>
      <c r="E846" s="26"/>
      <c r="F846" s="245"/>
      <c r="G846" s="26"/>
      <c r="H846" s="64"/>
      <c r="I846" s="27"/>
      <c r="J846" s="27"/>
      <c r="K846" s="245"/>
      <c r="L846" s="26"/>
      <c r="M846" s="26"/>
      <c r="N846" s="65"/>
      <c r="AT846" s="26"/>
    </row>
    <row r="847" spans="2:46" ht="15">
      <c r="B847" s="26"/>
      <c r="C847" s="26"/>
      <c r="D847" s="26"/>
      <c r="E847" s="26"/>
      <c r="F847" s="245"/>
      <c r="G847" s="26"/>
      <c r="H847" s="64"/>
      <c r="I847" s="27"/>
      <c r="J847" s="27"/>
      <c r="K847" s="245"/>
      <c r="L847" s="26"/>
      <c r="M847" s="26"/>
      <c r="N847" s="65"/>
      <c r="AT847" s="26"/>
    </row>
    <row r="848" spans="2:46" ht="15">
      <c r="B848" s="26"/>
      <c r="C848" s="26"/>
      <c r="D848" s="26"/>
      <c r="E848" s="26"/>
      <c r="F848" s="245"/>
      <c r="G848" s="26"/>
      <c r="H848" s="64"/>
      <c r="I848" s="27"/>
      <c r="J848" s="27"/>
      <c r="K848" s="245"/>
      <c r="L848" s="26"/>
      <c r="M848" s="26"/>
      <c r="N848" s="65"/>
      <c r="AT848" s="26"/>
    </row>
    <row r="849" spans="2:46" ht="15">
      <c r="B849" s="26"/>
      <c r="C849" s="26"/>
      <c r="D849" s="26"/>
      <c r="E849" s="26"/>
      <c r="F849" s="245"/>
      <c r="G849" s="26"/>
      <c r="H849" s="64"/>
      <c r="I849" s="27"/>
      <c r="J849" s="27"/>
      <c r="K849" s="245"/>
      <c r="L849" s="26"/>
      <c r="M849" s="26"/>
      <c r="N849" s="65"/>
      <c r="AT849" s="26"/>
    </row>
    <row r="850" spans="2:46" ht="15">
      <c r="B850" s="26"/>
      <c r="C850" s="26"/>
      <c r="D850" s="26"/>
      <c r="E850" s="26"/>
      <c r="F850" s="245"/>
      <c r="G850" s="26"/>
      <c r="H850" s="64"/>
      <c r="I850" s="27"/>
      <c r="J850" s="27"/>
      <c r="K850" s="245"/>
      <c r="L850" s="26"/>
      <c r="M850" s="26"/>
      <c r="N850" s="65"/>
      <c r="AT850" s="26"/>
    </row>
    <row r="851" spans="2:46" ht="15">
      <c r="B851" s="26"/>
      <c r="C851" s="26"/>
      <c r="D851" s="26"/>
      <c r="E851" s="26"/>
      <c r="F851" s="245"/>
      <c r="G851" s="26"/>
      <c r="H851" s="64"/>
      <c r="I851" s="27"/>
      <c r="J851" s="27"/>
      <c r="K851" s="245"/>
      <c r="L851" s="26"/>
      <c r="M851" s="26"/>
      <c r="N851" s="65"/>
      <c r="AT851" s="26"/>
    </row>
    <row r="852" spans="2:46" ht="15">
      <c r="B852" s="26"/>
      <c r="C852" s="26"/>
      <c r="D852" s="26"/>
      <c r="E852" s="26"/>
      <c r="F852" s="245"/>
      <c r="G852" s="26"/>
      <c r="H852" s="64"/>
      <c r="I852" s="27"/>
      <c r="J852" s="27"/>
      <c r="K852" s="245"/>
      <c r="L852" s="26"/>
      <c r="M852" s="26"/>
      <c r="N852" s="65"/>
      <c r="AT852" s="26"/>
    </row>
    <row r="853" spans="2:46" ht="15">
      <c r="B853" s="26"/>
      <c r="C853" s="26"/>
      <c r="D853" s="26"/>
      <c r="E853" s="26"/>
      <c r="F853" s="245"/>
      <c r="G853" s="26"/>
      <c r="H853" s="64"/>
      <c r="I853" s="27"/>
      <c r="J853" s="27"/>
      <c r="K853" s="245"/>
      <c r="L853" s="26"/>
      <c r="M853" s="26"/>
      <c r="N853" s="65"/>
      <c r="AT853" s="26"/>
    </row>
    <row r="854" spans="2:46" ht="15">
      <c r="B854" s="26"/>
      <c r="C854" s="26"/>
      <c r="D854" s="26"/>
      <c r="E854" s="26"/>
      <c r="F854" s="245"/>
      <c r="G854" s="26"/>
      <c r="H854" s="64"/>
      <c r="I854" s="27"/>
      <c r="J854" s="27"/>
      <c r="K854" s="245"/>
      <c r="L854" s="26"/>
      <c r="M854" s="26"/>
      <c r="N854" s="65"/>
      <c r="AT854" s="26"/>
    </row>
    <row r="855" spans="2:46" ht="15">
      <c r="B855" s="26"/>
      <c r="C855" s="26"/>
      <c r="D855" s="26"/>
      <c r="E855" s="26"/>
      <c r="F855" s="245"/>
      <c r="G855" s="26"/>
      <c r="H855" s="64"/>
      <c r="I855" s="27"/>
      <c r="J855" s="27"/>
      <c r="K855" s="245"/>
      <c r="L855" s="26"/>
      <c r="M855" s="26"/>
      <c r="N855" s="65"/>
      <c r="AT855" s="26"/>
    </row>
    <row r="856" spans="2:46" ht="15">
      <c r="B856" s="26"/>
      <c r="C856" s="26"/>
      <c r="D856" s="26"/>
      <c r="E856" s="26"/>
      <c r="F856" s="245"/>
      <c r="G856" s="26"/>
      <c r="H856" s="64"/>
      <c r="I856" s="27"/>
      <c r="J856" s="27"/>
      <c r="K856" s="245"/>
      <c r="L856" s="26"/>
      <c r="M856" s="26"/>
      <c r="N856" s="65"/>
      <c r="AT856" s="26"/>
    </row>
    <row r="857" spans="2:46" ht="15">
      <c r="B857" s="26"/>
      <c r="C857" s="26"/>
      <c r="D857" s="26"/>
      <c r="E857" s="26"/>
      <c r="F857" s="245"/>
      <c r="G857" s="26"/>
      <c r="H857" s="64"/>
      <c r="I857" s="27"/>
      <c r="J857" s="27"/>
      <c r="K857" s="245"/>
      <c r="L857" s="26"/>
      <c r="M857" s="26"/>
      <c r="N857" s="65"/>
      <c r="AT857" s="26"/>
    </row>
    <row r="858" spans="2:46" ht="15">
      <c r="B858" s="26"/>
      <c r="C858" s="26"/>
      <c r="D858" s="26"/>
      <c r="E858" s="26"/>
      <c r="F858" s="245"/>
      <c r="G858" s="26"/>
      <c r="H858" s="64"/>
      <c r="I858" s="27"/>
      <c r="J858" s="27"/>
      <c r="K858" s="245"/>
      <c r="L858" s="26"/>
      <c r="M858" s="26"/>
      <c r="N858" s="65"/>
      <c r="AT858" s="26"/>
    </row>
    <row r="859" spans="2:46" ht="15">
      <c r="B859" s="26"/>
      <c r="C859" s="26"/>
      <c r="D859" s="26"/>
      <c r="E859" s="26"/>
      <c r="F859" s="245"/>
      <c r="G859" s="26"/>
      <c r="H859" s="64"/>
      <c r="I859" s="27"/>
      <c r="J859" s="27"/>
      <c r="K859" s="245"/>
      <c r="L859" s="26"/>
      <c r="M859" s="26"/>
      <c r="N859" s="65"/>
      <c r="AT859" s="26"/>
    </row>
    <row r="860" spans="2:46" ht="15">
      <c r="B860" s="26"/>
      <c r="C860" s="26"/>
      <c r="D860" s="26"/>
      <c r="E860" s="26"/>
      <c r="F860" s="245"/>
      <c r="G860" s="26"/>
      <c r="H860" s="64"/>
      <c r="I860" s="27"/>
      <c r="J860" s="27"/>
      <c r="K860" s="245"/>
      <c r="L860" s="26"/>
      <c r="M860" s="26"/>
      <c r="N860" s="65"/>
      <c r="AT860" s="26"/>
    </row>
    <row r="861" spans="2:46" ht="15">
      <c r="B861" s="26"/>
      <c r="C861" s="26"/>
      <c r="D861" s="26"/>
      <c r="E861" s="26"/>
      <c r="F861" s="245"/>
      <c r="G861" s="26"/>
      <c r="H861" s="64"/>
      <c r="I861" s="27"/>
      <c r="J861" s="27"/>
      <c r="K861" s="245"/>
      <c r="L861" s="26"/>
      <c r="M861" s="26"/>
      <c r="N861" s="65"/>
      <c r="AT861" s="26"/>
    </row>
    <row r="862" spans="2:46" ht="15">
      <c r="B862" s="26"/>
      <c r="C862" s="26"/>
      <c r="D862" s="26"/>
      <c r="E862" s="26"/>
      <c r="F862" s="245"/>
      <c r="G862" s="26"/>
      <c r="H862" s="64"/>
      <c r="I862" s="27"/>
      <c r="J862" s="27"/>
      <c r="K862" s="245"/>
      <c r="L862" s="26"/>
      <c r="M862" s="26"/>
      <c r="N862" s="65"/>
      <c r="AT862" s="26"/>
    </row>
    <row r="863" spans="2:46" ht="15">
      <c r="B863" s="26"/>
      <c r="C863" s="26"/>
      <c r="D863" s="26"/>
      <c r="E863" s="26"/>
      <c r="F863" s="245"/>
      <c r="G863" s="26"/>
      <c r="H863" s="64"/>
      <c r="I863" s="27"/>
      <c r="J863" s="27"/>
      <c r="K863" s="245"/>
      <c r="L863" s="26"/>
      <c r="M863" s="26"/>
      <c r="N863" s="65"/>
      <c r="AT863" s="26"/>
    </row>
    <row r="864" spans="2:46" ht="15">
      <c r="B864" s="26"/>
      <c r="C864" s="26"/>
      <c r="D864" s="26"/>
      <c r="E864" s="26"/>
      <c r="F864" s="245"/>
      <c r="G864" s="26"/>
      <c r="H864" s="64"/>
      <c r="I864" s="27"/>
      <c r="J864" s="27"/>
      <c r="K864" s="245"/>
      <c r="L864" s="26"/>
      <c r="M864" s="26"/>
      <c r="N864" s="65"/>
      <c r="AT864" s="26"/>
    </row>
    <row r="865" spans="2:46" ht="15">
      <c r="B865" s="26"/>
      <c r="C865" s="26"/>
      <c r="D865" s="26"/>
      <c r="E865" s="26"/>
      <c r="F865" s="245"/>
      <c r="G865" s="26"/>
      <c r="H865" s="64"/>
      <c r="I865" s="27"/>
      <c r="J865" s="27"/>
      <c r="K865" s="245"/>
      <c r="L865" s="26"/>
      <c r="M865" s="26"/>
      <c r="N865" s="65"/>
      <c r="AT865" s="26"/>
    </row>
    <row r="866" spans="2:46" ht="15">
      <c r="B866" s="26"/>
      <c r="C866" s="26"/>
      <c r="D866" s="26"/>
      <c r="E866" s="26"/>
      <c r="F866" s="245"/>
      <c r="G866" s="26"/>
      <c r="H866" s="64"/>
      <c r="I866" s="27"/>
      <c r="J866" s="27"/>
      <c r="K866" s="245"/>
      <c r="L866" s="26"/>
      <c r="M866" s="26"/>
      <c r="N866" s="65"/>
      <c r="AT866" s="26"/>
    </row>
    <row r="867" spans="2:46" ht="15">
      <c r="B867" s="26"/>
      <c r="C867" s="26"/>
      <c r="D867" s="26"/>
      <c r="E867" s="26"/>
      <c r="F867" s="245"/>
      <c r="G867" s="26"/>
      <c r="H867" s="64"/>
      <c r="I867" s="27"/>
      <c r="J867" s="27"/>
      <c r="K867" s="245"/>
      <c r="L867" s="26"/>
      <c r="M867" s="26"/>
      <c r="N867" s="65"/>
      <c r="AT867" s="26"/>
    </row>
    <row r="868" spans="2:46" ht="15">
      <c r="B868" s="26"/>
      <c r="C868" s="26"/>
      <c r="D868" s="26"/>
      <c r="E868" s="26"/>
      <c r="F868" s="245"/>
      <c r="G868" s="26"/>
      <c r="H868" s="64"/>
      <c r="I868" s="27"/>
      <c r="J868" s="27"/>
      <c r="K868" s="245"/>
      <c r="L868" s="26"/>
      <c r="M868" s="26"/>
      <c r="N868" s="65"/>
      <c r="AT868" s="26"/>
    </row>
    <row r="869" spans="2:46" ht="15">
      <c r="B869" s="26"/>
      <c r="C869" s="26"/>
      <c r="D869" s="26"/>
      <c r="E869" s="26"/>
      <c r="F869" s="245"/>
      <c r="G869" s="26"/>
      <c r="H869" s="64"/>
      <c r="I869" s="27"/>
      <c r="J869" s="27"/>
      <c r="K869" s="245"/>
      <c r="L869" s="26"/>
      <c r="M869" s="26"/>
      <c r="N869" s="65"/>
      <c r="AT869" s="26"/>
    </row>
    <row r="870" spans="2:46" ht="15">
      <c r="B870" s="26"/>
      <c r="C870" s="26"/>
      <c r="D870" s="26"/>
      <c r="E870" s="26"/>
      <c r="F870" s="245"/>
      <c r="G870" s="26"/>
      <c r="H870" s="64"/>
      <c r="I870" s="27"/>
      <c r="J870" s="27"/>
      <c r="K870" s="245"/>
      <c r="L870" s="26"/>
      <c r="M870" s="26"/>
      <c r="N870" s="65"/>
      <c r="AT870" s="26"/>
    </row>
    <row r="871" spans="2:46" ht="15">
      <c r="B871" s="26"/>
      <c r="C871" s="26"/>
      <c r="D871" s="26"/>
      <c r="E871" s="26"/>
      <c r="F871" s="245"/>
      <c r="G871" s="26"/>
      <c r="H871" s="64"/>
      <c r="I871" s="27"/>
      <c r="J871" s="27"/>
      <c r="K871" s="245"/>
      <c r="L871" s="26"/>
      <c r="M871" s="26"/>
      <c r="N871" s="65"/>
      <c r="AT871" s="26"/>
    </row>
    <row r="872" spans="2:46" ht="15">
      <c r="B872" s="26"/>
      <c r="C872" s="26"/>
      <c r="D872" s="26"/>
      <c r="E872" s="26"/>
      <c r="F872" s="245"/>
      <c r="G872" s="26"/>
      <c r="H872" s="64"/>
      <c r="I872" s="27"/>
      <c r="J872" s="27"/>
      <c r="K872" s="245"/>
      <c r="L872" s="26"/>
      <c r="M872" s="26"/>
      <c r="N872" s="65"/>
      <c r="AT872" s="26"/>
    </row>
    <row r="873" spans="2:46" ht="15">
      <c r="B873" s="26"/>
      <c r="C873" s="26"/>
      <c r="D873" s="26"/>
      <c r="E873" s="26"/>
      <c r="F873" s="245"/>
      <c r="G873" s="26"/>
      <c r="H873" s="64"/>
      <c r="I873" s="27"/>
      <c r="J873" s="27"/>
      <c r="K873" s="245"/>
      <c r="L873" s="26"/>
      <c r="M873" s="26"/>
      <c r="N873" s="65"/>
      <c r="AT873" s="26"/>
    </row>
    <row r="874" spans="2:46" ht="15">
      <c r="B874" s="26"/>
      <c r="C874" s="26"/>
      <c r="D874" s="26"/>
      <c r="E874" s="26"/>
      <c r="F874" s="245"/>
      <c r="G874" s="26"/>
      <c r="H874" s="64"/>
      <c r="I874" s="27"/>
      <c r="J874" s="27"/>
      <c r="K874" s="245"/>
      <c r="L874" s="26"/>
      <c r="M874" s="26"/>
      <c r="N874" s="65"/>
      <c r="AT874" s="26"/>
    </row>
    <row r="875" spans="2:46" ht="15">
      <c r="B875" s="26"/>
      <c r="C875" s="26"/>
      <c r="D875" s="26"/>
      <c r="E875" s="26"/>
      <c r="F875" s="245"/>
      <c r="G875" s="26"/>
      <c r="H875" s="64"/>
      <c r="I875" s="27"/>
      <c r="J875" s="27"/>
      <c r="K875" s="245"/>
      <c r="L875" s="26"/>
      <c r="M875" s="26"/>
      <c r="N875" s="65"/>
      <c r="AT875" s="26"/>
    </row>
    <row r="876" spans="2:46" ht="15">
      <c r="B876" s="26"/>
      <c r="C876" s="26"/>
      <c r="D876" s="26"/>
      <c r="E876" s="26"/>
      <c r="F876" s="245"/>
      <c r="G876" s="26"/>
      <c r="H876" s="64"/>
      <c r="I876" s="27"/>
      <c r="J876" s="27"/>
      <c r="K876" s="245"/>
      <c r="L876" s="26"/>
      <c r="M876" s="26"/>
      <c r="N876" s="65"/>
      <c r="AT876" s="26"/>
    </row>
    <row r="877" spans="2:46" ht="15">
      <c r="B877" s="26"/>
      <c r="C877" s="26"/>
      <c r="D877" s="26"/>
      <c r="E877" s="26"/>
      <c r="F877" s="245"/>
      <c r="G877" s="26"/>
      <c r="H877" s="64"/>
      <c r="I877" s="27"/>
      <c r="J877" s="27"/>
      <c r="K877" s="245"/>
      <c r="L877" s="26"/>
      <c r="M877" s="26"/>
      <c r="N877" s="65"/>
      <c r="AT877" s="26"/>
    </row>
    <row r="878" spans="2:46" ht="15">
      <c r="B878" s="26"/>
      <c r="C878" s="26"/>
      <c r="D878" s="26"/>
      <c r="E878" s="26"/>
      <c r="F878" s="245"/>
      <c r="G878" s="26"/>
      <c r="H878" s="64"/>
      <c r="I878" s="27"/>
      <c r="J878" s="27"/>
      <c r="K878" s="245"/>
      <c r="L878" s="26"/>
      <c r="M878" s="26"/>
      <c r="N878" s="65"/>
      <c r="AT878" s="26"/>
    </row>
    <row r="879" spans="2:46" ht="15">
      <c r="B879" s="26"/>
      <c r="C879" s="26"/>
      <c r="D879" s="26"/>
      <c r="E879" s="26"/>
      <c r="F879" s="245"/>
      <c r="G879" s="26"/>
      <c r="H879" s="64"/>
      <c r="I879" s="27"/>
      <c r="J879" s="27"/>
      <c r="K879" s="245"/>
      <c r="L879" s="26"/>
      <c r="M879" s="26"/>
      <c r="N879" s="65"/>
      <c r="AT879" s="26"/>
    </row>
    <row r="880" spans="2:46" ht="15">
      <c r="B880" s="26"/>
      <c r="C880" s="26"/>
      <c r="D880" s="26"/>
      <c r="E880" s="26"/>
      <c r="F880" s="245"/>
      <c r="G880" s="26"/>
      <c r="H880" s="64"/>
      <c r="I880" s="27"/>
      <c r="J880" s="27"/>
      <c r="K880" s="245"/>
      <c r="L880" s="26"/>
      <c r="M880" s="26"/>
      <c r="N880" s="65"/>
      <c r="AT880" s="26"/>
    </row>
    <row r="881" spans="2:46" ht="15">
      <c r="B881" s="26"/>
      <c r="C881" s="26"/>
      <c r="D881" s="26"/>
      <c r="E881" s="26"/>
      <c r="F881" s="245"/>
      <c r="G881" s="26"/>
      <c r="H881" s="64"/>
      <c r="I881" s="27"/>
      <c r="J881" s="27"/>
      <c r="K881" s="245"/>
      <c r="L881" s="26"/>
      <c r="M881" s="26"/>
      <c r="N881" s="65"/>
      <c r="AT881" s="26"/>
    </row>
    <row r="882" spans="2:46" ht="15">
      <c r="B882" s="26"/>
      <c r="C882" s="26"/>
      <c r="D882" s="26"/>
      <c r="E882" s="26"/>
      <c r="F882" s="245"/>
      <c r="G882" s="26"/>
      <c r="H882" s="64"/>
      <c r="I882" s="27"/>
      <c r="J882" s="27"/>
      <c r="K882" s="245"/>
      <c r="L882" s="26"/>
      <c r="M882" s="26"/>
      <c r="N882" s="65"/>
      <c r="AT882" s="26"/>
    </row>
    <row r="883" spans="2:46" ht="15">
      <c r="B883" s="26"/>
      <c r="C883" s="26"/>
      <c r="D883" s="26"/>
      <c r="E883" s="26"/>
      <c r="F883" s="245"/>
      <c r="G883" s="26"/>
      <c r="H883" s="64"/>
      <c r="I883" s="27"/>
      <c r="J883" s="27"/>
      <c r="K883" s="245"/>
      <c r="L883" s="26"/>
      <c r="M883" s="26"/>
      <c r="N883" s="65"/>
      <c r="AT883" s="26"/>
    </row>
    <row r="884" spans="2:46" ht="15">
      <c r="B884" s="26"/>
      <c r="C884" s="26"/>
      <c r="D884" s="26"/>
      <c r="E884" s="26"/>
      <c r="F884" s="245"/>
      <c r="G884" s="26"/>
      <c r="H884" s="64"/>
      <c r="I884" s="27"/>
      <c r="J884" s="27"/>
      <c r="K884" s="245"/>
      <c r="L884" s="26"/>
      <c r="M884" s="26"/>
      <c r="N884" s="65"/>
      <c r="AT884" s="26"/>
    </row>
    <row r="885" spans="2:46" ht="15">
      <c r="B885" s="26"/>
      <c r="C885" s="26"/>
      <c r="D885" s="26"/>
      <c r="E885" s="26"/>
      <c r="F885" s="245"/>
      <c r="G885" s="26"/>
      <c r="H885" s="64"/>
      <c r="I885" s="27"/>
      <c r="J885" s="27"/>
      <c r="K885" s="245"/>
      <c r="L885" s="26"/>
      <c r="M885" s="26"/>
      <c r="N885" s="65"/>
      <c r="AT885" s="26"/>
    </row>
    <row r="886" spans="2:46" ht="15">
      <c r="B886" s="26"/>
      <c r="C886" s="26"/>
      <c r="D886" s="26"/>
      <c r="E886" s="26"/>
      <c r="F886" s="245"/>
      <c r="G886" s="26"/>
      <c r="H886" s="64"/>
      <c r="I886" s="27"/>
      <c r="J886" s="27"/>
      <c r="K886" s="245"/>
      <c r="L886" s="26"/>
      <c r="M886" s="26"/>
      <c r="N886" s="65"/>
      <c r="AT886" s="26"/>
    </row>
    <row r="887" spans="2:46" ht="15">
      <c r="B887" s="26"/>
      <c r="C887" s="26"/>
      <c r="D887" s="26"/>
      <c r="E887" s="26"/>
      <c r="F887" s="245"/>
      <c r="G887" s="26"/>
      <c r="H887" s="64"/>
      <c r="I887" s="27"/>
      <c r="J887" s="27"/>
      <c r="K887" s="245"/>
      <c r="L887" s="26"/>
      <c r="M887" s="26"/>
      <c r="N887" s="65"/>
      <c r="AT887" s="26"/>
    </row>
    <row r="888" spans="2:46" ht="15">
      <c r="B888" s="26"/>
      <c r="C888" s="26"/>
      <c r="D888" s="26"/>
      <c r="E888" s="26"/>
      <c r="F888" s="245"/>
      <c r="G888" s="26"/>
      <c r="H888" s="64"/>
      <c r="I888" s="27"/>
      <c r="J888" s="27"/>
      <c r="K888" s="245"/>
      <c r="L888" s="26"/>
      <c r="M888" s="26"/>
      <c r="N888" s="65"/>
      <c r="AT888" s="26"/>
    </row>
    <row r="889" spans="2:46" ht="15">
      <c r="B889" s="26"/>
      <c r="C889" s="26"/>
      <c r="D889" s="26"/>
      <c r="E889" s="26"/>
      <c r="F889" s="245"/>
      <c r="G889" s="26"/>
      <c r="H889" s="64"/>
      <c r="I889" s="27"/>
      <c r="J889" s="27"/>
      <c r="K889" s="245"/>
      <c r="L889" s="26"/>
      <c r="M889" s="26"/>
      <c r="N889" s="65"/>
      <c r="AT889" s="26"/>
    </row>
    <row r="890" spans="2:46" ht="15">
      <c r="B890" s="26"/>
      <c r="C890" s="26"/>
      <c r="D890" s="26"/>
      <c r="E890" s="26"/>
      <c r="F890" s="245"/>
      <c r="G890" s="26"/>
      <c r="H890" s="64"/>
      <c r="I890" s="27"/>
      <c r="J890" s="27"/>
      <c r="K890" s="245"/>
      <c r="L890" s="26"/>
      <c r="M890" s="26"/>
      <c r="N890" s="65"/>
      <c r="AT890" s="26"/>
    </row>
    <row r="891" spans="2:46" ht="15">
      <c r="B891" s="26"/>
      <c r="C891" s="26"/>
      <c r="D891" s="26"/>
      <c r="E891" s="26"/>
      <c r="F891" s="245"/>
      <c r="G891" s="26"/>
      <c r="H891" s="64"/>
      <c r="I891" s="27"/>
      <c r="J891" s="27"/>
      <c r="K891" s="245"/>
      <c r="L891" s="26"/>
      <c r="M891" s="26"/>
      <c r="N891" s="65"/>
      <c r="AT891" s="26"/>
    </row>
    <row r="892" spans="2:46" ht="15">
      <c r="B892" s="26"/>
      <c r="C892" s="26"/>
      <c r="D892" s="26"/>
      <c r="E892" s="26"/>
      <c r="F892" s="245"/>
      <c r="G892" s="26"/>
      <c r="H892" s="64"/>
      <c r="I892" s="27"/>
      <c r="J892" s="27"/>
      <c r="K892" s="245"/>
      <c r="L892" s="26"/>
      <c r="M892" s="26"/>
      <c r="N892" s="65"/>
      <c r="AT892" s="26"/>
    </row>
    <row r="893" spans="2:46" ht="15">
      <c r="B893" s="26"/>
      <c r="C893" s="26"/>
      <c r="D893" s="26"/>
      <c r="E893" s="26"/>
      <c r="F893" s="245"/>
      <c r="G893" s="26"/>
      <c r="H893" s="64"/>
      <c r="I893" s="27"/>
      <c r="J893" s="27"/>
      <c r="K893" s="245"/>
      <c r="L893" s="26"/>
      <c r="M893" s="26"/>
      <c r="N893" s="65"/>
      <c r="AT893" s="26"/>
    </row>
    <row r="894" spans="2:46" ht="15">
      <c r="B894" s="26"/>
      <c r="C894" s="26"/>
      <c r="D894" s="26"/>
      <c r="E894" s="26"/>
      <c r="F894" s="245"/>
      <c r="G894" s="26"/>
      <c r="H894" s="64"/>
      <c r="I894" s="27"/>
      <c r="J894" s="27"/>
      <c r="K894" s="245"/>
      <c r="L894" s="26"/>
      <c r="M894" s="26"/>
      <c r="N894" s="65"/>
      <c r="AT894" s="26"/>
    </row>
    <row r="895" spans="2:46" ht="15">
      <c r="B895" s="26"/>
      <c r="C895" s="26"/>
      <c r="D895" s="26"/>
      <c r="E895" s="26"/>
      <c r="F895" s="245"/>
      <c r="G895" s="26"/>
      <c r="H895" s="64"/>
      <c r="I895" s="27"/>
      <c r="J895" s="27"/>
      <c r="K895" s="245"/>
      <c r="L895" s="26"/>
      <c r="M895" s="26"/>
      <c r="N895" s="65"/>
      <c r="AT895" s="26"/>
    </row>
    <row r="896" spans="2:46" ht="15">
      <c r="B896" s="26"/>
      <c r="C896" s="26"/>
      <c r="D896" s="26"/>
      <c r="E896" s="26"/>
      <c r="F896" s="245"/>
      <c r="G896" s="26"/>
      <c r="H896" s="64"/>
      <c r="I896" s="27"/>
      <c r="J896" s="27"/>
      <c r="K896" s="245"/>
      <c r="L896" s="26"/>
      <c r="M896" s="26"/>
      <c r="N896" s="65"/>
      <c r="AT896" s="26"/>
    </row>
    <row r="897" spans="2:46" ht="15">
      <c r="B897" s="26"/>
      <c r="C897" s="26"/>
      <c r="D897" s="26"/>
      <c r="E897" s="26"/>
      <c r="F897" s="245"/>
      <c r="G897" s="26"/>
      <c r="H897" s="64"/>
      <c r="I897" s="27"/>
      <c r="J897" s="27"/>
      <c r="K897" s="245"/>
      <c r="L897" s="26"/>
      <c r="M897" s="26"/>
      <c r="N897" s="65"/>
      <c r="AT897" s="26"/>
    </row>
    <row r="898" spans="2:46" ht="15">
      <c r="B898" s="26"/>
      <c r="C898" s="26"/>
      <c r="D898" s="26"/>
      <c r="E898" s="26"/>
      <c r="F898" s="245"/>
      <c r="G898" s="26"/>
      <c r="H898" s="64"/>
      <c r="I898" s="27"/>
      <c r="J898" s="27"/>
      <c r="K898" s="245"/>
      <c r="L898" s="26"/>
      <c r="M898" s="26"/>
      <c r="N898" s="65"/>
      <c r="AT898" s="26"/>
    </row>
    <row r="899" spans="2:46" ht="15">
      <c r="B899" s="26"/>
      <c r="C899" s="26"/>
      <c r="D899" s="26"/>
      <c r="E899" s="26"/>
      <c r="F899" s="245"/>
      <c r="G899" s="26"/>
      <c r="H899" s="64"/>
      <c r="I899" s="27"/>
      <c r="J899" s="27"/>
      <c r="K899" s="245"/>
      <c r="L899" s="26"/>
      <c r="M899" s="26"/>
      <c r="N899" s="65"/>
      <c r="AT899" s="26"/>
    </row>
    <row r="900" spans="2:46" ht="15">
      <c r="B900" s="26"/>
      <c r="C900" s="26"/>
      <c r="D900" s="26"/>
      <c r="E900" s="26"/>
      <c r="F900" s="245"/>
      <c r="G900" s="26"/>
      <c r="H900" s="64"/>
      <c r="I900" s="27"/>
      <c r="J900" s="27"/>
      <c r="K900" s="245"/>
      <c r="L900" s="26"/>
      <c r="M900" s="26"/>
      <c r="N900" s="65"/>
      <c r="AT900" s="26"/>
    </row>
    <row r="901" spans="2:46" ht="15">
      <c r="B901" s="26"/>
      <c r="C901" s="26"/>
      <c r="D901" s="26"/>
      <c r="E901" s="26"/>
      <c r="F901" s="245"/>
      <c r="G901" s="26"/>
      <c r="H901" s="64"/>
      <c r="I901" s="27"/>
      <c r="J901" s="27"/>
      <c r="K901" s="245"/>
      <c r="L901" s="26"/>
      <c r="M901" s="26"/>
      <c r="N901" s="65"/>
      <c r="AT901" s="26"/>
    </row>
    <row r="902" spans="2:46" ht="15">
      <c r="B902" s="26"/>
      <c r="C902" s="26"/>
      <c r="D902" s="26"/>
      <c r="E902" s="26"/>
      <c r="F902" s="245"/>
      <c r="G902" s="26"/>
      <c r="H902" s="64"/>
      <c r="I902" s="27"/>
      <c r="J902" s="27"/>
      <c r="K902" s="245"/>
      <c r="L902" s="26"/>
      <c r="M902" s="26"/>
      <c r="N902" s="65"/>
      <c r="AT902" s="26"/>
    </row>
    <row r="903" spans="2:46" ht="15">
      <c r="B903" s="26"/>
      <c r="C903" s="26"/>
      <c r="D903" s="26"/>
      <c r="E903" s="26"/>
      <c r="F903" s="245"/>
      <c r="G903" s="26"/>
      <c r="H903" s="64"/>
      <c r="I903" s="27"/>
      <c r="J903" s="27"/>
      <c r="K903" s="245"/>
      <c r="L903" s="26"/>
      <c r="M903" s="26"/>
      <c r="N903" s="65"/>
      <c r="AT903" s="26"/>
    </row>
    <row r="904" spans="2:46" ht="15">
      <c r="B904" s="26"/>
      <c r="C904" s="26"/>
      <c r="D904" s="26"/>
      <c r="E904" s="26"/>
      <c r="F904" s="245"/>
      <c r="G904" s="26"/>
      <c r="H904" s="64"/>
      <c r="I904" s="27"/>
      <c r="J904" s="27"/>
      <c r="K904" s="245"/>
      <c r="L904" s="26"/>
      <c r="M904" s="26"/>
      <c r="N904" s="65"/>
      <c r="AT904" s="26"/>
    </row>
    <row r="905" spans="2:46" ht="15">
      <c r="B905" s="26"/>
      <c r="C905" s="26"/>
      <c r="D905" s="26"/>
      <c r="E905" s="26"/>
      <c r="F905" s="245"/>
      <c r="G905" s="26"/>
      <c r="H905" s="64"/>
      <c r="I905" s="27"/>
      <c r="J905" s="27"/>
      <c r="K905" s="245"/>
      <c r="L905" s="26"/>
      <c r="M905" s="26"/>
      <c r="N905" s="65"/>
      <c r="AT905" s="26"/>
    </row>
    <row r="906" spans="2:46" ht="15">
      <c r="B906" s="26"/>
      <c r="C906" s="26"/>
      <c r="D906" s="26"/>
      <c r="E906" s="26"/>
      <c r="F906" s="245"/>
      <c r="G906" s="26"/>
      <c r="H906" s="64"/>
      <c r="I906" s="27"/>
      <c r="J906" s="27"/>
      <c r="K906" s="245"/>
      <c r="L906" s="26"/>
      <c r="M906" s="26"/>
      <c r="N906" s="65"/>
      <c r="AT906" s="26"/>
    </row>
    <row r="907" spans="2:46" ht="15">
      <c r="B907" s="26"/>
      <c r="C907" s="26"/>
      <c r="D907" s="26"/>
      <c r="E907" s="26"/>
      <c r="F907" s="245"/>
      <c r="G907" s="26"/>
      <c r="H907" s="64"/>
      <c r="I907" s="27"/>
      <c r="J907" s="27"/>
      <c r="K907" s="245"/>
      <c r="L907" s="26"/>
      <c r="M907" s="26"/>
      <c r="N907" s="65"/>
      <c r="AT907" s="26"/>
    </row>
    <row r="908" spans="2:46" ht="15">
      <c r="B908" s="26"/>
      <c r="C908" s="26"/>
      <c r="D908" s="26"/>
      <c r="E908" s="26"/>
      <c r="F908" s="245"/>
      <c r="G908" s="26"/>
      <c r="H908" s="64"/>
      <c r="I908" s="27"/>
      <c r="J908" s="27"/>
      <c r="K908" s="245"/>
      <c r="L908" s="26"/>
      <c r="M908" s="26"/>
      <c r="N908" s="65"/>
      <c r="AT908" s="26"/>
    </row>
    <row r="909" spans="2:46" ht="15">
      <c r="B909" s="26"/>
      <c r="C909" s="26"/>
      <c r="D909" s="26"/>
      <c r="E909" s="26"/>
      <c r="F909" s="245"/>
      <c r="G909" s="26"/>
      <c r="H909" s="64"/>
      <c r="I909" s="27"/>
      <c r="J909" s="27"/>
      <c r="K909" s="245"/>
      <c r="L909" s="26"/>
      <c r="M909" s="26"/>
      <c r="N909" s="65"/>
      <c r="AT909" s="26"/>
    </row>
    <row r="910" spans="2:46" ht="15">
      <c r="B910" s="26"/>
      <c r="C910" s="26"/>
      <c r="D910" s="26"/>
      <c r="E910" s="26"/>
      <c r="F910" s="245"/>
      <c r="G910" s="26"/>
      <c r="H910" s="64"/>
      <c r="I910" s="27"/>
      <c r="J910" s="27"/>
      <c r="K910" s="245"/>
      <c r="L910" s="26"/>
      <c r="M910" s="26"/>
      <c r="N910" s="65"/>
      <c r="AT910" s="26"/>
    </row>
    <row r="911" spans="2:46" ht="15">
      <c r="B911" s="26"/>
      <c r="C911" s="26"/>
      <c r="D911" s="26"/>
      <c r="E911" s="26"/>
      <c r="F911" s="245"/>
      <c r="G911" s="26"/>
      <c r="H911" s="64"/>
      <c r="I911" s="27"/>
      <c r="J911" s="27"/>
      <c r="K911" s="245"/>
      <c r="L911" s="26"/>
      <c r="M911" s="26"/>
      <c r="N911" s="65"/>
      <c r="AT911" s="26"/>
    </row>
    <row r="912" spans="2:46" ht="15">
      <c r="B912" s="26"/>
      <c r="C912" s="26"/>
      <c r="D912" s="26"/>
      <c r="E912" s="26"/>
      <c r="F912" s="245"/>
      <c r="G912" s="26"/>
      <c r="H912" s="64"/>
      <c r="I912" s="27"/>
      <c r="J912" s="27"/>
      <c r="K912" s="245"/>
      <c r="L912" s="26"/>
      <c r="M912" s="26"/>
      <c r="N912" s="65"/>
      <c r="AT912" s="26"/>
    </row>
    <row r="913" spans="2:46" ht="15">
      <c r="B913" s="26"/>
      <c r="C913" s="26"/>
      <c r="D913" s="26"/>
      <c r="E913" s="26"/>
      <c r="F913" s="245"/>
      <c r="G913" s="26"/>
      <c r="H913" s="64"/>
      <c r="I913" s="27"/>
      <c r="J913" s="27"/>
      <c r="K913" s="245"/>
      <c r="L913" s="26"/>
      <c r="M913" s="26"/>
      <c r="N913" s="65"/>
      <c r="AT913" s="26"/>
    </row>
    <row r="914" spans="2:46" ht="15">
      <c r="B914" s="26"/>
      <c r="C914" s="26"/>
      <c r="D914" s="26"/>
      <c r="E914" s="26"/>
      <c r="F914" s="245"/>
      <c r="G914" s="26"/>
      <c r="H914" s="64"/>
      <c r="I914" s="27"/>
      <c r="J914" s="27"/>
      <c r="K914" s="245"/>
      <c r="L914" s="26"/>
      <c r="M914" s="26"/>
      <c r="N914" s="65"/>
      <c r="AT914" s="26"/>
    </row>
    <row r="915" spans="2:46" ht="15">
      <c r="B915" s="26"/>
      <c r="C915" s="26"/>
      <c r="D915" s="26"/>
      <c r="E915" s="26"/>
      <c r="F915" s="245"/>
      <c r="G915" s="26"/>
      <c r="H915" s="64"/>
      <c r="I915" s="27"/>
      <c r="J915" s="27"/>
      <c r="K915" s="245"/>
      <c r="L915" s="26"/>
      <c r="M915" s="26"/>
      <c r="N915" s="65"/>
      <c r="AT915" s="26"/>
    </row>
    <row r="916" spans="2:46" ht="15">
      <c r="B916" s="26"/>
      <c r="C916" s="26"/>
      <c r="D916" s="26"/>
      <c r="E916" s="26"/>
      <c r="F916" s="245"/>
      <c r="G916" s="26"/>
      <c r="H916" s="64"/>
      <c r="I916" s="27"/>
      <c r="J916" s="27"/>
      <c r="K916" s="245"/>
      <c r="L916" s="26"/>
      <c r="M916" s="26"/>
      <c r="N916" s="65"/>
      <c r="AT916" s="26"/>
    </row>
    <row r="917" spans="2:46" ht="15">
      <c r="B917" s="26"/>
      <c r="C917" s="26"/>
      <c r="D917" s="26"/>
      <c r="E917" s="26"/>
      <c r="F917" s="245"/>
      <c r="G917" s="26"/>
      <c r="H917" s="64"/>
      <c r="I917" s="27"/>
      <c r="J917" s="27"/>
      <c r="K917" s="245"/>
      <c r="L917" s="26"/>
      <c r="M917" s="26"/>
      <c r="N917" s="65"/>
      <c r="AT917" s="26"/>
    </row>
    <row r="918" spans="2:46" ht="15">
      <c r="B918" s="26"/>
      <c r="C918" s="26"/>
      <c r="D918" s="26"/>
      <c r="E918" s="26"/>
      <c r="F918" s="245"/>
      <c r="G918" s="26"/>
      <c r="H918" s="64"/>
      <c r="I918" s="27"/>
      <c r="J918" s="27"/>
      <c r="K918" s="245"/>
      <c r="L918" s="26"/>
      <c r="M918" s="26"/>
      <c r="N918" s="65"/>
      <c r="AT918" s="26"/>
    </row>
    <row r="919" spans="2:46" ht="15">
      <c r="B919" s="26"/>
      <c r="C919" s="26"/>
      <c r="D919" s="26"/>
      <c r="E919" s="26"/>
      <c r="F919" s="245"/>
      <c r="G919" s="26"/>
      <c r="H919" s="64"/>
      <c r="I919" s="27"/>
      <c r="J919" s="27"/>
      <c r="K919" s="245"/>
      <c r="L919" s="26"/>
      <c r="M919" s="26"/>
      <c r="N919" s="65"/>
      <c r="AT919" s="26"/>
    </row>
    <row r="920" spans="2:46" ht="15">
      <c r="B920" s="26"/>
      <c r="C920" s="26"/>
      <c r="D920" s="26"/>
      <c r="E920" s="26"/>
      <c r="F920" s="245"/>
      <c r="G920" s="26"/>
      <c r="H920" s="64"/>
      <c r="I920" s="27"/>
      <c r="J920" s="27"/>
      <c r="K920" s="245"/>
      <c r="L920" s="26"/>
      <c r="M920" s="26"/>
      <c r="N920" s="65"/>
      <c r="AT920" s="26"/>
    </row>
    <row r="921" spans="2:46" ht="15">
      <c r="B921" s="26"/>
      <c r="C921" s="26"/>
      <c r="D921" s="26"/>
      <c r="E921" s="26"/>
      <c r="F921" s="245"/>
      <c r="G921" s="26"/>
      <c r="H921" s="64"/>
      <c r="I921" s="27"/>
      <c r="J921" s="27"/>
      <c r="K921" s="245"/>
      <c r="L921" s="26"/>
      <c r="M921" s="26"/>
      <c r="N921" s="65"/>
      <c r="AT921" s="26"/>
    </row>
    <row r="922" spans="2:46" ht="15">
      <c r="B922" s="26"/>
      <c r="C922" s="26"/>
      <c r="D922" s="26"/>
      <c r="E922" s="26"/>
      <c r="F922" s="245"/>
      <c r="G922" s="26"/>
      <c r="H922" s="64"/>
      <c r="I922" s="27"/>
      <c r="J922" s="27"/>
      <c r="K922" s="245"/>
      <c r="L922" s="26"/>
      <c r="M922" s="26"/>
      <c r="N922" s="65"/>
      <c r="AT922" s="26"/>
    </row>
    <row r="923" spans="2:46" ht="15">
      <c r="B923" s="26"/>
      <c r="C923" s="26"/>
      <c r="D923" s="26"/>
      <c r="E923" s="26"/>
      <c r="F923" s="245"/>
      <c r="G923" s="26"/>
      <c r="H923" s="64"/>
      <c r="I923" s="27"/>
      <c r="J923" s="27"/>
      <c r="K923" s="245"/>
      <c r="L923" s="26"/>
      <c r="M923" s="26"/>
      <c r="N923" s="65"/>
      <c r="AT923" s="26"/>
    </row>
    <row r="924" spans="2:46" ht="15">
      <c r="B924" s="26"/>
      <c r="C924" s="26"/>
      <c r="D924" s="26"/>
      <c r="E924" s="26"/>
      <c r="F924" s="245"/>
      <c r="G924" s="26"/>
      <c r="H924" s="64"/>
      <c r="I924" s="27"/>
      <c r="J924" s="27"/>
      <c r="K924" s="245"/>
      <c r="L924" s="26"/>
      <c r="M924" s="26"/>
      <c r="N924" s="65"/>
      <c r="AT924" s="26"/>
    </row>
    <row r="925" spans="2:46" ht="15">
      <c r="B925" s="26"/>
      <c r="C925" s="26"/>
      <c r="D925" s="26"/>
      <c r="E925" s="26"/>
      <c r="F925" s="245"/>
      <c r="G925" s="26"/>
      <c r="H925" s="64"/>
      <c r="I925" s="27"/>
      <c r="J925" s="27"/>
      <c r="K925" s="245"/>
      <c r="L925" s="26"/>
      <c r="M925" s="26"/>
      <c r="N925" s="65"/>
      <c r="AT925" s="26"/>
    </row>
    <row r="926" spans="2:46" ht="15">
      <c r="B926" s="26"/>
      <c r="C926" s="26"/>
      <c r="D926" s="26"/>
      <c r="E926" s="26"/>
      <c r="F926" s="245"/>
      <c r="G926" s="26"/>
      <c r="H926" s="64"/>
      <c r="I926" s="27"/>
      <c r="J926" s="27"/>
      <c r="K926" s="245"/>
      <c r="L926" s="26"/>
      <c r="M926" s="26"/>
      <c r="N926" s="65"/>
      <c r="AT926" s="26"/>
    </row>
    <row r="927" spans="2:46" ht="15">
      <c r="B927" s="26"/>
      <c r="C927" s="26"/>
      <c r="D927" s="26"/>
      <c r="E927" s="26"/>
      <c r="F927" s="245"/>
      <c r="G927" s="26"/>
      <c r="H927" s="64"/>
      <c r="I927" s="27"/>
      <c r="J927" s="27"/>
      <c r="K927" s="245"/>
      <c r="L927" s="26"/>
      <c r="M927" s="26"/>
      <c r="N927" s="65"/>
      <c r="AT927" s="26"/>
    </row>
    <row r="928" spans="2:46" ht="15">
      <c r="B928" s="26"/>
      <c r="C928" s="26"/>
      <c r="D928" s="26"/>
      <c r="E928" s="26"/>
      <c r="F928" s="245"/>
      <c r="G928" s="26"/>
      <c r="H928" s="64"/>
      <c r="I928" s="27"/>
      <c r="J928" s="27"/>
      <c r="K928" s="245"/>
      <c r="L928" s="26"/>
      <c r="M928" s="26"/>
      <c r="N928" s="65"/>
      <c r="AT928" s="26"/>
    </row>
    <row r="929" spans="2:46" ht="15">
      <c r="B929" s="26"/>
      <c r="C929" s="26"/>
      <c r="D929" s="26"/>
      <c r="E929" s="26"/>
      <c r="F929" s="245"/>
      <c r="G929" s="26"/>
      <c r="H929" s="64"/>
      <c r="I929" s="27"/>
      <c r="J929" s="27"/>
      <c r="K929" s="245"/>
      <c r="L929" s="26"/>
      <c r="M929" s="26"/>
      <c r="N929" s="65"/>
      <c r="AT929" s="26"/>
    </row>
    <row r="930" spans="2:46" ht="15">
      <c r="B930" s="26"/>
      <c r="C930" s="26"/>
      <c r="D930" s="26"/>
      <c r="E930" s="26"/>
      <c r="F930" s="245"/>
      <c r="G930" s="26"/>
      <c r="H930" s="64"/>
      <c r="I930" s="27"/>
      <c r="J930" s="27"/>
      <c r="K930" s="245"/>
      <c r="L930" s="26"/>
      <c r="M930" s="26"/>
      <c r="N930" s="65"/>
      <c r="AT930" s="26"/>
    </row>
    <row r="931" spans="2:46" ht="15">
      <c r="B931" s="26"/>
      <c r="C931" s="26"/>
      <c r="D931" s="26"/>
      <c r="E931" s="26"/>
      <c r="F931" s="245"/>
      <c r="G931" s="26"/>
      <c r="H931" s="64"/>
      <c r="I931" s="27"/>
      <c r="J931" s="27"/>
      <c r="K931" s="245"/>
      <c r="L931" s="26"/>
      <c r="M931" s="26"/>
      <c r="N931" s="65"/>
      <c r="AT931" s="26"/>
    </row>
    <row r="932" spans="2:46" ht="15">
      <c r="B932" s="26"/>
      <c r="C932" s="26"/>
      <c r="D932" s="26"/>
      <c r="E932" s="26"/>
      <c r="F932" s="245"/>
      <c r="G932" s="26"/>
      <c r="H932" s="64"/>
      <c r="I932" s="27"/>
      <c r="J932" s="27"/>
      <c r="K932" s="245"/>
      <c r="L932" s="26"/>
      <c r="M932" s="26"/>
      <c r="N932" s="65"/>
      <c r="AT932" s="26"/>
    </row>
    <row r="933" spans="2:46" ht="15">
      <c r="B933" s="26"/>
      <c r="C933" s="26"/>
      <c r="D933" s="26"/>
      <c r="E933" s="26"/>
      <c r="F933" s="245"/>
      <c r="G933" s="26"/>
      <c r="H933" s="64"/>
      <c r="I933" s="27"/>
      <c r="J933" s="27"/>
      <c r="K933" s="245"/>
      <c r="L933" s="26"/>
      <c r="M933" s="26"/>
      <c r="N933" s="65"/>
      <c r="AT933" s="26"/>
    </row>
    <row r="934" spans="2:46" ht="15">
      <c r="B934" s="26"/>
      <c r="C934" s="26"/>
      <c r="D934" s="26"/>
      <c r="E934" s="26"/>
      <c r="F934" s="245"/>
      <c r="G934" s="26"/>
      <c r="H934" s="64"/>
      <c r="I934" s="27"/>
      <c r="J934" s="27"/>
      <c r="K934" s="245"/>
      <c r="L934" s="26"/>
      <c r="M934" s="26"/>
      <c r="N934" s="65"/>
      <c r="AT934" s="26"/>
    </row>
    <row r="935" spans="2:46" ht="15">
      <c r="B935" s="26"/>
      <c r="C935" s="26"/>
      <c r="D935" s="26"/>
      <c r="E935" s="26"/>
      <c r="F935" s="245"/>
      <c r="G935" s="26"/>
      <c r="H935" s="64"/>
      <c r="I935" s="27"/>
      <c r="J935" s="27"/>
      <c r="K935" s="245"/>
      <c r="L935" s="26"/>
      <c r="M935" s="26"/>
      <c r="N935" s="65"/>
      <c r="AT935" s="26"/>
    </row>
    <row r="936" spans="2:46" ht="15">
      <c r="B936" s="26"/>
      <c r="C936" s="26"/>
      <c r="D936" s="26"/>
      <c r="E936" s="26"/>
      <c r="F936" s="245"/>
      <c r="G936" s="26"/>
      <c r="H936" s="64"/>
      <c r="I936" s="27"/>
      <c r="J936" s="27"/>
      <c r="K936" s="245"/>
      <c r="L936" s="26"/>
      <c r="M936" s="26"/>
      <c r="N936" s="65"/>
      <c r="AT936" s="26"/>
    </row>
    <row r="937" spans="2:46" ht="15">
      <c r="B937" s="26"/>
      <c r="C937" s="26"/>
      <c r="D937" s="26"/>
      <c r="E937" s="26"/>
      <c r="F937" s="245"/>
      <c r="G937" s="26"/>
      <c r="H937" s="64"/>
      <c r="I937" s="27"/>
      <c r="J937" s="27"/>
      <c r="K937" s="245"/>
      <c r="L937" s="26"/>
      <c r="M937" s="26"/>
      <c r="N937" s="65"/>
      <c r="AT937" s="26"/>
    </row>
    <row r="938" spans="2:46" ht="15">
      <c r="B938" s="26"/>
      <c r="C938" s="26"/>
      <c r="D938" s="26"/>
      <c r="E938" s="26"/>
      <c r="F938" s="245"/>
      <c r="G938" s="26"/>
      <c r="H938" s="64"/>
      <c r="I938" s="27"/>
      <c r="J938" s="27"/>
      <c r="K938" s="245"/>
      <c r="L938" s="26"/>
      <c r="M938" s="26"/>
      <c r="N938" s="65"/>
      <c r="AT938" s="26"/>
    </row>
    <row r="939" spans="2:46" ht="15">
      <c r="B939" s="26"/>
      <c r="C939" s="26"/>
      <c r="D939" s="26"/>
      <c r="E939" s="26"/>
      <c r="F939" s="245"/>
      <c r="G939" s="26"/>
      <c r="H939" s="64"/>
      <c r="I939" s="27"/>
      <c r="J939" s="27"/>
      <c r="K939" s="245"/>
      <c r="L939" s="26"/>
      <c r="M939" s="26"/>
      <c r="N939" s="65"/>
      <c r="AT939" s="26"/>
    </row>
    <row r="940" spans="2:46" ht="15">
      <c r="B940" s="26"/>
      <c r="C940" s="26"/>
      <c r="D940" s="26"/>
      <c r="E940" s="26"/>
      <c r="F940" s="245"/>
      <c r="G940" s="26"/>
      <c r="H940" s="64"/>
      <c r="I940" s="27"/>
      <c r="J940" s="27"/>
      <c r="K940" s="245"/>
      <c r="L940" s="26"/>
      <c r="M940" s="26"/>
      <c r="N940" s="65"/>
      <c r="AT940" s="26"/>
    </row>
    <row r="941" spans="2:46" ht="15">
      <c r="B941" s="26"/>
      <c r="C941" s="26"/>
      <c r="D941" s="26"/>
      <c r="E941" s="26"/>
      <c r="F941" s="245"/>
      <c r="G941" s="26"/>
      <c r="H941" s="64"/>
      <c r="I941" s="27"/>
      <c r="J941" s="27"/>
      <c r="K941" s="245"/>
      <c r="L941" s="26"/>
      <c r="M941" s="26"/>
      <c r="N941" s="65"/>
      <c r="AT941" s="26"/>
    </row>
    <row r="942" spans="2:46" ht="15">
      <c r="B942" s="26"/>
      <c r="C942" s="26"/>
      <c r="D942" s="26"/>
      <c r="E942" s="26"/>
      <c r="F942" s="245"/>
      <c r="G942" s="26"/>
      <c r="H942" s="64"/>
      <c r="I942" s="27"/>
      <c r="J942" s="27"/>
      <c r="K942" s="245"/>
      <c r="L942" s="26"/>
      <c r="M942" s="26"/>
      <c r="N942" s="65"/>
      <c r="AT942" s="26"/>
    </row>
    <row r="943" spans="2:46" ht="15">
      <c r="B943" s="26"/>
      <c r="C943" s="26"/>
      <c r="D943" s="26"/>
      <c r="E943" s="26"/>
      <c r="F943" s="245"/>
      <c r="G943" s="26"/>
      <c r="H943" s="64"/>
      <c r="I943" s="27"/>
      <c r="J943" s="27"/>
      <c r="K943" s="245"/>
      <c r="L943" s="26"/>
      <c r="M943" s="26"/>
      <c r="N943" s="65"/>
      <c r="AT943" s="26"/>
    </row>
    <row r="944" spans="2:46" ht="15">
      <c r="B944" s="26"/>
      <c r="C944" s="26"/>
      <c r="D944" s="26"/>
      <c r="E944" s="26"/>
      <c r="F944" s="245"/>
      <c r="G944" s="26"/>
      <c r="H944" s="64"/>
      <c r="I944" s="27"/>
      <c r="J944" s="27"/>
      <c r="K944" s="245"/>
      <c r="L944" s="26"/>
      <c r="M944" s="26"/>
      <c r="N944" s="65"/>
      <c r="AT944" s="26"/>
    </row>
    <row r="945" spans="2:46" ht="15">
      <c r="B945" s="26"/>
      <c r="C945" s="26"/>
      <c r="D945" s="26"/>
      <c r="E945" s="26"/>
      <c r="F945" s="245"/>
      <c r="G945" s="26"/>
      <c r="H945" s="64"/>
      <c r="I945" s="27"/>
      <c r="J945" s="27"/>
      <c r="K945" s="245"/>
      <c r="L945" s="26"/>
      <c r="M945" s="26"/>
      <c r="N945" s="65"/>
      <c r="AT945" s="26"/>
    </row>
    <row r="946" spans="2:46" ht="15">
      <c r="B946" s="26"/>
      <c r="C946" s="26"/>
      <c r="D946" s="26"/>
      <c r="E946" s="26"/>
      <c r="F946" s="245"/>
      <c r="G946" s="26"/>
      <c r="H946" s="64"/>
      <c r="I946" s="27"/>
      <c r="J946" s="27"/>
      <c r="K946" s="245"/>
      <c r="L946" s="26"/>
      <c r="M946" s="26"/>
      <c r="N946" s="65"/>
      <c r="AT946" s="26"/>
    </row>
    <row r="947" spans="2:46" ht="15">
      <c r="B947" s="26"/>
      <c r="C947" s="26"/>
      <c r="D947" s="26"/>
      <c r="E947" s="26"/>
      <c r="F947" s="245"/>
      <c r="G947" s="26"/>
      <c r="H947" s="64"/>
      <c r="I947" s="27"/>
      <c r="J947" s="27"/>
      <c r="K947" s="245"/>
      <c r="L947" s="26"/>
      <c r="M947" s="26"/>
      <c r="N947" s="65"/>
      <c r="AT947" s="26"/>
    </row>
    <row r="948" spans="2:46" ht="15">
      <c r="B948" s="26"/>
      <c r="C948" s="26"/>
      <c r="D948" s="26"/>
      <c r="E948" s="26"/>
      <c r="F948" s="245"/>
      <c r="G948" s="26"/>
      <c r="H948" s="64"/>
      <c r="I948" s="27"/>
      <c r="J948" s="27"/>
      <c r="K948" s="245"/>
      <c r="L948" s="26"/>
      <c r="M948" s="26"/>
      <c r="N948" s="65"/>
      <c r="AT948" s="26"/>
    </row>
    <row r="949" spans="2:46" ht="15">
      <c r="B949" s="26"/>
      <c r="C949" s="26"/>
      <c r="D949" s="26"/>
      <c r="E949" s="26"/>
      <c r="F949" s="245"/>
      <c r="G949" s="26"/>
      <c r="H949" s="64"/>
      <c r="I949" s="27"/>
      <c r="J949" s="27"/>
      <c r="K949" s="245"/>
      <c r="L949" s="26"/>
      <c r="M949" s="26"/>
      <c r="N949" s="65"/>
      <c r="AT949" s="26"/>
    </row>
    <row r="950" spans="2:46" ht="15">
      <c r="B950" s="26"/>
      <c r="C950" s="26"/>
      <c r="D950" s="26"/>
      <c r="E950" s="26"/>
      <c r="F950" s="245"/>
      <c r="G950" s="26"/>
      <c r="H950" s="64"/>
      <c r="I950" s="27"/>
      <c r="J950" s="27"/>
      <c r="K950" s="245"/>
      <c r="L950" s="26"/>
      <c r="M950" s="26"/>
      <c r="N950" s="65"/>
      <c r="AT950" s="26"/>
    </row>
    <row r="951" spans="2:46" ht="15">
      <c r="B951" s="26"/>
      <c r="C951" s="26"/>
      <c r="D951" s="26"/>
      <c r="E951" s="26"/>
      <c r="F951" s="245"/>
      <c r="G951" s="26"/>
      <c r="H951" s="64"/>
      <c r="I951" s="27"/>
      <c r="J951" s="27"/>
      <c r="K951" s="245"/>
      <c r="L951" s="26"/>
      <c r="M951" s="26"/>
      <c r="N951" s="65"/>
      <c r="AT951" s="26"/>
    </row>
    <row r="952" spans="2:46" ht="15">
      <c r="B952" s="26"/>
      <c r="C952" s="26"/>
      <c r="D952" s="26"/>
      <c r="E952" s="26"/>
      <c r="F952" s="245"/>
      <c r="G952" s="26"/>
      <c r="H952" s="64"/>
      <c r="I952" s="27"/>
      <c r="J952" s="27"/>
      <c r="K952" s="245"/>
      <c r="L952" s="26"/>
      <c r="M952" s="26"/>
      <c r="N952" s="65"/>
      <c r="AT952" s="26"/>
    </row>
    <row r="953" spans="2:46" ht="15">
      <c r="B953" s="26"/>
      <c r="C953" s="26"/>
      <c r="D953" s="26"/>
      <c r="E953" s="26"/>
      <c r="F953" s="245"/>
      <c r="G953" s="26"/>
      <c r="H953" s="64"/>
      <c r="I953" s="27"/>
      <c r="J953" s="27"/>
      <c r="K953" s="245"/>
      <c r="L953" s="26"/>
      <c r="M953" s="26"/>
      <c r="N953" s="65"/>
      <c r="AT953" s="26"/>
    </row>
    <row r="954" spans="2:46" ht="15">
      <c r="B954" s="26"/>
      <c r="C954" s="26"/>
      <c r="D954" s="26"/>
      <c r="E954" s="26"/>
      <c r="F954" s="245"/>
      <c r="G954" s="26"/>
      <c r="H954" s="64"/>
      <c r="I954" s="27"/>
      <c r="J954" s="27"/>
      <c r="K954" s="245"/>
      <c r="L954" s="26"/>
      <c r="M954" s="26"/>
      <c r="N954" s="65"/>
      <c r="AT954" s="26"/>
    </row>
    <row r="955" spans="2:46" ht="15">
      <c r="B955" s="26"/>
      <c r="C955" s="26"/>
      <c r="D955" s="26"/>
      <c r="E955" s="26"/>
      <c r="F955" s="245"/>
      <c r="G955" s="26"/>
      <c r="H955" s="64"/>
      <c r="I955" s="27"/>
      <c r="J955" s="27"/>
      <c r="K955" s="245"/>
      <c r="L955" s="26"/>
      <c r="M955" s="26"/>
      <c r="N955" s="65"/>
      <c r="AT955" s="26"/>
    </row>
    <row r="956" spans="2:46" ht="15">
      <c r="B956" s="26"/>
      <c r="C956" s="26"/>
      <c r="D956" s="26"/>
      <c r="E956" s="26"/>
      <c r="F956" s="245"/>
      <c r="G956" s="26"/>
      <c r="H956" s="64"/>
      <c r="I956" s="27"/>
      <c r="J956" s="27"/>
      <c r="K956" s="245"/>
      <c r="L956" s="26"/>
      <c r="M956" s="26"/>
      <c r="N956" s="65"/>
      <c r="AT956" s="26"/>
    </row>
    <row r="957" spans="2:46" ht="15">
      <c r="B957" s="26"/>
      <c r="C957" s="26"/>
      <c r="D957" s="26"/>
      <c r="E957" s="26"/>
      <c r="F957" s="245"/>
      <c r="G957" s="26"/>
      <c r="H957" s="64"/>
      <c r="I957" s="27"/>
      <c r="J957" s="27"/>
      <c r="K957" s="245"/>
      <c r="L957" s="26"/>
      <c r="M957" s="26"/>
      <c r="N957" s="65"/>
      <c r="AT957" s="26"/>
    </row>
    <row r="958" spans="2:46" ht="15">
      <c r="B958" s="26"/>
      <c r="C958" s="26"/>
      <c r="D958" s="26"/>
      <c r="E958" s="26"/>
      <c r="F958" s="245"/>
      <c r="G958" s="26"/>
      <c r="H958" s="64"/>
      <c r="I958" s="27"/>
      <c r="J958" s="27"/>
      <c r="K958" s="245"/>
      <c r="L958" s="26"/>
      <c r="M958" s="26"/>
      <c r="N958" s="65"/>
      <c r="AT958" s="26"/>
    </row>
    <row r="959" spans="2:46" ht="15">
      <c r="B959" s="26"/>
      <c r="C959" s="26"/>
      <c r="D959" s="26"/>
      <c r="E959" s="26"/>
      <c r="F959" s="245"/>
      <c r="G959" s="26"/>
      <c r="H959" s="64"/>
      <c r="I959" s="27"/>
      <c r="J959" s="27"/>
      <c r="K959" s="245"/>
      <c r="L959" s="26"/>
      <c r="M959" s="26"/>
      <c r="N959" s="65"/>
      <c r="AT959" s="26"/>
    </row>
    <row r="960" spans="2:46" ht="15">
      <c r="B960" s="26"/>
      <c r="C960" s="26"/>
      <c r="D960" s="26"/>
      <c r="E960" s="26"/>
      <c r="F960" s="245"/>
      <c r="G960" s="26"/>
      <c r="H960" s="64"/>
      <c r="I960" s="27"/>
      <c r="J960" s="27"/>
      <c r="K960" s="245"/>
      <c r="L960" s="26"/>
      <c r="M960" s="26"/>
      <c r="N960" s="65"/>
      <c r="AT960" s="26"/>
    </row>
    <row r="961" spans="2:46" ht="15">
      <c r="B961" s="26"/>
      <c r="C961" s="26"/>
      <c r="D961" s="26"/>
      <c r="E961" s="26"/>
      <c r="F961" s="245"/>
      <c r="G961" s="26"/>
      <c r="H961" s="64"/>
      <c r="I961" s="27"/>
      <c r="J961" s="27"/>
      <c r="K961" s="245"/>
      <c r="L961" s="26"/>
      <c r="M961" s="26"/>
      <c r="N961" s="65"/>
      <c r="AT961" s="26"/>
    </row>
    <row r="962" spans="2:46" ht="15">
      <c r="B962" s="26"/>
      <c r="C962" s="26"/>
      <c r="D962" s="26"/>
      <c r="E962" s="26"/>
      <c r="F962" s="245"/>
      <c r="G962" s="26"/>
      <c r="H962" s="64"/>
      <c r="I962" s="27"/>
      <c r="J962" s="27"/>
      <c r="K962" s="245"/>
      <c r="L962" s="26"/>
      <c r="M962" s="26"/>
      <c r="N962" s="65"/>
      <c r="AT962" s="26"/>
    </row>
    <row r="963" spans="2:46" ht="15">
      <c r="B963" s="26"/>
      <c r="C963" s="26"/>
      <c r="D963" s="26"/>
      <c r="E963" s="26"/>
      <c r="F963" s="245"/>
      <c r="G963" s="26"/>
      <c r="H963" s="64"/>
      <c r="I963" s="27"/>
      <c r="J963" s="27"/>
      <c r="K963" s="245"/>
      <c r="L963" s="26"/>
      <c r="M963" s="26"/>
      <c r="N963" s="65"/>
      <c r="AT963" s="26"/>
    </row>
    <row r="964" spans="2:46" ht="15">
      <c r="B964" s="26"/>
      <c r="C964" s="26"/>
      <c r="D964" s="26"/>
      <c r="E964" s="26"/>
      <c r="F964" s="245"/>
      <c r="G964" s="26"/>
      <c r="H964" s="64"/>
      <c r="I964" s="27"/>
      <c r="J964" s="27"/>
      <c r="K964" s="245"/>
      <c r="L964" s="26"/>
      <c r="M964" s="26"/>
      <c r="N964" s="65"/>
      <c r="AT964" s="26"/>
    </row>
    <row r="965" spans="2:46" ht="15">
      <c r="B965" s="26"/>
      <c r="C965" s="26"/>
      <c r="D965" s="26"/>
      <c r="E965" s="26"/>
      <c r="F965" s="245"/>
      <c r="G965" s="26"/>
      <c r="H965" s="64"/>
      <c r="I965" s="27"/>
      <c r="J965" s="27"/>
      <c r="K965" s="245"/>
      <c r="L965" s="26"/>
      <c r="M965" s="26"/>
      <c r="N965" s="65"/>
      <c r="AT965" s="26"/>
    </row>
    <row r="966" spans="2:46" ht="15">
      <c r="B966" s="26"/>
      <c r="C966" s="26"/>
      <c r="D966" s="26"/>
      <c r="E966" s="26"/>
      <c r="F966" s="245"/>
      <c r="G966" s="26"/>
      <c r="H966" s="64"/>
      <c r="I966" s="27"/>
      <c r="J966" s="27"/>
      <c r="K966" s="245"/>
      <c r="L966" s="26"/>
      <c r="M966" s="26"/>
      <c r="N966" s="65"/>
      <c r="AT966" s="26"/>
    </row>
    <row r="967" spans="2:46" ht="15">
      <c r="B967" s="26"/>
      <c r="C967" s="26"/>
      <c r="D967" s="26"/>
      <c r="E967" s="26"/>
      <c r="F967" s="245"/>
      <c r="G967" s="26"/>
      <c r="H967" s="64"/>
      <c r="I967" s="27"/>
      <c r="J967" s="27"/>
      <c r="K967" s="245"/>
      <c r="L967" s="26"/>
      <c r="M967" s="26"/>
      <c r="N967" s="65"/>
      <c r="AT967" s="26"/>
    </row>
    <row r="968" spans="2:46" ht="15">
      <c r="B968" s="26"/>
      <c r="C968" s="26"/>
      <c r="D968" s="26"/>
      <c r="E968" s="26"/>
      <c r="F968" s="245"/>
      <c r="G968" s="26"/>
      <c r="H968" s="64"/>
      <c r="I968" s="27"/>
      <c r="J968" s="27"/>
      <c r="K968" s="245"/>
      <c r="L968" s="26"/>
      <c r="M968" s="26"/>
      <c r="N968" s="65"/>
      <c r="AT968" s="26"/>
    </row>
    <row r="969" spans="2:46" ht="15">
      <c r="B969" s="26"/>
      <c r="C969" s="26"/>
      <c r="D969" s="26"/>
      <c r="E969" s="26"/>
      <c r="F969" s="245"/>
      <c r="G969" s="26"/>
      <c r="H969" s="64"/>
      <c r="I969" s="27"/>
      <c r="J969" s="27"/>
      <c r="K969" s="245"/>
      <c r="L969" s="26"/>
      <c r="M969" s="26"/>
      <c r="N969" s="65"/>
      <c r="AT969" s="26"/>
    </row>
    <row r="970" spans="2:46" ht="15">
      <c r="B970" s="26"/>
      <c r="C970" s="26"/>
      <c r="D970" s="26"/>
      <c r="E970" s="26"/>
      <c r="F970" s="245"/>
      <c r="G970" s="26"/>
      <c r="H970" s="64"/>
      <c r="I970" s="27"/>
      <c r="J970" s="27"/>
      <c r="K970" s="245"/>
      <c r="L970" s="26"/>
      <c r="M970" s="26"/>
      <c r="N970" s="65"/>
      <c r="AT970" s="26"/>
    </row>
    <row r="971" spans="2:46" ht="15">
      <c r="B971" s="26"/>
      <c r="C971" s="26"/>
      <c r="D971" s="26"/>
      <c r="E971" s="26"/>
      <c r="F971" s="245"/>
      <c r="G971" s="26"/>
      <c r="H971" s="64"/>
      <c r="I971" s="27"/>
      <c r="J971" s="27"/>
      <c r="K971" s="245"/>
      <c r="L971" s="26"/>
      <c r="M971" s="26"/>
      <c r="N971" s="65"/>
      <c r="AT971" s="26"/>
    </row>
    <row r="972" spans="2:46" ht="15">
      <c r="B972" s="26"/>
      <c r="C972" s="26"/>
      <c r="D972" s="26"/>
      <c r="E972" s="26"/>
      <c r="F972" s="245"/>
      <c r="G972" s="26"/>
      <c r="H972" s="64"/>
      <c r="I972" s="27"/>
      <c r="J972" s="27"/>
      <c r="K972" s="245"/>
      <c r="L972" s="26"/>
      <c r="M972" s="26"/>
      <c r="N972" s="65"/>
      <c r="AT972" s="26"/>
    </row>
    <row r="973" spans="2:46" ht="15">
      <c r="B973" s="26"/>
      <c r="C973" s="26"/>
      <c r="D973" s="26"/>
      <c r="E973" s="26"/>
      <c r="F973" s="245"/>
      <c r="G973" s="26"/>
      <c r="H973" s="64"/>
      <c r="I973" s="27"/>
      <c r="J973" s="27"/>
      <c r="K973" s="245"/>
      <c r="L973" s="26"/>
      <c r="M973" s="26"/>
      <c r="N973" s="65"/>
      <c r="AT973" s="26"/>
    </row>
    <row r="974" spans="2:46" ht="15">
      <c r="B974" s="26"/>
      <c r="C974" s="26"/>
      <c r="D974" s="26"/>
      <c r="E974" s="26"/>
      <c r="F974" s="245"/>
      <c r="G974" s="26"/>
      <c r="H974" s="64"/>
      <c r="I974" s="27"/>
      <c r="J974" s="27"/>
      <c r="K974" s="245"/>
      <c r="L974" s="26"/>
      <c r="M974" s="26"/>
      <c r="N974" s="65"/>
      <c r="AT974" s="26"/>
    </row>
    <row r="975" spans="2:46" ht="15">
      <c r="B975" s="26"/>
      <c r="C975" s="26"/>
      <c r="D975" s="26"/>
      <c r="E975" s="26"/>
      <c r="F975" s="245"/>
      <c r="G975" s="26"/>
      <c r="H975" s="64"/>
      <c r="I975" s="27"/>
      <c r="J975" s="27"/>
      <c r="K975" s="245"/>
      <c r="L975" s="26"/>
      <c r="M975" s="26"/>
      <c r="N975" s="65"/>
      <c r="AT975" s="26"/>
    </row>
    <row r="976" spans="2:46" ht="15">
      <c r="B976" s="26"/>
      <c r="C976" s="26"/>
      <c r="D976" s="26"/>
      <c r="E976" s="26"/>
      <c r="F976" s="245"/>
      <c r="G976" s="26"/>
      <c r="H976" s="64"/>
      <c r="I976" s="27"/>
      <c r="J976" s="27"/>
      <c r="K976" s="245"/>
      <c r="L976" s="26"/>
      <c r="M976" s="26"/>
      <c r="N976" s="65"/>
      <c r="AT976" s="26"/>
    </row>
    <row r="977" spans="2:46" ht="15">
      <c r="B977" s="26"/>
      <c r="C977" s="26"/>
      <c r="D977" s="26"/>
      <c r="E977" s="26"/>
      <c r="F977" s="245"/>
      <c r="G977" s="26"/>
      <c r="H977" s="64"/>
      <c r="I977" s="27"/>
      <c r="J977" s="27"/>
      <c r="K977" s="245"/>
      <c r="L977" s="26"/>
      <c r="M977" s="26"/>
      <c r="N977" s="65"/>
      <c r="AT977" s="26"/>
    </row>
    <row r="978" spans="2:46" ht="15">
      <c r="B978" s="26"/>
      <c r="C978" s="26"/>
      <c r="D978" s="26"/>
      <c r="E978" s="26"/>
      <c r="F978" s="245"/>
      <c r="G978" s="26"/>
      <c r="H978" s="64"/>
      <c r="I978" s="27"/>
      <c r="J978" s="27"/>
      <c r="K978" s="245"/>
      <c r="L978" s="26"/>
      <c r="M978" s="26"/>
      <c r="N978" s="65"/>
      <c r="AT978" s="26"/>
    </row>
    <row r="979" spans="2:46" ht="15">
      <c r="B979" s="26"/>
      <c r="C979" s="26"/>
      <c r="D979" s="26"/>
      <c r="E979" s="26"/>
      <c r="F979" s="245"/>
      <c r="G979" s="26"/>
      <c r="H979" s="64"/>
      <c r="I979" s="27"/>
      <c r="J979" s="27"/>
      <c r="K979" s="245"/>
      <c r="L979" s="26"/>
      <c r="M979" s="26"/>
      <c r="N979" s="65"/>
      <c r="AT979" s="26"/>
    </row>
    <row r="980" spans="2:46" ht="15">
      <c r="B980" s="26"/>
      <c r="C980" s="26"/>
      <c r="D980" s="26"/>
      <c r="E980" s="26"/>
      <c r="F980" s="245"/>
      <c r="G980" s="26"/>
      <c r="H980" s="64"/>
      <c r="I980" s="27"/>
      <c r="J980" s="27"/>
      <c r="K980" s="245"/>
      <c r="L980" s="26"/>
      <c r="M980" s="26"/>
      <c r="N980" s="65"/>
      <c r="AT980" s="26"/>
    </row>
    <row r="981" spans="2:46" ht="15">
      <c r="B981" s="26"/>
      <c r="C981" s="26"/>
      <c r="D981" s="26"/>
      <c r="E981" s="26"/>
      <c r="F981" s="245"/>
      <c r="G981" s="26"/>
      <c r="H981" s="64"/>
      <c r="I981" s="27"/>
      <c r="J981" s="27"/>
      <c r="K981" s="245"/>
      <c r="L981" s="26"/>
      <c r="M981" s="26"/>
      <c r="N981" s="65"/>
      <c r="AT981" s="26"/>
    </row>
    <row r="982" spans="2:46" ht="15">
      <c r="B982" s="26"/>
      <c r="C982" s="26"/>
      <c r="D982" s="26"/>
      <c r="E982" s="26"/>
      <c r="F982" s="245"/>
      <c r="G982" s="26"/>
      <c r="H982" s="64"/>
      <c r="I982" s="27"/>
      <c r="J982" s="27"/>
      <c r="K982" s="245"/>
      <c r="L982" s="26"/>
      <c r="M982" s="26"/>
      <c r="N982" s="65"/>
      <c r="AT982" s="26"/>
    </row>
    <row r="983" spans="2:46" ht="15">
      <c r="B983" s="26"/>
      <c r="C983" s="26"/>
      <c r="D983" s="26"/>
      <c r="E983" s="26"/>
      <c r="F983" s="245"/>
      <c r="G983" s="26"/>
      <c r="H983" s="64"/>
      <c r="I983" s="27"/>
      <c r="J983" s="27"/>
      <c r="K983" s="245"/>
      <c r="L983" s="26"/>
      <c r="M983" s="26"/>
      <c r="N983" s="65"/>
      <c r="AT983" s="26"/>
    </row>
    <row r="984" spans="2:46" ht="15">
      <c r="B984" s="26"/>
      <c r="C984" s="26"/>
      <c r="D984" s="26"/>
      <c r="E984" s="26"/>
      <c r="F984" s="245"/>
      <c r="G984" s="26"/>
      <c r="H984" s="64"/>
      <c r="I984" s="27"/>
      <c r="J984" s="27"/>
      <c r="K984" s="245"/>
      <c r="L984" s="26"/>
      <c r="M984" s="26"/>
      <c r="N984" s="65"/>
      <c r="AT984" s="26"/>
    </row>
    <row r="985" spans="2:46" ht="15">
      <c r="B985" s="26"/>
      <c r="C985" s="26"/>
      <c r="D985" s="26"/>
      <c r="E985" s="26"/>
      <c r="F985" s="245"/>
      <c r="G985" s="26"/>
      <c r="H985" s="64"/>
      <c r="I985" s="27"/>
      <c r="J985" s="27"/>
      <c r="K985" s="245"/>
      <c r="L985" s="26"/>
      <c r="M985" s="26"/>
      <c r="N985" s="65"/>
      <c r="AT985" s="26"/>
    </row>
    <row r="986" spans="2:46" ht="15">
      <c r="B986" s="26"/>
      <c r="C986" s="26"/>
      <c r="D986" s="26"/>
      <c r="E986" s="26"/>
      <c r="F986" s="245"/>
      <c r="G986" s="26"/>
      <c r="H986" s="64"/>
      <c r="I986" s="27"/>
      <c r="J986" s="27"/>
      <c r="K986" s="245"/>
      <c r="L986" s="26"/>
      <c r="M986" s="26"/>
      <c r="N986" s="65"/>
      <c r="AT986" s="26"/>
    </row>
    <row r="987" spans="2:46" ht="15">
      <c r="B987" s="26"/>
      <c r="C987" s="26"/>
      <c r="D987" s="26"/>
      <c r="E987" s="26"/>
      <c r="F987" s="245"/>
      <c r="G987" s="26"/>
      <c r="H987" s="64"/>
      <c r="I987" s="27"/>
      <c r="J987" s="27"/>
      <c r="K987" s="245"/>
      <c r="L987" s="26"/>
      <c r="M987" s="26"/>
      <c r="N987" s="65"/>
      <c r="AT987" s="26"/>
    </row>
    <row r="988" spans="2:46" ht="15">
      <c r="B988" s="26"/>
      <c r="C988" s="26"/>
      <c r="D988" s="26"/>
      <c r="E988" s="26"/>
      <c r="F988" s="245"/>
      <c r="G988" s="26"/>
      <c r="H988" s="64"/>
      <c r="I988" s="27"/>
      <c r="J988" s="27"/>
      <c r="K988" s="245"/>
      <c r="L988" s="26"/>
      <c r="M988" s="26"/>
      <c r="N988" s="65"/>
      <c r="AT988" s="26"/>
    </row>
    <row r="989" spans="2:46" ht="15">
      <c r="B989" s="26"/>
      <c r="C989" s="26"/>
      <c r="D989" s="26"/>
      <c r="E989" s="26"/>
      <c r="F989" s="245"/>
      <c r="G989" s="26"/>
      <c r="H989" s="64"/>
      <c r="I989" s="27"/>
      <c r="J989" s="27"/>
      <c r="K989" s="245"/>
      <c r="L989" s="26"/>
      <c r="M989" s="26"/>
      <c r="N989" s="65"/>
      <c r="AT989" s="26"/>
    </row>
    <row r="990" spans="2:46" ht="15">
      <c r="B990" s="26"/>
      <c r="C990" s="26"/>
      <c r="D990" s="26"/>
      <c r="E990" s="26"/>
      <c r="F990" s="245"/>
      <c r="G990" s="26"/>
      <c r="H990" s="64"/>
      <c r="I990" s="27"/>
      <c r="J990" s="27"/>
      <c r="K990" s="245"/>
      <c r="L990" s="26"/>
      <c r="M990" s="26"/>
      <c r="N990" s="65"/>
      <c r="AT990" s="26"/>
    </row>
    <row r="991" spans="2:46" ht="15">
      <c r="B991" s="26"/>
      <c r="C991" s="26"/>
      <c r="D991" s="26"/>
      <c r="E991" s="26"/>
      <c r="F991" s="245"/>
      <c r="G991" s="26"/>
      <c r="H991" s="64"/>
      <c r="I991" s="27"/>
      <c r="J991" s="27"/>
      <c r="K991" s="245"/>
      <c r="L991" s="26"/>
      <c r="M991" s="26"/>
      <c r="N991" s="65"/>
      <c r="AT991" s="26"/>
    </row>
    <row r="992" spans="2:46" ht="15">
      <c r="B992" s="26"/>
      <c r="C992" s="26"/>
      <c r="D992" s="26"/>
      <c r="E992" s="26"/>
      <c r="F992" s="245"/>
      <c r="G992" s="26"/>
      <c r="H992" s="64"/>
      <c r="I992" s="27"/>
      <c r="J992" s="27"/>
      <c r="K992" s="245"/>
      <c r="L992" s="26"/>
      <c r="M992" s="26"/>
      <c r="N992" s="65"/>
      <c r="AT992" s="26"/>
    </row>
    <row r="993" spans="2:46" ht="15">
      <c r="B993" s="26"/>
      <c r="C993" s="26"/>
      <c r="D993" s="26"/>
      <c r="E993" s="26"/>
      <c r="F993" s="245"/>
      <c r="G993" s="26"/>
      <c r="H993" s="64"/>
      <c r="I993" s="27"/>
      <c r="J993" s="27"/>
      <c r="K993" s="245"/>
      <c r="L993" s="26"/>
      <c r="M993" s="26"/>
      <c r="N993" s="65"/>
      <c r="AT993" s="26"/>
    </row>
    <row r="994" spans="2:46" ht="15">
      <c r="B994" s="26"/>
      <c r="C994" s="26"/>
      <c r="D994" s="26"/>
      <c r="E994" s="26"/>
      <c r="F994" s="245"/>
      <c r="G994" s="26"/>
      <c r="H994" s="64"/>
      <c r="I994" s="27"/>
      <c r="J994" s="27"/>
      <c r="K994" s="245"/>
      <c r="L994" s="26"/>
      <c r="M994" s="26"/>
      <c r="N994" s="65"/>
      <c r="AT994" s="26"/>
    </row>
    <row r="995" spans="2:46" ht="15">
      <c r="B995" s="26"/>
      <c r="C995" s="26"/>
      <c r="D995" s="26"/>
      <c r="E995" s="26"/>
      <c r="F995" s="245"/>
      <c r="G995" s="26"/>
      <c r="H995" s="64"/>
      <c r="I995" s="27"/>
      <c r="J995" s="27"/>
      <c r="K995" s="245"/>
      <c r="L995" s="26"/>
      <c r="M995" s="26"/>
      <c r="N995" s="65"/>
      <c r="AT995" s="26"/>
    </row>
    <row r="996" spans="2:46" ht="15">
      <c r="B996" s="26"/>
      <c r="C996" s="26"/>
      <c r="D996" s="26"/>
      <c r="E996" s="26"/>
      <c r="F996" s="245"/>
      <c r="G996" s="26"/>
      <c r="H996" s="64"/>
      <c r="I996" s="27"/>
      <c r="J996" s="27"/>
      <c r="K996" s="245"/>
      <c r="L996" s="26"/>
      <c r="M996" s="26"/>
      <c r="N996" s="65"/>
      <c r="AT996" s="26"/>
    </row>
    <row r="997" spans="2:46" ht="15">
      <c r="B997" s="26"/>
      <c r="C997" s="26"/>
      <c r="D997" s="26"/>
      <c r="E997" s="26"/>
      <c r="F997" s="245"/>
      <c r="G997" s="26"/>
      <c r="H997" s="64"/>
      <c r="I997" s="27"/>
      <c r="J997" s="27"/>
      <c r="K997" s="245"/>
      <c r="L997" s="26"/>
      <c r="M997" s="26"/>
      <c r="N997" s="65"/>
      <c r="AT997" s="26"/>
    </row>
    <row r="998" spans="2:46" ht="15">
      <c r="B998" s="26"/>
      <c r="C998" s="26"/>
      <c r="D998" s="26"/>
      <c r="E998" s="26"/>
      <c r="F998" s="245"/>
      <c r="G998" s="26"/>
      <c r="H998" s="64"/>
      <c r="I998" s="27"/>
      <c r="J998" s="27"/>
      <c r="K998" s="245"/>
      <c r="L998" s="26"/>
      <c r="M998" s="26"/>
      <c r="N998" s="65"/>
      <c r="AT998" s="26"/>
    </row>
    <row r="999" spans="2:46" ht="15">
      <c r="B999" s="26"/>
      <c r="C999" s="26"/>
      <c r="D999" s="26"/>
      <c r="E999" s="26"/>
      <c r="F999" s="245"/>
      <c r="G999" s="26"/>
      <c r="H999" s="64"/>
      <c r="I999" s="27"/>
      <c r="J999" s="27"/>
      <c r="K999" s="245"/>
      <c r="L999" s="26"/>
      <c r="M999" s="26"/>
      <c r="N999" s="65"/>
      <c r="AT999" s="26"/>
    </row>
    <row r="1000" spans="2:46" ht="15">
      <c r="B1000" s="26"/>
      <c r="C1000" s="26"/>
      <c r="D1000" s="26"/>
      <c r="E1000" s="26"/>
      <c r="F1000" s="245"/>
      <c r="G1000" s="26"/>
      <c r="H1000" s="64"/>
      <c r="I1000" s="27"/>
      <c r="J1000" s="27"/>
      <c r="K1000" s="245"/>
      <c r="L1000" s="26"/>
      <c r="M1000" s="26"/>
      <c r="N1000" s="65"/>
      <c r="AT1000" s="26"/>
    </row>
    <row r="1001" spans="2:46" ht="12.75" customHeight="1">
      <c r="AT1001" s="26"/>
    </row>
    <row r="1002" spans="2:46" ht="12.75" customHeight="1">
      <c r="AT1002" s="26"/>
    </row>
  </sheetData>
  <pageMargins left="0" right="0" top="0" bottom="0" header="0" footer="0"/>
  <pageSetup orientation="portrait" horizontalDpi="4294967293" verticalDpi="0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4A6B-29C0-4960-8ECF-52FBD94F28A9}">
  <dimension ref="A1:O13"/>
  <sheetViews>
    <sheetView workbookViewId="0">
      <selection activeCell="O12" sqref="O12"/>
    </sheetView>
  </sheetViews>
  <sheetFormatPr defaultColWidth="9.140625" defaultRowHeight="15"/>
  <cols>
    <col min="1" max="1" width="20.7109375" style="222" customWidth="1"/>
    <col min="2" max="7" width="10.7109375" style="152" customWidth="1"/>
    <col min="8" max="8" width="10.7109375" style="333" customWidth="1"/>
    <col min="9" max="9" width="10.7109375" style="152" customWidth="1"/>
    <col min="10" max="10" width="10.7109375" style="333" customWidth="1"/>
    <col min="11" max="14" width="10.7109375" style="334" customWidth="1"/>
    <col min="15" max="15" width="10.7109375" style="152" customWidth="1"/>
  </cols>
  <sheetData>
    <row r="1" spans="1:15">
      <c r="A1" s="335" t="s">
        <v>914</v>
      </c>
      <c r="B1" s="344" t="s">
        <v>28</v>
      </c>
      <c r="C1" s="344" t="s">
        <v>17</v>
      </c>
      <c r="D1" s="344" t="s">
        <v>916</v>
      </c>
      <c r="E1" s="344" t="s">
        <v>5</v>
      </c>
      <c r="F1" s="344" t="s">
        <v>6</v>
      </c>
      <c r="G1" s="344" t="s">
        <v>7</v>
      </c>
      <c r="H1" s="336" t="s">
        <v>990</v>
      </c>
      <c r="I1" s="344" t="s">
        <v>991</v>
      </c>
      <c r="J1" s="336" t="s">
        <v>992</v>
      </c>
      <c r="K1" s="337" t="s">
        <v>993</v>
      </c>
      <c r="L1" s="337" t="s">
        <v>994</v>
      </c>
      <c r="M1" s="337" t="s">
        <v>995</v>
      </c>
      <c r="N1" s="337" t="s">
        <v>996</v>
      </c>
      <c r="O1" s="344" t="s">
        <v>997</v>
      </c>
    </row>
    <row r="2" spans="1:15">
      <c r="A2" s="338" t="s">
        <v>928</v>
      </c>
      <c r="B2" s="344">
        <f>VLOOKUP($A2,'MLB 9-17'!$AA:$AD,3,FALSE)</f>
        <v>92</v>
      </c>
      <c r="C2" s="344">
        <f>VLOOKUP($A2,'MLB 9-17'!$AA:$AD,4,FALSE)</f>
        <v>59</v>
      </c>
      <c r="D2" s="337">
        <f>B2/SUM(B2:C2)</f>
        <v>0.60927152317880795</v>
      </c>
      <c r="E2" s="344">
        <f>VLOOKUP($A2,'MLB 9-17'!$A:$J,9,FALSE)</f>
        <v>771</v>
      </c>
      <c r="F2" s="344">
        <f>VLOOKUP($A2,'MLB 9-17'!$A:$J,10,FALSE)</f>
        <v>591</v>
      </c>
      <c r="G2" s="344">
        <f>E2-F2</f>
        <v>180</v>
      </c>
      <c r="H2" s="336">
        <f>(G2+3)/6</f>
        <v>30.5</v>
      </c>
      <c r="I2" s="344">
        <v>0.73599999999999999</v>
      </c>
      <c r="J2" s="336">
        <f>(E2-F2)/SUM(B2:C2)</f>
        <v>1.1920529801324504</v>
      </c>
      <c r="K2" s="337">
        <v>0.33400000000000002</v>
      </c>
      <c r="L2" s="337">
        <v>0.40899999999999997</v>
      </c>
      <c r="M2" s="337">
        <f>(E2^1.83)/((E2^1.83)+(F2^1.83))</f>
        <v>0.61929251841130539</v>
      </c>
      <c r="N2" s="337">
        <f>(M2*0.35)+(D2*0.1)+(J2*0.3)+(K2*0.1)+(L2*0.15)</f>
        <v>0.73004542780157278</v>
      </c>
      <c r="O2" s="344">
        <v>1</v>
      </c>
    </row>
    <row r="3" spans="1:15">
      <c r="A3" s="338" t="s">
        <v>933</v>
      </c>
      <c r="B3" s="344">
        <f>VLOOKUP($A3,'MLB 9-17'!$AA:$AD,3,FALSE)</f>
        <v>91</v>
      </c>
      <c r="C3" s="344">
        <f>VLOOKUP($A3,'MLB 9-17'!$AA:$AD,4,FALSE)</f>
        <v>61</v>
      </c>
      <c r="D3" s="337">
        <f>B3/SUM(B3:C3)</f>
        <v>0.59868421052631582</v>
      </c>
      <c r="E3" s="344">
        <f>VLOOKUP($A3,'MLB 9-17'!$A:$J,9,FALSE)</f>
        <v>743</v>
      </c>
      <c r="F3" s="344">
        <f>VLOOKUP($A3,'MLB 9-17'!$A:$J,10,FALSE)</f>
        <v>614</v>
      </c>
      <c r="G3" s="344">
        <f>E3-F3</f>
        <v>129</v>
      </c>
      <c r="H3" s="336">
        <f>(G3+3)/6</f>
        <v>22</v>
      </c>
      <c r="I3" s="344">
        <v>0.751</v>
      </c>
      <c r="J3" s="336">
        <f>(E3-F3)/SUM(B3:C3)</f>
        <v>0.84868421052631582</v>
      </c>
      <c r="K3" s="337">
        <v>0.33100000000000002</v>
      </c>
      <c r="L3" s="337">
        <v>0.433</v>
      </c>
      <c r="M3" s="337">
        <f>(E3^1.83)/((E3^1.83)+(F3^1.83))</f>
        <v>0.58637094786903787</v>
      </c>
      <c r="N3" s="337">
        <f>(M3*0.35)+(D3*0.1)+(J3*0.3)+(K3*0.1)+(L3*0.15)</f>
        <v>0.61775351596468953</v>
      </c>
      <c r="O3" s="344">
        <v>2</v>
      </c>
    </row>
    <row r="4" spans="1:15">
      <c r="A4" s="338" t="s">
        <v>939</v>
      </c>
      <c r="B4" s="344">
        <f>VLOOKUP($A4,'MLB 9-17'!$AA:$AD,3,FALSE)</f>
        <v>87</v>
      </c>
      <c r="C4" s="344">
        <f>VLOOKUP($A4,'MLB 9-17'!$AA:$AD,4,FALSE)</f>
        <v>64</v>
      </c>
      <c r="D4" s="337">
        <f>B4/SUM(B4:C4)</f>
        <v>0.57615894039735094</v>
      </c>
      <c r="E4" s="344">
        <f>VLOOKUP($A4,'MLB 9-17'!$A:$J,9,FALSE)</f>
        <v>735</v>
      </c>
      <c r="F4" s="344">
        <f>VLOOKUP($A4,'MLB 9-17'!$A:$J,10,FALSE)</f>
        <v>606</v>
      </c>
      <c r="G4" s="344">
        <f>E4-F4</f>
        <v>129</v>
      </c>
      <c r="H4" s="336">
        <f>(G4+3)/6</f>
        <v>22</v>
      </c>
      <c r="I4" s="344">
        <v>0.77300000000000002</v>
      </c>
      <c r="J4" s="336">
        <f>(E4-F4)/SUM(B4:C4)</f>
        <v>0.85430463576158944</v>
      </c>
      <c r="K4" s="337">
        <v>0.32100000000000001</v>
      </c>
      <c r="L4" s="337">
        <v>0.42799999999999999</v>
      </c>
      <c r="M4" s="337">
        <f>(E4^1.83)/((E4^1.83)+(F4^1.83))</f>
        <v>0.58738672361196398</v>
      </c>
      <c r="N4" s="337">
        <f>(M4*0.35)+(D4*0.1)+(J4*0.3)+(K4*0.1)+(L4*0.15)</f>
        <v>0.61579263803239936</v>
      </c>
      <c r="O4" s="344">
        <v>3</v>
      </c>
    </row>
    <row r="5" spans="1:15">
      <c r="A5" s="338" t="s">
        <v>930</v>
      </c>
      <c r="B5" s="344">
        <f>VLOOKUP($A5,'MLB 9-17'!$AA:$AD,3,FALSE)</f>
        <v>84</v>
      </c>
      <c r="C5" s="344">
        <f>VLOOKUP($A5,'MLB 9-17'!$AA:$AD,4,FALSE)</f>
        <v>67</v>
      </c>
      <c r="D5" s="337">
        <f>B5/SUM(B5:C5)</f>
        <v>0.55629139072847678</v>
      </c>
      <c r="E5" s="344">
        <f>VLOOKUP($A5,'MLB 9-17'!$A:$J,9,FALSE)</f>
        <v>784</v>
      </c>
      <c r="F5" s="344">
        <f>VLOOKUP($A5,'MLB 9-17'!$A:$J,10,FALSE)</f>
        <v>661</v>
      </c>
      <c r="G5" s="344">
        <f>E5-F5</f>
        <v>123</v>
      </c>
      <c r="H5" s="336">
        <f>(G5+3)/6</f>
        <v>21</v>
      </c>
      <c r="I5" s="344">
        <v>0.78400000000000003</v>
      </c>
      <c r="J5" s="336">
        <f>(E5-F5)/SUM(B5:C5)</f>
        <v>0.81456953642384111</v>
      </c>
      <c r="K5" s="337">
        <v>0.32900000000000001</v>
      </c>
      <c r="L5" s="337">
        <v>0.45300000000000001</v>
      </c>
      <c r="M5" s="337">
        <f>(E5^1.83)/((E5^1.83)+(F5^1.83))</f>
        <v>0.57744631673015046</v>
      </c>
      <c r="N5" s="337">
        <f>(M5*0.35)+(D5*0.1)+(J5*0.3)+(K5*0.1)+(L5*0.15)</f>
        <v>0.60295621085555262</v>
      </c>
      <c r="O5" s="344">
        <v>4</v>
      </c>
    </row>
    <row r="6" spans="1:15">
      <c r="A6" s="338" t="s">
        <v>948</v>
      </c>
      <c r="B6" s="344">
        <f>VLOOKUP($A6,'MLB 9-17'!$AA:$AD,3,FALSE)</f>
        <v>84</v>
      </c>
      <c r="C6" s="344">
        <f>VLOOKUP($A6,'MLB 9-17'!$AA:$AD,4,FALSE)</f>
        <v>67</v>
      </c>
      <c r="D6" s="337">
        <f>B6/SUM(B6:C6)</f>
        <v>0.55629139072847678</v>
      </c>
      <c r="E6" s="344">
        <f>VLOOKUP($A6,'MLB 9-17'!$A:$J,9,FALSE)</f>
        <v>773</v>
      </c>
      <c r="F6" s="344">
        <f>VLOOKUP($A6,'MLB 9-17'!$A:$J,10,FALSE)</f>
        <v>656</v>
      </c>
      <c r="G6" s="344">
        <f>E6-F6</f>
        <v>117</v>
      </c>
      <c r="H6" s="336">
        <f>(G6+3)/6</f>
        <v>20</v>
      </c>
      <c r="I6" s="344">
        <v>0.746</v>
      </c>
      <c r="J6" s="336">
        <f>(E6-F6)/SUM(B6:C6)</f>
        <v>0.77483443708609268</v>
      </c>
      <c r="K6" s="337">
        <v>0.33</v>
      </c>
      <c r="L6" s="337">
        <v>0.44</v>
      </c>
      <c r="M6" s="337">
        <f>(E6^1.83)/((E6^1.83)+(F6^1.83))</f>
        <v>0.57452475423029914</v>
      </c>
      <c r="N6" s="337">
        <f>(M6*0.35)+(D6*0.1)+(J6*0.3)+(K6*0.1)+(L6*0.15)</f>
        <v>0.58816313417928012</v>
      </c>
      <c r="O6" s="344">
        <v>5</v>
      </c>
    </row>
    <row r="7" spans="1:15">
      <c r="A7" s="338" t="s">
        <v>935</v>
      </c>
      <c r="B7" s="344">
        <f>VLOOKUP($A7,'MLB 9-17'!$AA:$AD,3,FALSE)</f>
        <v>82</v>
      </c>
      <c r="C7" s="344">
        <f>VLOOKUP($A7,'MLB 9-17'!$AA:$AD,4,FALSE)</f>
        <v>69</v>
      </c>
      <c r="D7" s="337">
        <f>B7/SUM(B7:C7)</f>
        <v>0.54304635761589404</v>
      </c>
      <c r="E7" s="344">
        <f>VLOOKUP($A7,'MLB 9-17'!$A:$J,9,FALSE)</f>
        <v>737</v>
      </c>
      <c r="F7" s="344">
        <f>VLOOKUP($A7,'MLB 9-17'!$A:$J,10,FALSE)</f>
        <v>634</v>
      </c>
      <c r="G7" s="344">
        <f>E7-F7</f>
        <v>103</v>
      </c>
      <c r="H7" s="336">
        <f>(G7+3)/6</f>
        <v>17.666666666666668</v>
      </c>
      <c r="I7" s="344">
        <v>0.749</v>
      </c>
      <c r="J7" s="336">
        <f>(E7-F7)/SUM(B7:C7)</f>
        <v>0.68211920529801329</v>
      </c>
      <c r="K7" s="337">
        <v>0.32400000000000001</v>
      </c>
      <c r="L7" s="337">
        <v>0.42399999999999999</v>
      </c>
      <c r="M7" s="337">
        <f>(E7^1.83)/((E7^1.83)+(F7^1.83))</f>
        <v>0.5684392738758377</v>
      </c>
      <c r="N7" s="337">
        <f>(M7*0.35)+(D7*0.1)+(J7*0.3)+(K7*0.1)+(L7*0.15)</f>
        <v>0.55389414320753649</v>
      </c>
      <c r="O7" s="344">
        <v>6</v>
      </c>
    </row>
    <row r="8" spans="1:15">
      <c r="A8" s="338" t="s">
        <v>932</v>
      </c>
      <c r="B8" s="344">
        <f>VLOOKUP($A8,'MLB 9-17'!$AA:$AD,3,FALSE)</f>
        <v>85</v>
      </c>
      <c r="C8" s="344">
        <f>VLOOKUP($A8,'MLB 9-17'!$AA:$AD,4,FALSE)</f>
        <v>66</v>
      </c>
      <c r="D8" s="337">
        <f>B8/SUM(B8:C8)</f>
        <v>0.5629139072847682</v>
      </c>
      <c r="E8" s="344">
        <f>VLOOKUP($A8,'MLB 9-17'!$A:$J,9,FALSE)</f>
        <v>734</v>
      </c>
      <c r="F8" s="344">
        <f>VLOOKUP($A8,'MLB 9-17'!$A:$J,10,FALSE)</f>
        <v>641</v>
      </c>
      <c r="G8" s="344">
        <f>E8-F8</f>
        <v>93</v>
      </c>
      <c r="H8" s="336">
        <f>(G8+3)/6</f>
        <v>16</v>
      </c>
      <c r="I8" s="344">
        <v>0.73899999999999999</v>
      </c>
      <c r="J8" s="336">
        <f>(E8-F8)/SUM(B8:C8)</f>
        <v>0.61589403973509937</v>
      </c>
      <c r="K8" s="337">
        <v>0.318</v>
      </c>
      <c r="L8" s="337">
        <v>0.42</v>
      </c>
      <c r="M8" s="337">
        <f>(E8^1.83)/((E8^1.83)+(F8^1.83))</f>
        <v>0.56166635104799223</v>
      </c>
      <c r="N8" s="337">
        <f>(M8*0.35)+(D8*0.1)+(J8*0.3)+(K8*0.1)+(L8*0.15)</f>
        <v>0.53244282551580391</v>
      </c>
      <c r="O8" s="344">
        <v>7</v>
      </c>
    </row>
    <row r="9" spans="1:15">
      <c r="A9" s="335" t="s">
        <v>926</v>
      </c>
      <c r="B9" s="339">
        <f>VLOOKUP($A9,'MLB 9-17'!$AA:$AD,3,FALSE)</f>
        <v>89</v>
      </c>
      <c r="C9" s="339">
        <f>VLOOKUP($A9,'MLB 9-17'!$AA:$AD,4,FALSE)</f>
        <v>62</v>
      </c>
      <c r="D9" s="340">
        <f>B9/SUM(B9:C9)</f>
        <v>0.58940397350993379</v>
      </c>
      <c r="E9" s="339">
        <f>VLOOKUP($A9,'MLB 9-17'!$A:$J,9,FALSE)</f>
        <v>757</v>
      </c>
      <c r="F9" s="339">
        <f>VLOOKUP($A9,'MLB 9-17'!$A:$J,10,FALSE)</f>
        <v>669</v>
      </c>
      <c r="G9" s="339">
        <f>E9-F9</f>
        <v>88</v>
      </c>
      <c r="H9" s="341">
        <f>(G9+3)/6</f>
        <v>15.166666666666666</v>
      </c>
      <c r="I9" s="339">
        <v>0.76500000000000001</v>
      </c>
      <c r="J9" s="341">
        <f>(E9-F9)/SUM(B9:C9)</f>
        <v>0.58278145695364236</v>
      </c>
      <c r="K9" s="340">
        <v>0.33700000000000002</v>
      </c>
      <c r="L9" s="340">
        <v>0.432</v>
      </c>
      <c r="M9" s="340">
        <f>(E9^1.83)/((E9^1.83)+(F9^1.83))</f>
        <v>0.55629774521864228</v>
      </c>
      <c r="N9" s="340">
        <f>(M9*0.35)+(D9*0.1)+(J9*0.3)+(K9*0.1)+(L9*0.15)</f>
        <v>0.52697904526361083</v>
      </c>
      <c r="O9" s="339">
        <v>8</v>
      </c>
    </row>
    <row r="10" spans="1:15">
      <c r="A10" s="338" t="s">
        <v>938</v>
      </c>
      <c r="B10" s="344">
        <f>VLOOKUP($A10,'MLB 9-17'!$AA:$AD,3,FALSE)</f>
        <v>83</v>
      </c>
      <c r="C10" s="344">
        <f>VLOOKUP($A10,'MLB 9-17'!$AA:$AD,4,FALSE)</f>
        <v>68</v>
      </c>
      <c r="D10" s="337">
        <f>B10/SUM(B10:C10)</f>
        <v>0.54966887417218546</v>
      </c>
      <c r="E10" s="344">
        <f>VLOOKUP($A10,'MLB 9-17'!$A:$J,9,FALSE)</f>
        <v>717</v>
      </c>
      <c r="F10" s="344">
        <f>VLOOKUP($A10,'MLB 9-17'!$A:$J,10,FALSE)</f>
        <v>659</v>
      </c>
      <c r="G10" s="344">
        <f>E10-F10</f>
        <v>58</v>
      </c>
      <c r="H10" s="336">
        <f>(G10+3)/6</f>
        <v>10.166666666666666</v>
      </c>
      <c r="I10" s="344">
        <v>0.72799999999999998</v>
      </c>
      <c r="J10" s="336">
        <f>(E10-F10)/SUM(B10:C10)</f>
        <v>0.38410596026490068</v>
      </c>
      <c r="K10" s="337">
        <v>0.32100000000000001</v>
      </c>
      <c r="L10" s="337">
        <v>0.41899999999999998</v>
      </c>
      <c r="M10" s="337">
        <f>(E10^1.83)/((E10^1.83)+(F10^1.83))</f>
        <v>0.53851473147834039</v>
      </c>
      <c r="N10" s="337">
        <f>(M10*0.35)+(D10*0.1)+(J10*0.3)+(K10*0.1)+(L10*0.15)</f>
        <v>0.45362883151410793</v>
      </c>
      <c r="O10" s="344">
        <v>9</v>
      </c>
    </row>
    <row r="11" spans="1:15">
      <c r="A11" s="338" t="s">
        <v>956</v>
      </c>
      <c r="B11" s="344">
        <f>VLOOKUP($A11,'MLB 9-17'!$AA:$AD,3,FALSE)</f>
        <v>82</v>
      </c>
      <c r="C11" s="344">
        <f>VLOOKUP($A11,'MLB 9-17'!$AA:$AD,4,FALSE)</f>
        <v>69</v>
      </c>
      <c r="D11" s="337">
        <f>B11/SUM(B11:C11)</f>
        <v>0.54304635761589404</v>
      </c>
      <c r="E11" s="344">
        <f>VLOOKUP($A11,'MLB 9-17'!$A:$J,9,FALSE)</f>
        <v>644</v>
      </c>
      <c r="F11" s="344">
        <f>VLOOKUP($A11,'MLB 9-17'!$A:$J,10,FALSE)</f>
        <v>586</v>
      </c>
      <c r="G11" s="344">
        <f>E11-F11</f>
        <v>58</v>
      </c>
      <c r="H11" s="336">
        <f>(G11+3)/6</f>
        <v>10.166666666666666</v>
      </c>
      <c r="I11" s="344">
        <v>0.70699999999999996</v>
      </c>
      <c r="J11" s="336">
        <f>(E11-F11)/SUM(B11:C11)</f>
        <v>0.38410596026490068</v>
      </c>
      <c r="K11" s="337">
        <v>0.32100000000000001</v>
      </c>
      <c r="L11" s="337">
        <v>0.38900000000000001</v>
      </c>
      <c r="M11" s="337">
        <f>(E11^1.83)/((E11^1.83)+(F11^1.83))</f>
        <v>0.54307134868534557</v>
      </c>
      <c r="N11" s="337">
        <f>(M11*0.35)+(D11*0.1)+(J11*0.3)+(K11*0.1)+(L11*0.15)</f>
        <v>0.45006139588093058</v>
      </c>
      <c r="O11" s="344">
        <v>10</v>
      </c>
    </row>
    <row r="12" spans="1:15">
      <c r="A12" s="338" t="s">
        <v>964</v>
      </c>
      <c r="B12" s="344">
        <f>VLOOKUP($A12,'MLB 9-17'!$AA:$AD,3,FALSE)</f>
        <v>78</v>
      </c>
      <c r="C12" s="344">
        <f>VLOOKUP($A12,'MLB 9-17'!$AA:$AD,4,FALSE)</f>
        <v>73</v>
      </c>
      <c r="D12" s="337">
        <f>B12/SUM(B12:C12)</f>
        <v>0.51655629139072845</v>
      </c>
      <c r="E12" s="344">
        <f>VLOOKUP($A12,'MLB 9-17'!$A:$J,9,FALSE)</f>
        <v>712</v>
      </c>
      <c r="F12" s="344">
        <f>VLOOKUP($A12,'MLB 9-17'!$A:$J,10,FALSE)</f>
        <v>661</v>
      </c>
      <c r="G12" s="344">
        <f>E12-F12</f>
        <v>51</v>
      </c>
      <c r="H12" s="336">
        <f>(G12+3)/6</f>
        <v>9</v>
      </c>
      <c r="I12" s="344">
        <v>0.73899999999999999</v>
      </c>
      <c r="J12" s="336">
        <f>(E12-F12)/SUM(B12:C12)</f>
        <v>0.33774834437086093</v>
      </c>
      <c r="K12" s="337">
        <v>0.32700000000000001</v>
      </c>
      <c r="L12" s="337">
        <v>0.42799999999999999</v>
      </c>
      <c r="M12" s="337">
        <f>(E12^1.83)/((E12^1.83)+(F12^1.83))</f>
        <v>0.53395093911137226</v>
      </c>
      <c r="N12" s="337">
        <f>(M12*0.35)+(D12*0.1)+(J12*0.3)+(K12*0.1)+(L12*0.15)</f>
        <v>0.4367629611393114</v>
      </c>
      <c r="O12" s="344">
        <v>11</v>
      </c>
    </row>
    <row r="13" spans="1:15">
      <c r="A13" s="338" t="s">
        <v>943</v>
      </c>
      <c r="B13" s="344">
        <f>VLOOKUP($A13,'MLB 9-17'!$AA:$AD,3,FALSE)</f>
        <v>83</v>
      </c>
      <c r="C13" s="344">
        <f>VLOOKUP($A13,'MLB 9-17'!$AA:$AD,4,FALSE)</f>
        <v>69</v>
      </c>
      <c r="D13" s="337">
        <f>B13/SUM(B13:C13)</f>
        <v>0.54605263157894735</v>
      </c>
      <c r="E13" s="344">
        <f>VLOOKUP($A13,'MLB 9-17'!$A:$J,9,FALSE)</f>
        <v>647</v>
      </c>
      <c r="F13" s="344">
        <f>VLOOKUP($A13,'MLB 9-17'!$A:$J,10,FALSE)</f>
        <v>623</v>
      </c>
      <c r="G13" s="344">
        <f>E13-F13</f>
        <v>24</v>
      </c>
      <c r="H13" s="336">
        <f>(G13+3)/6</f>
        <v>4.5</v>
      </c>
      <c r="I13" s="344">
        <v>0.71699999999999997</v>
      </c>
      <c r="J13" s="336">
        <f>(E13-F13)/SUM(B13:C13)</f>
        <v>0.15789473684210525</v>
      </c>
      <c r="K13" s="337">
        <v>0.318</v>
      </c>
      <c r="L13" s="337">
        <v>0.4</v>
      </c>
      <c r="M13" s="337">
        <f>(E13^1.83)/((E13^1.83)+(F13^1.83))</f>
        <v>0.51728650496559692</v>
      </c>
      <c r="N13" s="337">
        <f>(M13*0.35)+(D13*0.1)+(J13*0.3)+(K13*0.1)+(L13*0.15)</f>
        <v>0.37482396094848519</v>
      </c>
      <c r="O13" s="344">
        <v>12</v>
      </c>
    </row>
  </sheetData>
  <sortState xmlns:xlrd2="http://schemas.microsoft.com/office/spreadsheetml/2017/richdata2" ref="A2:O13">
    <sortCondition descending="1" ref="N2:N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34D-4A84-4E62-B960-D29F4A6A14CA}">
  <sheetPr>
    <outlinePr summaryBelow="0" summaryRight="0"/>
  </sheetPr>
  <dimension ref="A1:Z1004"/>
  <sheetViews>
    <sheetView tabSelected="1" workbookViewId="0">
      <selection activeCell="Z22" sqref="Z22"/>
    </sheetView>
  </sheetViews>
  <sheetFormatPr defaultColWidth="14.42578125" defaultRowHeight="12.75" customHeight="1"/>
  <cols>
    <col min="1" max="1" width="25" style="5" customWidth="1"/>
    <col min="2" max="2" width="5.85546875" style="5" customWidth="1"/>
    <col min="3" max="4" width="5.7109375" style="5" customWidth="1"/>
    <col min="5" max="5" width="7.42578125" style="5" customWidth="1"/>
    <col min="6" max="6" width="5.7109375" style="5" customWidth="1"/>
    <col min="7" max="7" width="7.42578125" style="246" customWidth="1"/>
    <col min="8" max="9" width="5.7109375" style="103" customWidth="1"/>
    <col min="10" max="10" width="6.42578125" style="246" customWidth="1"/>
    <col min="11" max="11" width="7.85546875" style="152" bestFit="1" customWidth="1"/>
    <col min="12" max="12" width="7.85546875" style="5" bestFit="1" customWidth="1"/>
    <col min="13" max="13" width="7.42578125" style="5" bestFit="1" customWidth="1"/>
    <col min="14" max="14" width="5.85546875" style="5" customWidth="1"/>
    <col min="15" max="15" width="5.7109375" style="5" customWidth="1"/>
    <col min="16" max="16" width="25.7109375" style="222" customWidth="1"/>
    <col min="17" max="17" width="5.7109375" style="5" customWidth="1"/>
    <col min="18" max="18" width="5.7109375" style="127" customWidth="1"/>
    <col min="19" max="19" width="5.7109375" style="66" customWidth="1"/>
    <col min="20" max="21" width="5.7109375" style="5" customWidth="1"/>
    <col min="22" max="22" width="5.7109375" style="246" customWidth="1"/>
    <col min="23" max="24" width="5.7109375" style="5" customWidth="1"/>
    <col min="25" max="25" width="46.42578125" style="145" bestFit="1" customWidth="1"/>
    <col min="26" max="26" width="20.7109375" style="222" customWidth="1"/>
    <col min="27" max="16384" width="14.42578125" style="5"/>
  </cols>
  <sheetData>
    <row r="1" spans="1:26" ht="15" customHeight="1">
      <c r="A1" s="38" t="s">
        <v>998</v>
      </c>
      <c r="B1" s="39"/>
      <c r="C1" s="39"/>
      <c r="D1" s="39"/>
      <c r="E1" s="39"/>
      <c r="F1" s="39"/>
      <c r="G1" s="247"/>
      <c r="H1" s="39"/>
      <c r="I1" s="39"/>
      <c r="J1" s="247"/>
      <c r="K1" s="223"/>
      <c r="L1" s="125"/>
      <c r="M1" s="125"/>
      <c r="N1" s="43"/>
      <c r="P1" s="224" t="s">
        <v>999</v>
      </c>
      <c r="Q1" s="39"/>
      <c r="R1" s="39"/>
      <c r="S1" s="39"/>
      <c r="T1" s="39"/>
      <c r="U1" s="39"/>
      <c r="V1" s="247"/>
      <c r="W1" s="37"/>
      <c r="Y1" s="144" t="s">
        <v>1000</v>
      </c>
      <c r="Z1" s="301"/>
    </row>
    <row r="2" spans="1:26" ht="15" customHeight="1">
      <c r="A2" s="138" t="s">
        <v>914</v>
      </c>
      <c r="B2" s="114" t="s">
        <v>915</v>
      </c>
      <c r="C2" s="114" t="s">
        <v>28</v>
      </c>
      <c r="D2" s="114" t="s">
        <v>17</v>
      </c>
      <c r="E2" s="114" t="s">
        <v>916</v>
      </c>
      <c r="F2" s="153" t="s">
        <v>1001</v>
      </c>
      <c r="G2" s="257" t="s">
        <v>917</v>
      </c>
      <c r="H2" s="114" t="s">
        <v>5</v>
      </c>
      <c r="I2" s="114" t="s">
        <v>6</v>
      </c>
      <c r="J2" s="257" t="s">
        <v>7</v>
      </c>
      <c r="K2" s="115" t="s">
        <v>920</v>
      </c>
      <c r="L2" s="115" t="s">
        <v>921</v>
      </c>
      <c r="M2" s="126" t="s">
        <v>922</v>
      </c>
      <c r="N2" s="158" t="s">
        <v>923</v>
      </c>
      <c r="P2" s="225" t="s">
        <v>914</v>
      </c>
      <c r="Q2" s="114" t="s">
        <v>915</v>
      </c>
      <c r="R2" s="114" t="s">
        <v>28</v>
      </c>
      <c r="S2" s="114" t="s">
        <v>17</v>
      </c>
      <c r="T2" s="135" t="s">
        <v>916</v>
      </c>
      <c r="U2" s="163" t="s">
        <v>1001</v>
      </c>
      <c r="V2" s="263" t="s">
        <v>7</v>
      </c>
      <c r="W2" s="164" t="s">
        <v>923</v>
      </c>
      <c r="Y2" s="144" t="s">
        <v>924</v>
      </c>
      <c r="Z2" s="301" t="s">
        <v>925</v>
      </c>
    </row>
    <row r="3" spans="1:26" ht="15" customHeight="1">
      <c r="A3" s="137" t="s">
        <v>1002</v>
      </c>
      <c r="B3" s="30">
        <f>SUM(C3:D3)</f>
        <v>100</v>
      </c>
      <c r="C3" s="30">
        <v>55</v>
      </c>
      <c r="D3" s="30">
        <v>45</v>
      </c>
      <c r="E3" s="31">
        <f>IFERROR(C3/B3,0)</f>
        <v>0.55000000000000004</v>
      </c>
      <c r="F3" s="218" t="str">
        <f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f>
        <v>-</v>
      </c>
      <c r="G3" s="258">
        <f>IF(OR(A3 = $A$3, A3 = $A$4, A3 = $A$5, A3 = $A$6), (100 - $D$7) - C3, (100-D3)-$C$6)</f>
        <v>-12</v>
      </c>
      <c r="H3" s="30">
        <f>SUM('AA Run Diff 2025'!T3:T102)</f>
        <v>461</v>
      </c>
      <c r="I3" s="30">
        <f>SUM('AA Run Diff 2025'!U3:U102)</f>
        <v>444</v>
      </c>
      <c r="J3" s="258">
        <f>East[[#This Row],[RF]]-East[[#This Row],[RA]]</f>
        <v>17</v>
      </c>
      <c r="K3" s="60" t="str">
        <f>_xlfn.CONCAT(ROUND(((East[[#This Row],[RF]]^1.83)/((East[[#This Row],[RF]]^1.83)+(East[[#This Row],[RA]]^1.83))*B3),0),"-",East[[#This Row],[GP]]-ROUND(((East[[#This Row],[RF]]^1.83)/((East[[#This Row],[RF]]^1.83)+(East[[#This Row],[RA]]^1.83))*B3),0))</f>
        <v>52-48</v>
      </c>
      <c r="L3" s="60" t="str">
        <f>_xlfn.CONCAT(ROUND(100*East[[#This Row],[PCT.]],0),"-",100-ROUND(100*East[[#This Row],[PCT.]],0))</f>
        <v>55-45</v>
      </c>
      <c r="M3" s="97">
        <f>IFERROR(B3/100,0)</f>
        <v>1</v>
      </c>
      <c r="N3" s="157" t="s">
        <v>1003</v>
      </c>
      <c r="P3" s="226" t="s">
        <v>1004</v>
      </c>
      <c r="Q3" s="30">
        <f>SUM(R3:S3)</f>
        <v>100</v>
      </c>
      <c r="R3" s="30">
        <f>VLOOKUP(P3,A:C,3,FALSE)</f>
        <v>64</v>
      </c>
      <c r="S3" s="30">
        <f>VLOOKUP(P3,A:D,4,FALSE)</f>
        <v>36</v>
      </c>
      <c r="T3" s="90">
        <f>IFERROR(R3/Q3,0)</f>
        <v>0.64</v>
      </c>
      <c r="U3" s="151" t="str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-</v>
      </c>
      <c r="V3" s="264">
        <f>VLOOKUP(AA[[#This Row],[Team]],A:J,10,FALSE)</f>
        <v>69</v>
      </c>
      <c r="W3" s="162" t="str">
        <f>IF(VLOOKUP(AA[[#This Row],[Team]],A:N,14,FALSE)=0,"",VLOOKUP(AA[[#This Row],[Team]],A:N,14,FALSE))</f>
        <v>zw1</v>
      </c>
      <c r="Y3" s="219" t="s">
        <v>1005</v>
      </c>
      <c r="Z3" s="344" t="s">
        <v>1006</v>
      </c>
    </row>
    <row r="4" spans="1:26" ht="15" customHeight="1">
      <c r="A4" s="137" t="s">
        <v>1007</v>
      </c>
      <c r="B4" s="30">
        <f>SUM(C4:D4)</f>
        <v>99</v>
      </c>
      <c r="C4" s="30">
        <v>50</v>
      </c>
      <c r="D4" s="30">
        <v>49</v>
      </c>
      <c r="E4" s="31">
        <f>IFERROR(C4/B4,0)</f>
        <v>0.50505050505050508</v>
      </c>
      <c r="F4" s="133">
        <f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f>
        <v>4.5</v>
      </c>
      <c r="G4" s="258">
        <f>IF(OR(A4 = $A$3, A4 = $A$4, A4 = $A$5, A4 = $A$6), (99 - $D$7) - C4, (99-D4)-$C$6)</f>
        <v>-8</v>
      </c>
      <c r="H4" s="30">
        <f>SUM('AA Run Diff 2025'!B3:B102)</f>
        <v>502</v>
      </c>
      <c r="I4" s="30">
        <f>SUM('AA Run Diff 2025'!C3:C102)</f>
        <v>492</v>
      </c>
      <c r="J4" s="258">
        <f>East[[#This Row],[RF]]-East[[#This Row],[RA]]</f>
        <v>10</v>
      </c>
      <c r="K4" s="98" t="str">
        <f>_xlfn.CONCAT(ROUND(((East[[#This Row],[RF]]^1.83)/((East[[#This Row],[RF]]^1.83)+(East[[#This Row],[RA]]^1.83))*B4),0),"-",East[[#This Row],[GP]]-ROUND(((East[[#This Row],[RF]]^1.83)/((East[[#This Row],[RF]]^1.83)+(East[[#This Row],[RA]]^1.83))*B4),0))</f>
        <v>50-49</v>
      </c>
      <c r="L4" s="98" t="str">
        <f>_xlfn.CONCAT(ROUND(99*East[[#This Row],[PCT.]],0),"-",99-ROUND(99*East[[#This Row],[PCT.]],0))</f>
        <v>50-49</v>
      </c>
      <c r="M4" s="97">
        <f>IFERROR(B4/99,0)</f>
        <v>1</v>
      </c>
      <c r="N4" s="157" t="s">
        <v>1008</v>
      </c>
      <c r="P4" s="226" t="s">
        <v>1009</v>
      </c>
      <c r="Q4" s="30">
        <f>SUM(R4:S4)</f>
        <v>100</v>
      </c>
      <c r="R4" s="30">
        <f>VLOOKUP(P4,A:C,3,FALSE)</f>
        <v>59</v>
      </c>
      <c r="S4" s="67">
        <f>VLOOKUP(P4,A:D,4,FALSE)</f>
        <v>41</v>
      </c>
      <c r="T4" s="90">
        <f>IFERROR(R4/Q4,0)</f>
        <v>0.59</v>
      </c>
      <c r="U4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5</v>
      </c>
      <c r="V4" s="264">
        <f>VLOOKUP(AA[[#This Row],[Team]],A:J,10,FALSE)</f>
        <v>48</v>
      </c>
      <c r="W4" s="162" t="str">
        <f>IF(VLOOKUP(AA[[#This Row],[Team]],A:N,14,FALSE)=0,"",VLOOKUP(AA[[#This Row],[Team]],A:N,14,FALSE))</f>
        <v>xw2</v>
      </c>
      <c r="Y4" s="219" t="s">
        <v>1010</v>
      </c>
      <c r="Z4" s="344" t="s">
        <v>1011</v>
      </c>
    </row>
    <row r="5" spans="1:26" ht="15" customHeight="1">
      <c r="A5" s="137" t="s">
        <v>1012</v>
      </c>
      <c r="B5" s="30">
        <f>SUM(C5:D5)</f>
        <v>100</v>
      </c>
      <c r="C5" s="30">
        <v>49</v>
      </c>
      <c r="D5" s="30">
        <v>51</v>
      </c>
      <c r="E5" s="31">
        <f>IFERROR(C5/B5,0)</f>
        <v>0.49</v>
      </c>
      <c r="F5" s="308">
        <f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f>
        <v>6</v>
      </c>
      <c r="G5" s="261">
        <f>IF(OR(A5 = $A$3, A5 = $A$4, A5 = $A$5, A5 = $A$6), (100 - $D$7) - C5, (100-D5)-$C$6)</f>
        <v>-6</v>
      </c>
      <c r="H5" s="30">
        <f>SUM('AA Run Diff 2025'!N3:N102)</f>
        <v>463</v>
      </c>
      <c r="I5" s="30">
        <f>SUM('AA Run Diff 2025'!O3:O102)</f>
        <v>465</v>
      </c>
      <c r="J5" s="258">
        <f>East[[#This Row],[RF]]-East[[#This Row],[RA]]</f>
        <v>-2</v>
      </c>
      <c r="K5" s="98" t="str">
        <f>_xlfn.CONCAT(ROUND(((East[[#This Row],[RF]]^1.83)/((East[[#This Row],[RF]]^1.83)+(East[[#This Row],[RA]]^1.83))*B5),0),"-",East[[#This Row],[GP]]-ROUND(((East[[#This Row],[RF]]^1.83)/((East[[#This Row],[RF]]^1.83)+(East[[#This Row],[RA]]^1.83))*B5),0))</f>
        <v>50-50</v>
      </c>
      <c r="L5" s="98" t="str">
        <f>_xlfn.CONCAT(ROUND(100*East[[#This Row],[PCT.]],0),"-",100-ROUND(100*East[[#This Row],[PCT.]],0))</f>
        <v>49-51</v>
      </c>
      <c r="M5" s="97">
        <f>IFERROR(B5/100,0)</f>
        <v>1</v>
      </c>
      <c r="N5" s="309" t="s">
        <v>1013</v>
      </c>
      <c r="P5" s="226" t="s">
        <v>1014</v>
      </c>
      <c r="Q5" s="30">
        <f>SUM(R5:S5)</f>
        <v>100</v>
      </c>
      <c r="R5" s="30">
        <f>VLOOKUP(P5,A:C,3,FALSE)</f>
        <v>58</v>
      </c>
      <c r="S5" s="30">
        <f>VLOOKUP(P5,A:D,4,FALSE)</f>
        <v>42</v>
      </c>
      <c r="T5" s="90">
        <f>IFERROR(R5/Q5,0)</f>
        <v>0.57999999999999996</v>
      </c>
      <c r="U5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6</v>
      </c>
      <c r="V5" s="264">
        <f>VLOOKUP(AA[[#This Row],[Team]],A:J,10,FALSE)</f>
        <v>70</v>
      </c>
      <c r="W5" s="162" t="str">
        <f>IF(VLOOKUP(AA[[#This Row],[Team]],A:N,14,FALSE)=0,"",VLOOKUP(AA[[#This Row],[Team]],A:N,14,FALSE))</f>
        <v>xw3</v>
      </c>
    </row>
    <row r="6" spans="1:26" ht="15" customHeight="1">
      <c r="A6" s="155" t="s">
        <v>1015</v>
      </c>
      <c r="B6" s="105">
        <f>SUM(C6:D6)</f>
        <v>100</v>
      </c>
      <c r="C6" s="105">
        <v>45</v>
      </c>
      <c r="D6" s="105">
        <v>55</v>
      </c>
      <c r="E6" s="106">
        <f>IFERROR(C6/B6,0)</f>
        <v>0.45</v>
      </c>
      <c r="F6" s="149">
        <f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f>
        <v>10</v>
      </c>
      <c r="G6" s="259">
        <f>IF(OR(A6 = $A$3, A6 = $A$4, A6 = $A$5, A6 = $A$6), (100 - $D$7) - C6, (100-D6)-$C$6)</f>
        <v>-2</v>
      </c>
      <c r="H6" s="105">
        <f>SUM('AA Run Diff 2025'!Z3:Z102)</f>
        <v>472</v>
      </c>
      <c r="I6" s="105">
        <f>SUM('AA Run Diff 2025'!AA3:AA102)</f>
        <v>522</v>
      </c>
      <c r="J6" s="259">
        <f>East[[#This Row],[RF]]-East[[#This Row],[RA]]</f>
        <v>-50</v>
      </c>
      <c r="K6" s="108" t="str">
        <f>_xlfn.CONCAT(ROUND(((East[[#This Row],[RF]]^1.83)/((East[[#This Row],[RF]]^1.83)+(East[[#This Row],[RA]]^1.83))*B6),0),"-",East[[#This Row],[GP]]-ROUND(((East[[#This Row],[RF]]^1.83)/((East[[#This Row],[RF]]^1.83)+(East[[#This Row],[RA]]^1.83))*B6),0))</f>
        <v>45-55</v>
      </c>
      <c r="L6" s="108" t="str">
        <f>_xlfn.CONCAT(ROUND(100*East[[#This Row],[PCT.]],0),"-",100-ROUND(100*East[[#This Row],[PCT.]],0))</f>
        <v>45-55</v>
      </c>
      <c r="M6" s="107">
        <f>IFERROR(B6/100,0)</f>
        <v>1</v>
      </c>
      <c r="N6" s="283" t="s">
        <v>1016</v>
      </c>
      <c r="P6" s="226" t="s">
        <v>1017</v>
      </c>
      <c r="Q6" s="30">
        <f>SUM(R6:S6)</f>
        <v>100</v>
      </c>
      <c r="R6" s="30">
        <f>VLOOKUP(P6,A:C,3,FALSE)</f>
        <v>55</v>
      </c>
      <c r="S6" s="30">
        <f>VLOOKUP(P6,A:D,4,FALSE)</f>
        <v>45</v>
      </c>
      <c r="T6" s="90">
        <f>IFERROR(R6/Q6,0)</f>
        <v>0.55000000000000004</v>
      </c>
      <c r="U6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9</v>
      </c>
      <c r="V6" s="264">
        <f>VLOOKUP(AA[[#This Row],[Team]],A:J,10,FALSE)</f>
        <v>69</v>
      </c>
      <c r="W6" s="162" t="str">
        <f>IF(VLOOKUP(AA[[#This Row],[Team]],A:N,14,FALSE)=0,"",VLOOKUP(AA[[#This Row],[Team]],A:N,14,FALSE))</f>
        <v>xw4</v>
      </c>
      <c r="Y6" s="277" t="s">
        <v>1018</v>
      </c>
      <c r="Z6" s="301"/>
    </row>
    <row r="7" spans="1:26" ht="15" customHeight="1">
      <c r="A7" s="156" t="s">
        <v>1019</v>
      </c>
      <c r="B7" s="109">
        <f>SUM(C7:D7)</f>
        <v>100</v>
      </c>
      <c r="C7" s="109">
        <v>43</v>
      </c>
      <c r="D7" s="109">
        <v>57</v>
      </c>
      <c r="E7" s="110">
        <f>IFERROR(C7/B7,0)</f>
        <v>0.43</v>
      </c>
      <c r="F7" s="312">
        <f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f>
        <v>12</v>
      </c>
      <c r="G7" s="260">
        <f>IF(OR(A7 = $A$3, A7 = $A$4, A7 = $A$5, A7 = $A$6), (100 - $D$7) - C7, (100-D7)-$C$6)</f>
        <v>-2</v>
      </c>
      <c r="H7" s="109">
        <f>SUM('AA Run Diff 2025'!E3:E102)</f>
        <v>531</v>
      </c>
      <c r="I7" s="109">
        <f>SUM('AA Run Diff 2025'!F3:F102)</f>
        <v>589</v>
      </c>
      <c r="J7" s="260">
        <f>East[[#This Row],[RF]]-East[[#This Row],[RA]]</f>
        <v>-58</v>
      </c>
      <c r="K7" s="313" t="str">
        <f>_xlfn.CONCAT(ROUND(((East[[#This Row],[RF]]^1.83)/((East[[#This Row],[RF]]^1.83)+(East[[#This Row],[RA]]^1.83))*B7),0),"-",East[[#This Row],[GP]]-ROUND(((East[[#This Row],[RF]]^1.83)/((East[[#This Row],[RF]]^1.83)+(East[[#This Row],[RA]]^1.83))*B7),0))</f>
        <v>45-55</v>
      </c>
      <c r="L7" s="313" t="str">
        <f>_xlfn.CONCAT(ROUND(100*East[[#This Row],[PCT.]],0),"-",100-ROUND(100*East[[#This Row],[PCT.]],0))</f>
        <v>43-57</v>
      </c>
      <c r="M7" s="111">
        <f>IFERROR(B7/100,0)</f>
        <v>1</v>
      </c>
      <c r="N7" s="158" t="s">
        <v>963</v>
      </c>
      <c r="P7" s="226" t="s">
        <v>1002</v>
      </c>
      <c r="Q7" s="30">
        <f>SUM(R7:S7)</f>
        <v>100</v>
      </c>
      <c r="R7" s="30">
        <f>VLOOKUP(P7,A:C,3,FALSE)</f>
        <v>55</v>
      </c>
      <c r="S7" s="30">
        <f>VLOOKUP(P7,A:D,4,FALSE)</f>
        <v>45</v>
      </c>
      <c r="T7" s="90">
        <f>IFERROR(R7/Q7,0)</f>
        <v>0.55000000000000004</v>
      </c>
      <c r="U7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9</v>
      </c>
      <c r="V7" s="264">
        <f>VLOOKUP(AA[[#This Row],[Team]],A:J,10,FALSE)</f>
        <v>17</v>
      </c>
      <c r="W7" s="162" t="str">
        <f>IF(VLOOKUP(AA[[#This Row],[Team]],A:N,14,FALSE)=0,"",VLOOKUP(AA[[#This Row],[Team]],A:N,14,FALSE))</f>
        <v>ye1</v>
      </c>
      <c r="Y7" s="144" t="s">
        <v>924</v>
      </c>
      <c r="Z7" s="301" t="s">
        <v>925</v>
      </c>
    </row>
    <row r="8" spans="1:26" ht="15" customHeight="1">
      <c r="A8" s="141" t="s">
        <v>1020</v>
      </c>
      <c r="B8" s="91">
        <f>SUM(C8:D8)</f>
        <v>100</v>
      </c>
      <c r="C8" s="91">
        <v>38</v>
      </c>
      <c r="D8" s="91">
        <v>62</v>
      </c>
      <c r="E8" s="94">
        <f>IFERROR(C8/B8,0)</f>
        <v>0.38</v>
      </c>
      <c r="F8" s="58">
        <f>IF(IF(East[[#This Row],[GP]]&lt;$B$3,(((East[[#This Row],[GP]]-$B$3)/2)+$C$3)-East[[#This Row],[W]],IF(East[[#This Row],[GP]]&gt;$B$3,(((East[[#This Row],[GP]]-$B$3)/2)+$C$3)-East[[#This Row],[W]],$C$3-East[[#This Row],[W]])) = 0, "-", IF(East[[#This Row],[GP]]&lt;$B$3,(((East[[#This Row],[GP]]-$B$3)/2)+$C$3)-East[[#This Row],[W]],IF(East[[#This Row],[GP]]&gt;$B$3,(((East[[#This Row],[GP]]-$B$3)/2)+$C$3)-East[[#This Row],[W]],$C$3-East[[#This Row],[W]])))</f>
        <v>17</v>
      </c>
      <c r="G8" s="258">
        <f>IF(OR(A8 = $A$3, A8 = $A$4, A8 = $A$5, A8 = $A$6), (100 - $D$7) - C8, (100-D8)-$C$6)</f>
        <v>-7</v>
      </c>
      <c r="H8" s="30">
        <f>SUM('AA Run Diff 2025'!K3:K102)</f>
        <v>406</v>
      </c>
      <c r="I8" s="30">
        <f>SUM('AA Run Diff 2025'!L3:L102)</f>
        <v>494</v>
      </c>
      <c r="J8" s="261">
        <f>East[[#This Row],[RF]]-East[[#This Row],[RA]]</f>
        <v>-88</v>
      </c>
      <c r="K8" s="160" t="str">
        <f>_xlfn.CONCAT(ROUND(((East[[#This Row],[RF]]^1.83)/((East[[#This Row],[RF]]^1.83)+(East[[#This Row],[RA]]^1.83))*B8),0),"-",East[[#This Row],[GP]]-ROUND(((East[[#This Row],[RF]]^1.83)/((East[[#This Row],[RF]]^1.83)+(East[[#This Row],[RA]]^1.83))*B8),0))</f>
        <v>41-59</v>
      </c>
      <c r="L8" s="160" t="str">
        <f>_xlfn.CONCAT(ROUND(100*East[[#This Row],[PCT.]],0),"-",100-ROUND(100*East[[#This Row],[PCT.]],0))</f>
        <v>38-62</v>
      </c>
      <c r="M8" s="159">
        <f>IFERROR(B8/100,0)</f>
        <v>1</v>
      </c>
      <c r="N8" s="161" t="s">
        <v>963</v>
      </c>
      <c r="P8" s="226" t="s">
        <v>1007</v>
      </c>
      <c r="Q8" s="30">
        <f>SUM(R8:S8)</f>
        <v>99</v>
      </c>
      <c r="R8" s="30">
        <f>VLOOKUP(P8,A:C,3,FALSE)</f>
        <v>50</v>
      </c>
      <c r="S8" s="30">
        <f>VLOOKUP(P8,A:D,4,FALSE)</f>
        <v>49</v>
      </c>
      <c r="T8" s="90">
        <f>IFERROR(R8/Q8,0)</f>
        <v>0.50505050505050508</v>
      </c>
      <c r="U8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13.5</v>
      </c>
      <c r="V8" s="264">
        <f>VLOOKUP(AA[[#This Row],[Team]],A:J,10,FALSE)</f>
        <v>10</v>
      </c>
      <c r="W8" s="162" t="str">
        <f>IF(VLOOKUP(AA[[#This Row],[Team]],A:N,14,FALSE)=0,"",VLOOKUP(AA[[#This Row],[Team]],A:N,14,FALSE))</f>
        <v>xe2</v>
      </c>
      <c r="Y8" s="284" t="s">
        <v>1021</v>
      </c>
      <c r="Z8" s="285" t="s">
        <v>1022</v>
      </c>
    </row>
    <row r="9" spans="1:26" ht="15" customHeight="1">
      <c r="J9" s="262"/>
      <c r="P9" s="226" t="s">
        <v>1012</v>
      </c>
      <c r="Q9" s="30">
        <f>SUM(R9:S9)</f>
        <v>100</v>
      </c>
      <c r="R9" s="30">
        <f>VLOOKUP(P9,A:C,3,FALSE)</f>
        <v>49</v>
      </c>
      <c r="S9" s="30">
        <f>VLOOKUP(P9,A:D,4,FALSE)</f>
        <v>51</v>
      </c>
      <c r="T9" s="90">
        <f>IFERROR(R9/Q9,0)</f>
        <v>0.49</v>
      </c>
      <c r="U9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15</v>
      </c>
      <c r="V9" s="264">
        <f>VLOOKUP(AA[[#This Row],[Team]],A:J,10,FALSE)</f>
        <v>-2</v>
      </c>
      <c r="W9" s="162" t="str">
        <f>IF(VLOOKUP(AA[[#This Row],[Team]],A:N,14,FALSE)=0,"",VLOOKUP(AA[[#This Row],[Team]],A:N,14,FALSE))</f>
        <v>xe3</v>
      </c>
      <c r="Y9" s="219" t="s">
        <v>1023</v>
      </c>
      <c r="Z9" s="344" t="s">
        <v>1024</v>
      </c>
    </row>
    <row r="10" spans="1:26" ht="15" customHeight="1">
      <c r="A10" s="38" t="s">
        <v>1025</v>
      </c>
      <c r="B10" s="39"/>
      <c r="C10" s="39"/>
      <c r="D10" s="39"/>
      <c r="E10" s="39"/>
      <c r="F10" s="39"/>
      <c r="G10" s="247"/>
      <c r="H10" s="39"/>
      <c r="I10" s="39"/>
      <c r="J10" s="247"/>
      <c r="K10" s="223"/>
      <c r="L10" s="125"/>
      <c r="M10" s="125"/>
      <c r="N10" s="43"/>
      <c r="P10" s="226" t="s">
        <v>1015</v>
      </c>
      <c r="Q10" s="30">
        <f>SUM(R10:S10)</f>
        <v>100</v>
      </c>
      <c r="R10" s="30">
        <f>VLOOKUP(P10,A:C,3,FALSE)</f>
        <v>45</v>
      </c>
      <c r="S10" s="30">
        <f>VLOOKUP(P10,A:D,4,FALSE)</f>
        <v>55</v>
      </c>
      <c r="T10" s="90">
        <f>IFERROR(R10/Q10,0)</f>
        <v>0.45</v>
      </c>
      <c r="U10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19</v>
      </c>
      <c r="V10" s="264">
        <f>VLOOKUP(AA[[#This Row],[Team]],A:J,10,FALSE)</f>
        <v>-50</v>
      </c>
      <c r="W10" s="162" t="str">
        <f>IF(VLOOKUP(AA[[#This Row],[Team]],A:N,14,FALSE)=0,"",VLOOKUP(AA[[#This Row],[Team]],A:N,14,FALSE))</f>
        <v>xe4</v>
      </c>
    </row>
    <row r="11" spans="1:26" ht="15" customHeight="1">
      <c r="A11" s="138" t="s">
        <v>914</v>
      </c>
      <c r="B11" s="114" t="s">
        <v>915</v>
      </c>
      <c r="C11" s="114" t="s">
        <v>28</v>
      </c>
      <c r="D11" s="114" t="s">
        <v>17</v>
      </c>
      <c r="E11" s="114" t="s">
        <v>916</v>
      </c>
      <c r="F11" s="153" t="s">
        <v>918</v>
      </c>
      <c r="G11" s="257" t="s">
        <v>917</v>
      </c>
      <c r="H11" s="114" t="s">
        <v>5</v>
      </c>
      <c r="I11" s="114" t="s">
        <v>6</v>
      </c>
      <c r="J11" s="257" t="s">
        <v>7</v>
      </c>
      <c r="K11" s="115" t="s">
        <v>920</v>
      </c>
      <c r="L11" s="115" t="s">
        <v>1026</v>
      </c>
      <c r="M11" s="126" t="s">
        <v>922</v>
      </c>
      <c r="N11" s="158" t="s">
        <v>923</v>
      </c>
      <c r="P11" s="226" t="s">
        <v>1019</v>
      </c>
      <c r="Q11" s="30">
        <f>SUM(R11:S11)</f>
        <v>100</v>
      </c>
      <c r="R11" s="30">
        <f>VLOOKUP(P11,A:C,3,FALSE)</f>
        <v>43</v>
      </c>
      <c r="S11" s="30">
        <f>VLOOKUP(P11,A:D,4,FALSE)</f>
        <v>57</v>
      </c>
      <c r="T11" s="90">
        <f>IFERROR(R11/Q11,0)</f>
        <v>0.43</v>
      </c>
      <c r="U11" s="182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21</v>
      </c>
      <c r="V11" s="249">
        <f>VLOOKUP(AA[[#This Row],[Team]],A:J,10,FALSE)</f>
        <v>-58</v>
      </c>
      <c r="W11" s="162" t="str">
        <f>IF(VLOOKUP(AA[[#This Row],[Team]],A:N,14,FALSE)=0,"",VLOOKUP(AA[[#This Row],[Team]],A:N,14,FALSE))</f>
        <v>o</v>
      </c>
      <c r="Y11" s="144" t="s">
        <v>1027</v>
      </c>
      <c r="Z11" s="301"/>
    </row>
    <row r="12" spans="1:26" ht="15" customHeight="1">
      <c r="A12" s="137" t="s">
        <v>1004</v>
      </c>
      <c r="B12" s="30">
        <f>SUM(C12:D12)</f>
        <v>100</v>
      </c>
      <c r="C12" s="30">
        <v>64</v>
      </c>
      <c r="D12" s="30">
        <v>36</v>
      </c>
      <c r="E12" s="31">
        <f>IFERROR(C12/B12,0)</f>
        <v>0.64</v>
      </c>
      <c r="F12" s="154" t="str">
        <f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f>
        <v>-</v>
      </c>
      <c r="G12" s="258">
        <f>IF(OR(A12 = $A$12, A12 = $A$13, A12 = $A$14, A12 = $A$15), (100 - $D$16) - C12, (100-D12)-$C$15)</f>
        <v>-22</v>
      </c>
      <c r="H12" s="30">
        <f>SUM('AA Run Diff 2025'!AC3:AC102)</f>
        <v>516</v>
      </c>
      <c r="I12" s="30">
        <f>SUM('AA Run Diff 2025'!AD3:AD102)</f>
        <v>447</v>
      </c>
      <c r="J12" s="258">
        <f>West[[#This Row],[RF]]-West[[#This Row],[RA]]</f>
        <v>69</v>
      </c>
      <c r="K12" s="160" t="str">
        <f>_xlfn.CONCAT(ROUND(((West[[#This Row],[RF]]^1.83)/((West[[#This Row],[RF]]^1.83)+(West[[#This Row],[RA]]^1.83))*B12),0),"-",West[[#This Row],[GP]]-ROUND(((West[[#This Row],[RF]]^1.83)/((West[[#This Row],[RF]]^1.83)+(West[[#This Row],[RA]]^1.83))*B12),0))</f>
        <v>57-43</v>
      </c>
      <c r="L12" s="179" t="str">
        <f>_xlfn.CONCAT(ROUND(100*West[[#This Row],[PCT.]],0),"-",100-ROUND(100*West[[#This Row],[PCT.]],0))</f>
        <v>64-36</v>
      </c>
      <c r="M12" s="97">
        <f>IFERROR(B12/100,0)</f>
        <v>1</v>
      </c>
      <c r="N12" s="157" t="s">
        <v>1028</v>
      </c>
      <c r="P12" s="226" t="s">
        <v>1029</v>
      </c>
      <c r="Q12" s="30">
        <f>SUM(R12:S12)</f>
        <v>100</v>
      </c>
      <c r="R12" s="30">
        <f>VLOOKUP(P12,A:C,3,FALSE)</f>
        <v>42</v>
      </c>
      <c r="S12" s="30">
        <f>VLOOKUP(P12,A:D,4,FALSE)</f>
        <v>58</v>
      </c>
      <c r="T12" s="90">
        <f>IFERROR(R12/Q12,0)</f>
        <v>0.42</v>
      </c>
      <c r="U12" s="151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22</v>
      </c>
      <c r="V12" s="264">
        <f>VLOOKUP(AA[[#This Row],[Team]],A:J,10,FALSE)</f>
        <v>-48</v>
      </c>
      <c r="W12" s="162" t="str">
        <f>IF(VLOOKUP(AA[[#This Row],[Team]],A:N,14,FALSE)=0,"",VLOOKUP(AA[[#This Row],[Team]],A:N,14,FALSE))</f>
        <v>o</v>
      </c>
      <c r="Y12" s="144" t="s">
        <v>924</v>
      </c>
      <c r="Z12" s="301" t="s">
        <v>925</v>
      </c>
    </row>
    <row r="13" spans="1:26" ht="15" customHeight="1">
      <c r="A13" s="137" t="s">
        <v>1009</v>
      </c>
      <c r="B13" s="30">
        <f>SUM(C13:D13)</f>
        <v>100</v>
      </c>
      <c r="C13" s="30">
        <v>59</v>
      </c>
      <c r="D13" s="30">
        <v>41</v>
      </c>
      <c r="E13" s="31">
        <f>IFERROR(C13/B13,0)</f>
        <v>0.59</v>
      </c>
      <c r="F13" s="133">
        <f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f>
        <v>5</v>
      </c>
      <c r="G13" s="258">
        <f>IF(OR(A13 = $A$12, A13 = $A$13, A13 = $A$14, A13 = $A$15), (100 - $D$16) - C13, (100-D13)-$C$15)</f>
        <v>-17</v>
      </c>
      <c r="H13" s="30">
        <f>SUM('AA Run Diff 2025'!Q3:Q102)</f>
        <v>511</v>
      </c>
      <c r="I13" s="30">
        <f>SUM('AA Run Diff 2025'!R3:R102)</f>
        <v>463</v>
      </c>
      <c r="J13" s="258">
        <f>West[[#This Row],[RF]]-West[[#This Row],[RA]]</f>
        <v>48</v>
      </c>
      <c r="K13" s="160" t="str">
        <f>_xlfn.CONCAT(ROUND(((West[[#This Row],[RF]]^1.83)/((West[[#This Row],[RF]]^1.83)+(West[[#This Row],[RA]]^1.83))*B13),0),"-",West[[#This Row],[GP]]-ROUND(((West[[#This Row],[RF]]^1.83)/((West[[#This Row],[RF]]^1.83)+(West[[#This Row],[RA]]^1.83))*B13),0))</f>
        <v>55-45</v>
      </c>
      <c r="L13" s="179" t="str">
        <f>_xlfn.CONCAT(ROUND(100*West[[#This Row],[PCT.]],0),"-",100-ROUND(100*West[[#This Row],[PCT.]],0))</f>
        <v>59-41</v>
      </c>
      <c r="M13" s="97">
        <f>IFERROR(B13/100,0)</f>
        <v>1</v>
      </c>
      <c r="N13" s="157" t="s">
        <v>1030</v>
      </c>
      <c r="P13" s="227" t="s">
        <v>1031</v>
      </c>
      <c r="Q13" s="53">
        <f>SUM(R13:S13)</f>
        <v>99</v>
      </c>
      <c r="R13" s="53">
        <f>VLOOKUP(P13,A:C,3,FALSE)</f>
        <v>41</v>
      </c>
      <c r="S13" s="53">
        <f>VLOOKUP(P13,A:D,4,FALSE)</f>
        <v>58</v>
      </c>
      <c r="T13" s="96">
        <f>IFERROR(R13/Q13,0)</f>
        <v>0.41414141414141414</v>
      </c>
      <c r="U13" s="150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22.5</v>
      </c>
      <c r="V13" s="265">
        <f>VLOOKUP(AA[[#This Row],[Team]],A:J,10,FALSE)</f>
        <v>-31</v>
      </c>
      <c r="W13" s="281" t="str">
        <f>IF(VLOOKUP(AA[[#This Row],[Team]],A:N,14,FALSE)=0,"",VLOOKUP(AA[[#This Row],[Team]],A:N,14,FALSE))</f>
        <v>o</v>
      </c>
      <c r="Y13" s="147" t="s">
        <v>1032</v>
      </c>
      <c r="Z13" s="344" t="s">
        <v>1033</v>
      </c>
    </row>
    <row r="14" spans="1:26" ht="15" customHeight="1">
      <c r="A14" s="137" t="s">
        <v>1014</v>
      </c>
      <c r="B14" s="30">
        <f>SUM(C14:D14)</f>
        <v>100</v>
      </c>
      <c r="C14" s="30">
        <v>58</v>
      </c>
      <c r="D14" s="30">
        <v>42</v>
      </c>
      <c r="E14" s="31">
        <f>IFERROR(C14/B14,0)</f>
        <v>0.57999999999999996</v>
      </c>
      <c r="F14" s="133">
        <f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f>
        <v>6</v>
      </c>
      <c r="G14" s="261">
        <f>IF(OR(A14 = $A$12, A14 = $A$13, A14 = $A$14, A14 = $A$15), (100 - $D$16) - C14, (100-D14)-$C$15)</f>
        <v>-16</v>
      </c>
      <c r="H14" s="30">
        <f>SUM('AA Run Diff 2025'!AF3:AF102)</f>
        <v>581</v>
      </c>
      <c r="I14" s="30">
        <f>SUM('AA Run Diff 2025'!AG3:AG102)</f>
        <v>511</v>
      </c>
      <c r="J14" s="258">
        <f>West[[#This Row],[RF]]-West[[#This Row],[RA]]</f>
        <v>70</v>
      </c>
      <c r="K14" s="160" t="str">
        <f>_xlfn.CONCAT(ROUND(((West[[#This Row],[RF]]^1.83)/((West[[#This Row],[RF]]^1.83)+(West[[#This Row],[RA]]^1.83))*B14),0),"-",West[[#This Row],[GP]]-ROUND(((West[[#This Row],[RF]]^1.83)/((West[[#This Row],[RF]]^1.83)+(West[[#This Row],[RA]]^1.83))*B14),0))</f>
        <v>56-44</v>
      </c>
      <c r="L14" s="179" t="str">
        <f>_xlfn.CONCAT(ROUND(100*West[[#This Row],[PCT.]],0),"-",100-ROUND(100*West[[#This Row],[PCT.]],0))</f>
        <v>58-42</v>
      </c>
      <c r="M14" s="97">
        <f>IFERROR(B14/100,0)</f>
        <v>1</v>
      </c>
      <c r="N14" s="157" t="s">
        <v>1034</v>
      </c>
      <c r="P14" s="228" t="s">
        <v>1020</v>
      </c>
      <c r="Q14" s="91">
        <f>SUM(R14:S14)</f>
        <v>100</v>
      </c>
      <c r="R14" s="91">
        <f>VLOOKUP(P14,A:C,3,FALSE)</f>
        <v>38</v>
      </c>
      <c r="S14" s="91">
        <f>VLOOKUP(P14,A:D,4,FALSE)</f>
        <v>62</v>
      </c>
      <c r="T14" s="56">
        <f>IFERROR(R14/Q14,0)</f>
        <v>0.38</v>
      </c>
      <c r="U14" s="165">
        <f>IF(IF(AA[[#This Row],[GP]]&lt;$Q$3,(((AA[[#This Row],[GP]]-$Q$3)/2)+$R$3)-AA[[#This Row],[W]],IF(AA[[#This Row],[GP]]&gt;$Q$3,(((AA[[#This Row],[GP]]-$Q$3)/2)+$R$3)-AA[[#This Row],[W]],$R$3-AA[[#This Row],[W]])) = 0, "-", IF(AA[[#This Row],[GP]]&lt;$Q$3,(((AA[[#This Row],[GP]]-$Q$3)/2)+$R$3)-AA[[#This Row],[W]],IF(AA[[#This Row],[GP]]&gt;$Q$3,(((AA[[#This Row],[GP]]-$Q$3)/2)+$R$3)-AA[[#This Row],[W]],$R$3-AA[[#This Row],[W]])))</f>
        <v>26</v>
      </c>
      <c r="V14" s="244">
        <f>VLOOKUP(AA[[#This Row],[Team]],A:J,10,FALSE)</f>
        <v>-88</v>
      </c>
      <c r="W14" s="162" t="str">
        <f>IF(VLOOKUP(AA[[#This Row],[Team]],A:N,14,FALSE)=0,"",VLOOKUP(AA[[#This Row],[Team]],A:N,14,FALSE))</f>
        <v>o</v>
      </c>
      <c r="Z14" s="342"/>
    </row>
    <row r="15" spans="1:26" ht="15" customHeight="1">
      <c r="A15" s="155" t="s">
        <v>1017</v>
      </c>
      <c r="B15" s="105">
        <f>SUM(C15:D15)</f>
        <v>100</v>
      </c>
      <c r="C15" s="105">
        <v>55</v>
      </c>
      <c r="D15" s="105">
        <v>45</v>
      </c>
      <c r="E15" s="106">
        <f>IFERROR(C15/B15,0)</f>
        <v>0.55000000000000004</v>
      </c>
      <c r="F15" s="299">
        <f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f>
        <v>9</v>
      </c>
      <c r="G15" s="259">
        <f>IF(OR(A15 = $A$12, A15 = $A$13, A15 = $A$14, A15 = $A$15), (100 - $D$16) - C15, (100-D15)-$C$15)</f>
        <v>-13</v>
      </c>
      <c r="H15" s="105">
        <f>SUM('AA Run Diff 2025'!H3:H102)</f>
        <v>467</v>
      </c>
      <c r="I15" s="105">
        <f>SUM('AA Run Diff 2025'!I3:I102)</f>
        <v>398</v>
      </c>
      <c r="J15" s="259">
        <f>West[[#This Row],[RF]]-West[[#This Row],[RA]]</f>
        <v>69</v>
      </c>
      <c r="K15" s="108" t="str">
        <f>_xlfn.CONCAT(ROUND(((West[[#This Row],[RF]]^1.83)/((West[[#This Row],[RF]]^1.83)+(West[[#This Row],[RA]]^1.83))*B15),0),"-",West[[#This Row],[GP]]-ROUND(((West[[#This Row],[RF]]^1.83)/((West[[#This Row],[RF]]^1.83)+(West[[#This Row],[RA]]^1.83))*B15),0))</f>
        <v>57-43</v>
      </c>
      <c r="L15" s="282" t="str">
        <f>_xlfn.CONCAT(ROUND(100*West[[#This Row],[PCT.]],0),"-",100-ROUND(100*West[[#This Row],[PCT.]],0))</f>
        <v>55-45</v>
      </c>
      <c r="M15" s="107">
        <f>IFERROR(B15/100,0)</f>
        <v>1</v>
      </c>
      <c r="N15" s="283" t="s">
        <v>1035</v>
      </c>
      <c r="R15" s="5"/>
      <c r="S15" s="5"/>
      <c r="U15" s="127"/>
      <c r="W15" s="66"/>
      <c r="Y15" s="144" t="s">
        <v>1036</v>
      </c>
      <c r="Z15" s="301"/>
    </row>
    <row r="16" spans="1:26" ht="15" customHeight="1">
      <c r="A16" s="156" t="s">
        <v>1029</v>
      </c>
      <c r="B16" s="109">
        <f>SUM(C16:D16)</f>
        <v>100</v>
      </c>
      <c r="C16" s="109">
        <v>42</v>
      </c>
      <c r="D16" s="109">
        <v>58</v>
      </c>
      <c r="E16" s="110">
        <f>IFERROR(C16/B16,0)</f>
        <v>0.42</v>
      </c>
      <c r="F16" s="269">
        <f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f>
        <v>22</v>
      </c>
      <c r="G16" s="260">
        <f>IF(OR(A16 = $A$12, A16 = $A$13, A16 = $A$14, A16 = $A$15), (100 - $D$16) - C16, (100-D16)-$C$15)</f>
        <v>-13</v>
      </c>
      <c r="H16" s="109">
        <f>SUM('AA Run Diff 2025'!W3:W102)</f>
        <v>515</v>
      </c>
      <c r="I16" s="109">
        <f>SUM('AA Run Diff 2025'!X3:X102)</f>
        <v>563</v>
      </c>
      <c r="J16" s="260">
        <f>West[[#This Row],[RF]]-West[[#This Row],[RA]]</f>
        <v>-48</v>
      </c>
      <c r="K16" s="325" t="str">
        <f>_xlfn.CONCAT(ROUND(((West[[#This Row],[RF]]^1.83)/((West[[#This Row],[RF]]^1.83)+(West[[#This Row],[RA]]^1.83))*B16),0),"-",West[[#This Row],[GP]]-ROUND(((West[[#This Row],[RF]]^1.83)/((West[[#This Row],[RF]]^1.83)+(West[[#This Row],[RA]]^1.83))*B16),0))</f>
        <v>46-54</v>
      </c>
      <c r="L16" s="326" t="str">
        <f>_xlfn.CONCAT(ROUND(100*West[[#This Row],[PCT.]],0),"-",100-ROUND(100*West[[#This Row],[PCT.]],0))</f>
        <v>42-58</v>
      </c>
      <c r="M16" s="111">
        <f>IFERROR(B16/100,0)</f>
        <v>1</v>
      </c>
      <c r="N16" s="158" t="s">
        <v>963</v>
      </c>
      <c r="R16" s="5"/>
      <c r="S16" s="5"/>
      <c r="U16" s="127"/>
      <c r="W16" s="66"/>
      <c r="Y16" s="144" t="s">
        <v>924</v>
      </c>
      <c r="Z16" s="301" t="s">
        <v>925</v>
      </c>
    </row>
    <row r="17" spans="1:26" ht="15">
      <c r="A17" s="210" t="s">
        <v>1031</v>
      </c>
      <c r="B17" s="211">
        <f>SUM(C17:D17)</f>
        <v>99</v>
      </c>
      <c r="C17" s="211">
        <v>41</v>
      </c>
      <c r="D17" s="211">
        <v>58</v>
      </c>
      <c r="E17" s="213">
        <f>IFERROR(C17/B17,0)</f>
        <v>0.41414141414141414</v>
      </c>
      <c r="F17" s="199">
        <f>IF(IF(West[[#This Row],[GP]]&lt;$B$12,(((West[[#This Row],[GP]]-$B$12)/2)+$C$12)-West[[#This Row],[W]],IF(West[[#This Row],[GP]]&gt;$B$12,(((West[[#This Row],[GP]]-$B$12)/2)+$C$12)-West[[#This Row],[W]],$C$12-West[[#This Row],[W]])) = 0, "-", IF(West[[#This Row],[GP]]&lt;$B$12,(((West[[#This Row],[GP]]-$B$12)/2)+$C$12)-West[[#This Row],[W]],IF(West[[#This Row],[GP]]&gt;$B$12,(((West[[#This Row],[GP]]-$B$12)/2)+$C$12)-West[[#This Row],[W]],$C$12-West[[#This Row],[W]])))</f>
        <v>22.5</v>
      </c>
      <c r="G17" s="258">
        <f>IF(OR(A17 = $A$12, A17 = $A$13, A17 = $A$14, A17 = $A$15), (99 - $D$16) - C17, (99-D17)-$C$15)</f>
        <v>-14</v>
      </c>
      <c r="H17" s="324" cm="1">
        <f t="array" ref="H17">LOOKUP(2,1/('Goldeyes 2025'!G2:G101&lt;&gt;""),'Goldeyes 2025'!G2:G101)</f>
        <v>453</v>
      </c>
      <c r="I17" s="324" cm="1">
        <f t="array" ref="I17">LOOKUP(2,1/('Goldeyes 2025'!H2:H101&lt;&gt;""),'Goldeyes 2025'!H2:H101)</f>
        <v>484</v>
      </c>
      <c r="J17" s="266">
        <f>West[[#This Row],[RF]]-West[[#This Row],[RA]]</f>
        <v>-31</v>
      </c>
      <c r="K17" s="215" t="str">
        <f>_xlfn.CONCAT(ROUND(((West[[#This Row],[RF]]^1.83)/((West[[#This Row],[RF]]^1.83)+(West[[#This Row],[RA]]^1.83))*B17),0),"-",West[[#This Row],[GP]]-ROUND(((West[[#This Row],[RF]]^1.83)/((West[[#This Row],[RF]]^1.83)+(West[[#This Row],[RA]]^1.83))*B17),0))</f>
        <v>47-52</v>
      </c>
      <c r="L17" s="171" t="str">
        <f>_xlfn.CONCAT(ROUND(99*West[[#This Row],[PCT.]],0),"-",99-ROUND(99*West[[#This Row],[PCT.]],0))</f>
        <v>41-58</v>
      </c>
      <c r="M17" s="214">
        <f>IFERROR(B17/99,0)</f>
        <v>1</v>
      </c>
      <c r="N17" s="327" t="s">
        <v>963</v>
      </c>
      <c r="R17" s="5"/>
      <c r="S17" s="5"/>
      <c r="U17" s="127"/>
      <c r="W17" s="66"/>
      <c r="Y17" s="332" t="s">
        <v>1037</v>
      </c>
      <c r="Z17" s="343" t="s">
        <v>1038</v>
      </c>
    </row>
    <row r="18" spans="1:26" ht="15" customHeight="1">
      <c r="J18" s="262"/>
      <c r="W18" s="26"/>
    </row>
    <row r="19" spans="1:26" ht="15" customHeight="1">
      <c r="Y19" s="144" t="s">
        <v>1039</v>
      </c>
      <c r="Z19" s="301"/>
    </row>
    <row r="20" spans="1:26" ht="15" customHeight="1">
      <c r="Y20" s="144" t="s">
        <v>924</v>
      </c>
      <c r="Z20" s="301" t="s">
        <v>925</v>
      </c>
    </row>
    <row r="21" spans="1:26" ht="15" customHeight="1">
      <c r="Y21" s="332" t="s">
        <v>1040</v>
      </c>
      <c r="Z21" s="343" t="s">
        <v>1041</v>
      </c>
    </row>
    <row r="22" spans="1:26" ht="15" customHeight="1"/>
    <row r="23" spans="1:26" ht="15" customHeight="1"/>
    <row r="24" spans="1:26" ht="15" customHeight="1"/>
    <row r="25" spans="1:26" ht="15" customHeight="1">
      <c r="L25" s="275"/>
    </row>
    <row r="26" spans="1:26" ht="15" customHeight="1"/>
    <row r="27" spans="1:26" ht="15" customHeight="1">
      <c r="J27" s="262"/>
    </row>
    <row r="28" spans="1:26" ht="15" customHeight="1">
      <c r="J28" s="262"/>
    </row>
    <row r="29" spans="1:26" ht="15" customHeight="1">
      <c r="J29" s="262"/>
    </row>
    <row r="30" spans="1:26" ht="15" customHeight="1">
      <c r="J30" s="262"/>
    </row>
    <row r="31" spans="1:26" ht="15" customHeight="1">
      <c r="J31" s="262"/>
    </row>
    <row r="32" spans="1:26" ht="15" customHeight="1">
      <c r="J32" s="262"/>
    </row>
    <row r="33" spans="10:23" ht="15">
      <c r="J33" s="262"/>
      <c r="W33" s="26"/>
    </row>
    <row r="34" spans="10:23" ht="15">
      <c r="J34" s="262"/>
      <c r="W34" s="26"/>
    </row>
    <row r="35" spans="10:23" ht="15">
      <c r="J35" s="262"/>
      <c r="W35" s="26"/>
    </row>
    <row r="36" spans="10:23" ht="15">
      <c r="J36" s="262"/>
      <c r="W36" s="26"/>
    </row>
    <row r="37" spans="10:23" ht="15">
      <c r="J37" s="262"/>
      <c r="W37" s="26"/>
    </row>
    <row r="38" spans="10:23" ht="15">
      <c r="J38" s="262"/>
      <c r="W38" s="26"/>
    </row>
    <row r="39" spans="10:23" ht="15">
      <c r="J39" s="262"/>
      <c r="W39" s="26"/>
    </row>
    <row r="40" spans="10:23" ht="15">
      <c r="J40" s="262"/>
      <c r="W40" s="26"/>
    </row>
    <row r="41" spans="10:23" ht="15">
      <c r="J41" s="262"/>
      <c r="W41" s="26"/>
    </row>
    <row r="42" spans="10:23" ht="15">
      <c r="J42" s="262"/>
      <c r="W42" s="26"/>
    </row>
    <row r="43" spans="10:23" ht="15">
      <c r="J43" s="262"/>
      <c r="W43" s="26"/>
    </row>
    <row r="44" spans="10:23" ht="15">
      <c r="J44" s="262"/>
      <c r="W44" s="26"/>
    </row>
    <row r="45" spans="10:23" ht="15">
      <c r="J45" s="262"/>
      <c r="W45" s="26"/>
    </row>
    <row r="46" spans="10:23" ht="15">
      <c r="J46" s="262"/>
      <c r="W46" s="26"/>
    </row>
    <row r="47" spans="10:23" ht="15">
      <c r="J47" s="262"/>
      <c r="W47" s="26"/>
    </row>
    <row r="48" spans="10:23" ht="15">
      <c r="J48" s="262"/>
      <c r="W48" s="26"/>
    </row>
    <row r="49" spans="10:23" ht="15">
      <c r="J49" s="262"/>
      <c r="W49" s="26"/>
    </row>
    <row r="50" spans="10:23" ht="15">
      <c r="J50" s="262"/>
      <c r="W50" s="26"/>
    </row>
    <row r="51" spans="10:23" ht="15">
      <c r="J51" s="262"/>
      <c r="W51" s="26"/>
    </row>
    <row r="52" spans="10:23" ht="15">
      <c r="J52" s="262"/>
      <c r="W52" s="26"/>
    </row>
    <row r="53" spans="10:23" ht="15">
      <c r="J53" s="262"/>
      <c r="W53" s="26"/>
    </row>
    <row r="54" spans="10:23" ht="15">
      <c r="J54" s="262"/>
      <c r="W54" s="26"/>
    </row>
    <row r="55" spans="10:23" ht="15">
      <c r="J55" s="262"/>
      <c r="W55" s="26"/>
    </row>
    <row r="56" spans="10:23" ht="15">
      <c r="J56" s="262"/>
      <c r="W56" s="26"/>
    </row>
    <row r="57" spans="10:23" ht="15">
      <c r="J57" s="262"/>
      <c r="W57" s="26"/>
    </row>
    <row r="58" spans="10:23" ht="15">
      <c r="J58" s="262"/>
      <c r="W58" s="26"/>
    </row>
    <row r="59" spans="10:23" ht="15">
      <c r="J59" s="262"/>
      <c r="W59" s="26"/>
    </row>
    <row r="60" spans="10:23" ht="15">
      <c r="J60" s="262"/>
      <c r="W60" s="26"/>
    </row>
    <row r="61" spans="10:23" ht="15">
      <c r="J61" s="262"/>
      <c r="W61" s="26"/>
    </row>
    <row r="62" spans="10:23" ht="15">
      <c r="J62" s="262"/>
      <c r="W62" s="26"/>
    </row>
    <row r="63" spans="10:23" ht="15">
      <c r="J63" s="262"/>
      <c r="W63" s="26"/>
    </row>
    <row r="64" spans="10:23" ht="15">
      <c r="J64" s="262"/>
      <c r="W64" s="26"/>
    </row>
    <row r="65" spans="10:23" ht="15">
      <c r="J65" s="262"/>
      <c r="W65" s="26"/>
    </row>
    <row r="66" spans="10:23" ht="15">
      <c r="J66" s="262"/>
      <c r="W66" s="26"/>
    </row>
    <row r="67" spans="10:23" ht="15">
      <c r="J67" s="262"/>
      <c r="W67" s="26"/>
    </row>
    <row r="68" spans="10:23" ht="15">
      <c r="J68" s="262"/>
      <c r="W68" s="26"/>
    </row>
    <row r="69" spans="10:23" ht="15">
      <c r="J69" s="262"/>
      <c r="W69" s="26"/>
    </row>
    <row r="70" spans="10:23" ht="15">
      <c r="J70" s="262"/>
      <c r="W70" s="26"/>
    </row>
    <row r="71" spans="10:23" ht="15">
      <c r="J71" s="262"/>
      <c r="W71" s="26"/>
    </row>
    <row r="72" spans="10:23" ht="15">
      <c r="J72" s="262"/>
      <c r="W72" s="26"/>
    </row>
    <row r="73" spans="10:23" ht="15">
      <c r="J73" s="262"/>
      <c r="W73" s="26"/>
    </row>
    <row r="74" spans="10:23" ht="15">
      <c r="J74" s="262"/>
      <c r="W74" s="26"/>
    </row>
    <row r="75" spans="10:23" ht="15">
      <c r="J75" s="262"/>
      <c r="W75" s="26"/>
    </row>
    <row r="76" spans="10:23" ht="15">
      <c r="J76" s="262"/>
      <c r="W76" s="26"/>
    </row>
    <row r="77" spans="10:23" ht="15">
      <c r="J77" s="262"/>
      <c r="W77" s="26"/>
    </row>
    <row r="78" spans="10:23" ht="15">
      <c r="J78" s="262"/>
      <c r="W78" s="26"/>
    </row>
    <row r="79" spans="10:23" ht="15">
      <c r="J79" s="262"/>
      <c r="W79" s="26"/>
    </row>
    <row r="80" spans="10:23" ht="15">
      <c r="J80" s="262"/>
      <c r="W80" s="26"/>
    </row>
    <row r="81" spans="10:23" ht="15">
      <c r="J81" s="262"/>
      <c r="W81" s="26"/>
    </row>
    <row r="82" spans="10:23" ht="15">
      <c r="J82" s="262"/>
      <c r="W82" s="26"/>
    </row>
    <row r="83" spans="10:23" ht="15">
      <c r="J83" s="262"/>
      <c r="W83" s="26"/>
    </row>
    <row r="84" spans="10:23" ht="15">
      <c r="J84" s="262"/>
      <c r="W84" s="26"/>
    </row>
    <row r="85" spans="10:23" ht="15">
      <c r="J85" s="262"/>
      <c r="W85" s="26"/>
    </row>
    <row r="86" spans="10:23" ht="15">
      <c r="J86" s="262"/>
      <c r="W86" s="26"/>
    </row>
    <row r="87" spans="10:23" ht="15">
      <c r="J87" s="262"/>
      <c r="W87" s="26"/>
    </row>
    <row r="88" spans="10:23" ht="15">
      <c r="J88" s="262"/>
      <c r="W88" s="26"/>
    </row>
    <row r="89" spans="10:23" ht="15">
      <c r="J89" s="262"/>
      <c r="W89" s="26"/>
    </row>
    <row r="90" spans="10:23" ht="15">
      <c r="J90" s="262"/>
      <c r="W90" s="26"/>
    </row>
    <row r="91" spans="10:23" ht="15">
      <c r="J91" s="262"/>
      <c r="W91" s="26"/>
    </row>
    <row r="92" spans="10:23" ht="15">
      <c r="J92" s="262"/>
      <c r="W92" s="26"/>
    </row>
    <row r="93" spans="10:23" ht="15">
      <c r="J93" s="262"/>
      <c r="W93" s="26"/>
    </row>
    <row r="94" spans="10:23" ht="15">
      <c r="J94" s="262"/>
      <c r="W94" s="26"/>
    </row>
    <row r="95" spans="10:23" ht="15">
      <c r="J95" s="262"/>
      <c r="W95" s="26"/>
    </row>
    <row r="96" spans="10:23" ht="15">
      <c r="J96" s="262"/>
      <c r="W96" s="26"/>
    </row>
    <row r="97" spans="10:23" ht="15">
      <c r="J97" s="262"/>
      <c r="W97" s="26"/>
    </row>
    <row r="98" spans="10:23" ht="15">
      <c r="J98" s="262"/>
      <c r="W98" s="26"/>
    </row>
    <row r="99" spans="10:23" ht="15">
      <c r="J99" s="262"/>
      <c r="W99" s="26"/>
    </row>
    <row r="100" spans="10:23" ht="15">
      <c r="J100" s="262"/>
      <c r="W100" s="26"/>
    </row>
    <row r="101" spans="10:23" ht="15">
      <c r="J101" s="262"/>
      <c r="W101" s="26"/>
    </row>
    <row r="102" spans="10:23" ht="15">
      <c r="J102" s="262"/>
      <c r="W102" s="26"/>
    </row>
    <row r="103" spans="10:23" ht="15">
      <c r="J103" s="262"/>
      <c r="W103" s="26"/>
    </row>
    <row r="104" spans="10:23" ht="15">
      <c r="J104" s="262"/>
      <c r="W104" s="26"/>
    </row>
    <row r="105" spans="10:23" ht="15">
      <c r="J105" s="262"/>
      <c r="W105" s="26"/>
    </row>
    <row r="106" spans="10:23" ht="15">
      <c r="J106" s="262"/>
      <c r="W106" s="26"/>
    </row>
    <row r="107" spans="10:23" ht="15">
      <c r="J107" s="262"/>
      <c r="W107" s="26"/>
    </row>
    <row r="108" spans="10:23" ht="15">
      <c r="J108" s="262"/>
      <c r="W108" s="26"/>
    </row>
    <row r="109" spans="10:23" ht="15">
      <c r="J109" s="262"/>
      <c r="W109" s="26"/>
    </row>
    <row r="110" spans="10:23" ht="15">
      <c r="J110" s="262"/>
      <c r="W110" s="26"/>
    </row>
    <row r="111" spans="10:23" ht="15">
      <c r="J111" s="262"/>
      <c r="W111" s="26"/>
    </row>
    <row r="112" spans="10:23" ht="15">
      <c r="J112" s="262"/>
      <c r="W112" s="26"/>
    </row>
    <row r="113" spans="10:23" ht="15">
      <c r="J113" s="262"/>
      <c r="W113" s="26"/>
    </row>
    <row r="114" spans="10:23" ht="15">
      <c r="J114" s="262"/>
      <c r="W114" s="26"/>
    </row>
    <row r="115" spans="10:23" ht="15">
      <c r="J115" s="262"/>
      <c r="W115" s="26"/>
    </row>
    <row r="116" spans="10:23" ht="15">
      <c r="J116" s="262"/>
      <c r="W116" s="26"/>
    </row>
    <row r="117" spans="10:23" ht="15">
      <c r="J117" s="262"/>
      <c r="W117" s="26"/>
    </row>
    <row r="118" spans="10:23" ht="15">
      <c r="J118" s="262"/>
      <c r="W118" s="26"/>
    </row>
    <row r="119" spans="10:23" ht="15">
      <c r="J119" s="262"/>
      <c r="W119" s="26"/>
    </row>
    <row r="120" spans="10:23" ht="15">
      <c r="J120" s="262"/>
      <c r="W120" s="26"/>
    </row>
    <row r="121" spans="10:23" ht="15">
      <c r="J121" s="262"/>
      <c r="W121" s="26"/>
    </row>
    <row r="122" spans="10:23" ht="15">
      <c r="J122" s="262"/>
      <c r="W122" s="26"/>
    </row>
    <row r="123" spans="10:23" ht="15">
      <c r="J123" s="262"/>
      <c r="W123" s="26"/>
    </row>
    <row r="124" spans="10:23" ht="15">
      <c r="J124" s="262"/>
      <c r="W124" s="26"/>
    </row>
    <row r="125" spans="10:23" ht="15">
      <c r="J125" s="262"/>
      <c r="W125" s="26"/>
    </row>
    <row r="126" spans="10:23" ht="15">
      <c r="J126" s="262"/>
      <c r="W126" s="26"/>
    </row>
    <row r="127" spans="10:23" ht="15">
      <c r="J127" s="262"/>
      <c r="W127" s="26"/>
    </row>
    <row r="128" spans="10:23" ht="15">
      <c r="J128" s="262"/>
      <c r="W128" s="26"/>
    </row>
    <row r="129" spans="10:23" ht="15">
      <c r="J129" s="262"/>
      <c r="W129" s="26"/>
    </row>
    <row r="130" spans="10:23" ht="15">
      <c r="J130" s="262"/>
      <c r="W130" s="26"/>
    </row>
    <row r="131" spans="10:23" ht="15">
      <c r="J131" s="262"/>
      <c r="W131" s="26"/>
    </row>
    <row r="132" spans="10:23" ht="15">
      <c r="J132" s="262"/>
      <c r="W132" s="26"/>
    </row>
    <row r="133" spans="10:23" ht="15">
      <c r="J133" s="262"/>
      <c r="W133" s="26"/>
    </row>
    <row r="134" spans="10:23" ht="15">
      <c r="J134" s="262"/>
      <c r="W134" s="26"/>
    </row>
    <row r="135" spans="10:23" ht="15">
      <c r="J135" s="262"/>
      <c r="W135" s="26"/>
    </row>
    <row r="136" spans="10:23" ht="15">
      <c r="J136" s="262"/>
      <c r="W136" s="26"/>
    </row>
    <row r="137" spans="10:23" ht="15">
      <c r="J137" s="262"/>
      <c r="W137" s="26"/>
    </row>
    <row r="138" spans="10:23" ht="15">
      <c r="J138" s="262"/>
      <c r="W138" s="26"/>
    </row>
    <row r="139" spans="10:23" ht="15">
      <c r="J139" s="262"/>
      <c r="W139" s="26"/>
    </row>
    <row r="140" spans="10:23" ht="15">
      <c r="J140" s="262"/>
      <c r="W140" s="26"/>
    </row>
    <row r="141" spans="10:23" ht="15">
      <c r="J141" s="262"/>
      <c r="W141" s="26"/>
    </row>
    <row r="142" spans="10:23" ht="15">
      <c r="J142" s="262"/>
      <c r="W142" s="26"/>
    </row>
    <row r="143" spans="10:23" ht="15">
      <c r="J143" s="262"/>
      <c r="W143" s="26"/>
    </row>
    <row r="144" spans="10:23" ht="15">
      <c r="J144" s="262"/>
      <c r="W144" s="26"/>
    </row>
    <row r="145" spans="10:23" ht="15">
      <c r="J145" s="262"/>
      <c r="W145" s="26"/>
    </row>
    <row r="146" spans="10:23" ht="15">
      <c r="J146" s="262"/>
      <c r="W146" s="26"/>
    </row>
    <row r="147" spans="10:23" ht="15">
      <c r="J147" s="262"/>
      <c r="W147" s="26"/>
    </row>
    <row r="148" spans="10:23" ht="15">
      <c r="J148" s="262"/>
      <c r="W148" s="26"/>
    </row>
    <row r="149" spans="10:23" ht="15">
      <c r="J149" s="262"/>
      <c r="W149" s="26"/>
    </row>
    <row r="150" spans="10:23" ht="15">
      <c r="J150" s="262"/>
      <c r="W150" s="26"/>
    </row>
    <row r="151" spans="10:23" ht="15">
      <c r="J151" s="262"/>
      <c r="W151" s="26"/>
    </row>
    <row r="152" spans="10:23" ht="15">
      <c r="J152" s="262"/>
      <c r="W152" s="26"/>
    </row>
    <row r="153" spans="10:23" ht="15">
      <c r="J153" s="262"/>
      <c r="W153" s="26"/>
    </row>
    <row r="154" spans="10:23" ht="15">
      <c r="J154" s="262"/>
      <c r="W154" s="26"/>
    </row>
    <row r="155" spans="10:23" ht="15">
      <c r="J155" s="262"/>
      <c r="W155" s="26"/>
    </row>
    <row r="156" spans="10:23" ht="15">
      <c r="J156" s="262"/>
      <c r="W156" s="26"/>
    </row>
    <row r="157" spans="10:23" ht="15">
      <c r="J157" s="262"/>
      <c r="W157" s="26"/>
    </row>
    <row r="158" spans="10:23" ht="15">
      <c r="J158" s="262"/>
      <c r="W158" s="26"/>
    </row>
    <row r="159" spans="10:23" ht="15">
      <c r="J159" s="262"/>
      <c r="W159" s="26"/>
    </row>
    <row r="160" spans="10:23" ht="15">
      <c r="J160" s="262"/>
      <c r="W160" s="26"/>
    </row>
    <row r="161" spans="10:23" ht="15">
      <c r="J161" s="262"/>
      <c r="W161" s="26"/>
    </row>
    <row r="162" spans="10:23" ht="15">
      <c r="J162" s="262"/>
      <c r="W162" s="26"/>
    </row>
    <row r="163" spans="10:23" ht="15">
      <c r="J163" s="262"/>
      <c r="W163" s="26"/>
    </row>
    <row r="164" spans="10:23" ht="15">
      <c r="J164" s="262"/>
      <c r="W164" s="26"/>
    </row>
    <row r="165" spans="10:23" ht="15">
      <c r="J165" s="262"/>
      <c r="W165" s="26"/>
    </row>
    <row r="166" spans="10:23" ht="15">
      <c r="J166" s="262"/>
      <c r="W166" s="26"/>
    </row>
    <row r="167" spans="10:23" ht="15">
      <c r="J167" s="262"/>
      <c r="W167" s="26"/>
    </row>
    <row r="168" spans="10:23" ht="15">
      <c r="J168" s="262"/>
      <c r="W168" s="26"/>
    </row>
    <row r="169" spans="10:23" ht="15">
      <c r="J169" s="262"/>
      <c r="W169" s="26"/>
    </row>
    <row r="170" spans="10:23" ht="15">
      <c r="J170" s="262"/>
      <c r="W170" s="26"/>
    </row>
    <row r="171" spans="10:23" ht="15">
      <c r="J171" s="262"/>
      <c r="W171" s="26"/>
    </row>
    <row r="172" spans="10:23" ht="15">
      <c r="J172" s="262"/>
      <c r="W172" s="26"/>
    </row>
    <row r="173" spans="10:23" ht="15">
      <c r="J173" s="262"/>
      <c r="W173" s="26"/>
    </row>
    <row r="174" spans="10:23" ht="15">
      <c r="J174" s="262"/>
      <c r="W174" s="26"/>
    </row>
    <row r="175" spans="10:23" ht="15">
      <c r="J175" s="262"/>
      <c r="W175" s="26"/>
    </row>
    <row r="176" spans="10:23" ht="15">
      <c r="J176" s="262"/>
      <c r="W176" s="26"/>
    </row>
    <row r="177" spans="10:23" ht="15">
      <c r="J177" s="262"/>
      <c r="W177" s="26"/>
    </row>
    <row r="178" spans="10:23" ht="15">
      <c r="J178" s="262"/>
      <c r="W178" s="26"/>
    </row>
    <row r="179" spans="10:23" ht="15">
      <c r="J179" s="262"/>
      <c r="W179" s="26"/>
    </row>
    <row r="180" spans="10:23" ht="15">
      <c r="J180" s="262"/>
      <c r="W180" s="26"/>
    </row>
    <row r="181" spans="10:23" ht="15">
      <c r="J181" s="262"/>
      <c r="W181" s="26"/>
    </row>
    <row r="182" spans="10:23" ht="15">
      <c r="J182" s="262"/>
      <c r="W182" s="26"/>
    </row>
    <row r="183" spans="10:23" ht="15">
      <c r="J183" s="262"/>
      <c r="W183" s="26"/>
    </row>
    <row r="184" spans="10:23" ht="15">
      <c r="J184" s="262"/>
      <c r="W184" s="26"/>
    </row>
    <row r="185" spans="10:23" ht="15">
      <c r="J185" s="262"/>
      <c r="W185" s="26"/>
    </row>
    <row r="186" spans="10:23" ht="15">
      <c r="J186" s="262"/>
      <c r="W186" s="26"/>
    </row>
    <row r="187" spans="10:23" ht="15">
      <c r="J187" s="262"/>
      <c r="W187" s="26"/>
    </row>
    <row r="188" spans="10:23" ht="15">
      <c r="J188" s="262"/>
      <c r="W188" s="26"/>
    </row>
    <row r="189" spans="10:23" ht="15">
      <c r="J189" s="262"/>
      <c r="W189" s="26"/>
    </row>
    <row r="190" spans="10:23" ht="15">
      <c r="J190" s="262"/>
      <c r="W190" s="26"/>
    </row>
    <row r="191" spans="10:23" ht="15">
      <c r="J191" s="262"/>
      <c r="W191" s="26"/>
    </row>
    <row r="192" spans="10:23" ht="15">
      <c r="J192" s="262"/>
      <c r="W192" s="26"/>
    </row>
    <row r="193" spans="10:23" ht="15">
      <c r="J193" s="262"/>
      <c r="W193" s="26"/>
    </row>
    <row r="194" spans="10:23" ht="15">
      <c r="J194" s="262"/>
      <c r="W194" s="26"/>
    </row>
    <row r="195" spans="10:23" ht="15">
      <c r="J195" s="262"/>
      <c r="W195" s="26"/>
    </row>
    <row r="196" spans="10:23" ht="15">
      <c r="J196" s="262"/>
      <c r="W196" s="26"/>
    </row>
    <row r="197" spans="10:23" ht="15">
      <c r="J197" s="262"/>
      <c r="W197" s="26"/>
    </row>
    <row r="198" spans="10:23" ht="15">
      <c r="J198" s="262"/>
      <c r="W198" s="26"/>
    </row>
    <row r="199" spans="10:23" ht="15">
      <c r="J199" s="262"/>
      <c r="W199" s="26"/>
    </row>
    <row r="200" spans="10:23" ht="15">
      <c r="J200" s="262"/>
      <c r="W200" s="26"/>
    </row>
    <row r="201" spans="10:23" ht="15">
      <c r="J201" s="262"/>
      <c r="W201" s="26"/>
    </row>
    <row r="202" spans="10:23" ht="15">
      <c r="J202" s="262"/>
      <c r="W202" s="26"/>
    </row>
    <row r="203" spans="10:23" ht="15">
      <c r="J203" s="262"/>
      <c r="W203" s="26"/>
    </row>
    <row r="204" spans="10:23" ht="15">
      <c r="J204" s="262"/>
      <c r="W204" s="26"/>
    </row>
    <row r="205" spans="10:23" ht="15">
      <c r="J205" s="262"/>
      <c r="W205" s="26"/>
    </row>
    <row r="206" spans="10:23" ht="15">
      <c r="J206" s="262"/>
      <c r="W206" s="26"/>
    </row>
    <row r="207" spans="10:23" ht="15">
      <c r="J207" s="262"/>
      <c r="W207" s="26"/>
    </row>
    <row r="208" spans="10:23" ht="15">
      <c r="J208" s="262"/>
      <c r="W208" s="26"/>
    </row>
    <row r="209" spans="10:23" ht="15">
      <c r="J209" s="262"/>
      <c r="W209" s="26"/>
    </row>
    <row r="210" spans="10:23" ht="15">
      <c r="J210" s="262"/>
      <c r="W210" s="26"/>
    </row>
    <row r="211" spans="10:23" ht="15">
      <c r="J211" s="262"/>
      <c r="W211" s="26"/>
    </row>
    <row r="212" spans="10:23" ht="15">
      <c r="J212" s="262"/>
      <c r="W212" s="26"/>
    </row>
    <row r="213" spans="10:23" ht="15">
      <c r="J213" s="262"/>
      <c r="W213" s="26"/>
    </row>
    <row r="214" spans="10:23" ht="15">
      <c r="J214" s="262"/>
      <c r="W214" s="26"/>
    </row>
    <row r="215" spans="10:23" ht="15">
      <c r="J215" s="262"/>
      <c r="W215" s="26"/>
    </row>
    <row r="216" spans="10:23" ht="15">
      <c r="J216" s="262"/>
      <c r="W216" s="26"/>
    </row>
    <row r="217" spans="10:23" ht="15">
      <c r="J217" s="262"/>
      <c r="W217" s="26"/>
    </row>
    <row r="218" spans="10:23" ht="15">
      <c r="J218" s="262"/>
      <c r="W218" s="26"/>
    </row>
    <row r="219" spans="10:23" ht="15">
      <c r="J219" s="262"/>
      <c r="W219" s="26"/>
    </row>
    <row r="220" spans="10:23" ht="15">
      <c r="J220" s="262"/>
      <c r="W220" s="26"/>
    </row>
    <row r="221" spans="10:23" ht="15">
      <c r="J221" s="262"/>
      <c r="W221" s="26"/>
    </row>
    <row r="222" spans="10:23" ht="15">
      <c r="J222" s="262"/>
      <c r="W222" s="26"/>
    </row>
    <row r="223" spans="10:23" ht="15">
      <c r="J223" s="262"/>
      <c r="W223" s="26"/>
    </row>
    <row r="224" spans="10:23" ht="15">
      <c r="J224" s="262"/>
      <c r="W224" s="26"/>
    </row>
    <row r="225" spans="10:23" ht="15">
      <c r="J225" s="262"/>
      <c r="W225" s="26"/>
    </row>
    <row r="226" spans="10:23" ht="15">
      <c r="J226" s="262"/>
      <c r="W226" s="26"/>
    </row>
    <row r="227" spans="10:23" ht="15">
      <c r="J227" s="262"/>
      <c r="W227" s="26"/>
    </row>
    <row r="228" spans="10:23" ht="15">
      <c r="J228" s="262"/>
      <c r="W228" s="26"/>
    </row>
    <row r="229" spans="10:23" ht="15">
      <c r="J229" s="262"/>
      <c r="W229" s="26"/>
    </row>
    <row r="230" spans="10:23" ht="15">
      <c r="J230" s="262"/>
      <c r="W230" s="26"/>
    </row>
    <row r="231" spans="10:23" ht="15">
      <c r="J231" s="262"/>
      <c r="W231" s="26"/>
    </row>
    <row r="232" spans="10:23" ht="15">
      <c r="J232" s="262"/>
      <c r="W232" s="26"/>
    </row>
    <row r="233" spans="10:23" ht="15">
      <c r="J233" s="262"/>
      <c r="W233" s="26"/>
    </row>
    <row r="234" spans="10:23" ht="15">
      <c r="J234" s="262"/>
      <c r="W234" s="26"/>
    </row>
    <row r="235" spans="10:23" ht="15">
      <c r="J235" s="262"/>
      <c r="W235" s="26"/>
    </row>
    <row r="236" spans="10:23" ht="15">
      <c r="J236" s="262"/>
      <c r="W236" s="26"/>
    </row>
    <row r="237" spans="10:23" ht="15">
      <c r="J237" s="262"/>
      <c r="W237" s="26"/>
    </row>
    <row r="238" spans="10:23" ht="15">
      <c r="J238" s="262"/>
      <c r="W238" s="26"/>
    </row>
    <row r="239" spans="10:23" ht="15">
      <c r="J239" s="262"/>
      <c r="W239" s="26"/>
    </row>
    <row r="240" spans="10:23" ht="15">
      <c r="J240" s="262"/>
      <c r="W240" s="26"/>
    </row>
    <row r="241" spans="10:23" ht="15">
      <c r="J241" s="262"/>
      <c r="W241" s="26"/>
    </row>
    <row r="242" spans="10:23" ht="15">
      <c r="J242" s="262"/>
      <c r="W242" s="26"/>
    </row>
    <row r="243" spans="10:23" ht="15">
      <c r="J243" s="262"/>
      <c r="W243" s="26"/>
    </row>
    <row r="244" spans="10:23" ht="15">
      <c r="J244" s="262"/>
      <c r="W244" s="26"/>
    </row>
    <row r="245" spans="10:23" ht="15">
      <c r="J245" s="262"/>
      <c r="W245" s="26"/>
    </row>
    <row r="246" spans="10:23" ht="15">
      <c r="J246" s="262"/>
      <c r="W246" s="26"/>
    </row>
    <row r="247" spans="10:23" ht="15">
      <c r="J247" s="262"/>
      <c r="W247" s="26"/>
    </row>
    <row r="248" spans="10:23" ht="15">
      <c r="J248" s="262"/>
      <c r="W248" s="26"/>
    </row>
    <row r="249" spans="10:23" ht="15">
      <c r="J249" s="262"/>
      <c r="W249" s="26"/>
    </row>
    <row r="250" spans="10:23" ht="15">
      <c r="J250" s="262"/>
      <c r="W250" s="26"/>
    </row>
    <row r="251" spans="10:23" ht="15">
      <c r="J251" s="262"/>
      <c r="W251" s="26"/>
    </row>
    <row r="252" spans="10:23" ht="15">
      <c r="J252" s="262"/>
      <c r="W252" s="26"/>
    </row>
    <row r="253" spans="10:23" ht="15">
      <c r="J253" s="262"/>
      <c r="W253" s="26"/>
    </row>
    <row r="254" spans="10:23" ht="15">
      <c r="J254" s="262"/>
      <c r="W254" s="26"/>
    </row>
    <row r="255" spans="10:23" ht="15">
      <c r="J255" s="262"/>
      <c r="W255" s="26"/>
    </row>
    <row r="256" spans="10:23" ht="15">
      <c r="J256" s="262"/>
      <c r="W256" s="26"/>
    </row>
    <row r="257" spans="10:23" ht="15">
      <c r="J257" s="262"/>
      <c r="W257" s="26"/>
    </row>
    <row r="258" spans="10:23" ht="15">
      <c r="J258" s="262"/>
      <c r="W258" s="26"/>
    </row>
    <row r="259" spans="10:23" ht="15">
      <c r="J259" s="262"/>
      <c r="W259" s="26"/>
    </row>
    <row r="260" spans="10:23" ht="15">
      <c r="J260" s="262"/>
      <c r="W260" s="26"/>
    </row>
    <row r="261" spans="10:23" ht="15">
      <c r="J261" s="262"/>
      <c r="W261" s="26"/>
    </row>
    <row r="262" spans="10:23" ht="15">
      <c r="J262" s="262"/>
      <c r="W262" s="26"/>
    </row>
    <row r="263" spans="10:23" ht="15">
      <c r="J263" s="262"/>
      <c r="W263" s="26"/>
    </row>
    <row r="264" spans="10:23" ht="15">
      <c r="J264" s="262"/>
      <c r="W264" s="26"/>
    </row>
    <row r="265" spans="10:23" ht="15">
      <c r="J265" s="262"/>
      <c r="W265" s="26"/>
    </row>
    <row r="266" spans="10:23" ht="15">
      <c r="J266" s="262"/>
      <c r="W266" s="26"/>
    </row>
    <row r="267" spans="10:23" ht="15">
      <c r="J267" s="262"/>
      <c r="W267" s="26"/>
    </row>
    <row r="268" spans="10:23" ht="15">
      <c r="J268" s="262"/>
      <c r="W268" s="26"/>
    </row>
    <row r="269" spans="10:23" ht="15">
      <c r="J269" s="262"/>
      <c r="W269" s="26"/>
    </row>
    <row r="270" spans="10:23" ht="15">
      <c r="J270" s="262"/>
      <c r="W270" s="26"/>
    </row>
    <row r="271" spans="10:23" ht="15">
      <c r="J271" s="262"/>
      <c r="W271" s="26"/>
    </row>
    <row r="272" spans="10:23" ht="15">
      <c r="J272" s="262"/>
      <c r="W272" s="26"/>
    </row>
    <row r="273" spans="10:23" ht="15">
      <c r="J273" s="262"/>
      <c r="W273" s="26"/>
    </row>
    <row r="274" spans="10:23" ht="15">
      <c r="J274" s="262"/>
      <c r="W274" s="26"/>
    </row>
    <row r="275" spans="10:23" ht="15">
      <c r="J275" s="262"/>
      <c r="W275" s="26"/>
    </row>
    <row r="276" spans="10:23" ht="15">
      <c r="J276" s="262"/>
      <c r="W276" s="26"/>
    </row>
    <row r="277" spans="10:23" ht="15">
      <c r="J277" s="262"/>
      <c r="W277" s="26"/>
    </row>
    <row r="278" spans="10:23" ht="15">
      <c r="J278" s="262"/>
      <c r="W278" s="26"/>
    </row>
    <row r="279" spans="10:23" ht="15">
      <c r="J279" s="262"/>
      <c r="W279" s="26"/>
    </row>
    <row r="280" spans="10:23" ht="15">
      <c r="J280" s="262"/>
      <c r="W280" s="26"/>
    </row>
    <row r="281" spans="10:23" ht="15">
      <c r="J281" s="262"/>
      <c r="W281" s="26"/>
    </row>
    <row r="282" spans="10:23" ht="15">
      <c r="J282" s="262"/>
      <c r="W282" s="26"/>
    </row>
    <row r="283" spans="10:23" ht="15">
      <c r="J283" s="262"/>
      <c r="W283" s="26"/>
    </row>
    <row r="284" spans="10:23" ht="15">
      <c r="J284" s="262"/>
      <c r="W284" s="26"/>
    </row>
    <row r="285" spans="10:23" ht="15">
      <c r="J285" s="262"/>
      <c r="W285" s="26"/>
    </row>
    <row r="286" spans="10:23" ht="15">
      <c r="J286" s="262"/>
      <c r="W286" s="26"/>
    </row>
    <row r="287" spans="10:23" ht="15">
      <c r="J287" s="262"/>
      <c r="W287" s="26"/>
    </row>
    <row r="288" spans="10:23" ht="15">
      <c r="J288" s="262"/>
      <c r="W288" s="26"/>
    </row>
    <row r="289" spans="10:23" ht="15">
      <c r="J289" s="262"/>
      <c r="W289" s="26"/>
    </row>
    <row r="290" spans="10:23" ht="15">
      <c r="J290" s="262"/>
      <c r="W290" s="26"/>
    </row>
    <row r="291" spans="10:23" ht="15">
      <c r="J291" s="262"/>
      <c r="W291" s="26"/>
    </row>
    <row r="292" spans="10:23" ht="15">
      <c r="J292" s="262"/>
      <c r="W292" s="26"/>
    </row>
    <row r="293" spans="10:23" ht="15">
      <c r="J293" s="262"/>
      <c r="W293" s="26"/>
    </row>
    <row r="294" spans="10:23" ht="15">
      <c r="J294" s="262"/>
      <c r="W294" s="26"/>
    </row>
    <row r="295" spans="10:23" ht="15">
      <c r="J295" s="262"/>
      <c r="W295" s="26"/>
    </row>
    <row r="296" spans="10:23" ht="15">
      <c r="J296" s="262"/>
      <c r="W296" s="26"/>
    </row>
    <row r="297" spans="10:23" ht="15">
      <c r="J297" s="262"/>
      <c r="W297" s="26"/>
    </row>
    <row r="298" spans="10:23" ht="15">
      <c r="J298" s="262"/>
      <c r="W298" s="26"/>
    </row>
    <row r="299" spans="10:23" ht="15">
      <c r="J299" s="262"/>
      <c r="W299" s="26"/>
    </row>
    <row r="300" spans="10:23" ht="15">
      <c r="J300" s="262"/>
      <c r="W300" s="26"/>
    </row>
    <row r="301" spans="10:23" ht="15">
      <c r="J301" s="262"/>
      <c r="W301" s="26"/>
    </row>
    <row r="302" spans="10:23" ht="15">
      <c r="J302" s="262"/>
      <c r="W302" s="26"/>
    </row>
    <row r="303" spans="10:23" ht="15">
      <c r="J303" s="262"/>
      <c r="W303" s="26"/>
    </row>
    <row r="304" spans="10:23" ht="15">
      <c r="J304" s="262"/>
      <c r="W304" s="26"/>
    </row>
    <row r="305" spans="10:23" ht="15">
      <c r="J305" s="262"/>
      <c r="W305" s="26"/>
    </row>
    <row r="306" spans="10:23" ht="15">
      <c r="J306" s="262"/>
      <c r="W306" s="26"/>
    </row>
    <row r="307" spans="10:23" ht="15">
      <c r="J307" s="262"/>
      <c r="W307" s="26"/>
    </row>
    <row r="308" spans="10:23" ht="15">
      <c r="J308" s="262"/>
      <c r="W308" s="26"/>
    </row>
    <row r="309" spans="10:23" ht="15">
      <c r="J309" s="262"/>
      <c r="W309" s="26"/>
    </row>
    <row r="310" spans="10:23" ht="15">
      <c r="J310" s="262"/>
      <c r="W310" s="26"/>
    </row>
    <row r="311" spans="10:23" ht="15">
      <c r="J311" s="262"/>
      <c r="W311" s="26"/>
    </row>
    <row r="312" spans="10:23" ht="15">
      <c r="J312" s="262"/>
      <c r="W312" s="26"/>
    </row>
    <row r="313" spans="10:23" ht="15">
      <c r="J313" s="262"/>
      <c r="W313" s="26"/>
    </row>
    <row r="314" spans="10:23" ht="15">
      <c r="J314" s="262"/>
      <c r="W314" s="26"/>
    </row>
    <row r="315" spans="10:23" ht="15">
      <c r="J315" s="262"/>
      <c r="W315" s="26"/>
    </row>
    <row r="316" spans="10:23" ht="15">
      <c r="J316" s="262"/>
      <c r="W316" s="26"/>
    </row>
    <row r="317" spans="10:23" ht="15">
      <c r="J317" s="262"/>
      <c r="W317" s="26"/>
    </row>
    <row r="318" spans="10:23" ht="15">
      <c r="J318" s="262"/>
      <c r="W318" s="26"/>
    </row>
    <row r="319" spans="10:23" ht="15">
      <c r="J319" s="262"/>
      <c r="W319" s="26"/>
    </row>
    <row r="320" spans="10:23" ht="15">
      <c r="J320" s="262"/>
      <c r="W320" s="26"/>
    </row>
    <row r="321" spans="10:23" ht="15">
      <c r="J321" s="262"/>
      <c r="W321" s="26"/>
    </row>
    <row r="322" spans="10:23" ht="15">
      <c r="J322" s="262"/>
      <c r="W322" s="26"/>
    </row>
    <row r="323" spans="10:23" ht="15">
      <c r="J323" s="262"/>
      <c r="W323" s="26"/>
    </row>
    <row r="324" spans="10:23" ht="15">
      <c r="J324" s="262"/>
      <c r="W324" s="26"/>
    </row>
    <row r="325" spans="10:23" ht="15">
      <c r="J325" s="262"/>
      <c r="W325" s="26"/>
    </row>
    <row r="326" spans="10:23" ht="15">
      <c r="J326" s="262"/>
      <c r="W326" s="26"/>
    </row>
    <row r="327" spans="10:23" ht="15">
      <c r="J327" s="262"/>
      <c r="W327" s="26"/>
    </row>
    <row r="328" spans="10:23" ht="15">
      <c r="J328" s="262"/>
      <c r="W328" s="26"/>
    </row>
    <row r="329" spans="10:23" ht="15">
      <c r="J329" s="262"/>
      <c r="W329" s="26"/>
    </row>
    <row r="330" spans="10:23" ht="15">
      <c r="J330" s="262"/>
      <c r="W330" s="26"/>
    </row>
    <row r="331" spans="10:23" ht="15">
      <c r="J331" s="262"/>
      <c r="W331" s="26"/>
    </row>
    <row r="332" spans="10:23" ht="15">
      <c r="J332" s="262"/>
      <c r="W332" s="26"/>
    </row>
    <row r="333" spans="10:23" ht="15">
      <c r="J333" s="262"/>
      <c r="W333" s="26"/>
    </row>
    <row r="334" spans="10:23" ht="15">
      <c r="J334" s="262"/>
      <c r="W334" s="26"/>
    </row>
    <row r="335" spans="10:23" ht="15">
      <c r="J335" s="262"/>
      <c r="W335" s="26"/>
    </row>
    <row r="336" spans="10:23" ht="15">
      <c r="J336" s="262"/>
      <c r="W336" s="26"/>
    </row>
    <row r="337" spans="10:23" ht="15">
      <c r="J337" s="262"/>
      <c r="W337" s="26"/>
    </row>
    <row r="338" spans="10:23" ht="15">
      <c r="J338" s="262"/>
      <c r="W338" s="26"/>
    </row>
    <row r="339" spans="10:23" ht="15">
      <c r="J339" s="262"/>
      <c r="W339" s="26"/>
    </row>
    <row r="340" spans="10:23" ht="15">
      <c r="J340" s="262"/>
      <c r="W340" s="26"/>
    </row>
    <row r="341" spans="10:23" ht="15">
      <c r="J341" s="262"/>
      <c r="W341" s="26"/>
    </row>
    <row r="342" spans="10:23" ht="15">
      <c r="J342" s="262"/>
      <c r="W342" s="26"/>
    </row>
    <row r="343" spans="10:23" ht="15">
      <c r="J343" s="262"/>
      <c r="W343" s="26"/>
    </row>
    <row r="344" spans="10:23" ht="15">
      <c r="J344" s="262"/>
      <c r="W344" s="26"/>
    </row>
    <row r="345" spans="10:23" ht="15">
      <c r="J345" s="262"/>
      <c r="W345" s="26"/>
    </row>
    <row r="346" spans="10:23" ht="15">
      <c r="J346" s="262"/>
      <c r="W346" s="26"/>
    </row>
    <row r="347" spans="10:23" ht="15">
      <c r="J347" s="262"/>
      <c r="W347" s="26"/>
    </row>
    <row r="348" spans="10:23" ht="15">
      <c r="J348" s="262"/>
      <c r="W348" s="26"/>
    </row>
    <row r="349" spans="10:23" ht="15">
      <c r="J349" s="262"/>
      <c r="W349" s="26"/>
    </row>
    <row r="350" spans="10:23" ht="15">
      <c r="J350" s="262"/>
      <c r="W350" s="26"/>
    </row>
    <row r="351" spans="10:23" ht="15">
      <c r="J351" s="262"/>
      <c r="W351" s="26"/>
    </row>
    <row r="352" spans="10:23" ht="15">
      <c r="J352" s="262"/>
      <c r="W352" s="26"/>
    </row>
    <row r="353" spans="10:23" ht="15">
      <c r="J353" s="262"/>
      <c r="W353" s="26"/>
    </row>
    <row r="354" spans="10:23" ht="15">
      <c r="J354" s="262"/>
      <c r="W354" s="26"/>
    </row>
    <row r="355" spans="10:23" ht="15">
      <c r="J355" s="262"/>
      <c r="W355" s="26"/>
    </row>
    <row r="356" spans="10:23" ht="15">
      <c r="J356" s="262"/>
      <c r="W356" s="26"/>
    </row>
    <row r="357" spans="10:23" ht="15">
      <c r="J357" s="262"/>
      <c r="W357" s="26"/>
    </row>
    <row r="358" spans="10:23" ht="15">
      <c r="J358" s="262"/>
      <c r="W358" s="26"/>
    </row>
    <row r="359" spans="10:23" ht="15">
      <c r="J359" s="262"/>
      <c r="W359" s="26"/>
    </row>
    <row r="360" spans="10:23" ht="15">
      <c r="J360" s="262"/>
      <c r="W360" s="26"/>
    </row>
    <row r="361" spans="10:23" ht="15">
      <c r="J361" s="262"/>
      <c r="W361" s="26"/>
    </row>
    <row r="362" spans="10:23" ht="15">
      <c r="J362" s="262"/>
      <c r="W362" s="26"/>
    </row>
    <row r="363" spans="10:23" ht="15">
      <c r="J363" s="262"/>
      <c r="W363" s="26"/>
    </row>
    <row r="364" spans="10:23" ht="15">
      <c r="J364" s="262"/>
      <c r="W364" s="26"/>
    </row>
    <row r="365" spans="10:23" ht="15">
      <c r="J365" s="262"/>
      <c r="W365" s="26"/>
    </row>
    <row r="366" spans="10:23" ht="15">
      <c r="J366" s="262"/>
      <c r="W366" s="26"/>
    </row>
    <row r="367" spans="10:23" ht="15">
      <c r="J367" s="262"/>
      <c r="W367" s="26"/>
    </row>
    <row r="368" spans="10:23" ht="15">
      <c r="J368" s="262"/>
      <c r="W368" s="26"/>
    </row>
    <row r="369" spans="10:23" ht="15">
      <c r="J369" s="262"/>
      <c r="W369" s="26"/>
    </row>
    <row r="370" spans="10:23" ht="15">
      <c r="J370" s="262"/>
      <c r="W370" s="26"/>
    </row>
    <row r="371" spans="10:23" ht="15">
      <c r="J371" s="262"/>
      <c r="W371" s="26"/>
    </row>
    <row r="372" spans="10:23" ht="15">
      <c r="J372" s="262"/>
      <c r="W372" s="26"/>
    </row>
    <row r="373" spans="10:23" ht="15">
      <c r="J373" s="262"/>
      <c r="W373" s="26"/>
    </row>
    <row r="374" spans="10:23" ht="15">
      <c r="J374" s="262"/>
      <c r="W374" s="26"/>
    </row>
    <row r="375" spans="10:23" ht="15">
      <c r="J375" s="262"/>
      <c r="W375" s="26"/>
    </row>
    <row r="376" spans="10:23" ht="15">
      <c r="J376" s="262"/>
      <c r="W376" s="26"/>
    </row>
    <row r="377" spans="10:23" ht="15">
      <c r="J377" s="262"/>
      <c r="W377" s="26"/>
    </row>
    <row r="378" spans="10:23" ht="15">
      <c r="J378" s="262"/>
      <c r="W378" s="26"/>
    </row>
    <row r="379" spans="10:23" ht="15">
      <c r="J379" s="262"/>
      <c r="W379" s="26"/>
    </row>
    <row r="380" spans="10:23" ht="15">
      <c r="J380" s="262"/>
      <c r="W380" s="26"/>
    </row>
    <row r="381" spans="10:23" ht="15">
      <c r="J381" s="262"/>
      <c r="W381" s="26"/>
    </row>
    <row r="382" spans="10:23" ht="15">
      <c r="J382" s="262"/>
      <c r="W382" s="26"/>
    </row>
    <row r="383" spans="10:23" ht="15">
      <c r="J383" s="262"/>
      <c r="W383" s="26"/>
    </row>
    <row r="384" spans="10:23" ht="15">
      <c r="J384" s="262"/>
      <c r="W384" s="26"/>
    </row>
    <row r="385" spans="10:23" ht="15">
      <c r="J385" s="262"/>
      <c r="W385" s="26"/>
    </row>
    <row r="386" spans="10:23" ht="15">
      <c r="J386" s="262"/>
      <c r="W386" s="26"/>
    </row>
    <row r="387" spans="10:23" ht="15">
      <c r="J387" s="262"/>
      <c r="W387" s="26"/>
    </row>
    <row r="388" spans="10:23" ht="15">
      <c r="J388" s="262"/>
      <c r="W388" s="26"/>
    </row>
    <row r="389" spans="10:23" ht="15">
      <c r="J389" s="262"/>
      <c r="W389" s="26"/>
    </row>
    <row r="390" spans="10:23" ht="15">
      <c r="J390" s="262"/>
      <c r="W390" s="26"/>
    </row>
    <row r="391" spans="10:23" ht="15">
      <c r="J391" s="262"/>
      <c r="W391" s="26"/>
    </row>
    <row r="392" spans="10:23" ht="15">
      <c r="J392" s="262"/>
      <c r="W392" s="26"/>
    </row>
    <row r="393" spans="10:23" ht="15">
      <c r="J393" s="262"/>
      <c r="W393" s="26"/>
    </row>
    <row r="394" spans="10:23" ht="15">
      <c r="J394" s="262"/>
      <c r="W394" s="26"/>
    </row>
    <row r="395" spans="10:23" ht="15">
      <c r="J395" s="262"/>
      <c r="W395" s="26"/>
    </row>
    <row r="396" spans="10:23" ht="15">
      <c r="J396" s="262"/>
      <c r="W396" s="26"/>
    </row>
    <row r="397" spans="10:23" ht="15">
      <c r="J397" s="262"/>
      <c r="W397" s="26"/>
    </row>
    <row r="398" spans="10:23" ht="15">
      <c r="J398" s="262"/>
      <c r="W398" s="26"/>
    </row>
    <row r="399" spans="10:23" ht="15">
      <c r="J399" s="262"/>
      <c r="W399" s="26"/>
    </row>
    <row r="400" spans="10:23" ht="15">
      <c r="J400" s="262"/>
      <c r="W400" s="26"/>
    </row>
    <row r="401" spans="10:23" ht="15">
      <c r="J401" s="262"/>
      <c r="W401" s="26"/>
    </row>
    <row r="402" spans="10:23" ht="15">
      <c r="J402" s="262"/>
      <c r="W402" s="26"/>
    </row>
    <row r="403" spans="10:23" ht="15">
      <c r="J403" s="262"/>
      <c r="W403" s="26"/>
    </row>
    <row r="404" spans="10:23" ht="15">
      <c r="J404" s="262"/>
      <c r="W404" s="26"/>
    </row>
    <row r="405" spans="10:23" ht="15">
      <c r="J405" s="262"/>
      <c r="W405" s="26"/>
    </row>
    <row r="406" spans="10:23" ht="15">
      <c r="J406" s="262"/>
      <c r="W406" s="26"/>
    </row>
    <row r="407" spans="10:23" ht="15">
      <c r="J407" s="262"/>
      <c r="W407" s="26"/>
    </row>
    <row r="408" spans="10:23" ht="15">
      <c r="J408" s="262"/>
      <c r="W408" s="26"/>
    </row>
    <row r="409" spans="10:23" ht="15">
      <c r="J409" s="262"/>
      <c r="W409" s="26"/>
    </row>
    <row r="410" spans="10:23" ht="15">
      <c r="J410" s="262"/>
      <c r="W410" s="26"/>
    </row>
    <row r="411" spans="10:23" ht="15">
      <c r="J411" s="262"/>
      <c r="W411" s="26"/>
    </row>
    <row r="412" spans="10:23" ht="15">
      <c r="J412" s="262"/>
      <c r="W412" s="26"/>
    </row>
    <row r="413" spans="10:23" ht="15">
      <c r="J413" s="262"/>
      <c r="W413" s="26"/>
    </row>
    <row r="414" spans="10:23" ht="15">
      <c r="J414" s="262"/>
      <c r="W414" s="26"/>
    </row>
    <row r="415" spans="10:23" ht="15">
      <c r="J415" s="262"/>
      <c r="W415" s="26"/>
    </row>
    <row r="416" spans="10:23" ht="15">
      <c r="J416" s="262"/>
      <c r="W416" s="26"/>
    </row>
    <row r="417" spans="10:23" ht="15">
      <c r="J417" s="262"/>
      <c r="W417" s="26"/>
    </row>
    <row r="418" spans="10:23" ht="15">
      <c r="J418" s="262"/>
      <c r="W418" s="26"/>
    </row>
    <row r="419" spans="10:23" ht="15">
      <c r="J419" s="262"/>
      <c r="W419" s="26"/>
    </row>
    <row r="420" spans="10:23" ht="15">
      <c r="J420" s="262"/>
      <c r="W420" s="26"/>
    </row>
    <row r="421" spans="10:23" ht="15">
      <c r="J421" s="262"/>
      <c r="W421" s="26"/>
    </row>
    <row r="422" spans="10:23" ht="15">
      <c r="J422" s="262"/>
      <c r="W422" s="26"/>
    </row>
    <row r="423" spans="10:23" ht="15">
      <c r="J423" s="262"/>
      <c r="W423" s="26"/>
    </row>
    <row r="424" spans="10:23" ht="15">
      <c r="J424" s="262"/>
      <c r="W424" s="26"/>
    </row>
    <row r="425" spans="10:23" ht="15">
      <c r="J425" s="262"/>
      <c r="W425" s="26"/>
    </row>
    <row r="426" spans="10:23" ht="15">
      <c r="J426" s="262"/>
      <c r="W426" s="26"/>
    </row>
    <row r="427" spans="10:23" ht="15">
      <c r="J427" s="262"/>
      <c r="W427" s="26"/>
    </row>
    <row r="428" spans="10:23" ht="15">
      <c r="J428" s="262"/>
      <c r="W428" s="26"/>
    </row>
    <row r="429" spans="10:23" ht="15">
      <c r="J429" s="262"/>
      <c r="W429" s="26"/>
    </row>
    <row r="430" spans="10:23" ht="15">
      <c r="J430" s="262"/>
      <c r="W430" s="26"/>
    </row>
    <row r="431" spans="10:23" ht="15">
      <c r="J431" s="262"/>
      <c r="W431" s="26"/>
    </row>
    <row r="432" spans="10:23" ht="15">
      <c r="J432" s="262"/>
      <c r="W432" s="26"/>
    </row>
    <row r="433" spans="10:23" ht="15">
      <c r="J433" s="262"/>
      <c r="W433" s="26"/>
    </row>
    <row r="434" spans="10:23" ht="15">
      <c r="J434" s="262"/>
      <c r="W434" s="26"/>
    </row>
    <row r="435" spans="10:23" ht="15">
      <c r="J435" s="262"/>
      <c r="W435" s="26"/>
    </row>
    <row r="436" spans="10:23" ht="15">
      <c r="J436" s="262"/>
      <c r="W436" s="26"/>
    </row>
    <row r="437" spans="10:23" ht="15">
      <c r="J437" s="262"/>
      <c r="W437" s="26"/>
    </row>
    <row r="438" spans="10:23" ht="15">
      <c r="J438" s="262"/>
      <c r="W438" s="26"/>
    </row>
    <row r="439" spans="10:23" ht="15">
      <c r="J439" s="262"/>
      <c r="W439" s="26"/>
    </row>
    <row r="440" spans="10:23" ht="15">
      <c r="J440" s="262"/>
      <c r="W440" s="26"/>
    </row>
    <row r="441" spans="10:23" ht="15">
      <c r="J441" s="262"/>
      <c r="W441" s="26"/>
    </row>
    <row r="442" spans="10:23" ht="15">
      <c r="J442" s="262"/>
      <c r="W442" s="26"/>
    </row>
    <row r="443" spans="10:23" ht="15">
      <c r="J443" s="262"/>
      <c r="W443" s="26"/>
    </row>
    <row r="444" spans="10:23" ht="15">
      <c r="J444" s="262"/>
      <c r="W444" s="26"/>
    </row>
    <row r="445" spans="10:23" ht="15">
      <c r="J445" s="262"/>
      <c r="W445" s="26"/>
    </row>
    <row r="446" spans="10:23" ht="15">
      <c r="J446" s="262"/>
      <c r="W446" s="26"/>
    </row>
    <row r="447" spans="10:23" ht="15">
      <c r="J447" s="262"/>
      <c r="W447" s="26"/>
    </row>
    <row r="448" spans="10:23" ht="15">
      <c r="J448" s="262"/>
      <c r="W448" s="26"/>
    </row>
    <row r="449" spans="10:23" ht="15">
      <c r="J449" s="262"/>
      <c r="W449" s="26"/>
    </row>
    <row r="450" spans="10:23" ht="15">
      <c r="J450" s="262"/>
      <c r="W450" s="26"/>
    </row>
    <row r="451" spans="10:23" ht="15">
      <c r="J451" s="262"/>
      <c r="W451" s="26"/>
    </row>
    <row r="452" spans="10:23" ht="15">
      <c r="J452" s="262"/>
      <c r="W452" s="26"/>
    </row>
    <row r="453" spans="10:23" ht="15">
      <c r="J453" s="262"/>
      <c r="W453" s="26"/>
    </row>
    <row r="454" spans="10:23" ht="15">
      <c r="J454" s="262"/>
      <c r="W454" s="26"/>
    </row>
    <row r="455" spans="10:23" ht="15">
      <c r="J455" s="262"/>
      <c r="W455" s="26"/>
    </row>
    <row r="456" spans="10:23" ht="15">
      <c r="J456" s="262"/>
      <c r="W456" s="26"/>
    </row>
    <row r="457" spans="10:23" ht="15">
      <c r="J457" s="262"/>
      <c r="W457" s="26"/>
    </row>
    <row r="458" spans="10:23" ht="15">
      <c r="J458" s="262"/>
      <c r="W458" s="26"/>
    </row>
    <row r="459" spans="10:23" ht="15">
      <c r="J459" s="262"/>
      <c r="W459" s="26"/>
    </row>
    <row r="460" spans="10:23" ht="15">
      <c r="J460" s="262"/>
      <c r="W460" s="26"/>
    </row>
    <row r="461" spans="10:23" ht="15">
      <c r="J461" s="262"/>
      <c r="W461" s="26"/>
    </row>
    <row r="462" spans="10:23" ht="15">
      <c r="J462" s="262"/>
      <c r="W462" s="26"/>
    </row>
    <row r="463" spans="10:23" ht="15">
      <c r="J463" s="262"/>
      <c r="W463" s="26"/>
    </row>
    <row r="464" spans="10:23" ht="15">
      <c r="J464" s="262"/>
      <c r="W464" s="26"/>
    </row>
    <row r="465" spans="10:23" ht="15">
      <c r="J465" s="262"/>
      <c r="W465" s="26"/>
    </row>
    <row r="466" spans="10:23" ht="15">
      <c r="J466" s="262"/>
      <c r="W466" s="26"/>
    </row>
    <row r="467" spans="10:23" ht="15">
      <c r="J467" s="262"/>
      <c r="W467" s="26"/>
    </row>
    <row r="468" spans="10:23" ht="15">
      <c r="J468" s="262"/>
      <c r="W468" s="26"/>
    </row>
    <row r="469" spans="10:23" ht="15">
      <c r="J469" s="262"/>
      <c r="W469" s="26"/>
    </row>
    <row r="470" spans="10:23" ht="15">
      <c r="J470" s="262"/>
      <c r="W470" s="26"/>
    </row>
    <row r="471" spans="10:23" ht="15">
      <c r="J471" s="262"/>
      <c r="W471" s="26"/>
    </row>
    <row r="472" spans="10:23" ht="15">
      <c r="J472" s="262"/>
      <c r="W472" s="26"/>
    </row>
    <row r="473" spans="10:23" ht="15">
      <c r="J473" s="262"/>
      <c r="W473" s="26"/>
    </row>
    <row r="474" spans="10:23" ht="15">
      <c r="J474" s="262"/>
      <c r="W474" s="26"/>
    </row>
    <row r="475" spans="10:23" ht="15">
      <c r="J475" s="262"/>
      <c r="W475" s="26"/>
    </row>
    <row r="476" spans="10:23" ht="15">
      <c r="J476" s="262"/>
      <c r="W476" s="26"/>
    </row>
    <row r="477" spans="10:23" ht="15">
      <c r="J477" s="262"/>
      <c r="W477" s="26"/>
    </row>
    <row r="478" spans="10:23" ht="15">
      <c r="J478" s="262"/>
      <c r="W478" s="26"/>
    </row>
    <row r="479" spans="10:23" ht="15">
      <c r="J479" s="262"/>
      <c r="W479" s="26"/>
    </row>
    <row r="480" spans="10:23" ht="15">
      <c r="J480" s="262"/>
      <c r="W480" s="26"/>
    </row>
    <row r="481" spans="10:23" ht="15">
      <c r="J481" s="262"/>
      <c r="W481" s="26"/>
    </row>
    <row r="482" spans="10:23" ht="15">
      <c r="J482" s="262"/>
      <c r="W482" s="26"/>
    </row>
    <row r="483" spans="10:23" ht="15">
      <c r="J483" s="262"/>
      <c r="W483" s="26"/>
    </row>
    <row r="484" spans="10:23" ht="15">
      <c r="J484" s="262"/>
      <c r="W484" s="26"/>
    </row>
    <row r="485" spans="10:23" ht="15">
      <c r="J485" s="262"/>
      <c r="W485" s="26"/>
    </row>
    <row r="486" spans="10:23" ht="15">
      <c r="J486" s="262"/>
      <c r="W486" s="26"/>
    </row>
    <row r="487" spans="10:23" ht="15">
      <c r="J487" s="262"/>
      <c r="W487" s="26"/>
    </row>
    <row r="488" spans="10:23" ht="15">
      <c r="J488" s="262"/>
      <c r="W488" s="26"/>
    </row>
    <row r="489" spans="10:23" ht="15">
      <c r="J489" s="262"/>
      <c r="W489" s="26"/>
    </row>
    <row r="490" spans="10:23" ht="15">
      <c r="J490" s="262"/>
      <c r="W490" s="26"/>
    </row>
    <row r="491" spans="10:23" ht="15">
      <c r="J491" s="262"/>
      <c r="W491" s="26"/>
    </row>
    <row r="492" spans="10:23" ht="15">
      <c r="J492" s="262"/>
      <c r="W492" s="26"/>
    </row>
    <row r="493" spans="10:23" ht="15">
      <c r="J493" s="262"/>
      <c r="W493" s="26"/>
    </row>
    <row r="494" spans="10:23" ht="15">
      <c r="J494" s="262"/>
      <c r="W494" s="26"/>
    </row>
    <row r="495" spans="10:23" ht="15">
      <c r="J495" s="262"/>
      <c r="W495" s="26"/>
    </row>
    <row r="496" spans="10:23" ht="15">
      <c r="J496" s="262"/>
      <c r="W496" s="26"/>
    </row>
    <row r="497" spans="10:23" ht="15">
      <c r="J497" s="262"/>
      <c r="W497" s="26"/>
    </row>
    <row r="498" spans="10:23" ht="15">
      <c r="J498" s="262"/>
      <c r="W498" s="26"/>
    </row>
    <row r="499" spans="10:23" ht="15">
      <c r="J499" s="262"/>
      <c r="W499" s="26"/>
    </row>
    <row r="500" spans="10:23" ht="15">
      <c r="J500" s="262"/>
      <c r="W500" s="26"/>
    </row>
    <row r="501" spans="10:23" ht="15">
      <c r="J501" s="262"/>
      <c r="W501" s="26"/>
    </row>
    <row r="502" spans="10:23" ht="15">
      <c r="J502" s="262"/>
      <c r="W502" s="26"/>
    </row>
    <row r="503" spans="10:23" ht="15">
      <c r="J503" s="262"/>
      <c r="W503" s="26"/>
    </row>
    <row r="504" spans="10:23" ht="15">
      <c r="J504" s="262"/>
      <c r="W504" s="26"/>
    </row>
    <row r="505" spans="10:23" ht="15">
      <c r="J505" s="262"/>
      <c r="W505" s="26"/>
    </row>
    <row r="506" spans="10:23" ht="15">
      <c r="J506" s="262"/>
      <c r="W506" s="26"/>
    </row>
    <row r="507" spans="10:23" ht="15">
      <c r="J507" s="262"/>
      <c r="W507" s="26"/>
    </row>
    <row r="508" spans="10:23" ht="15">
      <c r="J508" s="262"/>
      <c r="W508" s="26"/>
    </row>
    <row r="509" spans="10:23" ht="15">
      <c r="J509" s="262"/>
      <c r="W509" s="26"/>
    </row>
    <row r="510" spans="10:23" ht="15">
      <c r="J510" s="262"/>
      <c r="W510" s="26"/>
    </row>
    <row r="511" spans="10:23" ht="15">
      <c r="J511" s="262"/>
      <c r="W511" s="26"/>
    </row>
    <row r="512" spans="10:23" ht="15">
      <c r="J512" s="262"/>
      <c r="W512" s="26"/>
    </row>
    <row r="513" spans="10:23" ht="15">
      <c r="J513" s="262"/>
      <c r="W513" s="26"/>
    </row>
    <row r="514" spans="10:23" ht="15">
      <c r="J514" s="262"/>
      <c r="W514" s="26"/>
    </row>
    <row r="515" spans="10:23" ht="15">
      <c r="J515" s="262"/>
      <c r="W515" s="26"/>
    </row>
    <row r="516" spans="10:23" ht="15">
      <c r="J516" s="262"/>
      <c r="W516" s="26"/>
    </row>
    <row r="517" spans="10:23" ht="15">
      <c r="J517" s="262"/>
      <c r="W517" s="26"/>
    </row>
    <row r="518" spans="10:23" ht="15">
      <c r="J518" s="262"/>
      <c r="W518" s="26"/>
    </row>
    <row r="519" spans="10:23" ht="15">
      <c r="J519" s="262"/>
      <c r="W519" s="26"/>
    </row>
    <row r="520" spans="10:23" ht="15">
      <c r="J520" s="262"/>
      <c r="W520" s="26"/>
    </row>
    <row r="521" spans="10:23" ht="15">
      <c r="J521" s="262"/>
      <c r="W521" s="26"/>
    </row>
    <row r="522" spans="10:23" ht="15">
      <c r="J522" s="262"/>
      <c r="W522" s="26"/>
    </row>
    <row r="523" spans="10:23" ht="15">
      <c r="J523" s="262"/>
      <c r="W523" s="26"/>
    </row>
    <row r="524" spans="10:23" ht="15">
      <c r="J524" s="262"/>
      <c r="W524" s="26"/>
    </row>
    <row r="525" spans="10:23" ht="15">
      <c r="J525" s="262"/>
      <c r="W525" s="26"/>
    </row>
    <row r="526" spans="10:23" ht="15">
      <c r="J526" s="262"/>
      <c r="W526" s="26"/>
    </row>
    <row r="527" spans="10:23" ht="15">
      <c r="J527" s="262"/>
      <c r="W527" s="26"/>
    </row>
    <row r="528" spans="10:23" ht="15">
      <c r="J528" s="262"/>
      <c r="W528" s="26"/>
    </row>
    <row r="529" spans="10:23" ht="15">
      <c r="J529" s="262"/>
      <c r="W529" s="26"/>
    </row>
    <row r="530" spans="10:23" ht="15">
      <c r="J530" s="262"/>
      <c r="W530" s="26"/>
    </row>
    <row r="531" spans="10:23" ht="15">
      <c r="J531" s="262"/>
      <c r="W531" s="26"/>
    </row>
    <row r="532" spans="10:23" ht="15">
      <c r="J532" s="262"/>
      <c r="W532" s="26"/>
    </row>
    <row r="533" spans="10:23" ht="15">
      <c r="J533" s="262"/>
      <c r="W533" s="26"/>
    </row>
    <row r="534" spans="10:23" ht="15">
      <c r="J534" s="262"/>
      <c r="W534" s="26"/>
    </row>
    <row r="535" spans="10:23" ht="15">
      <c r="J535" s="262"/>
      <c r="W535" s="26"/>
    </row>
    <row r="536" spans="10:23" ht="15">
      <c r="J536" s="262"/>
      <c r="W536" s="26"/>
    </row>
    <row r="537" spans="10:23" ht="15">
      <c r="J537" s="262"/>
      <c r="W537" s="26"/>
    </row>
    <row r="538" spans="10:23" ht="15">
      <c r="J538" s="262"/>
      <c r="W538" s="26"/>
    </row>
    <row r="539" spans="10:23" ht="15">
      <c r="J539" s="262"/>
      <c r="W539" s="26"/>
    </row>
    <row r="540" spans="10:23" ht="15">
      <c r="J540" s="262"/>
      <c r="W540" s="26"/>
    </row>
    <row r="541" spans="10:23" ht="15">
      <c r="J541" s="262"/>
      <c r="W541" s="26"/>
    </row>
    <row r="542" spans="10:23" ht="15">
      <c r="J542" s="262"/>
      <c r="W542" s="26"/>
    </row>
    <row r="543" spans="10:23" ht="15">
      <c r="J543" s="262"/>
      <c r="W543" s="26"/>
    </row>
    <row r="544" spans="10:23" ht="15">
      <c r="J544" s="262"/>
      <c r="W544" s="26"/>
    </row>
    <row r="545" spans="10:23" ht="15">
      <c r="J545" s="262"/>
      <c r="W545" s="26"/>
    </row>
    <row r="546" spans="10:23" ht="15">
      <c r="J546" s="262"/>
      <c r="W546" s="26"/>
    </row>
    <row r="547" spans="10:23" ht="15">
      <c r="J547" s="262"/>
      <c r="W547" s="26"/>
    </row>
    <row r="548" spans="10:23" ht="15">
      <c r="J548" s="262"/>
      <c r="W548" s="26"/>
    </row>
    <row r="549" spans="10:23" ht="15">
      <c r="J549" s="262"/>
      <c r="W549" s="26"/>
    </row>
    <row r="550" spans="10:23" ht="15">
      <c r="J550" s="262"/>
      <c r="W550" s="26"/>
    </row>
    <row r="551" spans="10:23" ht="15">
      <c r="J551" s="262"/>
      <c r="W551" s="26"/>
    </row>
    <row r="552" spans="10:23" ht="15">
      <c r="J552" s="262"/>
      <c r="W552" s="26"/>
    </row>
    <row r="553" spans="10:23" ht="15">
      <c r="J553" s="262"/>
      <c r="W553" s="26"/>
    </row>
    <row r="554" spans="10:23" ht="15">
      <c r="J554" s="262"/>
      <c r="W554" s="26"/>
    </row>
    <row r="555" spans="10:23" ht="15">
      <c r="J555" s="262"/>
      <c r="W555" s="26"/>
    </row>
    <row r="556" spans="10:23" ht="15">
      <c r="J556" s="262"/>
      <c r="W556" s="26"/>
    </row>
    <row r="557" spans="10:23" ht="15">
      <c r="J557" s="262"/>
      <c r="W557" s="26"/>
    </row>
    <row r="558" spans="10:23" ht="15">
      <c r="J558" s="262"/>
      <c r="W558" s="26"/>
    </row>
    <row r="559" spans="10:23" ht="15">
      <c r="J559" s="262"/>
      <c r="W559" s="26"/>
    </row>
    <row r="560" spans="10:23" ht="15">
      <c r="J560" s="262"/>
      <c r="W560" s="26"/>
    </row>
    <row r="561" spans="10:23" ht="15">
      <c r="J561" s="262"/>
      <c r="W561" s="26"/>
    </row>
    <row r="562" spans="10:23" ht="15">
      <c r="J562" s="262"/>
      <c r="W562" s="26"/>
    </row>
    <row r="563" spans="10:23" ht="15">
      <c r="J563" s="262"/>
      <c r="W563" s="26"/>
    </row>
    <row r="564" spans="10:23" ht="15">
      <c r="J564" s="262"/>
      <c r="W564" s="26"/>
    </row>
    <row r="565" spans="10:23" ht="15">
      <c r="J565" s="262"/>
      <c r="W565" s="26"/>
    </row>
    <row r="566" spans="10:23" ht="15">
      <c r="J566" s="262"/>
      <c r="W566" s="26"/>
    </row>
    <row r="567" spans="10:23" ht="15">
      <c r="J567" s="262"/>
      <c r="W567" s="26"/>
    </row>
    <row r="568" spans="10:23" ht="15">
      <c r="J568" s="262"/>
      <c r="W568" s="26"/>
    </row>
    <row r="569" spans="10:23" ht="15">
      <c r="J569" s="262"/>
      <c r="W569" s="26"/>
    </row>
    <row r="570" spans="10:23" ht="15">
      <c r="J570" s="262"/>
      <c r="W570" s="26"/>
    </row>
    <row r="571" spans="10:23" ht="15">
      <c r="J571" s="262"/>
      <c r="W571" s="26"/>
    </row>
    <row r="572" spans="10:23" ht="15">
      <c r="J572" s="262"/>
      <c r="W572" s="26"/>
    </row>
    <row r="573" spans="10:23" ht="15">
      <c r="J573" s="262"/>
      <c r="W573" s="26"/>
    </row>
    <row r="574" spans="10:23" ht="15">
      <c r="J574" s="262"/>
      <c r="W574" s="26"/>
    </row>
    <row r="575" spans="10:23" ht="15">
      <c r="J575" s="262"/>
      <c r="W575" s="26"/>
    </row>
    <row r="576" spans="10:23" ht="15">
      <c r="J576" s="262"/>
      <c r="W576" s="26"/>
    </row>
    <row r="577" spans="10:23" ht="15">
      <c r="J577" s="262"/>
      <c r="W577" s="26"/>
    </row>
    <row r="578" spans="10:23" ht="15">
      <c r="J578" s="262"/>
      <c r="W578" s="26"/>
    </row>
    <row r="579" spans="10:23" ht="15">
      <c r="J579" s="262"/>
      <c r="W579" s="26"/>
    </row>
    <row r="580" spans="10:23" ht="15">
      <c r="J580" s="262"/>
      <c r="W580" s="26"/>
    </row>
    <row r="581" spans="10:23" ht="15">
      <c r="J581" s="262"/>
      <c r="W581" s="26"/>
    </row>
    <row r="582" spans="10:23" ht="15">
      <c r="J582" s="262"/>
      <c r="W582" s="26"/>
    </row>
    <row r="583" spans="10:23" ht="15">
      <c r="J583" s="262"/>
      <c r="W583" s="26"/>
    </row>
    <row r="584" spans="10:23" ht="15">
      <c r="J584" s="262"/>
      <c r="W584" s="26"/>
    </row>
    <row r="585" spans="10:23" ht="15">
      <c r="J585" s="262"/>
      <c r="W585" s="26"/>
    </row>
    <row r="586" spans="10:23" ht="15">
      <c r="J586" s="262"/>
      <c r="W586" s="26"/>
    </row>
    <row r="587" spans="10:23" ht="15">
      <c r="J587" s="262"/>
      <c r="W587" s="26"/>
    </row>
    <row r="588" spans="10:23" ht="15">
      <c r="J588" s="262"/>
      <c r="W588" s="26"/>
    </row>
    <row r="589" spans="10:23" ht="15">
      <c r="J589" s="262"/>
      <c r="W589" s="26"/>
    </row>
    <row r="590" spans="10:23" ht="15">
      <c r="J590" s="262"/>
      <c r="W590" s="26"/>
    </row>
    <row r="591" spans="10:23" ht="15">
      <c r="J591" s="262"/>
      <c r="W591" s="26"/>
    </row>
    <row r="592" spans="10:23" ht="15">
      <c r="J592" s="262"/>
      <c r="W592" s="26"/>
    </row>
    <row r="593" spans="10:23" ht="15">
      <c r="J593" s="262"/>
      <c r="W593" s="26"/>
    </row>
    <row r="594" spans="10:23" ht="15">
      <c r="J594" s="262"/>
      <c r="W594" s="26"/>
    </row>
    <row r="595" spans="10:23" ht="15">
      <c r="J595" s="262"/>
      <c r="W595" s="26"/>
    </row>
    <row r="596" spans="10:23" ht="15">
      <c r="J596" s="262"/>
      <c r="W596" s="26"/>
    </row>
    <row r="597" spans="10:23" ht="15">
      <c r="J597" s="262"/>
      <c r="W597" s="26"/>
    </row>
    <row r="598" spans="10:23" ht="15">
      <c r="J598" s="262"/>
      <c r="W598" s="26"/>
    </row>
    <row r="599" spans="10:23" ht="15">
      <c r="J599" s="262"/>
      <c r="W599" s="26"/>
    </row>
    <row r="600" spans="10:23" ht="15">
      <c r="J600" s="262"/>
      <c r="W600" s="26"/>
    </row>
    <row r="601" spans="10:23" ht="15">
      <c r="J601" s="262"/>
      <c r="W601" s="26"/>
    </row>
    <row r="602" spans="10:23" ht="15">
      <c r="J602" s="262"/>
      <c r="W602" s="26"/>
    </row>
    <row r="603" spans="10:23" ht="15">
      <c r="J603" s="262"/>
      <c r="W603" s="26"/>
    </row>
    <row r="604" spans="10:23" ht="15">
      <c r="J604" s="262"/>
      <c r="W604" s="26"/>
    </row>
    <row r="605" spans="10:23" ht="15">
      <c r="J605" s="262"/>
      <c r="W605" s="26"/>
    </row>
    <row r="606" spans="10:23" ht="15">
      <c r="J606" s="262"/>
      <c r="W606" s="26"/>
    </row>
    <row r="607" spans="10:23" ht="15">
      <c r="J607" s="262"/>
      <c r="W607" s="26"/>
    </row>
    <row r="608" spans="10:23" ht="15">
      <c r="J608" s="262"/>
      <c r="W608" s="26"/>
    </row>
    <row r="609" spans="10:23" ht="15">
      <c r="J609" s="262"/>
      <c r="W609" s="26"/>
    </row>
    <row r="610" spans="10:23" ht="15">
      <c r="J610" s="262"/>
      <c r="W610" s="26"/>
    </row>
    <row r="611" spans="10:23" ht="15">
      <c r="J611" s="262"/>
      <c r="W611" s="26"/>
    </row>
    <row r="612" spans="10:23" ht="15">
      <c r="J612" s="262"/>
      <c r="W612" s="26"/>
    </row>
    <row r="613" spans="10:23" ht="15">
      <c r="J613" s="262"/>
      <c r="W613" s="26"/>
    </row>
    <row r="614" spans="10:23" ht="15">
      <c r="J614" s="262"/>
      <c r="W614" s="26"/>
    </row>
    <row r="615" spans="10:23" ht="15">
      <c r="J615" s="262"/>
      <c r="W615" s="26"/>
    </row>
    <row r="616" spans="10:23" ht="15">
      <c r="J616" s="262"/>
      <c r="W616" s="26"/>
    </row>
    <row r="617" spans="10:23" ht="15">
      <c r="J617" s="262"/>
      <c r="W617" s="26"/>
    </row>
    <row r="618" spans="10:23" ht="15">
      <c r="J618" s="262"/>
      <c r="W618" s="26"/>
    </row>
    <row r="619" spans="10:23" ht="15">
      <c r="J619" s="262"/>
      <c r="W619" s="26"/>
    </row>
    <row r="620" spans="10:23" ht="15">
      <c r="J620" s="262"/>
      <c r="W620" s="26"/>
    </row>
    <row r="621" spans="10:23" ht="15">
      <c r="J621" s="262"/>
      <c r="W621" s="26"/>
    </row>
    <row r="622" spans="10:23" ht="15">
      <c r="J622" s="262"/>
      <c r="W622" s="26"/>
    </row>
    <row r="623" spans="10:23" ht="15">
      <c r="J623" s="262"/>
      <c r="W623" s="26"/>
    </row>
    <row r="624" spans="10:23" ht="15">
      <c r="J624" s="262"/>
      <c r="W624" s="26"/>
    </row>
    <row r="625" spans="10:23" ht="15">
      <c r="J625" s="262"/>
      <c r="W625" s="26"/>
    </row>
    <row r="626" spans="10:23" ht="15">
      <c r="J626" s="262"/>
      <c r="W626" s="26"/>
    </row>
    <row r="627" spans="10:23" ht="15">
      <c r="J627" s="262"/>
      <c r="W627" s="26"/>
    </row>
    <row r="628" spans="10:23" ht="15">
      <c r="J628" s="262"/>
      <c r="W628" s="26"/>
    </row>
    <row r="629" spans="10:23" ht="15">
      <c r="J629" s="262"/>
      <c r="W629" s="26"/>
    </row>
    <row r="630" spans="10:23" ht="15">
      <c r="J630" s="262"/>
      <c r="W630" s="26"/>
    </row>
    <row r="631" spans="10:23" ht="15">
      <c r="J631" s="262"/>
      <c r="W631" s="26"/>
    </row>
    <row r="632" spans="10:23" ht="15">
      <c r="J632" s="262"/>
      <c r="W632" s="26"/>
    </row>
    <row r="633" spans="10:23" ht="15">
      <c r="J633" s="262"/>
      <c r="W633" s="26"/>
    </row>
    <row r="634" spans="10:23" ht="15">
      <c r="J634" s="262"/>
      <c r="W634" s="26"/>
    </row>
    <row r="635" spans="10:23" ht="15">
      <c r="J635" s="262"/>
      <c r="W635" s="26"/>
    </row>
    <row r="636" spans="10:23" ht="15">
      <c r="J636" s="262"/>
      <c r="W636" s="26"/>
    </row>
    <row r="637" spans="10:23" ht="15">
      <c r="J637" s="262"/>
      <c r="W637" s="26"/>
    </row>
    <row r="638" spans="10:23" ht="15">
      <c r="J638" s="262"/>
      <c r="W638" s="26"/>
    </row>
    <row r="639" spans="10:23" ht="15">
      <c r="J639" s="262"/>
      <c r="W639" s="26"/>
    </row>
    <row r="640" spans="10:23" ht="15">
      <c r="J640" s="262"/>
      <c r="W640" s="26"/>
    </row>
    <row r="641" spans="10:23" ht="15">
      <c r="J641" s="262"/>
      <c r="W641" s="26"/>
    </row>
    <row r="642" spans="10:23" ht="15">
      <c r="J642" s="262"/>
      <c r="W642" s="26"/>
    </row>
    <row r="643" spans="10:23" ht="15">
      <c r="J643" s="262"/>
      <c r="W643" s="26"/>
    </row>
    <row r="644" spans="10:23" ht="15">
      <c r="J644" s="262"/>
      <c r="W644" s="26"/>
    </row>
    <row r="645" spans="10:23" ht="15">
      <c r="J645" s="262"/>
      <c r="W645" s="26"/>
    </row>
    <row r="646" spans="10:23" ht="15">
      <c r="J646" s="262"/>
      <c r="W646" s="26"/>
    </row>
    <row r="647" spans="10:23" ht="15">
      <c r="J647" s="262"/>
      <c r="W647" s="26"/>
    </row>
    <row r="648" spans="10:23" ht="15">
      <c r="J648" s="262"/>
      <c r="W648" s="26"/>
    </row>
    <row r="649" spans="10:23" ht="15">
      <c r="J649" s="262"/>
      <c r="W649" s="26"/>
    </row>
    <row r="650" spans="10:23" ht="15">
      <c r="J650" s="262"/>
      <c r="W650" s="26"/>
    </row>
    <row r="651" spans="10:23" ht="15">
      <c r="J651" s="262"/>
      <c r="W651" s="26"/>
    </row>
    <row r="652" spans="10:23" ht="15">
      <c r="J652" s="262"/>
      <c r="W652" s="26"/>
    </row>
    <row r="653" spans="10:23" ht="15">
      <c r="J653" s="262"/>
      <c r="W653" s="26"/>
    </row>
    <row r="654" spans="10:23" ht="15">
      <c r="J654" s="262"/>
      <c r="W654" s="26"/>
    </row>
    <row r="655" spans="10:23" ht="15">
      <c r="J655" s="262"/>
      <c r="W655" s="26"/>
    </row>
    <row r="656" spans="10:23" ht="15">
      <c r="J656" s="262"/>
      <c r="W656" s="26"/>
    </row>
    <row r="657" spans="10:23" ht="15">
      <c r="J657" s="262"/>
      <c r="W657" s="26"/>
    </row>
    <row r="658" spans="10:23" ht="15">
      <c r="J658" s="262"/>
      <c r="W658" s="26"/>
    </row>
    <row r="659" spans="10:23" ht="15">
      <c r="J659" s="262"/>
      <c r="W659" s="26"/>
    </row>
    <row r="660" spans="10:23" ht="15">
      <c r="J660" s="262"/>
      <c r="W660" s="26"/>
    </row>
    <row r="661" spans="10:23" ht="15">
      <c r="J661" s="262"/>
      <c r="W661" s="26"/>
    </row>
    <row r="662" spans="10:23" ht="15">
      <c r="J662" s="262"/>
      <c r="W662" s="26"/>
    </row>
    <row r="663" spans="10:23" ht="15">
      <c r="J663" s="262"/>
      <c r="W663" s="26"/>
    </row>
    <row r="664" spans="10:23" ht="15">
      <c r="J664" s="262"/>
      <c r="W664" s="26"/>
    </row>
    <row r="665" spans="10:23" ht="15">
      <c r="J665" s="262"/>
      <c r="W665" s="26"/>
    </row>
    <row r="666" spans="10:23" ht="15">
      <c r="J666" s="262"/>
      <c r="W666" s="26"/>
    </row>
    <row r="667" spans="10:23" ht="15">
      <c r="J667" s="262"/>
      <c r="W667" s="26"/>
    </row>
    <row r="668" spans="10:23" ht="15">
      <c r="J668" s="262"/>
      <c r="W668" s="26"/>
    </row>
    <row r="669" spans="10:23" ht="15">
      <c r="J669" s="262"/>
      <c r="W669" s="26"/>
    </row>
    <row r="670" spans="10:23" ht="15">
      <c r="J670" s="262"/>
      <c r="W670" s="26"/>
    </row>
    <row r="671" spans="10:23" ht="15">
      <c r="J671" s="262"/>
      <c r="W671" s="26"/>
    </row>
    <row r="672" spans="10:23" ht="15">
      <c r="J672" s="262"/>
      <c r="W672" s="26"/>
    </row>
    <row r="673" spans="10:23" ht="15">
      <c r="J673" s="262"/>
      <c r="W673" s="26"/>
    </row>
    <row r="674" spans="10:23" ht="15">
      <c r="J674" s="262"/>
      <c r="W674" s="26"/>
    </row>
    <row r="675" spans="10:23" ht="15">
      <c r="J675" s="262"/>
      <c r="W675" s="26"/>
    </row>
    <row r="676" spans="10:23" ht="15">
      <c r="J676" s="262"/>
      <c r="W676" s="26"/>
    </row>
    <row r="677" spans="10:23" ht="15">
      <c r="J677" s="262"/>
      <c r="W677" s="26"/>
    </row>
    <row r="678" spans="10:23" ht="15">
      <c r="J678" s="262"/>
      <c r="W678" s="26"/>
    </row>
    <row r="679" spans="10:23" ht="15">
      <c r="J679" s="262"/>
      <c r="W679" s="26"/>
    </row>
    <row r="680" spans="10:23" ht="15">
      <c r="J680" s="262"/>
      <c r="W680" s="26"/>
    </row>
    <row r="681" spans="10:23" ht="15">
      <c r="J681" s="262"/>
      <c r="W681" s="26"/>
    </row>
    <row r="682" spans="10:23" ht="15">
      <c r="J682" s="262"/>
      <c r="W682" s="26"/>
    </row>
    <row r="683" spans="10:23" ht="15">
      <c r="J683" s="262"/>
      <c r="W683" s="26"/>
    </row>
    <row r="684" spans="10:23" ht="15">
      <c r="J684" s="262"/>
      <c r="W684" s="26"/>
    </row>
    <row r="685" spans="10:23" ht="15">
      <c r="J685" s="262"/>
      <c r="W685" s="26"/>
    </row>
    <row r="686" spans="10:23" ht="15">
      <c r="J686" s="262"/>
      <c r="W686" s="26"/>
    </row>
    <row r="687" spans="10:23" ht="15">
      <c r="J687" s="262"/>
      <c r="W687" s="26"/>
    </row>
    <row r="688" spans="10:23" ht="15">
      <c r="J688" s="262"/>
      <c r="W688" s="26"/>
    </row>
    <row r="689" spans="10:23" ht="15">
      <c r="J689" s="262"/>
      <c r="W689" s="26"/>
    </row>
    <row r="690" spans="10:23" ht="15">
      <c r="J690" s="262"/>
      <c r="W690" s="26"/>
    </row>
    <row r="691" spans="10:23" ht="15">
      <c r="J691" s="262"/>
      <c r="W691" s="26"/>
    </row>
    <row r="692" spans="10:23" ht="15">
      <c r="J692" s="262"/>
      <c r="W692" s="26"/>
    </row>
    <row r="693" spans="10:23" ht="15">
      <c r="J693" s="262"/>
      <c r="W693" s="26"/>
    </row>
    <row r="694" spans="10:23" ht="15">
      <c r="J694" s="262"/>
      <c r="W694" s="26"/>
    </row>
    <row r="695" spans="10:23" ht="15">
      <c r="J695" s="262"/>
      <c r="W695" s="26"/>
    </row>
    <row r="696" spans="10:23" ht="15">
      <c r="J696" s="262"/>
      <c r="W696" s="26"/>
    </row>
    <row r="697" spans="10:23" ht="15">
      <c r="J697" s="262"/>
      <c r="W697" s="26"/>
    </row>
    <row r="698" spans="10:23" ht="15">
      <c r="J698" s="262"/>
      <c r="W698" s="26"/>
    </row>
    <row r="699" spans="10:23" ht="15">
      <c r="J699" s="262"/>
      <c r="W699" s="26"/>
    </row>
    <row r="700" spans="10:23" ht="15">
      <c r="J700" s="262"/>
      <c r="W700" s="26"/>
    </row>
    <row r="701" spans="10:23" ht="15">
      <c r="J701" s="262"/>
      <c r="W701" s="26"/>
    </row>
    <row r="702" spans="10:23" ht="15">
      <c r="J702" s="262"/>
      <c r="W702" s="26"/>
    </row>
    <row r="703" spans="10:23" ht="15">
      <c r="J703" s="262"/>
      <c r="W703" s="26"/>
    </row>
    <row r="704" spans="10:23" ht="15">
      <c r="J704" s="262"/>
      <c r="W704" s="26"/>
    </row>
    <row r="705" spans="10:23" ht="15">
      <c r="J705" s="262"/>
      <c r="W705" s="26"/>
    </row>
    <row r="706" spans="10:23" ht="15">
      <c r="J706" s="262"/>
      <c r="W706" s="26"/>
    </row>
    <row r="707" spans="10:23" ht="15">
      <c r="J707" s="262"/>
      <c r="W707" s="26"/>
    </row>
    <row r="708" spans="10:23" ht="15">
      <c r="J708" s="262"/>
      <c r="W708" s="26"/>
    </row>
    <row r="709" spans="10:23" ht="15">
      <c r="J709" s="262"/>
      <c r="W709" s="26"/>
    </row>
    <row r="710" spans="10:23" ht="15">
      <c r="J710" s="262"/>
      <c r="W710" s="26"/>
    </row>
    <row r="711" spans="10:23" ht="15">
      <c r="J711" s="262"/>
      <c r="W711" s="26"/>
    </row>
    <row r="712" spans="10:23" ht="15">
      <c r="J712" s="262"/>
      <c r="W712" s="26"/>
    </row>
    <row r="713" spans="10:23" ht="15">
      <c r="J713" s="262"/>
      <c r="W713" s="26"/>
    </row>
    <row r="714" spans="10:23" ht="15">
      <c r="J714" s="262"/>
      <c r="W714" s="26"/>
    </row>
    <row r="715" spans="10:23" ht="15">
      <c r="J715" s="262"/>
      <c r="W715" s="26"/>
    </row>
    <row r="716" spans="10:23" ht="15">
      <c r="J716" s="262"/>
      <c r="W716" s="26"/>
    </row>
    <row r="717" spans="10:23" ht="15">
      <c r="J717" s="262"/>
      <c r="W717" s="26"/>
    </row>
    <row r="718" spans="10:23" ht="15">
      <c r="J718" s="262"/>
      <c r="W718" s="26"/>
    </row>
    <row r="719" spans="10:23" ht="15">
      <c r="J719" s="262"/>
      <c r="W719" s="26"/>
    </row>
    <row r="720" spans="10:23" ht="15">
      <c r="J720" s="262"/>
      <c r="W720" s="26"/>
    </row>
    <row r="721" spans="10:23" ht="15">
      <c r="J721" s="262"/>
      <c r="W721" s="26"/>
    </row>
    <row r="722" spans="10:23" ht="15">
      <c r="J722" s="262"/>
      <c r="W722" s="26"/>
    </row>
    <row r="723" spans="10:23" ht="15">
      <c r="J723" s="262"/>
      <c r="W723" s="26"/>
    </row>
    <row r="724" spans="10:23" ht="15">
      <c r="J724" s="262"/>
      <c r="W724" s="26"/>
    </row>
    <row r="725" spans="10:23" ht="15">
      <c r="J725" s="262"/>
      <c r="W725" s="26"/>
    </row>
    <row r="726" spans="10:23" ht="15">
      <c r="J726" s="262"/>
      <c r="W726" s="26"/>
    </row>
    <row r="727" spans="10:23" ht="15">
      <c r="J727" s="262"/>
      <c r="W727" s="26"/>
    </row>
    <row r="728" spans="10:23" ht="15">
      <c r="J728" s="262"/>
      <c r="W728" s="26"/>
    </row>
    <row r="729" spans="10:23" ht="15">
      <c r="J729" s="262"/>
      <c r="W729" s="26"/>
    </row>
    <row r="730" spans="10:23" ht="15">
      <c r="J730" s="262"/>
      <c r="W730" s="26"/>
    </row>
    <row r="731" spans="10:23" ht="15">
      <c r="J731" s="262"/>
      <c r="W731" s="26"/>
    </row>
    <row r="732" spans="10:23" ht="15">
      <c r="J732" s="262"/>
      <c r="W732" s="26"/>
    </row>
    <row r="733" spans="10:23" ht="15">
      <c r="J733" s="262"/>
      <c r="W733" s="26"/>
    </row>
    <row r="734" spans="10:23" ht="15">
      <c r="J734" s="262"/>
      <c r="W734" s="26"/>
    </row>
    <row r="735" spans="10:23" ht="15">
      <c r="J735" s="262"/>
      <c r="W735" s="26"/>
    </row>
    <row r="736" spans="10:23" ht="15">
      <c r="J736" s="262"/>
      <c r="W736" s="26"/>
    </row>
    <row r="737" spans="10:23" ht="15">
      <c r="J737" s="262"/>
      <c r="W737" s="26"/>
    </row>
    <row r="738" spans="10:23" ht="15">
      <c r="J738" s="262"/>
      <c r="W738" s="26"/>
    </row>
    <row r="739" spans="10:23" ht="15">
      <c r="J739" s="262"/>
      <c r="W739" s="26"/>
    </row>
    <row r="740" spans="10:23" ht="15">
      <c r="J740" s="262"/>
      <c r="W740" s="26"/>
    </row>
    <row r="741" spans="10:23" ht="15">
      <c r="J741" s="262"/>
      <c r="W741" s="26"/>
    </row>
    <row r="742" spans="10:23" ht="15">
      <c r="J742" s="262"/>
      <c r="W742" s="26"/>
    </row>
    <row r="743" spans="10:23" ht="15">
      <c r="J743" s="262"/>
      <c r="W743" s="26"/>
    </row>
    <row r="744" spans="10:23" ht="15">
      <c r="J744" s="262"/>
      <c r="W744" s="26"/>
    </row>
    <row r="745" spans="10:23" ht="15">
      <c r="J745" s="262"/>
      <c r="W745" s="26"/>
    </row>
    <row r="746" spans="10:23" ht="15">
      <c r="J746" s="262"/>
      <c r="W746" s="26"/>
    </row>
    <row r="747" spans="10:23" ht="15">
      <c r="J747" s="262"/>
      <c r="W747" s="26"/>
    </row>
    <row r="748" spans="10:23" ht="15">
      <c r="J748" s="262"/>
      <c r="W748" s="26"/>
    </row>
    <row r="749" spans="10:23" ht="15">
      <c r="J749" s="262"/>
      <c r="W749" s="26"/>
    </row>
    <row r="750" spans="10:23" ht="15">
      <c r="J750" s="262"/>
      <c r="W750" s="26"/>
    </row>
    <row r="751" spans="10:23" ht="15">
      <c r="J751" s="262"/>
      <c r="W751" s="26"/>
    </row>
    <row r="752" spans="10:23" ht="15">
      <c r="J752" s="262"/>
      <c r="W752" s="26"/>
    </row>
    <row r="753" spans="10:23" ht="15">
      <c r="J753" s="262"/>
      <c r="W753" s="26"/>
    </row>
    <row r="754" spans="10:23" ht="15">
      <c r="J754" s="262"/>
      <c r="W754" s="26"/>
    </row>
    <row r="755" spans="10:23" ht="15">
      <c r="J755" s="262"/>
      <c r="W755" s="26"/>
    </row>
    <row r="756" spans="10:23" ht="15">
      <c r="J756" s="262"/>
      <c r="W756" s="26"/>
    </row>
    <row r="757" spans="10:23" ht="15">
      <c r="J757" s="262"/>
      <c r="W757" s="26"/>
    </row>
    <row r="758" spans="10:23" ht="15">
      <c r="J758" s="262"/>
      <c r="W758" s="26"/>
    </row>
    <row r="759" spans="10:23" ht="15">
      <c r="J759" s="262"/>
      <c r="W759" s="26"/>
    </row>
    <row r="760" spans="10:23" ht="15">
      <c r="J760" s="262"/>
      <c r="W760" s="26"/>
    </row>
    <row r="761" spans="10:23" ht="15">
      <c r="J761" s="262"/>
      <c r="W761" s="26"/>
    </row>
    <row r="762" spans="10:23" ht="15">
      <c r="J762" s="262"/>
      <c r="W762" s="26"/>
    </row>
    <row r="763" spans="10:23" ht="15">
      <c r="J763" s="262"/>
      <c r="W763" s="26"/>
    </row>
    <row r="764" spans="10:23" ht="15">
      <c r="J764" s="262"/>
      <c r="W764" s="26"/>
    </row>
    <row r="765" spans="10:23" ht="15">
      <c r="J765" s="262"/>
      <c r="W765" s="26"/>
    </row>
    <row r="766" spans="10:23" ht="15">
      <c r="J766" s="262"/>
      <c r="W766" s="26"/>
    </row>
    <row r="767" spans="10:23" ht="15">
      <c r="J767" s="262"/>
      <c r="W767" s="26"/>
    </row>
    <row r="768" spans="10:23" ht="15">
      <c r="J768" s="262"/>
      <c r="W768" s="26"/>
    </row>
    <row r="769" spans="10:23" ht="15">
      <c r="J769" s="262"/>
      <c r="W769" s="26"/>
    </row>
    <row r="770" spans="10:23" ht="15">
      <c r="J770" s="262"/>
      <c r="W770" s="26"/>
    </row>
    <row r="771" spans="10:23" ht="15">
      <c r="J771" s="262"/>
      <c r="W771" s="26"/>
    </row>
    <row r="772" spans="10:23" ht="15">
      <c r="J772" s="262"/>
      <c r="W772" s="26"/>
    </row>
    <row r="773" spans="10:23" ht="15">
      <c r="J773" s="262"/>
      <c r="W773" s="26"/>
    </row>
    <row r="774" spans="10:23" ht="15">
      <c r="J774" s="262"/>
      <c r="W774" s="26"/>
    </row>
    <row r="775" spans="10:23" ht="15">
      <c r="J775" s="262"/>
      <c r="W775" s="26"/>
    </row>
    <row r="776" spans="10:23" ht="15">
      <c r="J776" s="262"/>
      <c r="W776" s="26"/>
    </row>
    <row r="777" spans="10:23" ht="15">
      <c r="J777" s="262"/>
      <c r="W777" s="26"/>
    </row>
    <row r="778" spans="10:23" ht="15">
      <c r="J778" s="262"/>
      <c r="W778" s="26"/>
    </row>
    <row r="779" spans="10:23" ht="15">
      <c r="J779" s="262"/>
      <c r="W779" s="26"/>
    </row>
    <row r="780" spans="10:23" ht="15">
      <c r="J780" s="262"/>
      <c r="W780" s="26"/>
    </row>
    <row r="781" spans="10:23" ht="15">
      <c r="J781" s="262"/>
      <c r="W781" s="26"/>
    </row>
    <row r="782" spans="10:23" ht="15">
      <c r="J782" s="262"/>
      <c r="W782" s="26"/>
    </row>
    <row r="783" spans="10:23" ht="15">
      <c r="J783" s="262"/>
      <c r="W783" s="26"/>
    </row>
    <row r="784" spans="10:23" ht="15">
      <c r="J784" s="262"/>
      <c r="W784" s="26"/>
    </row>
    <row r="785" spans="10:23" ht="15">
      <c r="J785" s="262"/>
      <c r="W785" s="26"/>
    </row>
    <row r="786" spans="10:23" ht="15">
      <c r="J786" s="262"/>
      <c r="W786" s="26"/>
    </row>
    <row r="787" spans="10:23" ht="15">
      <c r="J787" s="262"/>
      <c r="W787" s="26"/>
    </row>
    <row r="788" spans="10:23" ht="15">
      <c r="J788" s="262"/>
      <c r="W788" s="26"/>
    </row>
    <row r="789" spans="10:23" ht="15">
      <c r="J789" s="262"/>
      <c r="W789" s="26"/>
    </row>
    <row r="790" spans="10:23" ht="15">
      <c r="J790" s="262"/>
      <c r="W790" s="26"/>
    </row>
    <row r="791" spans="10:23" ht="15">
      <c r="J791" s="262"/>
      <c r="W791" s="26"/>
    </row>
    <row r="792" spans="10:23" ht="15">
      <c r="J792" s="262"/>
      <c r="W792" s="26"/>
    </row>
    <row r="793" spans="10:23" ht="15">
      <c r="J793" s="262"/>
      <c r="W793" s="26"/>
    </row>
    <row r="794" spans="10:23" ht="15">
      <c r="J794" s="262"/>
      <c r="W794" s="26"/>
    </row>
    <row r="795" spans="10:23" ht="15">
      <c r="J795" s="262"/>
      <c r="W795" s="26"/>
    </row>
    <row r="796" spans="10:23" ht="15">
      <c r="J796" s="262"/>
      <c r="W796" s="26"/>
    </row>
    <row r="797" spans="10:23" ht="15">
      <c r="J797" s="262"/>
      <c r="W797" s="26"/>
    </row>
    <row r="798" spans="10:23" ht="15">
      <c r="J798" s="262"/>
      <c r="W798" s="26"/>
    </row>
    <row r="799" spans="10:23" ht="15">
      <c r="J799" s="262"/>
      <c r="W799" s="26"/>
    </row>
    <row r="800" spans="10:23" ht="15">
      <c r="J800" s="262"/>
      <c r="W800" s="26"/>
    </row>
    <row r="801" spans="10:23" ht="15">
      <c r="J801" s="262"/>
      <c r="W801" s="26"/>
    </row>
    <row r="802" spans="10:23" ht="15">
      <c r="J802" s="262"/>
      <c r="W802" s="26"/>
    </row>
    <row r="803" spans="10:23" ht="15">
      <c r="J803" s="262"/>
      <c r="W803" s="26"/>
    </row>
    <row r="804" spans="10:23" ht="15">
      <c r="J804" s="262"/>
      <c r="W804" s="26"/>
    </row>
    <row r="805" spans="10:23" ht="15">
      <c r="J805" s="262"/>
      <c r="W805" s="26"/>
    </row>
    <row r="806" spans="10:23" ht="15">
      <c r="J806" s="262"/>
      <c r="W806" s="26"/>
    </row>
    <row r="807" spans="10:23" ht="15">
      <c r="J807" s="262"/>
      <c r="W807" s="26"/>
    </row>
    <row r="808" spans="10:23" ht="15">
      <c r="J808" s="262"/>
      <c r="W808" s="26"/>
    </row>
    <row r="809" spans="10:23" ht="15">
      <c r="J809" s="262"/>
      <c r="W809" s="26"/>
    </row>
    <row r="810" spans="10:23" ht="15">
      <c r="J810" s="262"/>
      <c r="W810" s="26"/>
    </row>
    <row r="811" spans="10:23" ht="15">
      <c r="J811" s="262"/>
      <c r="W811" s="26"/>
    </row>
    <row r="812" spans="10:23" ht="15">
      <c r="J812" s="262"/>
      <c r="W812" s="26"/>
    </row>
    <row r="813" spans="10:23" ht="15">
      <c r="J813" s="262"/>
      <c r="W813" s="26"/>
    </row>
    <row r="814" spans="10:23" ht="15">
      <c r="J814" s="262"/>
      <c r="W814" s="26"/>
    </row>
    <row r="815" spans="10:23" ht="15">
      <c r="J815" s="262"/>
      <c r="W815" s="26"/>
    </row>
    <row r="816" spans="10:23" ht="15">
      <c r="J816" s="262"/>
      <c r="W816" s="26"/>
    </row>
    <row r="817" spans="10:23" ht="15">
      <c r="J817" s="262"/>
      <c r="W817" s="26"/>
    </row>
    <row r="818" spans="10:23" ht="15">
      <c r="J818" s="262"/>
      <c r="W818" s="26"/>
    </row>
    <row r="819" spans="10:23" ht="15">
      <c r="J819" s="262"/>
      <c r="W819" s="26"/>
    </row>
    <row r="820" spans="10:23" ht="15">
      <c r="J820" s="262"/>
      <c r="W820" s="26"/>
    </row>
    <row r="821" spans="10:23" ht="15">
      <c r="J821" s="262"/>
      <c r="W821" s="26"/>
    </row>
    <row r="822" spans="10:23" ht="15">
      <c r="J822" s="262"/>
      <c r="W822" s="26"/>
    </row>
    <row r="823" spans="10:23" ht="15">
      <c r="J823" s="262"/>
      <c r="W823" s="26"/>
    </row>
    <row r="824" spans="10:23" ht="15">
      <c r="J824" s="262"/>
      <c r="W824" s="26"/>
    </row>
    <row r="825" spans="10:23" ht="15">
      <c r="J825" s="262"/>
      <c r="W825" s="26"/>
    </row>
    <row r="826" spans="10:23" ht="15">
      <c r="J826" s="262"/>
      <c r="W826" s="26"/>
    </row>
    <row r="827" spans="10:23" ht="15">
      <c r="J827" s="262"/>
      <c r="W827" s="26"/>
    </row>
    <row r="828" spans="10:23" ht="15">
      <c r="J828" s="262"/>
      <c r="W828" s="26"/>
    </row>
    <row r="829" spans="10:23" ht="15">
      <c r="J829" s="262"/>
      <c r="W829" s="26"/>
    </row>
    <row r="830" spans="10:23" ht="15">
      <c r="J830" s="262"/>
      <c r="W830" s="26"/>
    </row>
    <row r="831" spans="10:23" ht="15">
      <c r="J831" s="262"/>
      <c r="W831" s="26"/>
    </row>
    <row r="832" spans="10:23" ht="15">
      <c r="J832" s="262"/>
      <c r="W832" s="26"/>
    </row>
    <row r="833" spans="10:23" ht="15">
      <c r="J833" s="262"/>
      <c r="W833" s="26"/>
    </row>
    <row r="834" spans="10:23" ht="15">
      <c r="J834" s="262"/>
      <c r="W834" s="26"/>
    </row>
    <row r="835" spans="10:23" ht="15">
      <c r="J835" s="262"/>
      <c r="W835" s="26"/>
    </row>
    <row r="836" spans="10:23" ht="15">
      <c r="J836" s="262"/>
      <c r="W836" s="26"/>
    </row>
    <row r="837" spans="10:23" ht="15">
      <c r="J837" s="262"/>
      <c r="W837" s="26"/>
    </row>
    <row r="838" spans="10:23" ht="15">
      <c r="J838" s="262"/>
      <c r="W838" s="26"/>
    </row>
    <row r="839" spans="10:23" ht="15">
      <c r="J839" s="262"/>
      <c r="W839" s="26"/>
    </row>
    <row r="840" spans="10:23" ht="15">
      <c r="J840" s="262"/>
      <c r="W840" s="26"/>
    </row>
    <row r="841" spans="10:23" ht="15">
      <c r="J841" s="262"/>
      <c r="W841" s="26"/>
    </row>
    <row r="842" spans="10:23" ht="15">
      <c r="J842" s="262"/>
      <c r="W842" s="26"/>
    </row>
    <row r="843" spans="10:23" ht="15">
      <c r="J843" s="262"/>
      <c r="W843" s="26"/>
    </row>
    <row r="844" spans="10:23" ht="15">
      <c r="J844" s="262"/>
      <c r="W844" s="26"/>
    </row>
    <row r="845" spans="10:23" ht="15">
      <c r="J845" s="262"/>
      <c r="W845" s="26"/>
    </row>
    <row r="846" spans="10:23" ht="15">
      <c r="J846" s="262"/>
      <c r="W846" s="26"/>
    </row>
    <row r="847" spans="10:23" ht="15">
      <c r="J847" s="262"/>
      <c r="W847" s="26"/>
    </row>
    <row r="848" spans="10:23" ht="15">
      <c r="J848" s="262"/>
      <c r="W848" s="26"/>
    </row>
    <row r="849" spans="10:23" ht="15">
      <c r="J849" s="262"/>
      <c r="W849" s="26"/>
    </row>
    <row r="850" spans="10:23" ht="15">
      <c r="J850" s="262"/>
      <c r="W850" s="26"/>
    </row>
    <row r="851" spans="10:23" ht="15">
      <c r="J851" s="262"/>
      <c r="W851" s="26"/>
    </row>
    <row r="852" spans="10:23" ht="15">
      <c r="J852" s="262"/>
      <c r="W852" s="26"/>
    </row>
    <row r="853" spans="10:23" ht="15">
      <c r="J853" s="262"/>
      <c r="W853" s="26"/>
    </row>
    <row r="854" spans="10:23" ht="15">
      <c r="J854" s="262"/>
      <c r="W854" s="26"/>
    </row>
    <row r="855" spans="10:23" ht="15">
      <c r="J855" s="262"/>
      <c r="W855" s="26"/>
    </row>
    <row r="856" spans="10:23" ht="15">
      <c r="J856" s="262"/>
      <c r="W856" s="26"/>
    </row>
    <row r="857" spans="10:23" ht="15">
      <c r="J857" s="262"/>
      <c r="W857" s="26"/>
    </row>
    <row r="858" spans="10:23" ht="15">
      <c r="J858" s="262"/>
      <c r="W858" s="26"/>
    </row>
    <row r="859" spans="10:23" ht="15">
      <c r="J859" s="262"/>
      <c r="W859" s="26"/>
    </row>
    <row r="860" spans="10:23" ht="15">
      <c r="J860" s="262"/>
      <c r="W860" s="26"/>
    </row>
    <row r="861" spans="10:23" ht="15">
      <c r="J861" s="262"/>
      <c r="W861" s="26"/>
    </row>
    <row r="862" spans="10:23" ht="15">
      <c r="J862" s="262"/>
      <c r="W862" s="26"/>
    </row>
    <row r="863" spans="10:23" ht="15">
      <c r="J863" s="262"/>
      <c r="W863" s="26"/>
    </row>
    <row r="864" spans="10:23" ht="15">
      <c r="J864" s="262"/>
      <c r="W864" s="26"/>
    </row>
    <row r="865" spans="10:23" ht="15">
      <c r="J865" s="262"/>
      <c r="W865" s="26"/>
    </row>
    <row r="866" spans="10:23" ht="15">
      <c r="J866" s="262"/>
      <c r="W866" s="26"/>
    </row>
    <row r="867" spans="10:23" ht="15">
      <c r="J867" s="262"/>
      <c r="W867" s="26"/>
    </row>
    <row r="868" spans="10:23" ht="15">
      <c r="J868" s="262"/>
      <c r="W868" s="26"/>
    </row>
    <row r="869" spans="10:23" ht="15">
      <c r="J869" s="262"/>
      <c r="W869" s="26"/>
    </row>
    <row r="870" spans="10:23" ht="15">
      <c r="J870" s="262"/>
      <c r="W870" s="26"/>
    </row>
    <row r="871" spans="10:23" ht="15">
      <c r="J871" s="262"/>
      <c r="W871" s="26"/>
    </row>
    <row r="872" spans="10:23" ht="15">
      <c r="J872" s="262"/>
      <c r="W872" s="26"/>
    </row>
    <row r="873" spans="10:23" ht="15">
      <c r="J873" s="262"/>
      <c r="W873" s="26"/>
    </row>
    <row r="874" spans="10:23" ht="15">
      <c r="J874" s="262"/>
      <c r="W874" s="26"/>
    </row>
    <row r="875" spans="10:23" ht="15">
      <c r="J875" s="262"/>
      <c r="W875" s="26"/>
    </row>
    <row r="876" spans="10:23" ht="15">
      <c r="J876" s="262"/>
      <c r="W876" s="26"/>
    </row>
    <row r="877" spans="10:23" ht="15">
      <c r="J877" s="262"/>
      <c r="W877" s="26"/>
    </row>
    <row r="878" spans="10:23" ht="15">
      <c r="J878" s="262"/>
      <c r="W878" s="26"/>
    </row>
    <row r="879" spans="10:23" ht="15">
      <c r="J879" s="262"/>
      <c r="W879" s="26"/>
    </row>
    <row r="880" spans="10:23" ht="15">
      <c r="J880" s="262"/>
      <c r="W880" s="26"/>
    </row>
    <row r="881" spans="10:23" ht="15">
      <c r="J881" s="262"/>
      <c r="W881" s="26"/>
    </row>
    <row r="882" spans="10:23" ht="15">
      <c r="J882" s="262"/>
      <c r="W882" s="26"/>
    </row>
    <row r="883" spans="10:23" ht="15">
      <c r="J883" s="262"/>
      <c r="W883" s="26"/>
    </row>
    <row r="884" spans="10:23" ht="15">
      <c r="J884" s="262"/>
      <c r="W884" s="26"/>
    </row>
    <row r="885" spans="10:23" ht="15">
      <c r="J885" s="262"/>
      <c r="W885" s="26"/>
    </row>
    <row r="886" spans="10:23" ht="15">
      <c r="J886" s="262"/>
      <c r="W886" s="26"/>
    </row>
    <row r="887" spans="10:23" ht="15">
      <c r="J887" s="262"/>
      <c r="W887" s="26"/>
    </row>
    <row r="888" spans="10:23" ht="15">
      <c r="J888" s="262"/>
      <c r="W888" s="26"/>
    </row>
    <row r="889" spans="10:23" ht="15">
      <c r="J889" s="262"/>
      <c r="W889" s="26"/>
    </row>
    <row r="890" spans="10:23" ht="15">
      <c r="J890" s="262"/>
      <c r="W890" s="26"/>
    </row>
    <row r="891" spans="10:23" ht="15">
      <c r="J891" s="262"/>
      <c r="W891" s="26"/>
    </row>
    <row r="892" spans="10:23" ht="15">
      <c r="J892" s="262"/>
      <c r="W892" s="26"/>
    </row>
    <row r="893" spans="10:23" ht="15">
      <c r="J893" s="262"/>
      <c r="W893" s="26"/>
    </row>
    <row r="894" spans="10:23" ht="15">
      <c r="J894" s="262"/>
      <c r="W894" s="26"/>
    </row>
    <row r="895" spans="10:23" ht="15">
      <c r="J895" s="262"/>
      <c r="W895" s="26"/>
    </row>
    <row r="896" spans="10:23" ht="15">
      <c r="J896" s="262"/>
      <c r="W896" s="26"/>
    </row>
    <row r="897" spans="10:23" ht="15">
      <c r="J897" s="262"/>
      <c r="W897" s="26"/>
    </row>
    <row r="898" spans="10:23" ht="15">
      <c r="J898" s="262"/>
      <c r="W898" s="26"/>
    </row>
    <row r="899" spans="10:23" ht="15">
      <c r="J899" s="262"/>
      <c r="W899" s="26"/>
    </row>
    <row r="900" spans="10:23" ht="15">
      <c r="J900" s="262"/>
      <c r="W900" s="26"/>
    </row>
    <row r="901" spans="10:23" ht="15">
      <c r="J901" s="262"/>
      <c r="W901" s="26"/>
    </row>
    <row r="902" spans="10:23" ht="15">
      <c r="J902" s="262"/>
      <c r="W902" s="26"/>
    </row>
    <row r="903" spans="10:23" ht="15">
      <c r="J903" s="262"/>
      <c r="W903" s="26"/>
    </row>
    <row r="904" spans="10:23" ht="15">
      <c r="J904" s="262"/>
      <c r="W904" s="26"/>
    </row>
    <row r="905" spans="10:23" ht="15">
      <c r="J905" s="262"/>
      <c r="W905" s="26"/>
    </row>
    <row r="906" spans="10:23" ht="15">
      <c r="J906" s="262"/>
      <c r="W906" s="26"/>
    </row>
    <row r="907" spans="10:23" ht="15">
      <c r="J907" s="262"/>
      <c r="W907" s="26"/>
    </row>
    <row r="908" spans="10:23" ht="15">
      <c r="J908" s="262"/>
      <c r="W908" s="26"/>
    </row>
    <row r="909" spans="10:23" ht="15">
      <c r="J909" s="262"/>
      <c r="W909" s="26"/>
    </row>
    <row r="910" spans="10:23" ht="15">
      <c r="J910" s="262"/>
      <c r="W910" s="26"/>
    </row>
    <row r="911" spans="10:23" ht="15">
      <c r="J911" s="262"/>
      <c r="W911" s="26"/>
    </row>
    <row r="912" spans="10:23" ht="15">
      <c r="J912" s="262"/>
      <c r="W912" s="26"/>
    </row>
    <row r="913" spans="10:23" ht="15">
      <c r="J913" s="262"/>
      <c r="W913" s="26"/>
    </row>
    <row r="914" spans="10:23" ht="15">
      <c r="J914" s="262"/>
      <c r="W914" s="26"/>
    </row>
    <row r="915" spans="10:23" ht="15">
      <c r="J915" s="262"/>
      <c r="W915" s="26"/>
    </row>
    <row r="916" spans="10:23" ht="15">
      <c r="J916" s="262"/>
      <c r="W916" s="26"/>
    </row>
    <row r="917" spans="10:23" ht="15">
      <c r="J917" s="262"/>
      <c r="W917" s="26"/>
    </row>
    <row r="918" spans="10:23" ht="15">
      <c r="J918" s="262"/>
      <c r="W918" s="26"/>
    </row>
    <row r="919" spans="10:23" ht="15">
      <c r="J919" s="262"/>
      <c r="W919" s="26"/>
    </row>
    <row r="920" spans="10:23" ht="15">
      <c r="J920" s="262"/>
      <c r="W920" s="26"/>
    </row>
    <row r="921" spans="10:23" ht="15">
      <c r="J921" s="262"/>
      <c r="W921" s="26"/>
    </row>
    <row r="922" spans="10:23" ht="15">
      <c r="J922" s="262"/>
      <c r="W922" s="26"/>
    </row>
    <row r="923" spans="10:23" ht="15">
      <c r="J923" s="262"/>
      <c r="W923" s="26"/>
    </row>
    <row r="924" spans="10:23" ht="15">
      <c r="J924" s="262"/>
      <c r="W924" s="26"/>
    </row>
    <row r="925" spans="10:23" ht="15">
      <c r="J925" s="262"/>
      <c r="W925" s="26"/>
    </row>
    <row r="926" spans="10:23" ht="15">
      <c r="J926" s="262"/>
      <c r="W926" s="26"/>
    </row>
    <row r="927" spans="10:23" ht="15">
      <c r="J927" s="262"/>
      <c r="W927" s="26"/>
    </row>
    <row r="928" spans="10:23" ht="15">
      <c r="J928" s="262"/>
      <c r="W928" s="26"/>
    </row>
    <row r="929" spans="10:23" ht="15">
      <c r="J929" s="262"/>
      <c r="W929" s="26"/>
    </row>
    <row r="930" spans="10:23" ht="15">
      <c r="J930" s="262"/>
      <c r="W930" s="26"/>
    </row>
    <row r="931" spans="10:23" ht="15">
      <c r="J931" s="262"/>
      <c r="W931" s="26"/>
    </row>
    <row r="932" spans="10:23" ht="15">
      <c r="J932" s="262"/>
      <c r="W932" s="26"/>
    </row>
    <row r="933" spans="10:23" ht="15">
      <c r="J933" s="262"/>
      <c r="W933" s="26"/>
    </row>
    <row r="934" spans="10:23" ht="15">
      <c r="J934" s="262"/>
      <c r="W934" s="26"/>
    </row>
    <row r="935" spans="10:23" ht="15">
      <c r="J935" s="262"/>
      <c r="W935" s="26"/>
    </row>
    <row r="936" spans="10:23" ht="15">
      <c r="J936" s="262"/>
      <c r="W936" s="26"/>
    </row>
    <row r="937" spans="10:23" ht="15">
      <c r="J937" s="262"/>
      <c r="W937" s="26"/>
    </row>
    <row r="938" spans="10:23" ht="15">
      <c r="J938" s="262"/>
      <c r="W938" s="26"/>
    </row>
    <row r="939" spans="10:23" ht="15">
      <c r="J939" s="262"/>
      <c r="W939" s="26"/>
    </row>
    <row r="940" spans="10:23" ht="15">
      <c r="J940" s="262"/>
      <c r="W940" s="26"/>
    </row>
    <row r="941" spans="10:23" ht="15">
      <c r="J941" s="262"/>
      <c r="W941" s="26"/>
    </row>
    <row r="942" spans="10:23" ht="15">
      <c r="J942" s="262"/>
      <c r="W942" s="26"/>
    </row>
    <row r="943" spans="10:23" ht="15">
      <c r="J943" s="262"/>
      <c r="W943" s="26"/>
    </row>
    <row r="944" spans="10:23" ht="15">
      <c r="J944" s="262"/>
      <c r="W944" s="26"/>
    </row>
    <row r="945" spans="10:23" ht="15">
      <c r="J945" s="262"/>
      <c r="W945" s="26"/>
    </row>
    <row r="946" spans="10:23" ht="15">
      <c r="J946" s="262"/>
      <c r="W946" s="26"/>
    </row>
    <row r="947" spans="10:23" ht="15">
      <c r="J947" s="262"/>
      <c r="W947" s="26"/>
    </row>
    <row r="948" spans="10:23" ht="15">
      <c r="J948" s="262"/>
      <c r="W948" s="26"/>
    </row>
    <row r="949" spans="10:23" ht="15">
      <c r="J949" s="262"/>
      <c r="W949" s="26"/>
    </row>
    <row r="950" spans="10:23" ht="15">
      <c r="J950" s="262"/>
      <c r="W950" s="26"/>
    </row>
    <row r="951" spans="10:23" ht="15">
      <c r="J951" s="262"/>
      <c r="W951" s="26"/>
    </row>
    <row r="952" spans="10:23" ht="15">
      <c r="J952" s="262"/>
      <c r="W952" s="26"/>
    </row>
    <row r="953" spans="10:23" ht="15">
      <c r="J953" s="262"/>
      <c r="W953" s="26"/>
    </row>
    <row r="954" spans="10:23" ht="15">
      <c r="J954" s="262"/>
      <c r="W954" s="26"/>
    </row>
    <row r="955" spans="10:23" ht="15">
      <c r="J955" s="262"/>
      <c r="W955" s="26"/>
    </row>
    <row r="956" spans="10:23" ht="15">
      <c r="J956" s="262"/>
      <c r="W956" s="26"/>
    </row>
    <row r="957" spans="10:23" ht="15">
      <c r="J957" s="262"/>
      <c r="W957" s="26"/>
    </row>
    <row r="958" spans="10:23" ht="15">
      <c r="J958" s="262"/>
      <c r="W958" s="26"/>
    </row>
    <row r="959" spans="10:23" ht="15">
      <c r="J959" s="262"/>
      <c r="W959" s="26"/>
    </row>
    <row r="960" spans="10:23" ht="15">
      <c r="J960" s="262"/>
      <c r="W960" s="26"/>
    </row>
    <row r="961" spans="10:23" ht="15">
      <c r="J961" s="262"/>
      <c r="W961" s="26"/>
    </row>
    <row r="962" spans="10:23" ht="15">
      <c r="J962" s="262"/>
      <c r="W962" s="26"/>
    </row>
    <row r="963" spans="10:23" ht="15">
      <c r="J963" s="262"/>
      <c r="W963" s="26"/>
    </row>
    <row r="964" spans="10:23" ht="15">
      <c r="J964" s="262"/>
      <c r="W964" s="26"/>
    </row>
    <row r="965" spans="10:23" ht="15">
      <c r="J965" s="262"/>
      <c r="W965" s="26"/>
    </row>
    <row r="966" spans="10:23" ht="15">
      <c r="J966" s="262"/>
      <c r="W966" s="26"/>
    </row>
    <row r="967" spans="10:23" ht="15">
      <c r="J967" s="262"/>
      <c r="W967" s="26"/>
    </row>
    <row r="968" spans="10:23" ht="15">
      <c r="J968" s="262"/>
      <c r="W968" s="26"/>
    </row>
    <row r="969" spans="10:23" ht="15">
      <c r="J969" s="262"/>
      <c r="W969" s="26"/>
    </row>
    <row r="970" spans="10:23" ht="15">
      <c r="J970" s="262"/>
      <c r="W970" s="26"/>
    </row>
    <row r="971" spans="10:23" ht="15">
      <c r="J971" s="262"/>
      <c r="W971" s="26"/>
    </row>
    <row r="972" spans="10:23" ht="15">
      <c r="J972" s="262"/>
      <c r="W972" s="26"/>
    </row>
    <row r="973" spans="10:23" ht="15">
      <c r="J973" s="262"/>
      <c r="W973" s="26"/>
    </row>
    <row r="974" spans="10:23" ht="15">
      <c r="J974" s="262"/>
      <c r="W974" s="26"/>
    </row>
    <row r="975" spans="10:23" ht="15">
      <c r="J975" s="262"/>
      <c r="W975" s="26"/>
    </row>
    <row r="976" spans="10:23" ht="15">
      <c r="J976" s="262"/>
      <c r="W976" s="26"/>
    </row>
    <row r="977" spans="10:23" ht="15">
      <c r="J977" s="262"/>
      <c r="W977" s="26"/>
    </row>
    <row r="978" spans="10:23" ht="15">
      <c r="J978" s="262"/>
      <c r="W978" s="26"/>
    </row>
    <row r="979" spans="10:23" ht="15">
      <c r="J979" s="262"/>
      <c r="W979" s="26"/>
    </row>
    <row r="980" spans="10:23" ht="15">
      <c r="J980" s="262"/>
      <c r="W980" s="26"/>
    </row>
    <row r="981" spans="10:23" ht="15">
      <c r="J981" s="262"/>
      <c r="W981" s="26"/>
    </row>
    <row r="982" spans="10:23" ht="15">
      <c r="J982" s="262"/>
      <c r="W982" s="26"/>
    </row>
    <row r="983" spans="10:23" ht="15">
      <c r="J983" s="262"/>
      <c r="W983" s="26"/>
    </row>
    <row r="984" spans="10:23" ht="15">
      <c r="J984" s="262"/>
      <c r="W984" s="26"/>
    </row>
    <row r="985" spans="10:23" ht="15">
      <c r="J985" s="262"/>
      <c r="W985" s="26"/>
    </row>
    <row r="986" spans="10:23" ht="15">
      <c r="J986" s="262"/>
      <c r="W986" s="26"/>
    </row>
    <row r="987" spans="10:23" ht="15">
      <c r="J987" s="262"/>
      <c r="W987" s="26"/>
    </row>
    <row r="988" spans="10:23" ht="15">
      <c r="J988" s="262"/>
      <c r="W988" s="26"/>
    </row>
    <row r="989" spans="10:23" ht="15">
      <c r="J989" s="262"/>
      <c r="W989" s="26"/>
    </row>
    <row r="990" spans="10:23" ht="15">
      <c r="J990" s="262"/>
      <c r="W990" s="26"/>
    </row>
    <row r="991" spans="10:23" ht="15">
      <c r="J991" s="262"/>
      <c r="W991" s="26"/>
    </row>
    <row r="992" spans="10:23" ht="15">
      <c r="J992" s="262"/>
      <c r="W992" s="26"/>
    </row>
    <row r="993" spans="10:23" ht="15">
      <c r="J993" s="262"/>
      <c r="W993" s="26"/>
    </row>
    <row r="994" spans="10:23" ht="15">
      <c r="J994" s="262"/>
      <c r="W994" s="26"/>
    </row>
    <row r="995" spans="10:23" ht="15">
      <c r="W995" s="26"/>
    </row>
    <row r="996" spans="10:23" ht="15">
      <c r="W996" s="26"/>
    </row>
    <row r="997" spans="10:23" ht="15">
      <c r="W997" s="26"/>
    </row>
    <row r="998" spans="10:23" ht="15">
      <c r="W998" s="26"/>
    </row>
    <row r="999" spans="10:23" ht="15">
      <c r="W999" s="26"/>
    </row>
    <row r="1000" spans="10:23" ht="12.75" customHeight="1">
      <c r="W1000" s="26"/>
    </row>
    <row r="1001" spans="10:23" ht="12.75" customHeight="1">
      <c r="W1001" s="26"/>
    </row>
    <row r="1002" spans="10:23" ht="12.75" customHeight="1">
      <c r="W1002" s="26"/>
    </row>
    <row r="1003" spans="10:23" ht="12.75" customHeight="1">
      <c r="W1003" s="26"/>
    </row>
    <row r="1004" spans="10:23" ht="12.75" customHeight="1">
      <c r="W1004" s="26"/>
    </row>
  </sheetData>
  <pageMargins left="0" right="0" top="0" bottom="0" header="0" footer="0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FC48-D81A-4282-A4FA-E21992181AA8}">
  <sheetPr>
    <outlinePr summaryBelow="0" summaryRight="0"/>
  </sheetPr>
  <dimension ref="A1:P41"/>
  <sheetViews>
    <sheetView workbookViewId="0">
      <selection activeCell="G22" sqref="G22"/>
    </sheetView>
  </sheetViews>
  <sheetFormatPr defaultColWidth="14.42578125" defaultRowHeight="12.75" customHeight="1"/>
  <cols>
    <col min="1" max="1" width="18" style="5" bestFit="1" customWidth="1"/>
    <col min="2" max="2" width="3.85546875" style="5" customWidth="1"/>
    <col min="3" max="3" width="2.7109375" style="5" customWidth="1"/>
    <col min="4" max="4" width="2.28515625" style="5" customWidth="1"/>
    <col min="5" max="5" width="5.85546875" style="11" bestFit="1" customWidth="1"/>
    <col min="6" max="6" width="3.85546875" style="5" customWidth="1"/>
    <col min="7" max="7" width="3.28515625" style="5" customWidth="1"/>
    <col min="8" max="8" width="24.85546875" style="5" bestFit="1" customWidth="1"/>
    <col min="9" max="9" width="9.42578125" style="85" bestFit="1" customWidth="1"/>
    <col min="10" max="10" width="8" style="66" bestFit="1" customWidth="1"/>
    <col min="11" max="11" width="6.85546875" style="85" bestFit="1" customWidth="1"/>
    <col min="12" max="12" width="6.28515625" style="85" bestFit="1" customWidth="1"/>
    <col min="13" max="13" width="9.28515625" style="85" bestFit="1" customWidth="1"/>
    <col min="14" max="14" width="6.140625" style="85" customWidth="1"/>
    <col min="15" max="15" width="9.140625" style="85" bestFit="1" customWidth="1"/>
    <col min="16" max="16" width="7.5703125" style="85" bestFit="1" customWidth="1"/>
    <col min="17" max="16384" width="14.42578125" style="5"/>
  </cols>
  <sheetData>
    <row r="1" spans="1:16" ht="12.75" customHeight="1">
      <c r="A1" s="44" t="s">
        <v>1042</v>
      </c>
      <c r="B1" s="30"/>
      <c r="C1" s="30"/>
      <c r="D1" s="30"/>
      <c r="E1" s="31"/>
      <c r="H1" s="44" t="s">
        <v>1043</v>
      </c>
      <c r="I1" s="76"/>
      <c r="J1" s="53"/>
      <c r="K1" s="76"/>
      <c r="L1" s="77"/>
      <c r="M1" s="78"/>
      <c r="N1" s="78"/>
      <c r="O1" s="78"/>
      <c r="P1" s="78"/>
    </row>
    <row r="2" spans="1:16" ht="15">
      <c r="A2" s="44" t="s">
        <v>914</v>
      </c>
      <c r="B2" s="53" t="s">
        <v>915</v>
      </c>
      <c r="C2" s="53" t="s">
        <v>28</v>
      </c>
      <c r="D2" s="53" t="s">
        <v>17</v>
      </c>
      <c r="E2" s="79" t="s">
        <v>1044</v>
      </c>
      <c r="H2" s="44" t="s">
        <v>924</v>
      </c>
      <c r="I2" s="76" t="s">
        <v>1</v>
      </c>
      <c r="J2" s="53" t="s">
        <v>2</v>
      </c>
      <c r="K2" s="76" t="s">
        <v>3</v>
      </c>
      <c r="L2" s="80" t="s">
        <v>4</v>
      </c>
      <c r="M2" s="81" t="s">
        <v>1045</v>
      </c>
      <c r="N2" s="81" t="s">
        <v>8</v>
      </c>
      <c r="O2" s="81" t="s">
        <v>1046</v>
      </c>
      <c r="P2" s="81" t="s">
        <v>13</v>
      </c>
    </row>
    <row r="3" spans="1:16" ht="15">
      <c r="A3" s="82" t="s">
        <v>1047</v>
      </c>
      <c r="B3" s="30">
        <f>SUM(C3:D3)</f>
        <v>0</v>
      </c>
      <c r="C3" s="30">
        <v>0</v>
      </c>
      <c r="D3" s="30">
        <v>0</v>
      </c>
      <c r="E3" s="31">
        <f>IFERROR(C3/B3,0)</f>
        <v>0</v>
      </c>
      <c r="H3" s="83"/>
      <c r="I3" s="29"/>
      <c r="J3" s="84"/>
      <c r="K3" s="29"/>
      <c r="L3" s="77"/>
      <c r="M3" s="78"/>
      <c r="N3" s="78"/>
      <c r="O3" s="78"/>
      <c r="P3" s="78"/>
    </row>
    <row r="4" spans="1:16" ht="15">
      <c r="A4" s="82" t="s">
        <v>1048</v>
      </c>
      <c r="B4" s="30">
        <f>SUM(C4:D4)</f>
        <v>0</v>
      </c>
      <c r="C4" s="30">
        <v>0</v>
      </c>
      <c r="D4" s="30">
        <v>0</v>
      </c>
      <c r="E4" s="31">
        <f t="shared" ref="E4:E7" si="0">IFERROR(C4/B4,0)</f>
        <v>0</v>
      </c>
      <c r="H4" s="83"/>
      <c r="I4" s="29"/>
      <c r="J4" s="84"/>
      <c r="K4" s="29"/>
      <c r="L4" s="77"/>
      <c r="M4" s="78"/>
      <c r="N4" s="78"/>
      <c r="O4" s="78"/>
      <c r="P4" s="78"/>
    </row>
    <row r="5" spans="1:16" ht="15">
      <c r="A5" s="44" t="s">
        <v>1049</v>
      </c>
      <c r="B5" s="53">
        <f>SUM(C5:D5)</f>
        <v>0</v>
      </c>
      <c r="C5" s="53">
        <v>0</v>
      </c>
      <c r="D5" s="53">
        <v>0</v>
      </c>
      <c r="E5" s="79">
        <f t="shared" si="0"/>
        <v>0</v>
      </c>
      <c r="H5" s="83"/>
      <c r="I5" s="29"/>
      <c r="J5" s="84"/>
      <c r="K5" s="29"/>
      <c r="L5" s="77"/>
      <c r="M5" s="78"/>
      <c r="N5" s="78"/>
      <c r="O5" s="78"/>
      <c r="P5" s="78"/>
    </row>
    <row r="6" spans="1:16" ht="15">
      <c r="A6" s="82" t="s">
        <v>1050</v>
      </c>
      <c r="B6" s="30">
        <f>SUM(C6:D6)</f>
        <v>0</v>
      </c>
      <c r="C6" s="30">
        <v>0</v>
      </c>
      <c r="D6" s="30">
        <v>0</v>
      </c>
      <c r="E6" s="31">
        <f t="shared" si="0"/>
        <v>0</v>
      </c>
      <c r="H6" s="83"/>
      <c r="I6" s="29"/>
      <c r="J6" s="84"/>
      <c r="K6" s="29"/>
      <c r="L6" s="77"/>
      <c r="M6" s="78"/>
      <c r="N6" s="78"/>
      <c r="O6" s="78"/>
      <c r="P6" s="78"/>
    </row>
    <row r="7" spans="1:16" ht="15">
      <c r="A7" s="82" t="s">
        <v>1051</v>
      </c>
      <c r="B7" s="30">
        <f>SUM(C7:D7)</f>
        <v>0</v>
      </c>
      <c r="C7" s="30">
        <v>0</v>
      </c>
      <c r="D7" s="30">
        <v>0</v>
      </c>
      <c r="E7" s="31">
        <f t="shared" si="0"/>
        <v>0</v>
      </c>
    </row>
    <row r="8" spans="1:16" ht="15">
      <c r="H8" s="44" t="s">
        <v>1052</v>
      </c>
      <c r="I8" s="76"/>
      <c r="J8" s="53"/>
      <c r="K8" s="29"/>
    </row>
    <row r="9" spans="1:16" ht="15">
      <c r="A9" s="44" t="s">
        <v>1053</v>
      </c>
      <c r="B9" s="30"/>
      <c r="C9" s="30"/>
      <c r="D9" s="30"/>
      <c r="E9" s="31"/>
      <c r="H9" s="44" t="s">
        <v>924</v>
      </c>
      <c r="I9" s="76" t="s">
        <v>1</v>
      </c>
      <c r="J9" s="53" t="s">
        <v>2</v>
      </c>
      <c r="K9" s="76" t="s">
        <v>4</v>
      </c>
    </row>
    <row r="10" spans="1:16" ht="15">
      <c r="A10" s="44" t="s">
        <v>914</v>
      </c>
      <c r="B10" s="53" t="s">
        <v>915</v>
      </c>
      <c r="C10" s="53" t="s">
        <v>28</v>
      </c>
      <c r="D10" s="53" t="s">
        <v>17</v>
      </c>
      <c r="E10" s="79" t="s">
        <v>1044</v>
      </c>
      <c r="H10" s="82"/>
      <c r="I10" s="29"/>
      <c r="J10" s="84"/>
      <c r="K10" s="29"/>
    </row>
    <row r="11" spans="1:16" ht="15">
      <c r="A11" s="82" t="s">
        <v>1054</v>
      </c>
      <c r="B11" s="30">
        <f>SUM(C11:D11)</f>
        <v>0</v>
      </c>
      <c r="C11" s="30">
        <v>0</v>
      </c>
      <c r="D11" s="30">
        <v>0</v>
      </c>
      <c r="E11" s="31">
        <f t="shared" ref="E11:E15" si="1">IFERROR(C11/B11,0)</f>
        <v>0</v>
      </c>
      <c r="H11" s="82"/>
      <c r="I11" s="29"/>
      <c r="J11" s="84"/>
      <c r="K11" s="29"/>
    </row>
    <row r="12" spans="1:16" ht="15">
      <c r="A12" s="82" t="s">
        <v>1055</v>
      </c>
      <c r="B12" s="30">
        <f>SUM(C12:D12)</f>
        <v>0</v>
      </c>
      <c r="C12" s="30">
        <v>0</v>
      </c>
      <c r="D12" s="30">
        <v>0</v>
      </c>
      <c r="E12" s="31">
        <f t="shared" si="1"/>
        <v>0</v>
      </c>
      <c r="H12" s="82"/>
      <c r="I12" s="29"/>
      <c r="J12" s="84"/>
      <c r="K12" s="29"/>
    </row>
    <row r="13" spans="1:16" ht="15">
      <c r="A13" s="82" t="s">
        <v>1056</v>
      </c>
      <c r="B13" s="30">
        <f>SUM(C13:D13)</f>
        <v>0</v>
      </c>
      <c r="C13" s="30">
        <v>0</v>
      </c>
      <c r="D13" s="30">
        <v>0</v>
      </c>
      <c r="E13" s="31">
        <f t="shared" si="1"/>
        <v>0</v>
      </c>
      <c r="H13" s="82"/>
      <c r="I13" s="29"/>
      <c r="J13" s="84"/>
      <c r="K13" s="29"/>
    </row>
    <row r="14" spans="1:16" ht="15">
      <c r="A14" s="82" t="s">
        <v>1057</v>
      </c>
      <c r="B14" s="30">
        <f>SUM(C14:D14)</f>
        <v>0</v>
      </c>
      <c r="C14" s="30">
        <v>0</v>
      </c>
      <c r="D14" s="30">
        <v>0</v>
      </c>
      <c r="E14" s="31">
        <f t="shared" si="1"/>
        <v>0</v>
      </c>
    </row>
    <row r="15" spans="1:16" ht="15">
      <c r="A15" s="82" t="s">
        <v>1051</v>
      </c>
      <c r="B15" s="30">
        <f>SUM(C15:D15)</f>
        <v>0</v>
      </c>
      <c r="C15" s="30">
        <v>0</v>
      </c>
      <c r="D15" s="30">
        <v>0</v>
      </c>
      <c r="E15" s="31">
        <f t="shared" si="1"/>
        <v>0</v>
      </c>
      <c r="H15" s="44" t="s">
        <v>1058</v>
      </c>
      <c r="I15" s="76"/>
      <c r="J15" s="53"/>
      <c r="K15" s="29"/>
    </row>
    <row r="16" spans="1:16" ht="15">
      <c r="H16" s="44" t="s">
        <v>924</v>
      </c>
      <c r="I16" s="76" t="s">
        <v>1</v>
      </c>
      <c r="J16" s="53" t="s">
        <v>2</v>
      </c>
      <c r="K16" s="76" t="s">
        <v>4</v>
      </c>
    </row>
    <row r="17" spans="1:11" ht="15">
      <c r="A17" s="44" t="s">
        <v>1059</v>
      </c>
      <c r="B17" s="30"/>
      <c r="C17" s="30"/>
      <c r="D17" s="30"/>
      <c r="E17" s="31"/>
      <c r="H17" s="82"/>
      <c r="I17" s="29"/>
      <c r="J17" s="84"/>
      <c r="K17" s="29"/>
    </row>
    <row r="18" spans="1:11" ht="15">
      <c r="A18" s="44" t="s">
        <v>914</v>
      </c>
      <c r="B18" s="53" t="s">
        <v>915</v>
      </c>
      <c r="C18" s="53" t="s">
        <v>28</v>
      </c>
      <c r="D18" s="53" t="s">
        <v>17</v>
      </c>
      <c r="E18" s="79" t="s">
        <v>1044</v>
      </c>
      <c r="H18" s="82"/>
      <c r="I18" s="29"/>
      <c r="J18" s="84"/>
      <c r="K18" s="29"/>
    </row>
    <row r="19" spans="1:11" ht="15">
      <c r="A19" s="82" t="s">
        <v>1060</v>
      </c>
      <c r="B19" s="30">
        <f>SUM(C19:D19)</f>
        <v>0</v>
      </c>
      <c r="C19" s="30">
        <v>0</v>
      </c>
      <c r="D19" s="30">
        <v>0</v>
      </c>
      <c r="E19" s="31">
        <f t="shared" ref="E19:E23" si="2">IFERROR(C19/B19,0)</f>
        <v>0</v>
      </c>
    </row>
    <row r="20" spans="1:11" ht="15">
      <c r="A20" s="82" t="s">
        <v>1061</v>
      </c>
      <c r="B20" s="30">
        <f>SUM(C20:D20)</f>
        <v>0</v>
      </c>
      <c r="C20" s="30">
        <v>0</v>
      </c>
      <c r="D20" s="30">
        <v>0</v>
      </c>
      <c r="E20" s="31">
        <f t="shared" si="2"/>
        <v>0</v>
      </c>
      <c r="H20" s="44" t="s">
        <v>1062</v>
      </c>
      <c r="I20" s="76"/>
      <c r="J20" s="53"/>
      <c r="K20" s="29"/>
    </row>
    <row r="21" spans="1:11" ht="15">
      <c r="A21" s="82" t="s">
        <v>1063</v>
      </c>
      <c r="B21" s="30">
        <f>SUM(C21:D21)</f>
        <v>0</v>
      </c>
      <c r="C21" s="30">
        <v>0</v>
      </c>
      <c r="D21" s="30">
        <v>0</v>
      </c>
      <c r="E21" s="31">
        <f t="shared" si="2"/>
        <v>0</v>
      </c>
      <c r="H21" s="44" t="s">
        <v>924</v>
      </c>
      <c r="I21" s="76" t="s">
        <v>1</v>
      </c>
      <c r="J21" s="53" t="s">
        <v>2</v>
      </c>
      <c r="K21" s="76" t="s">
        <v>4</v>
      </c>
    </row>
    <row r="22" spans="1:11" ht="15">
      <c r="A22" s="82" t="s">
        <v>1064</v>
      </c>
      <c r="B22" s="30">
        <f>SUM(C22:D22)</f>
        <v>0</v>
      </c>
      <c r="C22" s="30">
        <v>0</v>
      </c>
      <c r="D22" s="30">
        <v>0</v>
      </c>
      <c r="E22" s="31">
        <f t="shared" si="2"/>
        <v>0</v>
      </c>
      <c r="H22" s="82"/>
      <c r="I22" s="29"/>
      <c r="J22" s="84"/>
      <c r="K22" s="29"/>
    </row>
    <row r="23" spans="1:11" ht="15">
      <c r="A23" s="82" t="s">
        <v>1051</v>
      </c>
      <c r="B23" s="30">
        <f>SUM(C23:D23)</f>
        <v>0</v>
      </c>
      <c r="C23" s="30">
        <v>0</v>
      </c>
      <c r="D23" s="30">
        <v>0</v>
      </c>
      <c r="E23" s="31">
        <f t="shared" si="2"/>
        <v>0</v>
      </c>
    </row>
    <row r="24" spans="1:11" ht="15"/>
    <row r="25" spans="1:11" ht="15">
      <c r="A25" s="44" t="s">
        <v>1065</v>
      </c>
      <c r="B25" s="30"/>
      <c r="C25" s="30"/>
      <c r="D25" s="30"/>
      <c r="E25" s="31"/>
    </row>
    <row r="26" spans="1:11" ht="15">
      <c r="A26" s="44" t="s">
        <v>914</v>
      </c>
      <c r="B26" s="53" t="s">
        <v>915</v>
      </c>
      <c r="C26" s="53" t="s">
        <v>28</v>
      </c>
      <c r="D26" s="53" t="s">
        <v>17</v>
      </c>
      <c r="E26" s="79" t="s">
        <v>1044</v>
      </c>
    </row>
    <row r="27" spans="1:11" ht="15">
      <c r="A27" s="82" t="s">
        <v>1066</v>
      </c>
      <c r="B27" s="30">
        <f>SUM(C27:D27)</f>
        <v>0</v>
      </c>
      <c r="C27" s="30">
        <v>0</v>
      </c>
      <c r="D27" s="30">
        <v>0</v>
      </c>
      <c r="E27" s="31">
        <f t="shared" ref="E27:E31" si="3">IFERROR(C27/B27,0)</f>
        <v>0</v>
      </c>
    </row>
    <row r="28" spans="1:11" ht="15">
      <c r="A28" s="82" t="s">
        <v>1067</v>
      </c>
      <c r="B28" s="30">
        <f>SUM(C28:D28)</f>
        <v>0</v>
      </c>
      <c r="C28" s="30">
        <v>0</v>
      </c>
      <c r="D28" s="30">
        <v>0</v>
      </c>
      <c r="E28" s="31">
        <f t="shared" si="3"/>
        <v>0</v>
      </c>
    </row>
    <row r="29" spans="1:11" ht="15">
      <c r="A29" s="82" t="s">
        <v>1068</v>
      </c>
      <c r="B29" s="30">
        <f>SUM(C29:D29)</f>
        <v>0</v>
      </c>
      <c r="C29" s="30">
        <v>0</v>
      </c>
      <c r="D29" s="30">
        <v>0</v>
      </c>
      <c r="E29" s="31">
        <f t="shared" si="3"/>
        <v>0</v>
      </c>
    </row>
    <row r="30" spans="1:11" ht="15">
      <c r="A30" s="82" t="s">
        <v>1069</v>
      </c>
      <c r="B30" s="30">
        <f>SUM(C30:D30)</f>
        <v>0</v>
      </c>
      <c r="C30" s="30">
        <v>0</v>
      </c>
      <c r="D30" s="30">
        <v>0</v>
      </c>
      <c r="E30" s="31">
        <f t="shared" si="3"/>
        <v>0</v>
      </c>
    </row>
    <row r="31" spans="1:11" ht="15">
      <c r="A31" s="82" t="s">
        <v>1051</v>
      </c>
      <c r="B31" s="30">
        <f>SUM(C31:D31)</f>
        <v>0</v>
      </c>
      <c r="C31" s="30">
        <v>0</v>
      </c>
      <c r="D31" s="30">
        <v>0</v>
      </c>
      <c r="E31" s="31">
        <f t="shared" si="3"/>
        <v>0</v>
      </c>
    </row>
    <row r="32" spans="1:11" ht="15"/>
    <row r="33" ht="15"/>
    <row r="34" ht="15"/>
    <row r="36" ht="15"/>
    <row r="37" ht="15"/>
    <row r="38" ht="15"/>
    <row r="39" ht="15"/>
    <row r="40" ht="15"/>
    <row r="41" ht="15"/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577B-79A1-4B46-8EE9-455E1F6C068F}">
  <sheetPr>
    <outlinePr summaryBelow="0" summaryRight="0"/>
  </sheetPr>
  <dimension ref="A1:O30"/>
  <sheetViews>
    <sheetView workbookViewId="0">
      <selection activeCell="O31" sqref="O31"/>
    </sheetView>
  </sheetViews>
  <sheetFormatPr defaultColWidth="14.42578125" defaultRowHeight="12.75" customHeight="1"/>
  <cols>
    <col min="1" max="1" width="36.28515625" style="5" customWidth="1"/>
    <col min="2" max="2" width="6" style="132" bestFit="1" customWidth="1"/>
    <col min="3" max="3" width="9.42578125" style="5" customWidth="1"/>
    <col min="4" max="4" width="11" style="5" customWidth="1"/>
    <col min="5" max="5" width="7" style="85" customWidth="1"/>
    <col min="6" max="6" width="6.42578125" style="85" customWidth="1"/>
    <col min="7" max="9" width="5.7109375" style="85" customWidth="1"/>
    <col min="10" max="10" width="6.28515625" style="85" customWidth="1"/>
    <col min="11" max="11" width="13.28515625" style="85" bestFit="1" customWidth="1"/>
    <col min="12" max="14" width="13.28515625" style="85" customWidth="1"/>
    <col min="15" max="15" width="10.5703125" style="85" customWidth="1"/>
    <col min="16" max="16384" width="14.42578125" style="5"/>
  </cols>
  <sheetData>
    <row r="1" spans="1:15" ht="15" customHeight="1">
      <c r="A1" s="1" t="s">
        <v>0</v>
      </c>
      <c r="B1" s="129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</row>
    <row r="2" spans="1:15" ht="15" customHeight="1">
      <c r="A2" s="14" t="s">
        <v>563</v>
      </c>
      <c r="B2" s="130">
        <v>1</v>
      </c>
      <c r="C2" s="21" t="s">
        <v>1070</v>
      </c>
      <c r="D2" s="21" t="s">
        <v>154</v>
      </c>
      <c r="E2" s="8" t="s">
        <v>28</v>
      </c>
      <c r="F2" s="8" t="s">
        <v>112</v>
      </c>
      <c r="G2" s="8" t="s">
        <v>1071</v>
      </c>
      <c r="H2" s="8" t="s">
        <v>1072</v>
      </c>
      <c r="I2" s="9">
        <f>IF(E2="","",G2-H2)</f>
        <v>2</v>
      </c>
      <c r="J2" s="8" t="s">
        <v>206</v>
      </c>
      <c r="K2" s="8" t="s">
        <v>1073</v>
      </c>
      <c r="L2" s="8" t="s">
        <v>1074</v>
      </c>
      <c r="M2" s="8" t="s">
        <v>24</v>
      </c>
      <c r="N2" s="10" t="str">
        <f>IF(E2="","",IFERROR(_xlfn.CONCAT(ROUND((G2^1.83)/((G2^1.83)+(H2^1.83))*B2,0),"-",B2-ROUND((G2^1.83)/((G2^1.83)+(H2^1.83))*B2,0)),0))</f>
        <v>1-0</v>
      </c>
      <c r="O2" s="8" t="s">
        <v>1075</v>
      </c>
    </row>
    <row r="3" spans="1:15" ht="15" customHeight="1">
      <c r="A3" s="6" t="s">
        <v>92</v>
      </c>
      <c r="B3" s="131">
        <v>2</v>
      </c>
      <c r="C3" s="8" t="s">
        <v>1076</v>
      </c>
      <c r="D3" s="8" t="s">
        <v>211</v>
      </c>
      <c r="E3" s="8" t="s">
        <v>28</v>
      </c>
      <c r="F3" s="8" t="s">
        <v>130</v>
      </c>
      <c r="G3" s="8" t="s">
        <v>1077</v>
      </c>
      <c r="H3" s="8" t="s">
        <v>1078</v>
      </c>
      <c r="I3" s="9">
        <f t="shared" ref="I3:I30" si="0">IF(E3="","",G3-H3)</f>
        <v>3</v>
      </c>
      <c r="J3" s="8" t="s">
        <v>1079</v>
      </c>
      <c r="K3" s="8" t="s">
        <v>1080</v>
      </c>
      <c r="L3" s="8" t="s">
        <v>1081</v>
      </c>
      <c r="M3" s="8" t="s">
        <v>1082</v>
      </c>
      <c r="N3" s="10" t="str">
        <f t="shared" ref="N3:N30" si="1">IF(E3="","",IFERROR(_xlfn.CONCAT(ROUND((G3^1.83)/((G3^1.83)+(H3^1.83))*B3,0),"-",B3-ROUND((G3^1.83)/((G3^1.83)+(H3^1.83))*B3,0)),0))</f>
        <v>1-1</v>
      </c>
      <c r="O3" s="8" t="s">
        <v>383</v>
      </c>
    </row>
    <row r="4" spans="1:15" ht="15" customHeight="1">
      <c r="A4" s="14" t="s">
        <v>1083</v>
      </c>
      <c r="B4" s="130">
        <v>3</v>
      </c>
      <c r="C4" s="8" t="s">
        <v>1084</v>
      </c>
      <c r="D4" s="8" t="s">
        <v>154</v>
      </c>
      <c r="E4" s="8" t="s">
        <v>28</v>
      </c>
      <c r="F4" s="8" t="s">
        <v>55</v>
      </c>
      <c r="G4" s="8" t="s">
        <v>1085</v>
      </c>
      <c r="H4" s="8" t="s">
        <v>1086</v>
      </c>
      <c r="I4" s="9">
        <f t="shared" si="0"/>
        <v>4</v>
      </c>
      <c r="J4" s="8" t="s">
        <v>887</v>
      </c>
      <c r="K4" s="8" t="s">
        <v>54</v>
      </c>
      <c r="L4" s="8" t="s">
        <v>1087</v>
      </c>
      <c r="M4" s="8" t="s">
        <v>1088</v>
      </c>
      <c r="N4" s="10" t="str">
        <f t="shared" si="1"/>
        <v>2-1</v>
      </c>
      <c r="O4" s="8" t="s">
        <v>338</v>
      </c>
    </row>
    <row r="5" spans="1:15" ht="15" customHeight="1">
      <c r="A5" s="16" t="s">
        <v>414</v>
      </c>
      <c r="B5" s="131">
        <v>4</v>
      </c>
      <c r="C5" s="8" t="s">
        <v>1089</v>
      </c>
      <c r="D5" s="8" t="s">
        <v>154</v>
      </c>
      <c r="E5" s="8" t="s">
        <v>17</v>
      </c>
      <c r="F5" s="8" t="s">
        <v>504</v>
      </c>
      <c r="G5" s="8" t="s">
        <v>1090</v>
      </c>
      <c r="H5" s="8" t="s">
        <v>1091</v>
      </c>
      <c r="I5" s="9">
        <f t="shared" si="0"/>
        <v>1</v>
      </c>
      <c r="J5" s="8" t="s">
        <v>1092</v>
      </c>
      <c r="K5" s="8" t="s">
        <v>1093</v>
      </c>
      <c r="L5" s="8" t="s">
        <v>170</v>
      </c>
      <c r="M5" s="8" t="s">
        <v>24</v>
      </c>
      <c r="N5" s="10" t="str">
        <f t="shared" si="1"/>
        <v>2-2</v>
      </c>
      <c r="O5" s="8" t="s">
        <v>42</v>
      </c>
    </row>
    <row r="6" spans="1:15" ht="15" customHeight="1">
      <c r="A6" s="6" t="s">
        <v>122</v>
      </c>
      <c r="B6" s="130">
        <v>5</v>
      </c>
      <c r="C6" s="8" t="s">
        <v>1094</v>
      </c>
      <c r="D6" s="8" t="s">
        <v>211</v>
      </c>
      <c r="E6" s="8" t="s">
        <v>17</v>
      </c>
      <c r="F6" s="8" t="s">
        <v>845</v>
      </c>
      <c r="G6" s="8" t="s">
        <v>66</v>
      </c>
      <c r="H6" s="8" t="s">
        <v>1095</v>
      </c>
      <c r="I6" s="9">
        <f t="shared" si="0"/>
        <v>-2</v>
      </c>
      <c r="J6" s="8" t="s">
        <v>634</v>
      </c>
      <c r="K6" s="8" t="s">
        <v>1096</v>
      </c>
      <c r="L6" s="8" t="s">
        <v>67</v>
      </c>
      <c r="M6" s="8" t="s">
        <v>24</v>
      </c>
      <c r="N6" s="10" t="str">
        <f t="shared" si="1"/>
        <v>2-3</v>
      </c>
      <c r="O6" s="8" t="s">
        <v>55</v>
      </c>
    </row>
    <row r="7" spans="1:15" ht="15" customHeight="1">
      <c r="A7" s="14" t="s">
        <v>318</v>
      </c>
      <c r="B7" s="131">
        <v>6</v>
      </c>
      <c r="C7" s="8" t="s">
        <v>1097</v>
      </c>
      <c r="D7" s="8" t="s">
        <v>154</v>
      </c>
      <c r="E7" s="8" t="s">
        <v>28</v>
      </c>
      <c r="F7" s="8" t="s">
        <v>230</v>
      </c>
      <c r="G7" s="8" t="s">
        <v>88</v>
      </c>
      <c r="H7" s="8" t="s">
        <v>1098</v>
      </c>
      <c r="I7" s="9">
        <f t="shared" si="0"/>
        <v>1</v>
      </c>
      <c r="J7" s="8" t="s">
        <v>139</v>
      </c>
      <c r="K7" s="8" t="s">
        <v>454</v>
      </c>
      <c r="L7" s="8" t="s">
        <v>1099</v>
      </c>
      <c r="M7" s="8" t="s">
        <v>1073</v>
      </c>
      <c r="N7" s="10" t="str">
        <f t="shared" si="1"/>
        <v>3-3</v>
      </c>
      <c r="O7" s="8" t="s">
        <v>63</v>
      </c>
    </row>
    <row r="8" spans="1:15" ht="15" customHeight="1">
      <c r="A8" s="6" t="s">
        <v>201</v>
      </c>
      <c r="B8" s="130">
        <v>7</v>
      </c>
      <c r="C8" s="8" t="s">
        <v>1084</v>
      </c>
      <c r="D8" s="8" t="s">
        <v>693</v>
      </c>
      <c r="E8" s="8" t="s">
        <v>17</v>
      </c>
      <c r="F8" s="8" t="s">
        <v>442</v>
      </c>
      <c r="G8" s="8" t="s">
        <v>103</v>
      </c>
      <c r="H8" s="8" t="s">
        <v>1100</v>
      </c>
      <c r="I8" s="9">
        <f t="shared" si="0"/>
        <v>-2</v>
      </c>
      <c r="J8" s="8" t="s">
        <v>1101</v>
      </c>
      <c r="K8" s="8" t="s">
        <v>1102</v>
      </c>
      <c r="L8" s="8" t="s">
        <v>1103</v>
      </c>
      <c r="M8" s="8" t="s">
        <v>1104</v>
      </c>
      <c r="N8" s="10" t="str">
        <f t="shared" si="1"/>
        <v>3-4</v>
      </c>
      <c r="O8" s="8" t="s">
        <v>587</v>
      </c>
    </row>
    <row r="9" spans="1:15" ht="15" customHeight="1">
      <c r="A9" s="6" t="s">
        <v>1105</v>
      </c>
      <c r="B9" s="131">
        <v>8</v>
      </c>
      <c r="C9" s="8" t="s">
        <v>1106</v>
      </c>
      <c r="D9" s="8" t="s">
        <v>1107</v>
      </c>
      <c r="E9" s="8" t="s">
        <v>1108</v>
      </c>
      <c r="F9" s="8" t="s">
        <v>33</v>
      </c>
      <c r="G9" s="8" t="s">
        <v>111</v>
      </c>
      <c r="H9" s="8" t="s">
        <v>102</v>
      </c>
      <c r="I9" s="9">
        <f t="shared" si="0"/>
        <v>-2</v>
      </c>
      <c r="J9" s="8" t="s">
        <v>91</v>
      </c>
      <c r="K9" s="8" t="s">
        <v>24</v>
      </c>
      <c r="L9" s="8" t="s">
        <v>24</v>
      </c>
      <c r="M9" s="8" t="s">
        <v>24</v>
      </c>
      <c r="N9" s="10" t="str">
        <f t="shared" si="1"/>
        <v>4-4</v>
      </c>
      <c r="O9" s="8" t="s">
        <v>1109</v>
      </c>
    </row>
    <row r="10" spans="1:15" ht="15" customHeight="1">
      <c r="A10" s="16" t="s">
        <v>414</v>
      </c>
      <c r="B10" s="130">
        <v>9</v>
      </c>
      <c r="C10" s="8" t="s">
        <v>1110</v>
      </c>
      <c r="D10" s="8" t="s">
        <v>154</v>
      </c>
      <c r="E10" s="8" t="s">
        <v>28</v>
      </c>
      <c r="F10" s="8" t="s">
        <v>84</v>
      </c>
      <c r="G10" s="8" t="s">
        <v>1111</v>
      </c>
      <c r="H10" s="8" t="s">
        <v>1112</v>
      </c>
      <c r="I10" s="9">
        <f t="shared" si="0"/>
        <v>-1</v>
      </c>
      <c r="J10" s="8" t="s">
        <v>616</v>
      </c>
      <c r="K10" s="8" t="s">
        <v>1113</v>
      </c>
      <c r="L10" s="8" t="s">
        <v>1114</v>
      </c>
      <c r="M10" s="8" t="s">
        <v>61</v>
      </c>
      <c r="N10" s="10" t="str">
        <f t="shared" si="1"/>
        <v>4-5</v>
      </c>
      <c r="O10" s="8" t="s">
        <v>1115</v>
      </c>
    </row>
    <row r="11" spans="1:15" ht="15" customHeight="1">
      <c r="A11" s="6" t="s">
        <v>669</v>
      </c>
      <c r="B11" s="131">
        <v>10</v>
      </c>
      <c r="C11" s="8" t="s">
        <v>1116</v>
      </c>
      <c r="D11" s="8" t="s">
        <v>211</v>
      </c>
      <c r="E11" s="8" t="s">
        <v>28</v>
      </c>
      <c r="F11" s="8" t="s">
        <v>1117</v>
      </c>
      <c r="G11" s="8" t="s">
        <v>135</v>
      </c>
      <c r="H11" s="8" t="s">
        <v>127</v>
      </c>
      <c r="I11" s="9">
        <f t="shared" si="0"/>
        <v>9</v>
      </c>
      <c r="J11" s="8" t="s">
        <v>275</v>
      </c>
      <c r="K11" s="8" t="s">
        <v>1118</v>
      </c>
      <c r="L11" s="8" t="s">
        <v>1119</v>
      </c>
      <c r="M11" s="8" t="s">
        <v>24</v>
      </c>
      <c r="N11" s="10" t="str">
        <f t="shared" si="1"/>
        <v>6-4</v>
      </c>
      <c r="O11" s="8" t="s">
        <v>1120</v>
      </c>
    </row>
    <row r="12" spans="1:15" ht="15" customHeight="1">
      <c r="A12" s="13" t="s">
        <v>793</v>
      </c>
      <c r="B12" s="130">
        <v>11</v>
      </c>
      <c r="C12" s="8" t="s">
        <v>1121</v>
      </c>
      <c r="D12" s="8" t="s">
        <v>211</v>
      </c>
      <c r="E12" s="8" t="s">
        <v>17</v>
      </c>
      <c r="F12" s="8" t="s">
        <v>1122</v>
      </c>
      <c r="G12" s="8" t="s">
        <v>1123</v>
      </c>
      <c r="H12" s="8" t="s">
        <v>1124</v>
      </c>
      <c r="I12" s="9">
        <f t="shared" si="0"/>
        <v>8</v>
      </c>
      <c r="J12" s="8" t="s">
        <v>139</v>
      </c>
      <c r="K12" s="8" t="s">
        <v>1125</v>
      </c>
      <c r="L12" s="8" t="s">
        <v>1103</v>
      </c>
      <c r="M12" s="8" t="s">
        <v>446</v>
      </c>
      <c r="N12" s="10" t="str">
        <f t="shared" si="1"/>
        <v>6-5</v>
      </c>
      <c r="O12" s="8" t="s">
        <v>1126</v>
      </c>
    </row>
    <row r="13" spans="1:15" ht="15" customHeight="1">
      <c r="A13" s="14" t="s">
        <v>223</v>
      </c>
      <c r="B13" s="131">
        <v>12</v>
      </c>
      <c r="C13" s="8" t="s">
        <v>1127</v>
      </c>
      <c r="D13" s="8" t="s">
        <v>154</v>
      </c>
      <c r="E13" s="8" t="s">
        <v>28</v>
      </c>
      <c r="F13" s="8" t="s">
        <v>1128</v>
      </c>
      <c r="G13" s="8" t="s">
        <v>155</v>
      </c>
      <c r="H13" s="8" t="s">
        <v>1129</v>
      </c>
      <c r="I13" s="9">
        <f t="shared" si="0"/>
        <v>11</v>
      </c>
      <c r="J13" s="8" t="s">
        <v>576</v>
      </c>
      <c r="K13" s="8" t="s">
        <v>44</v>
      </c>
      <c r="L13" s="8" t="s">
        <v>1130</v>
      </c>
      <c r="M13" s="8" t="s">
        <v>1131</v>
      </c>
      <c r="N13" s="10" t="str">
        <f t="shared" si="1"/>
        <v>7-5</v>
      </c>
      <c r="O13" s="8" t="s">
        <v>1132</v>
      </c>
    </row>
    <row r="14" spans="1:15" ht="15" customHeight="1">
      <c r="A14" s="6" t="s">
        <v>201</v>
      </c>
      <c r="B14" s="130">
        <v>13</v>
      </c>
      <c r="C14" s="8" t="s">
        <v>1133</v>
      </c>
      <c r="D14" s="8" t="s">
        <v>1107</v>
      </c>
      <c r="E14" s="8" t="s">
        <v>17</v>
      </c>
      <c r="F14" s="8" t="s">
        <v>1134</v>
      </c>
      <c r="G14" s="8" t="s">
        <v>166</v>
      </c>
      <c r="H14" s="8" t="s">
        <v>149</v>
      </c>
      <c r="I14" s="9">
        <f t="shared" si="0"/>
        <v>10</v>
      </c>
      <c r="J14" s="8" t="s">
        <v>1135</v>
      </c>
      <c r="K14" s="8" t="s">
        <v>601</v>
      </c>
      <c r="L14" s="8" t="s">
        <v>1088</v>
      </c>
      <c r="M14" s="8" t="s">
        <v>24</v>
      </c>
      <c r="N14" s="10" t="str">
        <f t="shared" si="1"/>
        <v>7-6</v>
      </c>
      <c r="O14" s="8" t="s">
        <v>1136</v>
      </c>
    </row>
    <row r="15" spans="1:15" ht="15" customHeight="1">
      <c r="A15" s="6" t="s">
        <v>470</v>
      </c>
      <c r="B15" s="131">
        <v>14</v>
      </c>
      <c r="C15" s="8" t="s">
        <v>1137</v>
      </c>
      <c r="D15" s="8" t="s">
        <v>211</v>
      </c>
      <c r="E15" s="8" t="s">
        <v>17</v>
      </c>
      <c r="F15" s="8" t="s">
        <v>125</v>
      </c>
      <c r="G15" s="8" t="s">
        <v>188</v>
      </c>
      <c r="H15" s="8" t="s">
        <v>1138</v>
      </c>
      <c r="I15" s="9">
        <f t="shared" si="0"/>
        <v>9</v>
      </c>
      <c r="J15" s="8" t="s">
        <v>650</v>
      </c>
      <c r="K15" s="8" t="s">
        <v>1139</v>
      </c>
      <c r="L15" s="8" t="s">
        <v>52</v>
      </c>
      <c r="M15" s="8" t="s">
        <v>1140</v>
      </c>
      <c r="N15" s="10" t="str">
        <f t="shared" si="1"/>
        <v>8-6</v>
      </c>
      <c r="O15" s="8" t="s">
        <v>1141</v>
      </c>
    </row>
    <row r="16" spans="1:15" ht="15" customHeight="1">
      <c r="A16" s="16" t="s">
        <v>318</v>
      </c>
      <c r="B16" s="130">
        <v>15</v>
      </c>
      <c r="C16" s="8" t="s">
        <v>1137</v>
      </c>
      <c r="D16" s="8" t="s">
        <v>154</v>
      </c>
      <c r="E16" s="8" t="s">
        <v>28</v>
      </c>
      <c r="F16" s="8" t="s">
        <v>1142</v>
      </c>
      <c r="G16" s="8" t="s">
        <v>204</v>
      </c>
      <c r="H16" s="8" t="s">
        <v>1138</v>
      </c>
      <c r="I16" s="9">
        <f t="shared" si="0"/>
        <v>14</v>
      </c>
      <c r="J16" s="8" t="s">
        <v>250</v>
      </c>
      <c r="K16" s="8" t="s">
        <v>46</v>
      </c>
      <c r="L16" s="8" t="s">
        <v>1143</v>
      </c>
      <c r="M16" s="8" t="s">
        <v>24</v>
      </c>
      <c r="N16" s="10" t="str">
        <f t="shared" si="1"/>
        <v>9-6</v>
      </c>
      <c r="O16" s="8" t="s">
        <v>1144</v>
      </c>
    </row>
    <row r="17" spans="1:15" ht="15" customHeight="1">
      <c r="A17" s="13" t="s">
        <v>353</v>
      </c>
      <c r="B17" s="131">
        <v>16</v>
      </c>
      <c r="C17" s="8" t="s">
        <v>1145</v>
      </c>
      <c r="D17" s="8" t="s">
        <v>211</v>
      </c>
      <c r="E17" s="8" t="s">
        <v>28</v>
      </c>
      <c r="F17" s="8" t="s">
        <v>854</v>
      </c>
      <c r="G17" s="8" t="s">
        <v>1146</v>
      </c>
      <c r="H17" s="8" t="s">
        <v>188</v>
      </c>
      <c r="I17" s="9">
        <f t="shared" si="0"/>
        <v>18</v>
      </c>
      <c r="J17" s="8" t="s">
        <v>1147</v>
      </c>
      <c r="K17" s="8" t="s">
        <v>1148</v>
      </c>
      <c r="L17" s="8" t="s">
        <v>1149</v>
      </c>
      <c r="M17" s="8" t="s">
        <v>24</v>
      </c>
      <c r="N17" s="10" t="str">
        <f t="shared" si="1"/>
        <v>9-7</v>
      </c>
      <c r="O17" s="8" t="s">
        <v>1150</v>
      </c>
    </row>
    <row r="18" spans="1:15" ht="15" customHeight="1">
      <c r="A18" s="86" t="s">
        <v>868</v>
      </c>
      <c r="B18" s="130">
        <v>17</v>
      </c>
      <c r="C18" s="8" t="s">
        <v>1151</v>
      </c>
      <c r="D18" s="8" t="s">
        <v>154</v>
      </c>
      <c r="E18" s="8" t="s">
        <v>28</v>
      </c>
      <c r="F18" s="8" t="s">
        <v>866</v>
      </c>
      <c r="G18" s="8" t="s">
        <v>240</v>
      </c>
      <c r="H18" s="8" t="s">
        <v>1152</v>
      </c>
      <c r="I18" s="9">
        <f t="shared" si="0"/>
        <v>23</v>
      </c>
      <c r="J18" s="8" t="s">
        <v>51</v>
      </c>
      <c r="K18" s="8" t="s">
        <v>83</v>
      </c>
      <c r="L18" s="8" t="s">
        <v>1153</v>
      </c>
      <c r="M18" s="8" t="s">
        <v>1103</v>
      </c>
      <c r="N18" s="10" t="str">
        <f t="shared" si="1"/>
        <v>10-7</v>
      </c>
      <c r="O18" s="8" t="s">
        <v>1154</v>
      </c>
    </row>
    <row r="19" spans="1:15" ht="15" customHeight="1">
      <c r="A19" s="14" t="s">
        <v>821</v>
      </c>
      <c r="B19" s="131">
        <v>18</v>
      </c>
      <c r="C19" s="8" t="s">
        <v>1155</v>
      </c>
      <c r="D19" s="8" t="s">
        <v>154</v>
      </c>
      <c r="E19" s="8" t="s">
        <v>28</v>
      </c>
      <c r="F19" s="8" t="s">
        <v>55</v>
      </c>
      <c r="G19" s="8" t="s">
        <v>248</v>
      </c>
      <c r="H19" s="8" t="s">
        <v>204</v>
      </c>
      <c r="I19" s="9">
        <f t="shared" si="0"/>
        <v>24</v>
      </c>
      <c r="J19" s="8" t="s">
        <v>99</v>
      </c>
      <c r="K19" s="8" t="s">
        <v>243</v>
      </c>
      <c r="L19" s="8" t="s">
        <v>1156</v>
      </c>
      <c r="M19" s="8" t="s">
        <v>1157</v>
      </c>
      <c r="N19" s="10" t="str">
        <f t="shared" si="1"/>
        <v>11-7</v>
      </c>
      <c r="O19" s="8" t="s">
        <v>1158</v>
      </c>
    </row>
    <row r="20" spans="1:15" ht="15" customHeight="1">
      <c r="A20" s="14" t="s">
        <v>14</v>
      </c>
      <c r="B20" s="130">
        <v>19</v>
      </c>
      <c r="C20" s="8" t="s">
        <v>1159</v>
      </c>
      <c r="D20" s="8" t="s">
        <v>154</v>
      </c>
      <c r="E20" s="21" t="s">
        <v>28</v>
      </c>
      <c r="F20" s="21" t="s">
        <v>112</v>
      </c>
      <c r="G20" s="21" t="s">
        <v>220</v>
      </c>
      <c r="H20" s="21" t="s">
        <v>182</v>
      </c>
      <c r="I20" s="9">
        <f t="shared" si="0"/>
        <v>26</v>
      </c>
      <c r="J20" s="21" t="s">
        <v>396</v>
      </c>
      <c r="K20" s="21" t="s">
        <v>1118</v>
      </c>
      <c r="L20" s="21" t="s">
        <v>1160</v>
      </c>
      <c r="M20" s="21" t="s">
        <v>1148</v>
      </c>
      <c r="N20" s="10" t="str">
        <f t="shared" si="1"/>
        <v>12-7</v>
      </c>
      <c r="O20" s="21" t="s">
        <v>1161</v>
      </c>
    </row>
    <row r="21" spans="1:15" ht="15" customHeight="1">
      <c r="A21" s="6" t="s">
        <v>178</v>
      </c>
      <c r="B21" s="131">
        <v>20</v>
      </c>
      <c r="C21" s="8" t="s">
        <v>1162</v>
      </c>
      <c r="D21" s="8" t="s">
        <v>1107</v>
      </c>
      <c r="E21" s="21" t="s">
        <v>17</v>
      </c>
      <c r="F21" s="21" t="s">
        <v>145</v>
      </c>
      <c r="G21" s="21" t="s">
        <v>268</v>
      </c>
      <c r="H21" s="21" t="s">
        <v>1163</v>
      </c>
      <c r="I21" s="9">
        <f t="shared" si="0"/>
        <v>25</v>
      </c>
      <c r="J21" s="21" t="s">
        <v>1164</v>
      </c>
      <c r="K21" s="21" t="s">
        <v>1165</v>
      </c>
      <c r="L21" s="21" t="s">
        <v>1166</v>
      </c>
      <c r="M21" s="21" t="s">
        <v>24</v>
      </c>
      <c r="N21" s="10" t="str">
        <f t="shared" si="1"/>
        <v>12-8</v>
      </c>
      <c r="O21" s="21" t="s">
        <v>1167</v>
      </c>
    </row>
    <row r="22" spans="1:15" ht="15" customHeight="1">
      <c r="A22" s="13" t="s">
        <v>449</v>
      </c>
      <c r="B22" s="130">
        <v>21</v>
      </c>
      <c r="C22" s="8" t="s">
        <v>1168</v>
      </c>
      <c r="D22" s="8" t="s">
        <v>211</v>
      </c>
      <c r="E22" s="21" t="s">
        <v>17</v>
      </c>
      <c r="F22" s="21" t="s">
        <v>35</v>
      </c>
      <c r="G22" s="21" t="s">
        <v>226</v>
      </c>
      <c r="H22" s="21" t="s">
        <v>213</v>
      </c>
      <c r="I22" s="9">
        <f t="shared" si="0"/>
        <v>21</v>
      </c>
      <c r="J22" s="21" t="s">
        <v>1169</v>
      </c>
      <c r="K22" s="21" t="s">
        <v>1170</v>
      </c>
      <c r="L22" s="21" t="s">
        <v>243</v>
      </c>
      <c r="M22" s="21" t="s">
        <v>24</v>
      </c>
      <c r="N22" s="10" t="str">
        <f t="shared" si="1"/>
        <v>12-9</v>
      </c>
      <c r="O22" s="21" t="s">
        <v>1171</v>
      </c>
    </row>
    <row r="23" spans="1:15" ht="15" customHeight="1">
      <c r="A23" s="14" t="s">
        <v>140</v>
      </c>
      <c r="B23" s="131">
        <v>22</v>
      </c>
      <c r="C23" s="8" t="s">
        <v>1172</v>
      </c>
      <c r="D23" s="8" t="s">
        <v>154</v>
      </c>
      <c r="E23" s="21" t="s">
        <v>28</v>
      </c>
      <c r="F23" s="21" t="s">
        <v>95</v>
      </c>
      <c r="G23" s="21" t="s">
        <v>229</v>
      </c>
      <c r="H23" s="21" t="s">
        <v>240</v>
      </c>
      <c r="I23" s="9">
        <f t="shared" si="0"/>
        <v>25</v>
      </c>
      <c r="J23" s="21" t="s">
        <v>81</v>
      </c>
      <c r="K23" s="21" t="s">
        <v>23</v>
      </c>
      <c r="L23" s="21" t="s">
        <v>146</v>
      </c>
      <c r="M23" s="21" t="s">
        <v>24</v>
      </c>
      <c r="N23" s="10" t="str">
        <f t="shared" si="1"/>
        <v>13-9</v>
      </c>
      <c r="O23" s="21" t="s">
        <v>1173</v>
      </c>
    </row>
    <row r="24" spans="1:15" ht="15" customHeight="1">
      <c r="A24" s="14" t="s">
        <v>414</v>
      </c>
      <c r="B24" s="130">
        <v>23</v>
      </c>
      <c r="C24" s="8" t="s">
        <v>1174</v>
      </c>
      <c r="D24" s="8" t="s">
        <v>211</v>
      </c>
      <c r="E24" s="21" t="s">
        <v>17</v>
      </c>
      <c r="F24" s="21" t="s">
        <v>521</v>
      </c>
      <c r="G24" s="21" t="s">
        <v>235</v>
      </c>
      <c r="H24" s="21" t="s">
        <v>1175</v>
      </c>
      <c r="I24" s="9">
        <f t="shared" si="0"/>
        <v>23</v>
      </c>
      <c r="J24" s="21" t="s">
        <v>99</v>
      </c>
      <c r="K24" s="21" t="s">
        <v>423</v>
      </c>
      <c r="L24" s="21" t="s">
        <v>1148</v>
      </c>
      <c r="M24" s="21" t="s">
        <v>1176</v>
      </c>
      <c r="N24" s="10" t="str">
        <f t="shared" si="1"/>
        <v>13-10</v>
      </c>
      <c r="O24" s="21" t="s">
        <v>1177</v>
      </c>
    </row>
    <row r="25" spans="1:15" ht="15" customHeight="1">
      <c r="A25" s="14" t="s">
        <v>563</v>
      </c>
      <c r="B25" s="131">
        <v>24</v>
      </c>
      <c r="C25" s="8" t="s">
        <v>1174</v>
      </c>
      <c r="D25" s="8" t="s">
        <v>154</v>
      </c>
      <c r="E25" s="21" t="s">
        <v>28</v>
      </c>
      <c r="F25" s="21" t="s">
        <v>99</v>
      </c>
      <c r="G25" s="21" t="s">
        <v>1178</v>
      </c>
      <c r="H25" s="21" t="s">
        <v>220</v>
      </c>
      <c r="I25" s="9">
        <f t="shared" si="0"/>
        <v>24</v>
      </c>
      <c r="J25" s="21" t="s">
        <v>332</v>
      </c>
      <c r="K25" s="21" t="s">
        <v>1179</v>
      </c>
      <c r="L25" s="21" t="s">
        <v>1180</v>
      </c>
      <c r="M25" s="21" t="s">
        <v>24</v>
      </c>
      <c r="N25" s="10" t="str">
        <f t="shared" si="1"/>
        <v>14-10</v>
      </c>
      <c r="O25" s="21" t="s">
        <v>1181</v>
      </c>
    </row>
    <row r="26" spans="1:15" ht="15" customHeight="1">
      <c r="A26" s="13" t="s">
        <v>122</v>
      </c>
      <c r="B26" s="130">
        <v>25</v>
      </c>
      <c r="C26" s="8" t="s">
        <v>1182</v>
      </c>
      <c r="D26" s="8" t="s">
        <v>1183</v>
      </c>
      <c r="E26" s="21" t="s">
        <v>17</v>
      </c>
      <c r="F26" s="21" t="s">
        <v>1184</v>
      </c>
      <c r="G26" s="21" t="s">
        <v>249</v>
      </c>
      <c r="H26" s="21" t="s">
        <v>1185</v>
      </c>
      <c r="I26" s="9">
        <f t="shared" si="0"/>
        <v>18</v>
      </c>
      <c r="J26" s="21" t="s">
        <v>688</v>
      </c>
      <c r="K26" s="21" t="s">
        <v>1160</v>
      </c>
      <c r="L26" s="21" t="s">
        <v>296</v>
      </c>
      <c r="M26" s="21" t="s">
        <v>24</v>
      </c>
      <c r="N26" s="10" t="str">
        <f t="shared" si="1"/>
        <v>14-11</v>
      </c>
      <c r="O26" s="21" t="s">
        <v>1186</v>
      </c>
    </row>
    <row r="27" spans="1:15" ht="15" customHeight="1">
      <c r="A27" s="14" t="s">
        <v>299</v>
      </c>
      <c r="B27" s="131">
        <v>26</v>
      </c>
      <c r="C27" s="8" t="s">
        <v>1187</v>
      </c>
      <c r="D27" s="8" t="s">
        <v>154</v>
      </c>
      <c r="E27" s="21" t="s">
        <v>28</v>
      </c>
      <c r="F27" s="21" t="s">
        <v>654</v>
      </c>
      <c r="G27" s="21" t="s">
        <v>1188</v>
      </c>
      <c r="H27" s="21" t="s">
        <v>1189</v>
      </c>
      <c r="I27" s="9">
        <f t="shared" si="0"/>
        <v>21</v>
      </c>
      <c r="J27" s="21" t="s">
        <v>288</v>
      </c>
      <c r="K27" s="21" t="s">
        <v>52</v>
      </c>
      <c r="L27" s="21" t="s">
        <v>1190</v>
      </c>
      <c r="M27" s="21" t="s">
        <v>814</v>
      </c>
      <c r="N27" s="10" t="str">
        <f t="shared" si="1"/>
        <v>15-11</v>
      </c>
      <c r="O27" s="21" t="s">
        <v>1191</v>
      </c>
    </row>
    <row r="28" spans="1:15" ht="15" customHeight="1">
      <c r="A28" s="14" t="s">
        <v>414</v>
      </c>
      <c r="B28" s="130">
        <v>27</v>
      </c>
      <c r="C28" s="8" t="s">
        <v>1192</v>
      </c>
      <c r="D28" s="8" t="s">
        <v>154</v>
      </c>
      <c r="E28" s="21" t="s">
        <v>28</v>
      </c>
      <c r="F28" s="21" t="s">
        <v>396</v>
      </c>
      <c r="G28" s="21" t="s">
        <v>1193</v>
      </c>
      <c r="H28" s="21" t="s">
        <v>229</v>
      </c>
      <c r="I28" s="9">
        <f t="shared" si="0"/>
        <v>25</v>
      </c>
      <c r="J28" s="21" t="s">
        <v>712</v>
      </c>
      <c r="K28" s="21" t="s">
        <v>23</v>
      </c>
      <c r="L28" s="21" t="s">
        <v>1093</v>
      </c>
      <c r="M28" s="21" t="s">
        <v>24</v>
      </c>
      <c r="N28" s="10" t="str">
        <f t="shared" si="1"/>
        <v>16-11</v>
      </c>
      <c r="O28" s="21" t="s">
        <v>1194</v>
      </c>
    </row>
    <row r="29" spans="1:15" ht="15" customHeight="1">
      <c r="A29" s="6" t="s">
        <v>429</v>
      </c>
      <c r="B29" s="131">
        <v>28</v>
      </c>
      <c r="C29" s="8" t="s">
        <v>1195</v>
      </c>
      <c r="D29" s="8" t="s">
        <v>211</v>
      </c>
      <c r="E29" s="21" t="s">
        <v>28</v>
      </c>
      <c r="F29" s="21" t="s">
        <v>109</v>
      </c>
      <c r="G29" s="21" t="s">
        <v>302</v>
      </c>
      <c r="H29" s="21" t="s">
        <v>1196</v>
      </c>
      <c r="I29" s="9">
        <f t="shared" si="0"/>
        <v>26</v>
      </c>
      <c r="J29" s="21" t="s">
        <v>236</v>
      </c>
      <c r="K29" s="21" t="s">
        <v>624</v>
      </c>
      <c r="L29" s="21" t="s">
        <v>1156</v>
      </c>
      <c r="M29" s="21" t="s">
        <v>1197</v>
      </c>
      <c r="N29" s="10" t="str">
        <f t="shared" si="1"/>
        <v>16-12</v>
      </c>
      <c r="O29" s="21" t="s">
        <v>1198</v>
      </c>
    </row>
    <row r="30" spans="1:15" ht="15" customHeight="1">
      <c r="A30" s="14" t="s">
        <v>1199</v>
      </c>
      <c r="B30" s="130">
        <v>29</v>
      </c>
      <c r="C30" s="8" t="s">
        <v>1200</v>
      </c>
      <c r="D30" s="8" t="s">
        <v>154</v>
      </c>
      <c r="E30" s="21" t="s">
        <v>28</v>
      </c>
      <c r="F30" s="21" t="s">
        <v>109</v>
      </c>
      <c r="G30" s="21" t="s">
        <v>1201</v>
      </c>
      <c r="H30" s="21" t="s">
        <v>235</v>
      </c>
      <c r="I30" s="9">
        <f t="shared" si="0"/>
        <v>27</v>
      </c>
      <c r="J30" s="21" t="s">
        <v>74</v>
      </c>
      <c r="K30" s="21" t="s">
        <v>44</v>
      </c>
      <c r="L30" s="21" t="s">
        <v>1202</v>
      </c>
      <c r="M30" s="21" t="s">
        <v>1203</v>
      </c>
      <c r="N30" s="10" t="str">
        <f t="shared" si="1"/>
        <v>17-12</v>
      </c>
      <c r="O30" s="21" t="s">
        <v>1204</v>
      </c>
    </row>
  </sheetData>
  <pageMargins left="0" right="0" top="0" bottom="0" header="0" footer="0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E23A-2605-4537-B324-24918B512024}">
  <sheetPr>
    <outlinePr summaryBelow="0" summaryRight="0"/>
  </sheetPr>
  <dimension ref="A1:S981"/>
  <sheetViews>
    <sheetView workbookViewId="0">
      <selection activeCell="I2" sqref="I2"/>
    </sheetView>
  </sheetViews>
  <sheetFormatPr defaultColWidth="14.42578125" defaultRowHeight="12.75" customHeight="1"/>
  <cols>
    <col min="1" max="1" width="20.7109375" style="5" customWidth="1"/>
    <col min="2" max="2" width="5.85546875" style="5" customWidth="1"/>
    <col min="3" max="4" width="5.7109375" style="5" customWidth="1"/>
    <col min="5" max="5" width="7.42578125" style="5" customWidth="1"/>
    <col min="6" max="6" width="6" style="5" customWidth="1"/>
    <col min="7" max="7" width="2" style="5" customWidth="1"/>
    <col min="8" max="8" width="0.42578125" style="5" customWidth="1"/>
    <col min="9" max="9" width="20.7109375" style="5" customWidth="1"/>
    <col min="10" max="10" width="5.85546875" style="5" customWidth="1"/>
    <col min="11" max="12" width="5.7109375" style="5" customWidth="1"/>
    <col min="13" max="13" width="7.42578125" style="5" customWidth="1"/>
    <col min="14" max="14" width="6" style="66" customWidth="1"/>
    <col min="15" max="16384" width="14.42578125" style="5"/>
  </cols>
  <sheetData>
    <row r="1" spans="1:14" ht="12.75" customHeight="1">
      <c r="A1" s="44" t="s">
        <v>1205</v>
      </c>
      <c r="B1" s="44"/>
      <c r="C1" s="44"/>
      <c r="D1" s="44"/>
      <c r="E1" s="44"/>
      <c r="F1" s="44"/>
      <c r="I1" s="44" t="s">
        <v>912</v>
      </c>
      <c r="J1" s="44"/>
      <c r="K1" s="44"/>
      <c r="L1" s="44"/>
      <c r="M1" s="34"/>
      <c r="N1" s="67"/>
    </row>
    <row r="2" spans="1:14" ht="15">
      <c r="A2" s="113" t="s">
        <v>914</v>
      </c>
      <c r="B2" s="114" t="s">
        <v>915</v>
      </c>
      <c r="C2" s="114" t="s">
        <v>28</v>
      </c>
      <c r="D2" s="114" t="s">
        <v>17</v>
      </c>
      <c r="E2" s="114" t="s">
        <v>916</v>
      </c>
      <c r="F2" s="135" t="s">
        <v>918</v>
      </c>
      <c r="I2" s="138" t="s">
        <v>914</v>
      </c>
      <c r="J2" s="114" t="s">
        <v>915</v>
      </c>
      <c r="K2" s="139" t="s">
        <v>28</v>
      </c>
      <c r="L2" s="114" t="s">
        <v>17</v>
      </c>
      <c r="M2" s="135" t="s">
        <v>916</v>
      </c>
      <c r="N2" s="140" t="s">
        <v>918</v>
      </c>
    </row>
    <row r="3" spans="1:14" ht="15">
      <c r="A3" s="44" t="s">
        <v>926</v>
      </c>
      <c r="B3" s="53">
        <f>SUM(C3:D3)</f>
        <v>28</v>
      </c>
      <c r="C3" s="143">
        <v>18</v>
      </c>
      <c r="D3" s="53">
        <v>10</v>
      </c>
      <c r="E3" s="79">
        <f>IFERROR(C3/B3,0)</f>
        <v>0.6428571428571429</v>
      </c>
      <c r="F3" s="134" t="str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-</v>
      </c>
      <c r="I3" s="137" t="s">
        <v>971</v>
      </c>
      <c r="J3" s="88">
        <f>SUM(K3:L3)</f>
        <v>25</v>
      </c>
      <c r="K3" s="30">
        <f>VLOOKUP(I3,A:C,3,FALSE)</f>
        <v>19</v>
      </c>
      <c r="L3" s="89">
        <f>VLOOKUP(I3,A:D,4,FALSE)</f>
        <v>6</v>
      </c>
      <c r="M3" s="90">
        <f>IFERROR(K3/J3,0)</f>
        <v>0.76</v>
      </c>
      <c r="N3" s="133" t="str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-</v>
      </c>
    </row>
    <row r="4" spans="1:14" ht="15">
      <c r="A4" s="82" t="s">
        <v>943</v>
      </c>
      <c r="B4" s="30">
        <f>SUM(C4:D4)</f>
        <v>28</v>
      </c>
      <c r="C4" s="91">
        <v>16</v>
      </c>
      <c r="D4" s="30">
        <v>12</v>
      </c>
      <c r="E4" s="31">
        <f>IFERROR(C4/B4,0)</f>
        <v>0.5714285714285714</v>
      </c>
      <c r="F4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2</v>
      </c>
      <c r="I4" s="104" t="s">
        <v>926</v>
      </c>
      <c r="J4" s="87">
        <f>SUM(K4:L4)</f>
        <v>28</v>
      </c>
      <c r="K4" s="53">
        <f>VLOOKUP(I4,A:C,3,FALSE)</f>
        <v>18</v>
      </c>
      <c r="L4" s="95">
        <f>VLOOKUP(I4,A:D,4,FALSE)</f>
        <v>10</v>
      </c>
      <c r="M4" s="96">
        <f>IFERROR(K4/J4,0)</f>
        <v>0.6428571428571429</v>
      </c>
      <c r="N4" s="134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2.5</v>
      </c>
    </row>
    <row r="5" spans="1:14" ht="15">
      <c r="A5" s="82" t="s">
        <v>935</v>
      </c>
      <c r="B5" s="88">
        <f>SUM(C5:D5)</f>
        <v>27</v>
      </c>
      <c r="C5" s="91">
        <v>15</v>
      </c>
      <c r="D5" s="30">
        <v>12</v>
      </c>
      <c r="E5" s="31">
        <f>IFERROR(C5/B5,0)</f>
        <v>0.55555555555555558</v>
      </c>
      <c r="F5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2.5</v>
      </c>
      <c r="I5" s="137" t="s">
        <v>953</v>
      </c>
      <c r="J5" s="88">
        <f>SUM(K5:L5)</f>
        <v>30</v>
      </c>
      <c r="K5" s="30">
        <f>VLOOKUP(I5,A:C,3,FALSE)</f>
        <v>19</v>
      </c>
      <c r="L5" s="89">
        <f>VLOOKUP(I5,A:D,4,FALSE)</f>
        <v>11</v>
      </c>
      <c r="M5" s="90">
        <f>IFERROR(K5/J5,0)</f>
        <v>0.6333333333333333</v>
      </c>
      <c r="N5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2.5</v>
      </c>
    </row>
    <row r="6" spans="1:14" ht="15">
      <c r="A6" s="82" t="s">
        <v>933</v>
      </c>
      <c r="B6" s="88">
        <f>SUM(C6:D6)</f>
        <v>28</v>
      </c>
      <c r="C6" s="91">
        <v>15</v>
      </c>
      <c r="D6" s="30">
        <v>13</v>
      </c>
      <c r="E6" s="31">
        <f>IFERROR(C6/B6,0)</f>
        <v>0.5357142857142857</v>
      </c>
      <c r="F6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3</v>
      </c>
      <c r="I6" s="137" t="s">
        <v>948</v>
      </c>
      <c r="J6" s="88">
        <f>SUM(K6:L6)</f>
        <v>21</v>
      </c>
      <c r="K6" s="30">
        <f>VLOOKUP(I6,A:C,3,FALSE)</f>
        <v>13</v>
      </c>
      <c r="L6" s="89">
        <f>VLOOKUP(I6,A:D,4,FALSE)</f>
        <v>8</v>
      </c>
      <c r="M6" s="90">
        <f>IFERROR(K6/J6,0)</f>
        <v>0.61904761904761907</v>
      </c>
      <c r="N6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4</v>
      </c>
    </row>
    <row r="7" spans="1:14" ht="15">
      <c r="A7" s="82" t="s">
        <v>930</v>
      </c>
      <c r="B7" s="88">
        <f>SUM(C7:D7)</f>
        <v>27</v>
      </c>
      <c r="C7" s="92">
        <v>14</v>
      </c>
      <c r="D7" s="89">
        <v>13</v>
      </c>
      <c r="E7" s="31">
        <f>IFERROR(C7/B7,0)</f>
        <v>0.51851851851851849</v>
      </c>
      <c r="F7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3.5</v>
      </c>
      <c r="I7" s="137" t="s">
        <v>967</v>
      </c>
      <c r="J7" s="88">
        <f>SUM(K7:L7)</f>
        <v>29</v>
      </c>
      <c r="K7" s="30">
        <f>VLOOKUP(I7,A:C,3,FALSE)</f>
        <v>17</v>
      </c>
      <c r="L7" s="89">
        <f>VLOOKUP(I7,A:D,4,FALSE)</f>
        <v>12</v>
      </c>
      <c r="M7" s="90">
        <f>IFERROR(K7/J7,0)</f>
        <v>0.58620689655172409</v>
      </c>
      <c r="N7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4</v>
      </c>
    </row>
    <row r="8" spans="1:14" ht="15">
      <c r="A8" s="136" t="s">
        <v>964</v>
      </c>
      <c r="B8" s="88">
        <f>SUM(C8:D8)</f>
        <v>26</v>
      </c>
      <c r="C8" s="91">
        <v>13</v>
      </c>
      <c r="D8" s="30">
        <v>13</v>
      </c>
      <c r="E8" s="31">
        <f>IFERROR(C8/B8,0)</f>
        <v>0.5</v>
      </c>
      <c r="F8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4</v>
      </c>
      <c r="I8" s="137" t="s">
        <v>939</v>
      </c>
      <c r="J8" s="88">
        <f>SUM(K8:L8)</f>
        <v>19</v>
      </c>
      <c r="K8" s="30">
        <f>VLOOKUP(I8,A:C,3,FALSE)</f>
        <v>11</v>
      </c>
      <c r="L8" s="89">
        <f>VLOOKUP(I8,A:D,4,FALSE)</f>
        <v>8</v>
      </c>
      <c r="M8" s="90">
        <f>IFERROR(K8/J8,0)</f>
        <v>0.57894736842105265</v>
      </c>
      <c r="N8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5</v>
      </c>
    </row>
    <row r="9" spans="1:14" ht="15">
      <c r="A9" s="82" t="s">
        <v>982</v>
      </c>
      <c r="B9" s="88">
        <f>SUM(C9:D9)</f>
        <v>24</v>
      </c>
      <c r="C9" s="91">
        <v>12</v>
      </c>
      <c r="D9" s="30">
        <v>12</v>
      </c>
      <c r="E9" s="31">
        <f>IFERROR(C9/B9,0)</f>
        <v>0.5</v>
      </c>
      <c r="F9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4</v>
      </c>
      <c r="I9" s="137" t="s">
        <v>943</v>
      </c>
      <c r="J9" s="88">
        <f>SUM(K9:L9)</f>
        <v>28</v>
      </c>
      <c r="K9" s="30">
        <f>VLOOKUP(I9,A:C,3,FALSE)</f>
        <v>16</v>
      </c>
      <c r="L9" s="89">
        <f>VLOOKUP(I9,A:D,4,FALSE)</f>
        <v>12</v>
      </c>
      <c r="M9" s="90">
        <f>IFERROR(K9/J9,0)</f>
        <v>0.5714285714285714</v>
      </c>
      <c r="N9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4.5</v>
      </c>
    </row>
    <row r="10" spans="1:14" ht="15">
      <c r="A10" s="82" t="s">
        <v>984</v>
      </c>
      <c r="B10" s="88">
        <f>SUM(C10:D10)</f>
        <v>29</v>
      </c>
      <c r="C10" s="91">
        <v>14</v>
      </c>
      <c r="D10" s="30">
        <v>15</v>
      </c>
      <c r="E10" s="31">
        <f>IFERROR(C10/B10,0)</f>
        <v>0.48275862068965519</v>
      </c>
      <c r="F10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4.5</v>
      </c>
      <c r="I10" s="137" t="s">
        <v>987</v>
      </c>
      <c r="J10" s="88">
        <f>SUM(K10:L10)</f>
        <v>30</v>
      </c>
      <c r="K10" s="30">
        <f>VLOOKUP(I10,A:C,3,FALSE)</f>
        <v>17</v>
      </c>
      <c r="L10" s="89">
        <f>VLOOKUP(I10,A:D,4,FALSE)</f>
        <v>13</v>
      </c>
      <c r="M10" s="90">
        <f>IFERROR(K10/J10,0)</f>
        <v>0.56666666666666665</v>
      </c>
      <c r="N10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4.5</v>
      </c>
    </row>
    <row r="11" spans="1:14" ht="15">
      <c r="A11" s="82" t="s">
        <v>941</v>
      </c>
      <c r="B11" s="88">
        <f>SUM(C11:D11)</f>
        <v>27</v>
      </c>
      <c r="C11" s="91">
        <v>13</v>
      </c>
      <c r="D11" s="30">
        <v>14</v>
      </c>
      <c r="E11" s="31">
        <f>IFERROR(C11/B11,0)</f>
        <v>0.48148148148148145</v>
      </c>
      <c r="F11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4.5</v>
      </c>
      <c r="I11" s="137" t="s">
        <v>955</v>
      </c>
      <c r="J11" s="88">
        <f>SUM(K11:L11)</f>
        <v>30</v>
      </c>
      <c r="K11" s="30">
        <f>VLOOKUP(I11,A:C,3,FALSE)</f>
        <v>17</v>
      </c>
      <c r="L11" s="89">
        <f>VLOOKUP(I11,A:D,4,FALSE)</f>
        <v>13</v>
      </c>
      <c r="M11" s="90">
        <f>IFERROR(K11/J11,0)</f>
        <v>0.56666666666666665</v>
      </c>
      <c r="N11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4.5</v>
      </c>
    </row>
    <row r="12" spans="1:14" ht="15">
      <c r="A12" s="82" t="s">
        <v>937</v>
      </c>
      <c r="B12" s="88">
        <f>SUM(C12:D12)</f>
        <v>25</v>
      </c>
      <c r="C12" s="91">
        <v>12</v>
      </c>
      <c r="D12" s="30">
        <v>13</v>
      </c>
      <c r="E12" s="31">
        <f>IFERROR(C12/B12,0)</f>
        <v>0.48</v>
      </c>
      <c r="F12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4.5</v>
      </c>
      <c r="I12" s="137" t="s">
        <v>935</v>
      </c>
      <c r="J12" s="88">
        <f>SUM(K12:L12)</f>
        <v>27</v>
      </c>
      <c r="K12" s="30">
        <f>VLOOKUP(I12,A:C,3,FALSE)</f>
        <v>15</v>
      </c>
      <c r="L12" s="89">
        <f>VLOOKUP(I12,A:D,4,FALSE)</f>
        <v>12</v>
      </c>
      <c r="M12" s="90">
        <f>IFERROR(K12/J12,0)</f>
        <v>0.55555555555555558</v>
      </c>
      <c r="N12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5</v>
      </c>
    </row>
    <row r="13" spans="1:14" ht="15">
      <c r="A13" s="82" t="s">
        <v>932</v>
      </c>
      <c r="B13" s="88">
        <f>SUM(C13:D13)</f>
        <v>25</v>
      </c>
      <c r="C13" s="91">
        <v>12</v>
      </c>
      <c r="D13" s="30">
        <v>13</v>
      </c>
      <c r="E13" s="31">
        <f>IFERROR(C13/B13,0)</f>
        <v>0.48</v>
      </c>
      <c r="F13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4.5</v>
      </c>
      <c r="I13" s="137" t="s">
        <v>933</v>
      </c>
      <c r="J13" s="88">
        <f>SUM(K13:L13)</f>
        <v>28</v>
      </c>
      <c r="K13" s="30">
        <f>VLOOKUP(I13,A:C,3,FALSE)</f>
        <v>15</v>
      </c>
      <c r="L13" s="89">
        <f>VLOOKUP(I13,A:D,4,FALSE)</f>
        <v>13</v>
      </c>
      <c r="M13" s="90">
        <f>IFERROR(K13/J13,0)</f>
        <v>0.5357142857142857</v>
      </c>
      <c r="N13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5.5</v>
      </c>
    </row>
    <row r="14" spans="1:14" ht="15">
      <c r="A14" s="82" t="s">
        <v>986</v>
      </c>
      <c r="B14" s="88">
        <f>SUM(C14:D14)</f>
        <v>28</v>
      </c>
      <c r="C14" s="91">
        <v>13</v>
      </c>
      <c r="D14" s="30">
        <v>15</v>
      </c>
      <c r="E14" s="31">
        <f>IFERROR(C14/B14,0)</f>
        <v>0.4642857142857143</v>
      </c>
      <c r="F14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5</v>
      </c>
      <c r="I14" s="137" t="s">
        <v>930</v>
      </c>
      <c r="J14" s="88">
        <f>SUM(K14:L14)</f>
        <v>27</v>
      </c>
      <c r="K14" s="30">
        <f>VLOOKUP(I14,A:C,3,FALSE)</f>
        <v>14</v>
      </c>
      <c r="L14" s="89">
        <f>VLOOKUP(I14,A:D,4,FALSE)</f>
        <v>13</v>
      </c>
      <c r="M14" s="90">
        <f>IFERROR(K14/J14,0)</f>
        <v>0.51851851851851849</v>
      </c>
      <c r="N14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6</v>
      </c>
    </row>
    <row r="15" spans="1:14" ht="15">
      <c r="A15" s="82" t="s">
        <v>973</v>
      </c>
      <c r="B15" s="88">
        <f>SUM(C15:D15)</f>
        <v>27</v>
      </c>
      <c r="C15" s="91">
        <v>12</v>
      </c>
      <c r="D15" s="30">
        <v>15</v>
      </c>
      <c r="E15" s="31">
        <f>IFERROR(C15/B15,0)</f>
        <v>0.44444444444444442</v>
      </c>
      <c r="F15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5.5</v>
      </c>
      <c r="I15" s="137" t="s">
        <v>928</v>
      </c>
      <c r="J15" s="88">
        <f>SUM(K15:L15)</f>
        <v>29</v>
      </c>
      <c r="K15" s="30">
        <f>VLOOKUP(I15,A:C,3,FALSE)</f>
        <v>15</v>
      </c>
      <c r="L15" s="89">
        <f>VLOOKUP(I15,A:D,4,FALSE)</f>
        <v>14</v>
      </c>
      <c r="M15" s="90">
        <f>IFERROR(K15/J15,0)</f>
        <v>0.51724137931034486</v>
      </c>
      <c r="N15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6</v>
      </c>
    </row>
    <row r="16" spans="1:14" ht="15">
      <c r="A16" s="93" t="s">
        <v>958</v>
      </c>
      <c r="B16" s="55">
        <f>SUM(C16:D16)</f>
        <v>27</v>
      </c>
      <c r="C16" s="91">
        <v>12</v>
      </c>
      <c r="D16" s="91">
        <v>15</v>
      </c>
      <c r="E16" s="94">
        <f>IFERROR(C16/B16,0)</f>
        <v>0.44444444444444442</v>
      </c>
      <c r="F16" s="133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5.5</v>
      </c>
      <c r="I16" s="137" t="s">
        <v>964</v>
      </c>
      <c r="J16" s="88">
        <f>SUM(K16:L16)</f>
        <v>26</v>
      </c>
      <c r="K16" s="30">
        <f>VLOOKUP(I16,A:C,3,FALSE)</f>
        <v>13</v>
      </c>
      <c r="L16" s="89">
        <f>VLOOKUP(I16,A:D,4,FALSE)</f>
        <v>13</v>
      </c>
      <c r="M16" s="90">
        <f>IFERROR(K16/J16,0)</f>
        <v>0.5</v>
      </c>
      <c r="N16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6.5</v>
      </c>
    </row>
    <row r="17" spans="1:19" ht="15">
      <c r="A17" s="93" t="s">
        <v>979</v>
      </c>
      <c r="B17" s="91">
        <f>SUM(C17:D17)</f>
        <v>24</v>
      </c>
      <c r="C17" s="91">
        <v>9</v>
      </c>
      <c r="D17" s="91">
        <v>15</v>
      </c>
      <c r="E17" s="94">
        <f>IFERROR(C17/B17,0)</f>
        <v>0.375</v>
      </c>
      <c r="F17" s="57">
        <f>IF(IF(Table13[[#This Row],[GP]]&lt;$B$3,(((Table13[[#This Row],[GP]]-$B$3)/2)+$C$3)-Table13[[#This Row],[W]],IF(Table13[[#This Row],[GP]]&gt;$B$3,(((Table13[[#This Row],[GP]]-$B$3)/2)+$C$3)-Table13[[#This Row],[W]],$C$3-Table13[[#This Row],[W]])) = 0, "-", IF(Table13[[#This Row],[GP]]&lt;$B$3,(((Table13[[#This Row],[GP]]-$B$3)/2)+$C$3)-Table13[[#This Row],[W]],IF(Table13[[#This Row],[GP]]&gt;$B$3,(((Table13[[#This Row],[GP]]-$B$3)/2)+$C$3)-Table13[[#This Row],[W]],$C$3-Table13[[#This Row],[W]])))</f>
        <v>7</v>
      </c>
      <c r="I17" s="137" t="s">
        <v>982</v>
      </c>
      <c r="J17" s="88">
        <f>SUM(K17:L17)</f>
        <v>24</v>
      </c>
      <c r="K17" s="30">
        <f>VLOOKUP(I17,A:C,3,FALSE)</f>
        <v>12</v>
      </c>
      <c r="L17" s="89">
        <f>VLOOKUP(I17,A:D,4,FALSE)</f>
        <v>12</v>
      </c>
      <c r="M17" s="90">
        <f>IFERROR(K17/J17,0)</f>
        <v>0.5</v>
      </c>
      <c r="N17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6.5</v>
      </c>
    </row>
    <row r="18" spans="1:19" ht="15">
      <c r="B18" s="26"/>
      <c r="C18" s="26"/>
      <c r="D18" s="26"/>
      <c r="E18" s="26"/>
      <c r="F18" s="26"/>
      <c r="I18" s="137" t="s">
        <v>984</v>
      </c>
      <c r="J18" s="88">
        <f>SUM(K18:L18)</f>
        <v>29</v>
      </c>
      <c r="K18" s="30">
        <f>VLOOKUP(I18,A:C,3,FALSE)</f>
        <v>14</v>
      </c>
      <c r="L18" s="89">
        <f>VLOOKUP(I18,A:D,4,FALSE)</f>
        <v>15</v>
      </c>
      <c r="M18" s="90">
        <f>IFERROR(K18/J18,0)</f>
        <v>0.48275862068965519</v>
      </c>
      <c r="N18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7</v>
      </c>
    </row>
    <row r="19" spans="1:19" ht="15">
      <c r="A19" s="44" t="s">
        <v>1206</v>
      </c>
      <c r="B19" s="44"/>
      <c r="C19" s="44"/>
      <c r="D19" s="44"/>
      <c r="E19" s="44"/>
      <c r="F19" s="44"/>
      <c r="I19" s="137" t="s">
        <v>941</v>
      </c>
      <c r="J19" s="88">
        <f>SUM(K19:L19)</f>
        <v>27</v>
      </c>
      <c r="K19" s="30">
        <f>VLOOKUP(I19,A:C,3,FALSE)</f>
        <v>13</v>
      </c>
      <c r="L19" s="89">
        <f>VLOOKUP(I19,A:D,4,FALSE)</f>
        <v>14</v>
      </c>
      <c r="M19" s="90">
        <f>IFERROR(K19/J19,0)</f>
        <v>0.48148148148148145</v>
      </c>
      <c r="N19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7</v>
      </c>
    </row>
    <row r="20" spans="1:19" ht="15">
      <c r="A20" s="138" t="s">
        <v>914</v>
      </c>
      <c r="B20" s="114" t="s">
        <v>915</v>
      </c>
      <c r="C20" s="114" t="s">
        <v>28</v>
      </c>
      <c r="D20" s="114" t="s">
        <v>17</v>
      </c>
      <c r="E20" s="114" t="s">
        <v>916</v>
      </c>
      <c r="F20" s="135" t="s">
        <v>918</v>
      </c>
      <c r="I20" s="137" t="s">
        <v>932</v>
      </c>
      <c r="J20" s="88">
        <f>SUM(K20:L20)</f>
        <v>25</v>
      </c>
      <c r="K20" s="30">
        <f>VLOOKUP(I20,A:C,3,FALSE)</f>
        <v>12</v>
      </c>
      <c r="L20" s="89">
        <f>VLOOKUP(I20,A:D,4,FALSE)</f>
        <v>13</v>
      </c>
      <c r="M20" s="90">
        <f>IFERROR(K20/J20,0)</f>
        <v>0.48</v>
      </c>
      <c r="N20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7</v>
      </c>
    </row>
    <row r="21" spans="1:19" ht="15">
      <c r="A21" s="137" t="s">
        <v>971</v>
      </c>
      <c r="B21" s="30">
        <f>SUM(C21:D21)</f>
        <v>25</v>
      </c>
      <c r="C21" s="92">
        <v>19</v>
      </c>
      <c r="D21" s="89">
        <v>6</v>
      </c>
      <c r="E21" s="31">
        <f>IFERROR(C21/B21,0)</f>
        <v>0.76</v>
      </c>
      <c r="F21" s="133" t="str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-</v>
      </c>
      <c r="I21" s="137" t="s">
        <v>937</v>
      </c>
      <c r="J21" s="88">
        <f>SUM(K21:L21)</f>
        <v>25</v>
      </c>
      <c r="K21" s="30">
        <f>VLOOKUP(I21,A:C,3,FALSE)</f>
        <v>12</v>
      </c>
      <c r="L21" s="89">
        <f>VLOOKUP(I21,A:D,4,FALSE)</f>
        <v>13</v>
      </c>
      <c r="M21" s="90">
        <f>IFERROR(K21/J21,0)</f>
        <v>0.48</v>
      </c>
      <c r="N21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7</v>
      </c>
    </row>
    <row r="22" spans="1:19" ht="15">
      <c r="A22" s="137" t="s">
        <v>953</v>
      </c>
      <c r="B22" s="30">
        <f>SUM(C22:D22)</f>
        <v>30</v>
      </c>
      <c r="C22" s="92">
        <v>19</v>
      </c>
      <c r="D22" s="89">
        <v>11</v>
      </c>
      <c r="E22" s="31">
        <f>IFERROR(C22/B22,0)</f>
        <v>0.6333333333333333</v>
      </c>
      <c r="F22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2.5</v>
      </c>
      <c r="I22" s="137" t="s">
        <v>951</v>
      </c>
      <c r="J22" s="88">
        <f>SUM(K22:L22)</f>
        <v>28</v>
      </c>
      <c r="K22" s="30">
        <f>VLOOKUP(I22,A:C,3,FALSE)</f>
        <v>13</v>
      </c>
      <c r="L22" s="89">
        <f>VLOOKUP(I22,A:D,4,FALSE)</f>
        <v>15</v>
      </c>
      <c r="M22" s="90">
        <f>IFERROR(K22/J22,0)</f>
        <v>0.4642857142857143</v>
      </c>
      <c r="N22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7.5</v>
      </c>
      <c r="R22" s="74"/>
      <c r="S22" s="74"/>
    </row>
    <row r="23" spans="1:19" ht="15">
      <c r="A23" s="137" t="s">
        <v>948</v>
      </c>
      <c r="B23" s="30">
        <f>SUM(C23:D23)</f>
        <v>21</v>
      </c>
      <c r="C23" s="92">
        <v>13</v>
      </c>
      <c r="D23" s="89">
        <v>8</v>
      </c>
      <c r="E23" s="31">
        <f>IFERROR(C23/B23,0)</f>
        <v>0.61904761904761907</v>
      </c>
      <c r="F23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4</v>
      </c>
      <c r="I23" s="137" t="s">
        <v>986</v>
      </c>
      <c r="J23" s="88">
        <f>SUM(K23:L23)</f>
        <v>28</v>
      </c>
      <c r="K23" s="30">
        <f>VLOOKUP(I23,A:C,3,FALSE)</f>
        <v>13</v>
      </c>
      <c r="L23" s="89">
        <f>VLOOKUP(I23,A:D,4,FALSE)</f>
        <v>15</v>
      </c>
      <c r="M23" s="90">
        <f>IFERROR(K23/J23,0)</f>
        <v>0.4642857142857143</v>
      </c>
      <c r="N23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7.5</v>
      </c>
      <c r="R23" s="74"/>
      <c r="S23" s="74"/>
    </row>
    <row r="24" spans="1:19" ht="15">
      <c r="A24" s="137" t="s">
        <v>967</v>
      </c>
      <c r="B24" s="30">
        <f>SUM(C24:D24)</f>
        <v>29</v>
      </c>
      <c r="C24" s="92">
        <v>17</v>
      </c>
      <c r="D24" s="89">
        <v>12</v>
      </c>
      <c r="E24" s="31">
        <f>IFERROR(C24/B24,0)</f>
        <v>0.58620689655172409</v>
      </c>
      <c r="F24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4</v>
      </c>
      <c r="I24" s="137" t="s">
        <v>973</v>
      </c>
      <c r="J24" s="88">
        <f>SUM(K24:L24)</f>
        <v>27</v>
      </c>
      <c r="K24" s="30">
        <f>VLOOKUP(I24,A:C,3,FALSE)</f>
        <v>12</v>
      </c>
      <c r="L24" s="89">
        <f>VLOOKUP(I24,A:D,4,FALSE)</f>
        <v>15</v>
      </c>
      <c r="M24" s="90">
        <f>IFERROR(K24/J24,0)</f>
        <v>0.44444444444444442</v>
      </c>
      <c r="N24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8</v>
      </c>
      <c r="R24" s="74"/>
    </row>
    <row r="25" spans="1:19" ht="15">
      <c r="A25" s="137" t="s">
        <v>939</v>
      </c>
      <c r="B25" s="30">
        <f>SUM(C25:D25)</f>
        <v>19</v>
      </c>
      <c r="C25" s="92">
        <v>11</v>
      </c>
      <c r="D25" s="89">
        <v>8</v>
      </c>
      <c r="E25" s="31">
        <f>IFERROR(C25/B25,0)</f>
        <v>0.57894736842105265</v>
      </c>
      <c r="F25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5</v>
      </c>
      <c r="I25" s="137" t="s">
        <v>958</v>
      </c>
      <c r="J25" s="88">
        <f>SUM(K25:L25)</f>
        <v>27</v>
      </c>
      <c r="K25" s="30">
        <f>VLOOKUP(I25,A:C,3,FALSE)</f>
        <v>12</v>
      </c>
      <c r="L25" s="89">
        <f>VLOOKUP(I25,A:D,4,FALSE)</f>
        <v>15</v>
      </c>
      <c r="M25" s="90">
        <f>IFERROR(K25/J25,0)</f>
        <v>0.44444444444444442</v>
      </c>
      <c r="N25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8</v>
      </c>
      <c r="R25" s="74"/>
    </row>
    <row r="26" spans="1:19" ht="15">
      <c r="A26" s="137" t="s">
        <v>987</v>
      </c>
      <c r="B26" s="30">
        <f>SUM(C26:D26)</f>
        <v>30</v>
      </c>
      <c r="C26" s="92">
        <v>17</v>
      </c>
      <c r="D26" s="89">
        <v>13</v>
      </c>
      <c r="E26" s="31">
        <f>IFERROR(C26/B26,0)</f>
        <v>0.56666666666666665</v>
      </c>
      <c r="F26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4.5</v>
      </c>
      <c r="I26" s="137" t="s">
        <v>968</v>
      </c>
      <c r="J26" s="88">
        <f>SUM(K26:L26)</f>
        <v>29</v>
      </c>
      <c r="K26" s="30">
        <f>VLOOKUP(I26,A:C,3,FALSE)</f>
        <v>12</v>
      </c>
      <c r="L26" s="89">
        <f>VLOOKUP(I26,A:D,4,FALSE)</f>
        <v>17</v>
      </c>
      <c r="M26" s="90">
        <f>IFERROR(K26/J26,0)</f>
        <v>0.41379310344827586</v>
      </c>
      <c r="N26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9</v>
      </c>
      <c r="R26" s="74"/>
    </row>
    <row r="27" spans="1:19" ht="15">
      <c r="A27" s="137" t="s">
        <v>955</v>
      </c>
      <c r="B27" s="30">
        <f>SUM(C27:D27)</f>
        <v>30</v>
      </c>
      <c r="C27" s="92">
        <v>17</v>
      </c>
      <c r="D27" s="89">
        <v>13</v>
      </c>
      <c r="E27" s="31">
        <f>IFERROR(C27/B27,0)</f>
        <v>0.56666666666666665</v>
      </c>
      <c r="F27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4.5</v>
      </c>
      <c r="I27" s="137" t="s">
        <v>956</v>
      </c>
      <c r="J27" s="88">
        <f>SUM(K27:L27)</f>
        <v>29</v>
      </c>
      <c r="K27" s="30">
        <f>VLOOKUP(I27,A:C,3,FALSE)</f>
        <v>12</v>
      </c>
      <c r="L27" s="89">
        <f>VLOOKUP(I27,A:D,4,FALSE)</f>
        <v>17</v>
      </c>
      <c r="M27" s="90">
        <f>IFERROR(K27/J27,0)</f>
        <v>0.41379310344827586</v>
      </c>
      <c r="N27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9</v>
      </c>
      <c r="R27" s="74"/>
    </row>
    <row r="28" spans="1:19" ht="15">
      <c r="A28" s="137" t="s">
        <v>928</v>
      </c>
      <c r="B28" s="30">
        <f>SUM(C28:D28)</f>
        <v>29</v>
      </c>
      <c r="C28" s="92">
        <v>15</v>
      </c>
      <c r="D28" s="89">
        <v>14</v>
      </c>
      <c r="E28" s="31">
        <f>IFERROR(C28/B28,0)</f>
        <v>0.51724137931034486</v>
      </c>
      <c r="F28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6</v>
      </c>
      <c r="I28" s="137" t="s">
        <v>947</v>
      </c>
      <c r="J28" s="88">
        <f>SUM(K28:L28)</f>
        <v>29</v>
      </c>
      <c r="K28" s="30">
        <f>VLOOKUP(I28,A:C,3,FALSE)</f>
        <v>11</v>
      </c>
      <c r="L28" s="89">
        <f>VLOOKUP(I28,A:D,4,FALSE)</f>
        <v>18</v>
      </c>
      <c r="M28" s="90">
        <f>IFERROR(K28/J28,0)</f>
        <v>0.37931034482758619</v>
      </c>
      <c r="N28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10</v>
      </c>
      <c r="R28" s="74"/>
    </row>
    <row r="29" spans="1:19" ht="15">
      <c r="A29" s="137" t="s">
        <v>951</v>
      </c>
      <c r="B29" s="30">
        <f>SUM(C29:D29)</f>
        <v>28</v>
      </c>
      <c r="C29" s="92">
        <v>13</v>
      </c>
      <c r="D29" s="89">
        <v>15</v>
      </c>
      <c r="E29" s="31">
        <f>IFERROR(C29/B29,0)</f>
        <v>0.4642857142857143</v>
      </c>
      <c r="F29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7.5</v>
      </c>
      <c r="I29" s="137" t="s">
        <v>979</v>
      </c>
      <c r="J29" s="88">
        <f>SUM(K29:L29)</f>
        <v>24</v>
      </c>
      <c r="K29" s="30">
        <f>VLOOKUP(I29,A:C,3,FALSE)</f>
        <v>9</v>
      </c>
      <c r="L29" s="89">
        <f>VLOOKUP(I29,A:D,4,FALSE)</f>
        <v>15</v>
      </c>
      <c r="M29" s="90">
        <f>IFERROR(K29/J29,0)</f>
        <v>0.375</v>
      </c>
      <c r="N29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9.5</v>
      </c>
      <c r="R29" s="74"/>
    </row>
    <row r="30" spans="1:19" ht="15">
      <c r="A30" s="137" t="s">
        <v>968</v>
      </c>
      <c r="B30" s="30">
        <f>SUM(C30:D30)</f>
        <v>29</v>
      </c>
      <c r="C30" s="92">
        <v>12</v>
      </c>
      <c r="D30" s="89">
        <v>17</v>
      </c>
      <c r="E30" s="31">
        <f>IFERROR(C30/B30,0)</f>
        <v>0.41379310344827586</v>
      </c>
      <c r="F30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9</v>
      </c>
      <c r="I30" s="137" t="s">
        <v>962</v>
      </c>
      <c r="J30" s="88">
        <f>SUM(K30:L30)</f>
        <v>27</v>
      </c>
      <c r="K30" s="30">
        <f>VLOOKUP(I30,A:C,3,FALSE)</f>
        <v>10</v>
      </c>
      <c r="L30" s="89">
        <f>VLOOKUP(I30,A:D,4,FALSE)</f>
        <v>17</v>
      </c>
      <c r="M30" s="90">
        <f>IFERROR(K30/J30,0)</f>
        <v>0.37037037037037035</v>
      </c>
      <c r="N30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10</v>
      </c>
      <c r="R30" s="74"/>
    </row>
    <row r="31" spans="1:19" ht="15">
      <c r="A31" s="137" t="s">
        <v>956</v>
      </c>
      <c r="B31" s="30">
        <f>SUM(C31:D31)</f>
        <v>29</v>
      </c>
      <c r="C31" s="92">
        <v>12</v>
      </c>
      <c r="D31" s="89">
        <v>17</v>
      </c>
      <c r="E31" s="31">
        <f>IFERROR(C31/B31,0)</f>
        <v>0.41379310344827586</v>
      </c>
      <c r="F31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9</v>
      </c>
      <c r="I31" s="137" t="s">
        <v>938</v>
      </c>
      <c r="J31" s="88">
        <f>SUM(K31:L31)</f>
        <v>30</v>
      </c>
      <c r="K31" s="30">
        <f>VLOOKUP(I31,A:C,3,FALSE)</f>
        <v>11</v>
      </c>
      <c r="L31" s="89">
        <f>VLOOKUP(I31,A:D,4,FALSE)</f>
        <v>19</v>
      </c>
      <c r="M31" s="90">
        <f>IFERROR(K31/J31,0)</f>
        <v>0.36666666666666664</v>
      </c>
      <c r="N31" s="133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10.5</v>
      </c>
      <c r="R31" s="74"/>
    </row>
    <row r="32" spans="1:19" ht="15">
      <c r="A32" s="137" t="s">
        <v>947</v>
      </c>
      <c r="B32" s="30">
        <f>SUM(C32:D32)</f>
        <v>29</v>
      </c>
      <c r="C32" s="92">
        <v>11</v>
      </c>
      <c r="D32" s="89">
        <v>18</v>
      </c>
      <c r="E32" s="31">
        <f>IFERROR(C32/B32,0)</f>
        <v>0.37931034482758619</v>
      </c>
      <c r="F32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10</v>
      </c>
      <c r="I32" s="141" t="s">
        <v>960</v>
      </c>
      <c r="J32" s="55">
        <f>SUM(K32:L32)</f>
        <v>29</v>
      </c>
      <c r="K32" s="91">
        <f>VLOOKUP(I32,A:C,3,FALSE)</f>
        <v>10</v>
      </c>
      <c r="L32" s="142">
        <f>VLOOKUP(I32,A:D,4,FALSE)</f>
        <v>19</v>
      </c>
      <c r="M32" s="56">
        <f>IFERROR(K32/J32,0)</f>
        <v>0.34482758620689657</v>
      </c>
      <c r="N32" s="57">
        <f>IF(IF(Table15[[#This Row],[GP]]&lt;$J$3,(((Table15[[#This Row],[GP]]-$J$3)/2)+$K$3)-Table15[[#This Row],[W]],IF(Table15[[#This Row],[GP]]&gt;$J$3,(((Table15[[#This Row],[GP]]-$J$3)/2)+$K$3)-Table15[[#This Row],[W]],$K$3-Table15[[#This Row],[W]])) = 0, "-", IF(Table15[[#This Row],[GP]]&lt;$J$3,(((Table15[[#This Row],[GP]]-$J$3)/2)+$K$3)-Table15[[#This Row],[W]],IF(Table15[[#This Row],[GP]]&gt;$J$3,(((Table15[[#This Row],[GP]]-$J$3)/2)+$K$3)-Table15[[#This Row],[W]],$K$3-Table15[[#This Row],[W]])))</f>
        <v>11</v>
      </c>
      <c r="R32" s="74"/>
    </row>
    <row r="33" spans="1:18" ht="15">
      <c r="A33" s="137" t="s">
        <v>962</v>
      </c>
      <c r="B33" s="30">
        <f>SUM(C33:D33)</f>
        <v>27</v>
      </c>
      <c r="C33" s="92">
        <v>10</v>
      </c>
      <c r="D33" s="89">
        <v>17</v>
      </c>
      <c r="E33" s="31">
        <f>IFERROR(C33/B33,0)</f>
        <v>0.37037037037037035</v>
      </c>
      <c r="F33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10</v>
      </c>
      <c r="R33" s="74"/>
    </row>
    <row r="34" spans="1:18" ht="15">
      <c r="A34" s="137" t="s">
        <v>938</v>
      </c>
      <c r="B34" s="30">
        <f>SUM(C34:D34)</f>
        <v>30</v>
      </c>
      <c r="C34" s="92">
        <v>11</v>
      </c>
      <c r="D34" s="89">
        <v>19</v>
      </c>
      <c r="E34" s="31">
        <f>IFERROR(C34/B34,0)</f>
        <v>0.36666666666666664</v>
      </c>
      <c r="F34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10.5</v>
      </c>
      <c r="R34" s="74"/>
    </row>
    <row r="35" spans="1:18" ht="15">
      <c r="A35" s="137" t="s">
        <v>960</v>
      </c>
      <c r="B35" s="30">
        <f>SUM(C35:D35)</f>
        <v>29</v>
      </c>
      <c r="C35" s="92">
        <v>10</v>
      </c>
      <c r="D35" s="89">
        <v>19</v>
      </c>
      <c r="E35" s="31">
        <f>IFERROR(C35/B35,0)</f>
        <v>0.34482758620689657</v>
      </c>
      <c r="F35" s="133">
        <f>IF(IF(Table14[[#This Row],[GP]]&lt;$B$21,(((Table14[[#This Row],[GP]]-$B$21)/2)+$C$21)-Table14[[#This Row],[W]],IF(Table14[[#This Row],[GP]]&gt;$B$21,(((Table14[[#This Row],[GP]]-$B$21)/2)+$C$21)-Table14[[#This Row],[W]],$C$21-Table14[[#This Row],[W]])) = 0, "-", IF(Table14[[#This Row],[GP]]&lt;$B$21,(((Table14[[#This Row],[GP]]-$B$21)/2)+$C$21)-Table14[[#This Row],[W]],IF(Table14[[#This Row],[GP]]&gt;$B$21,(((Table14[[#This Row],[GP]]-$B$21)/2)+$C$21)-Table14[[#This Row],[W]],$C$21-Table14[[#This Row],[W]])))</f>
        <v>11</v>
      </c>
      <c r="R35" s="74"/>
    </row>
    <row r="36" spans="1:18" ht="15">
      <c r="B36" s="26"/>
      <c r="C36" s="26"/>
      <c r="D36" s="26"/>
      <c r="E36" s="26"/>
      <c r="F36" s="26"/>
    </row>
    <row r="37" spans="1:18" ht="15">
      <c r="B37" s="26"/>
      <c r="C37" s="26"/>
      <c r="D37" s="26"/>
      <c r="E37" s="26"/>
      <c r="F37" s="26"/>
    </row>
    <row r="38" spans="1:18" ht="15">
      <c r="B38" s="26"/>
      <c r="C38" s="26"/>
      <c r="D38" s="26"/>
      <c r="E38" s="26"/>
      <c r="F38" s="26"/>
    </row>
    <row r="39" spans="1:18" ht="15">
      <c r="B39" s="26"/>
      <c r="C39" s="26"/>
      <c r="D39" s="26"/>
      <c r="E39" s="26"/>
      <c r="F39" s="26"/>
    </row>
    <row r="40" spans="1:18" ht="15">
      <c r="B40" s="26"/>
      <c r="C40" s="26"/>
      <c r="D40" s="26"/>
      <c r="E40" s="26"/>
      <c r="F40" s="26"/>
    </row>
    <row r="41" spans="1:18" ht="15">
      <c r="B41" s="26"/>
      <c r="C41" s="26"/>
      <c r="D41" s="26"/>
      <c r="E41" s="26"/>
      <c r="F41" s="26"/>
    </row>
    <row r="42" spans="1:18" ht="15">
      <c r="B42" s="26"/>
      <c r="C42" s="26"/>
      <c r="D42" s="26"/>
      <c r="E42" s="26"/>
      <c r="F42" s="26"/>
    </row>
    <row r="43" spans="1:18" ht="15">
      <c r="B43" s="26"/>
      <c r="C43" s="26"/>
      <c r="D43" s="26"/>
      <c r="E43" s="26"/>
      <c r="F43" s="26"/>
    </row>
    <row r="44" spans="1:18" ht="15">
      <c r="B44" s="26"/>
      <c r="C44" s="26"/>
      <c r="D44" s="26"/>
      <c r="E44" s="26"/>
      <c r="F44" s="26"/>
    </row>
    <row r="45" spans="1:18" ht="15">
      <c r="B45" s="26"/>
      <c r="C45" s="26"/>
      <c r="D45" s="26"/>
      <c r="E45" s="26"/>
      <c r="F45" s="26"/>
    </row>
    <row r="46" spans="1:18" ht="15">
      <c r="B46" s="26"/>
      <c r="C46" s="26"/>
      <c r="D46" s="26"/>
      <c r="E46" s="26"/>
      <c r="F46" s="26"/>
    </row>
    <row r="47" spans="1:18" ht="15">
      <c r="B47" s="26"/>
      <c r="C47" s="26"/>
      <c r="D47" s="26"/>
      <c r="E47" s="26"/>
      <c r="F47" s="26"/>
    </row>
    <row r="48" spans="1:18" ht="15">
      <c r="B48" s="26"/>
      <c r="C48" s="26"/>
      <c r="D48" s="26"/>
      <c r="E48" s="26"/>
      <c r="F48" s="26"/>
    </row>
    <row r="49" spans="2:6" ht="15">
      <c r="B49" s="26"/>
      <c r="C49" s="26"/>
      <c r="D49" s="26"/>
      <c r="E49" s="26"/>
      <c r="F49" s="26"/>
    </row>
    <row r="50" spans="2:6" ht="15">
      <c r="B50" s="26"/>
      <c r="C50" s="26"/>
      <c r="D50" s="26"/>
      <c r="E50" s="26"/>
      <c r="F50" s="26"/>
    </row>
    <row r="51" spans="2:6" ht="15">
      <c r="B51" s="26"/>
      <c r="C51" s="26"/>
      <c r="D51" s="26"/>
      <c r="E51" s="26"/>
      <c r="F51" s="26"/>
    </row>
    <row r="52" spans="2:6" ht="15">
      <c r="B52" s="26"/>
      <c r="C52" s="26"/>
      <c r="D52" s="26"/>
      <c r="E52" s="26"/>
      <c r="F52" s="26"/>
    </row>
    <row r="53" spans="2:6" ht="15">
      <c r="B53" s="26"/>
      <c r="C53" s="26"/>
      <c r="D53" s="26"/>
      <c r="E53" s="26"/>
      <c r="F53" s="26"/>
    </row>
    <row r="54" spans="2:6" ht="15">
      <c r="B54" s="26"/>
      <c r="C54" s="26"/>
      <c r="D54" s="26"/>
      <c r="E54" s="26"/>
      <c r="F54" s="26"/>
    </row>
    <row r="55" spans="2:6" ht="15">
      <c r="B55" s="26"/>
      <c r="C55" s="26"/>
      <c r="D55" s="26"/>
      <c r="E55" s="26"/>
      <c r="F55" s="26"/>
    </row>
    <row r="56" spans="2:6" ht="15">
      <c r="B56" s="26"/>
      <c r="C56" s="26"/>
      <c r="D56" s="26"/>
      <c r="E56" s="26"/>
      <c r="F56" s="26"/>
    </row>
    <row r="57" spans="2:6" ht="15">
      <c r="B57" s="26"/>
      <c r="C57" s="26"/>
      <c r="D57" s="26"/>
      <c r="E57" s="26"/>
      <c r="F57" s="26"/>
    </row>
    <row r="58" spans="2:6" ht="15">
      <c r="B58" s="26"/>
      <c r="C58" s="26"/>
      <c r="D58" s="26"/>
      <c r="E58" s="26"/>
      <c r="F58" s="26"/>
    </row>
    <row r="59" spans="2:6" ht="15">
      <c r="B59" s="26"/>
      <c r="C59" s="26"/>
      <c r="D59" s="26"/>
      <c r="E59" s="26"/>
      <c r="F59" s="26"/>
    </row>
    <row r="60" spans="2:6" ht="15">
      <c r="B60" s="26"/>
      <c r="C60" s="26"/>
      <c r="D60" s="26"/>
      <c r="E60" s="26"/>
      <c r="F60" s="26"/>
    </row>
    <row r="61" spans="2:6" ht="15">
      <c r="B61" s="26"/>
      <c r="C61" s="26"/>
      <c r="D61" s="26"/>
      <c r="E61" s="26"/>
      <c r="F61" s="26"/>
    </row>
    <row r="62" spans="2:6" ht="15">
      <c r="B62" s="26"/>
      <c r="C62" s="26"/>
      <c r="D62" s="26"/>
      <c r="E62" s="26"/>
      <c r="F62" s="26"/>
    </row>
    <row r="63" spans="2:6" ht="15">
      <c r="B63" s="26"/>
      <c r="C63" s="26"/>
      <c r="D63" s="26"/>
      <c r="E63" s="26"/>
      <c r="F63" s="26"/>
    </row>
    <row r="64" spans="2:6" ht="15">
      <c r="B64" s="26"/>
      <c r="C64" s="26"/>
      <c r="D64" s="26"/>
      <c r="E64" s="26"/>
      <c r="F64" s="26"/>
    </row>
    <row r="65" spans="2:6" ht="15">
      <c r="B65" s="26"/>
      <c r="C65" s="26"/>
      <c r="D65" s="26"/>
      <c r="E65" s="26"/>
      <c r="F65" s="26"/>
    </row>
    <row r="66" spans="2:6" ht="15">
      <c r="B66" s="26"/>
      <c r="C66" s="26"/>
      <c r="D66" s="26"/>
      <c r="E66" s="26"/>
      <c r="F66" s="26"/>
    </row>
    <row r="67" spans="2:6" ht="15">
      <c r="B67" s="26"/>
      <c r="C67" s="26"/>
      <c r="D67" s="26"/>
      <c r="E67" s="26"/>
      <c r="F67" s="26"/>
    </row>
    <row r="68" spans="2:6" ht="15">
      <c r="B68" s="26"/>
      <c r="C68" s="26"/>
      <c r="D68" s="26"/>
      <c r="E68" s="26"/>
      <c r="F68" s="26"/>
    </row>
    <row r="69" spans="2:6" ht="15">
      <c r="B69" s="26"/>
      <c r="C69" s="26"/>
      <c r="D69" s="26"/>
      <c r="E69" s="26"/>
      <c r="F69" s="26"/>
    </row>
    <row r="70" spans="2:6" ht="15">
      <c r="B70" s="26"/>
      <c r="C70" s="26"/>
      <c r="D70" s="26"/>
      <c r="E70" s="26"/>
      <c r="F70" s="26"/>
    </row>
    <row r="71" spans="2:6" ht="15">
      <c r="B71" s="26"/>
      <c r="C71" s="26"/>
      <c r="D71" s="26"/>
      <c r="E71" s="26"/>
      <c r="F71" s="26"/>
    </row>
    <row r="72" spans="2:6" ht="15">
      <c r="B72" s="26"/>
      <c r="C72" s="26"/>
      <c r="D72" s="26"/>
      <c r="E72" s="26"/>
      <c r="F72" s="26"/>
    </row>
    <row r="73" spans="2:6" ht="15">
      <c r="B73" s="26"/>
      <c r="C73" s="26"/>
      <c r="D73" s="26"/>
      <c r="E73" s="26"/>
      <c r="F73" s="26"/>
    </row>
    <row r="74" spans="2:6" ht="15">
      <c r="B74" s="26"/>
      <c r="C74" s="26"/>
      <c r="D74" s="26"/>
      <c r="E74" s="26"/>
      <c r="F74" s="26"/>
    </row>
    <row r="75" spans="2:6" ht="15">
      <c r="B75" s="26"/>
      <c r="C75" s="26"/>
      <c r="D75" s="26"/>
      <c r="E75" s="26"/>
      <c r="F75" s="26"/>
    </row>
    <row r="76" spans="2:6" ht="15">
      <c r="B76" s="26"/>
      <c r="C76" s="26"/>
      <c r="D76" s="26"/>
      <c r="E76" s="26"/>
      <c r="F76" s="26"/>
    </row>
    <row r="77" spans="2:6" ht="15">
      <c r="B77" s="26"/>
      <c r="C77" s="26"/>
      <c r="D77" s="26"/>
      <c r="E77" s="26"/>
      <c r="F77" s="26"/>
    </row>
    <row r="78" spans="2:6" ht="15">
      <c r="B78" s="26"/>
      <c r="C78" s="26"/>
      <c r="D78" s="26"/>
      <c r="E78" s="26"/>
      <c r="F78" s="26"/>
    </row>
    <row r="79" spans="2:6" ht="15">
      <c r="B79" s="26"/>
      <c r="C79" s="26"/>
      <c r="D79" s="26"/>
      <c r="E79" s="26"/>
      <c r="F79" s="26"/>
    </row>
    <row r="80" spans="2:6" ht="15">
      <c r="B80" s="26"/>
      <c r="C80" s="26"/>
      <c r="D80" s="26"/>
      <c r="E80" s="26"/>
      <c r="F80" s="26"/>
    </row>
    <row r="81" spans="2:6" ht="15">
      <c r="B81" s="26"/>
      <c r="C81" s="26"/>
      <c r="D81" s="26"/>
      <c r="E81" s="26"/>
      <c r="F81" s="26"/>
    </row>
    <row r="82" spans="2:6" ht="15">
      <c r="B82" s="26"/>
      <c r="C82" s="26"/>
      <c r="D82" s="26"/>
      <c r="E82" s="26"/>
      <c r="F82" s="26"/>
    </row>
    <row r="83" spans="2:6" ht="15">
      <c r="B83" s="26"/>
      <c r="C83" s="26"/>
      <c r="D83" s="26"/>
      <c r="E83" s="26"/>
      <c r="F83" s="26"/>
    </row>
    <row r="84" spans="2:6" ht="15">
      <c r="B84" s="26"/>
      <c r="C84" s="26"/>
      <c r="D84" s="26"/>
      <c r="E84" s="26"/>
      <c r="F84" s="26"/>
    </row>
    <row r="85" spans="2:6" ht="15">
      <c r="B85" s="26"/>
      <c r="C85" s="26"/>
      <c r="D85" s="26"/>
      <c r="E85" s="26"/>
      <c r="F85" s="26"/>
    </row>
    <row r="86" spans="2:6" ht="15">
      <c r="B86" s="26"/>
      <c r="C86" s="26"/>
      <c r="D86" s="26"/>
      <c r="E86" s="26"/>
      <c r="F86" s="26"/>
    </row>
    <row r="87" spans="2:6" ht="15">
      <c r="B87" s="26"/>
      <c r="C87" s="26"/>
      <c r="D87" s="26"/>
      <c r="E87" s="26"/>
      <c r="F87" s="26"/>
    </row>
    <row r="88" spans="2:6" ht="15">
      <c r="B88" s="26"/>
      <c r="C88" s="26"/>
      <c r="D88" s="26"/>
      <c r="E88" s="26"/>
      <c r="F88" s="26"/>
    </row>
    <row r="89" spans="2:6" ht="15">
      <c r="B89" s="26"/>
      <c r="C89" s="26"/>
      <c r="D89" s="26"/>
      <c r="E89" s="26"/>
      <c r="F89" s="26"/>
    </row>
    <row r="90" spans="2:6" ht="15">
      <c r="B90" s="26"/>
      <c r="C90" s="26"/>
      <c r="D90" s="26"/>
      <c r="E90" s="26"/>
      <c r="F90" s="26"/>
    </row>
    <row r="91" spans="2:6" ht="15">
      <c r="B91" s="26"/>
      <c r="C91" s="26"/>
      <c r="D91" s="26"/>
      <c r="E91" s="26"/>
      <c r="F91" s="26"/>
    </row>
    <row r="92" spans="2:6" ht="15">
      <c r="B92" s="26"/>
      <c r="C92" s="26"/>
      <c r="D92" s="26"/>
      <c r="E92" s="26"/>
      <c r="F92" s="26"/>
    </row>
    <row r="93" spans="2:6" ht="15">
      <c r="B93" s="26"/>
      <c r="C93" s="26"/>
      <c r="D93" s="26"/>
      <c r="E93" s="26"/>
      <c r="F93" s="26"/>
    </row>
    <row r="94" spans="2:6" ht="15">
      <c r="B94" s="26"/>
      <c r="C94" s="26"/>
      <c r="D94" s="26"/>
      <c r="E94" s="26"/>
      <c r="F94" s="26"/>
    </row>
    <row r="95" spans="2:6" ht="15">
      <c r="B95" s="26"/>
      <c r="C95" s="26"/>
      <c r="D95" s="26"/>
      <c r="E95" s="26"/>
      <c r="F95" s="26"/>
    </row>
    <row r="96" spans="2:6" ht="15">
      <c r="B96" s="26"/>
      <c r="C96" s="26"/>
      <c r="D96" s="26"/>
      <c r="E96" s="26"/>
      <c r="F96" s="26"/>
    </row>
    <row r="97" spans="2:6" ht="15">
      <c r="B97" s="26"/>
      <c r="C97" s="26"/>
      <c r="D97" s="26"/>
      <c r="E97" s="26"/>
      <c r="F97" s="26"/>
    </row>
    <row r="98" spans="2:6" ht="15">
      <c r="B98" s="26"/>
      <c r="C98" s="26"/>
      <c r="D98" s="26"/>
      <c r="E98" s="26"/>
      <c r="F98" s="26"/>
    </row>
    <row r="99" spans="2:6" ht="15">
      <c r="B99" s="26"/>
      <c r="C99" s="26"/>
      <c r="D99" s="26"/>
      <c r="E99" s="26"/>
      <c r="F99" s="26"/>
    </row>
    <row r="100" spans="2:6" ht="15">
      <c r="B100" s="26"/>
      <c r="C100" s="26"/>
      <c r="D100" s="26"/>
      <c r="E100" s="26"/>
      <c r="F100" s="26"/>
    </row>
    <row r="101" spans="2:6" ht="15">
      <c r="B101" s="26"/>
      <c r="C101" s="26"/>
      <c r="D101" s="26"/>
      <c r="E101" s="26"/>
      <c r="F101" s="26"/>
    </row>
    <row r="102" spans="2:6" ht="15">
      <c r="B102" s="26"/>
      <c r="C102" s="26"/>
      <c r="D102" s="26"/>
      <c r="E102" s="26"/>
      <c r="F102" s="26"/>
    </row>
    <row r="103" spans="2:6" ht="15">
      <c r="B103" s="26"/>
      <c r="C103" s="26"/>
      <c r="D103" s="26"/>
      <c r="E103" s="26"/>
      <c r="F103" s="26"/>
    </row>
    <row r="104" spans="2:6" ht="15">
      <c r="B104" s="26"/>
      <c r="C104" s="26"/>
      <c r="D104" s="26"/>
      <c r="E104" s="26"/>
      <c r="F104" s="26"/>
    </row>
    <row r="105" spans="2:6" ht="15">
      <c r="B105" s="26"/>
      <c r="C105" s="26"/>
      <c r="D105" s="26"/>
      <c r="E105" s="26"/>
      <c r="F105" s="26"/>
    </row>
    <row r="106" spans="2:6" ht="15">
      <c r="B106" s="26"/>
      <c r="C106" s="26"/>
      <c r="D106" s="26"/>
      <c r="E106" s="26"/>
      <c r="F106" s="26"/>
    </row>
    <row r="107" spans="2:6" ht="15">
      <c r="B107" s="26"/>
      <c r="C107" s="26"/>
      <c r="D107" s="26"/>
      <c r="E107" s="26"/>
      <c r="F107" s="26"/>
    </row>
    <row r="108" spans="2:6" ht="15">
      <c r="B108" s="26"/>
      <c r="C108" s="26"/>
      <c r="D108" s="26"/>
      <c r="E108" s="26"/>
      <c r="F108" s="26"/>
    </row>
    <row r="109" spans="2:6" ht="15">
      <c r="B109" s="26"/>
      <c r="C109" s="26"/>
      <c r="D109" s="26"/>
      <c r="E109" s="26"/>
      <c r="F109" s="26"/>
    </row>
    <row r="110" spans="2:6" ht="15">
      <c r="B110" s="26"/>
      <c r="C110" s="26"/>
      <c r="D110" s="26"/>
      <c r="E110" s="26"/>
      <c r="F110" s="26"/>
    </row>
    <row r="111" spans="2:6" ht="15">
      <c r="B111" s="26"/>
      <c r="C111" s="26"/>
      <c r="D111" s="26"/>
      <c r="E111" s="26"/>
      <c r="F111" s="26"/>
    </row>
    <row r="112" spans="2:6" ht="15">
      <c r="B112" s="26"/>
      <c r="C112" s="26"/>
      <c r="D112" s="26"/>
      <c r="E112" s="26"/>
      <c r="F112" s="26"/>
    </row>
    <row r="113" spans="2:6" ht="15">
      <c r="B113" s="26"/>
      <c r="C113" s="26"/>
      <c r="D113" s="26"/>
      <c r="E113" s="26"/>
      <c r="F113" s="26"/>
    </row>
    <row r="114" spans="2:6" ht="15">
      <c r="B114" s="26"/>
      <c r="C114" s="26"/>
      <c r="D114" s="26"/>
      <c r="E114" s="26"/>
      <c r="F114" s="26"/>
    </row>
    <row r="115" spans="2:6" ht="15">
      <c r="B115" s="26"/>
      <c r="C115" s="26"/>
      <c r="D115" s="26"/>
      <c r="E115" s="26"/>
      <c r="F115" s="26"/>
    </row>
    <row r="116" spans="2:6" ht="15">
      <c r="B116" s="26"/>
      <c r="C116" s="26"/>
      <c r="D116" s="26"/>
      <c r="E116" s="26"/>
      <c r="F116" s="26"/>
    </row>
    <row r="117" spans="2:6" ht="15">
      <c r="B117" s="26"/>
      <c r="C117" s="26"/>
      <c r="D117" s="26"/>
      <c r="E117" s="26"/>
      <c r="F117" s="26"/>
    </row>
    <row r="118" spans="2:6" ht="15">
      <c r="B118" s="26"/>
      <c r="C118" s="26"/>
      <c r="D118" s="26"/>
      <c r="E118" s="26"/>
      <c r="F118" s="26"/>
    </row>
    <row r="119" spans="2:6" ht="15">
      <c r="B119" s="26"/>
      <c r="C119" s="26"/>
      <c r="D119" s="26"/>
      <c r="E119" s="26"/>
      <c r="F119" s="26"/>
    </row>
    <row r="120" spans="2:6" ht="15">
      <c r="B120" s="26"/>
      <c r="C120" s="26"/>
      <c r="D120" s="26"/>
      <c r="E120" s="26"/>
      <c r="F120" s="26"/>
    </row>
    <row r="121" spans="2:6" ht="15">
      <c r="B121" s="26"/>
      <c r="C121" s="26"/>
      <c r="D121" s="26"/>
      <c r="E121" s="26"/>
      <c r="F121" s="26"/>
    </row>
    <row r="122" spans="2:6" ht="15">
      <c r="B122" s="26"/>
      <c r="C122" s="26"/>
      <c r="D122" s="26"/>
      <c r="E122" s="26"/>
      <c r="F122" s="26"/>
    </row>
    <row r="123" spans="2:6" ht="15">
      <c r="B123" s="26"/>
      <c r="C123" s="26"/>
      <c r="D123" s="26"/>
      <c r="E123" s="26"/>
      <c r="F123" s="26"/>
    </row>
    <row r="124" spans="2:6" ht="15">
      <c r="B124" s="26"/>
      <c r="C124" s="26"/>
      <c r="D124" s="26"/>
      <c r="E124" s="26"/>
      <c r="F124" s="26"/>
    </row>
    <row r="125" spans="2:6" ht="15">
      <c r="B125" s="26"/>
      <c r="C125" s="26"/>
      <c r="D125" s="26"/>
      <c r="E125" s="26"/>
      <c r="F125" s="26"/>
    </row>
    <row r="126" spans="2:6" ht="15">
      <c r="B126" s="26"/>
      <c r="C126" s="26"/>
      <c r="D126" s="26"/>
      <c r="E126" s="26"/>
      <c r="F126" s="26"/>
    </row>
    <row r="127" spans="2:6" ht="15">
      <c r="B127" s="26"/>
      <c r="C127" s="26"/>
      <c r="D127" s="26"/>
      <c r="E127" s="26"/>
      <c r="F127" s="26"/>
    </row>
    <row r="128" spans="2:6" ht="15">
      <c r="B128" s="26"/>
      <c r="C128" s="26"/>
      <c r="D128" s="26"/>
      <c r="E128" s="26"/>
      <c r="F128" s="26"/>
    </row>
    <row r="129" spans="2:6" ht="15">
      <c r="B129" s="26"/>
      <c r="C129" s="26"/>
      <c r="D129" s="26"/>
      <c r="E129" s="26"/>
      <c r="F129" s="26"/>
    </row>
    <row r="130" spans="2:6" ht="15">
      <c r="B130" s="26"/>
      <c r="C130" s="26"/>
      <c r="D130" s="26"/>
      <c r="E130" s="26"/>
      <c r="F130" s="26"/>
    </row>
    <row r="131" spans="2:6" ht="15">
      <c r="B131" s="26"/>
      <c r="C131" s="26"/>
      <c r="D131" s="26"/>
      <c r="E131" s="26"/>
      <c r="F131" s="26"/>
    </row>
    <row r="132" spans="2:6" ht="15">
      <c r="B132" s="26"/>
      <c r="C132" s="26"/>
      <c r="D132" s="26"/>
      <c r="E132" s="26"/>
      <c r="F132" s="26"/>
    </row>
    <row r="133" spans="2:6" ht="15">
      <c r="B133" s="26"/>
      <c r="C133" s="26"/>
      <c r="D133" s="26"/>
      <c r="E133" s="26"/>
      <c r="F133" s="26"/>
    </row>
    <row r="134" spans="2:6" ht="15">
      <c r="B134" s="26"/>
      <c r="C134" s="26"/>
      <c r="D134" s="26"/>
      <c r="E134" s="26"/>
      <c r="F134" s="26"/>
    </row>
    <row r="135" spans="2:6" ht="15">
      <c r="B135" s="26"/>
      <c r="C135" s="26"/>
      <c r="D135" s="26"/>
      <c r="E135" s="26"/>
      <c r="F135" s="26"/>
    </row>
    <row r="136" spans="2:6" ht="15">
      <c r="B136" s="26"/>
      <c r="C136" s="26"/>
      <c r="D136" s="26"/>
      <c r="E136" s="26"/>
      <c r="F136" s="26"/>
    </row>
    <row r="137" spans="2:6" ht="15">
      <c r="B137" s="26"/>
      <c r="C137" s="26"/>
      <c r="D137" s="26"/>
      <c r="E137" s="26"/>
      <c r="F137" s="26"/>
    </row>
    <row r="138" spans="2:6" ht="15">
      <c r="B138" s="26"/>
      <c r="C138" s="26"/>
      <c r="D138" s="26"/>
      <c r="E138" s="26"/>
      <c r="F138" s="26"/>
    </row>
    <row r="139" spans="2:6" ht="15">
      <c r="B139" s="26"/>
      <c r="C139" s="26"/>
      <c r="D139" s="26"/>
      <c r="E139" s="26"/>
      <c r="F139" s="26"/>
    </row>
    <row r="140" spans="2:6" ht="15">
      <c r="B140" s="26"/>
      <c r="C140" s="26"/>
      <c r="D140" s="26"/>
      <c r="E140" s="26"/>
      <c r="F140" s="26"/>
    </row>
    <row r="141" spans="2:6" ht="15">
      <c r="B141" s="26"/>
      <c r="C141" s="26"/>
      <c r="D141" s="26"/>
      <c r="E141" s="26"/>
      <c r="F141" s="26"/>
    </row>
    <row r="142" spans="2:6" ht="15">
      <c r="B142" s="26"/>
      <c r="C142" s="26"/>
      <c r="D142" s="26"/>
      <c r="E142" s="26"/>
      <c r="F142" s="26"/>
    </row>
    <row r="143" spans="2:6" ht="15">
      <c r="B143" s="26"/>
      <c r="C143" s="26"/>
      <c r="D143" s="26"/>
      <c r="E143" s="26"/>
      <c r="F143" s="26"/>
    </row>
    <row r="144" spans="2:6" ht="15">
      <c r="B144" s="26"/>
      <c r="C144" s="26"/>
      <c r="D144" s="26"/>
      <c r="E144" s="26"/>
      <c r="F144" s="26"/>
    </row>
    <row r="145" spans="2:6" ht="15">
      <c r="B145" s="26"/>
      <c r="C145" s="26"/>
      <c r="D145" s="26"/>
      <c r="E145" s="26"/>
      <c r="F145" s="26"/>
    </row>
    <row r="146" spans="2:6" ht="15">
      <c r="B146" s="26"/>
      <c r="C146" s="26"/>
      <c r="D146" s="26"/>
      <c r="E146" s="26"/>
      <c r="F146" s="26"/>
    </row>
    <row r="147" spans="2:6" ht="15">
      <c r="B147" s="26"/>
      <c r="C147" s="26"/>
      <c r="D147" s="26"/>
      <c r="E147" s="26"/>
      <c r="F147" s="26"/>
    </row>
    <row r="148" spans="2:6" ht="15">
      <c r="B148" s="26"/>
      <c r="C148" s="26"/>
      <c r="D148" s="26"/>
      <c r="E148" s="26"/>
      <c r="F148" s="26"/>
    </row>
    <row r="149" spans="2:6" ht="15">
      <c r="B149" s="26"/>
      <c r="C149" s="26"/>
      <c r="D149" s="26"/>
      <c r="E149" s="26"/>
      <c r="F149" s="26"/>
    </row>
    <row r="150" spans="2:6" ht="15">
      <c r="B150" s="26"/>
      <c r="C150" s="26"/>
      <c r="D150" s="26"/>
      <c r="E150" s="26"/>
      <c r="F150" s="26"/>
    </row>
    <row r="151" spans="2:6" ht="15">
      <c r="B151" s="26"/>
      <c r="C151" s="26"/>
      <c r="D151" s="26"/>
      <c r="E151" s="26"/>
      <c r="F151" s="26"/>
    </row>
    <row r="152" spans="2:6" ht="15">
      <c r="B152" s="26"/>
      <c r="C152" s="26"/>
      <c r="D152" s="26"/>
      <c r="E152" s="26"/>
      <c r="F152" s="26"/>
    </row>
    <row r="153" spans="2:6" ht="15">
      <c r="B153" s="26"/>
      <c r="C153" s="26"/>
      <c r="D153" s="26"/>
      <c r="E153" s="26"/>
      <c r="F153" s="26"/>
    </row>
    <row r="154" spans="2:6" ht="15">
      <c r="B154" s="26"/>
      <c r="C154" s="26"/>
      <c r="D154" s="26"/>
      <c r="E154" s="26"/>
      <c r="F154" s="26"/>
    </row>
    <row r="155" spans="2:6" ht="15">
      <c r="B155" s="26"/>
      <c r="C155" s="26"/>
      <c r="D155" s="26"/>
      <c r="E155" s="26"/>
      <c r="F155" s="26"/>
    </row>
    <row r="156" spans="2:6" ht="15">
      <c r="B156" s="26"/>
      <c r="C156" s="26"/>
      <c r="D156" s="26"/>
      <c r="E156" s="26"/>
      <c r="F156" s="26"/>
    </row>
    <row r="157" spans="2:6" ht="15">
      <c r="B157" s="26"/>
      <c r="C157" s="26"/>
      <c r="D157" s="26"/>
      <c r="E157" s="26"/>
      <c r="F157" s="26"/>
    </row>
    <row r="158" spans="2:6" ht="15">
      <c r="B158" s="26"/>
      <c r="C158" s="26"/>
      <c r="D158" s="26"/>
      <c r="E158" s="26"/>
      <c r="F158" s="26"/>
    </row>
    <row r="159" spans="2:6" ht="15">
      <c r="B159" s="26"/>
      <c r="C159" s="26"/>
      <c r="D159" s="26"/>
      <c r="E159" s="26"/>
      <c r="F159" s="26"/>
    </row>
    <row r="160" spans="2:6" ht="15">
      <c r="B160" s="26"/>
      <c r="C160" s="26"/>
      <c r="D160" s="26"/>
      <c r="E160" s="26"/>
      <c r="F160" s="26"/>
    </row>
    <row r="161" spans="2:6" ht="15">
      <c r="B161" s="26"/>
      <c r="C161" s="26"/>
      <c r="D161" s="26"/>
      <c r="E161" s="26"/>
      <c r="F161" s="26"/>
    </row>
    <row r="162" spans="2:6" ht="15">
      <c r="B162" s="26"/>
      <c r="C162" s="26"/>
      <c r="D162" s="26"/>
      <c r="E162" s="26"/>
      <c r="F162" s="26"/>
    </row>
    <row r="163" spans="2:6" ht="15">
      <c r="B163" s="26"/>
      <c r="C163" s="26"/>
      <c r="D163" s="26"/>
      <c r="E163" s="26"/>
      <c r="F163" s="26"/>
    </row>
    <row r="164" spans="2:6" ht="15">
      <c r="B164" s="26"/>
      <c r="C164" s="26"/>
      <c r="D164" s="26"/>
      <c r="E164" s="26"/>
      <c r="F164" s="26"/>
    </row>
    <row r="165" spans="2:6" ht="15">
      <c r="B165" s="26"/>
      <c r="C165" s="26"/>
      <c r="D165" s="26"/>
      <c r="E165" s="26"/>
      <c r="F165" s="26"/>
    </row>
    <row r="166" spans="2:6" ht="15">
      <c r="B166" s="26"/>
      <c r="C166" s="26"/>
      <c r="D166" s="26"/>
      <c r="E166" s="26"/>
      <c r="F166" s="26"/>
    </row>
    <row r="167" spans="2:6" ht="15">
      <c r="B167" s="26"/>
      <c r="C167" s="26"/>
      <c r="D167" s="26"/>
      <c r="E167" s="26"/>
      <c r="F167" s="26"/>
    </row>
    <row r="168" spans="2:6" ht="15">
      <c r="B168" s="26"/>
      <c r="C168" s="26"/>
      <c r="D168" s="26"/>
      <c r="E168" s="26"/>
      <c r="F168" s="26"/>
    </row>
    <row r="169" spans="2:6" ht="15">
      <c r="B169" s="26"/>
      <c r="C169" s="26"/>
      <c r="D169" s="26"/>
      <c r="E169" s="26"/>
      <c r="F169" s="26"/>
    </row>
    <row r="170" spans="2:6" ht="15">
      <c r="B170" s="26"/>
      <c r="C170" s="26"/>
      <c r="D170" s="26"/>
      <c r="E170" s="26"/>
      <c r="F170" s="26"/>
    </row>
    <row r="171" spans="2:6" ht="15">
      <c r="B171" s="26"/>
      <c r="C171" s="26"/>
      <c r="D171" s="26"/>
      <c r="E171" s="26"/>
      <c r="F171" s="26"/>
    </row>
    <row r="172" spans="2:6" ht="15">
      <c r="B172" s="26"/>
      <c r="C172" s="26"/>
      <c r="D172" s="26"/>
      <c r="E172" s="26"/>
      <c r="F172" s="26"/>
    </row>
    <row r="173" spans="2:6" ht="15">
      <c r="B173" s="26"/>
      <c r="C173" s="26"/>
      <c r="D173" s="26"/>
      <c r="E173" s="26"/>
      <c r="F173" s="26"/>
    </row>
    <row r="174" spans="2:6" ht="15">
      <c r="B174" s="26"/>
      <c r="C174" s="26"/>
      <c r="D174" s="26"/>
      <c r="E174" s="26"/>
      <c r="F174" s="26"/>
    </row>
    <row r="175" spans="2:6" ht="15">
      <c r="B175" s="26"/>
      <c r="C175" s="26"/>
      <c r="D175" s="26"/>
      <c r="E175" s="26"/>
      <c r="F175" s="26"/>
    </row>
    <row r="176" spans="2:6" ht="15">
      <c r="B176" s="26"/>
      <c r="C176" s="26"/>
      <c r="D176" s="26"/>
      <c r="E176" s="26"/>
      <c r="F176" s="26"/>
    </row>
    <row r="177" spans="2:6" ht="15">
      <c r="B177" s="26"/>
      <c r="C177" s="26"/>
      <c r="D177" s="26"/>
      <c r="E177" s="26"/>
      <c r="F177" s="26"/>
    </row>
    <row r="178" spans="2:6" ht="15">
      <c r="B178" s="26"/>
      <c r="C178" s="26"/>
      <c r="D178" s="26"/>
      <c r="E178" s="26"/>
      <c r="F178" s="26"/>
    </row>
    <row r="179" spans="2:6" ht="15">
      <c r="B179" s="26"/>
      <c r="C179" s="26"/>
      <c r="D179" s="26"/>
      <c r="E179" s="26"/>
      <c r="F179" s="26"/>
    </row>
    <row r="180" spans="2:6" ht="15">
      <c r="B180" s="26"/>
      <c r="C180" s="26"/>
      <c r="D180" s="26"/>
      <c r="E180" s="26"/>
      <c r="F180" s="26"/>
    </row>
    <row r="181" spans="2:6" ht="15">
      <c r="B181" s="26"/>
      <c r="C181" s="26"/>
      <c r="D181" s="26"/>
      <c r="E181" s="26"/>
      <c r="F181" s="26"/>
    </row>
    <row r="182" spans="2:6" ht="15">
      <c r="B182" s="26"/>
      <c r="C182" s="26"/>
      <c r="D182" s="26"/>
      <c r="E182" s="26"/>
      <c r="F182" s="26"/>
    </row>
    <row r="183" spans="2:6" ht="15">
      <c r="B183" s="26"/>
      <c r="C183" s="26"/>
      <c r="D183" s="26"/>
      <c r="E183" s="26"/>
      <c r="F183" s="26"/>
    </row>
    <row r="184" spans="2:6" ht="15">
      <c r="B184" s="26"/>
      <c r="C184" s="26"/>
      <c r="D184" s="26"/>
      <c r="E184" s="26"/>
      <c r="F184" s="26"/>
    </row>
    <row r="185" spans="2:6" ht="15">
      <c r="B185" s="26"/>
      <c r="C185" s="26"/>
      <c r="D185" s="26"/>
      <c r="E185" s="26"/>
      <c r="F185" s="26"/>
    </row>
    <row r="186" spans="2:6" ht="15">
      <c r="B186" s="26"/>
      <c r="C186" s="26"/>
      <c r="D186" s="26"/>
      <c r="E186" s="26"/>
      <c r="F186" s="26"/>
    </row>
    <row r="187" spans="2:6" ht="15">
      <c r="B187" s="26"/>
      <c r="C187" s="26"/>
      <c r="D187" s="26"/>
      <c r="E187" s="26"/>
      <c r="F187" s="26"/>
    </row>
    <row r="188" spans="2:6" ht="15">
      <c r="B188" s="26"/>
      <c r="C188" s="26"/>
      <c r="D188" s="26"/>
      <c r="E188" s="26"/>
      <c r="F188" s="26"/>
    </row>
    <row r="189" spans="2:6" ht="15">
      <c r="B189" s="26"/>
      <c r="C189" s="26"/>
      <c r="D189" s="26"/>
      <c r="E189" s="26"/>
      <c r="F189" s="26"/>
    </row>
    <row r="190" spans="2:6" ht="15">
      <c r="B190" s="26"/>
      <c r="C190" s="26"/>
      <c r="D190" s="26"/>
      <c r="E190" s="26"/>
      <c r="F190" s="26"/>
    </row>
    <row r="191" spans="2:6" ht="15">
      <c r="B191" s="26"/>
      <c r="C191" s="26"/>
      <c r="D191" s="26"/>
      <c r="E191" s="26"/>
      <c r="F191" s="26"/>
    </row>
    <row r="192" spans="2:6" ht="15">
      <c r="B192" s="26"/>
      <c r="C192" s="26"/>
      <c r="D192" s="26"/>
      <c r="E192" s="26"/>
      <c r="F192" s="26"/>
    </row>
    <row r="193" spans="2:6" ht="15">
      <c r="B193" s="26"/>
      <c r="C193" s="26"/>
      <c r="D193" s="26"/>
      <c r="E193" s="26"/>
      <c r="F193" s="26"/>
    </row>
    <row r="194" spans="2:6" ht="15">
      <c r="B194" s="26"/>
      <c r="C194" s="26"/>
      <c r="D194" s="26"/>
      <c r="E194" s="26"/>
      <c r="F194" s="26"/>
    </row>
    <row r="195" spans="2:6" ht="15">
      <c r="B195" s="26"/>
      <c r="C195" s="26"/>
      <c r="D195" s="26"/>
      <c r="E195" s="26"/>
      <c r="F195" s="26"/>
    </row>
    <row r="196" spans="2:6" ht="15">
      <c r="B196" s="26"/>
      <c r="C196" s="26"/>
      <c r="D196" s="26"/>
      <c r="E196" s="26"/>
      <c r="F196" s="26"/>
    </row>
    <row r="197" spans="2:6" ht="15">
      <c r="B197" s="26"/>
      <c r="C197" s="26"/>
      <c r="D197" s="26"/>
      <c r="E197" s="26"/>
      <c r="F197" s="26"/>
    </row>
    <row r="198" spans="2:6" ht="15">
      <c r="B198" s="26"/>
      <c r="C198" s="26"/>
      <c r="D198" s="26"/>
      <c r="E198" s="26"/>
      <c r="F198" s="26"/>
    </row>
    <row r="199" spans="2:6" ht="15">
      <c r="B199" s="26"/>
      <c r="C199" s="26"/>
      <c r="D199" s="26"/>
      <c r="E199" s="26"/>
      <c r="F199" s="26"/>
    </row>
    <row r="200" spans="2:6" ht="15">
      <c r="B200" s="26"/>
      <c r="C200" s="26"/>
      <c r="D200" s="26"/>
      <c r="E200" s="26"/>
      <c r="F200" s="26"/>
    </row>
    <row r="201" spans="2:6" ht="15">
      <c r="B201" s="26"/>
      <c r="C201" s="26"/>
      <c r="D201" s="26"/>
      <c r="E201" s="26"/>
      <c r="F201" s="26"/>
    </row>
    <row r="202" spans="2:6" ht="15">
      <c r="B202" s="26"/>
      <c r="C202" s="26"/>
      <c r="D202" s="26"/>
      <c r="E202" s="26"/>
      <c r="F202" s="26"/>
    </row>
    <row r="203" spans="2:6" ht="15">
      <c r="B203" s="26"/>
      <c r="C203" s="26"/>
      <c r="D203" s="26"/>
      <c r="E203" s="26"/>
      <c r="F203" s="26"/>
    </row>
    <row r="204" spans="2:6" ht="15">
      <c r="B204" s="26"/>
      <c r="C204" s="26"/>
      <c r="D204" s="26"/>
      <c r="E204" s="26"/>
      <c r="F204" s="26"/>
    </row>
    <row r="205" spans="2:6" ht="15">
      <c r="B205" s="26"/>
      <c r="C205" s="26"/>
      <c r="D205" s="26"/>
      <c r="E205" s="26"/>
      <c r="F205" s="26"/>
    </row>
    <row r="206" spans="2:6" ht="15">
      <c r="B206" s="26"/>
      <c r="C206" s="26"/>
      <c r="D206" s="26"/>
      <c r="E206" s="26"/>
      <c r="F206" s="26"/>
    </row>
    <row r="207" spans="2:6" ht="15">
      <c r="B207" s="26"/>
      <c r="C207" s="26"/>
      <c r="D207" s="26"/>
      <c r="E207" s="26"/>
      <c r="F207" s="26"/>
    </row>
    <row r="208" spans="2:6" ht="15">
      <c r="B208" s="26"/>
      <c r="C208" s="26"/>
      <c r="D208" s="26"/>
      <c r="E208" s="26"/>
      <c r="F208" s="26"/>
    </row>
    <row r="209" spans="2:6" ht="15">
      <c r="B209" s="26"/>
      <c r="C209" s="26"/>
      <c r="D209" s="26"/>
      <c r="E209" s="26"/>
      <c r="F209" s="26"/>
    </row>
    <row r="210" spans="2:6" ht="15">
      <c r="B210" s="26"/>
      <c r="C210" s="26"/>
      <c r="D210" s="26"/>
      <c r="E210" s="26"/>
      <c r="F210" s="26"/>
    </row>
    <row r="211" spans="2:6" ht="15">
      <c r="B211" s="26"/>
      <c r="C211" s="26"/>
      <c r="D211" s="26"/>
      <c r="E211" s="26"/>
      <c r="F211" s="26"/>
    </row>
    <row r="212" spans="2:6" ht="15">
      <c r="B212" s="26"/>
      <c r="C212" s="26"/>
      <c r="D212" s="26"/>
      <c r="E212" s="26"/>
      <c r="F212" s="26"/>
    </row>
    <row r="213" spans="2:6" ht="15">
      <c r="B213" s="26"/>
      <c r="C213" s="26"/>
      <c r="D213" s="26"/>
      <c r="E213" s="26"/>
      <c r="F213" s="26"/>
    </row>
    <row r="214" spans="2:6" ht="15">
      <c r="B214" s="26"/>
      <c r="C214" s="26"/>
      <c r="D214" s="26"/>
      <c r="E214" s="26"/>
      <c r="F214" s="26"/>
    </row>
    <row r="215" spans="2:6" ht="15">
      <c r="B215" s="26"/>
      <c r="C215" s="26"/>
      <c r="D215" s="26"/>
      <c r="E215" s="26"/>
      <c r="F215" s="26"/>
    </row>
    <row r="216" spans="2:6" ht="15">
      <c r="B216" s="26"/>
      <c r="C216" s="26"/>
      <c r="D216" s="26"/>
      <c r="E216" s="26"/>
      <c r="F216" s="26"/>
    </row>
    <row r="217" spans="2:6" ht="15">
      <c r="B217" s="26"/>
      <c r="C217" s="26"/>
      <c r="D217" s="26"/>
      <c r="E217" s="26"/>
      <c r="F217" s="26"/>
    </row>
    <row r="218" spans="2:6" ht="15">
      <c r="B218" s="26"/>
      <c r="C218" s="26"/>
      <c r="D218" s="26"/>
      <c r="E218" s="26"/>
      <c r="F218" s="26"/>
    </row>
    <row r="219" spans="2:6" ht="15">
      <c r="B219" s="26"/>
      <c r="C219" s="26"/>
      <c r="D219" s="26"/>
      <c r="E219" s="26"/>
      <c r="F219" s="26"/>
    </row>
    <row r="220" spans="2:6" ht="15">
      <c r="B220" s="26"/>
      <c r="C220" s="26"/>
      <c r="D220" s="26"/>
      <c r="E220" s="26"/>
      <c r="F220" s="26"/>
    </row>
    <row r="221" spans="2:6" ht="15">
      <c r="B221" s="26"/>
      <c r="C221" s="26"/>
      <c r="D221" s="26"/>
      <c r="E221" s="26"/>
      <c r="F221" s="26"/>
    </row>
    <row r="222" spans="2:6" ht="15">
      <c r="B222" s="26"/>
      <c r="C222" s="26"/>
      <c r="D222" s="26"/>
      <c r="E222" s="26"/>
      <c r="F222" s="26"/>
    </row>
    <row r="223" spans="2:6" ht="15">
      <c r="B223" s="26"/>
      <c r="C223" s="26"/>
      <c r="D223" s="26"/>
      <c r="E223" s="26"/>
      <c r="F223" s="26"/>
    </row>
    <row r="224" spans="2:6" ht="15">
      <c r="B224" s="26"/>
      <c r="C224" s="26"/>
      <c r="D224" s="26"/>
      <c r="E224" s="26"/>
      <c r="F224" s="26"/>
    </row>
    <row r="225" spans="2:6" ht="15">
      <c r="B225" s="26"/>
      <c r="C225" s="26"/>
      <c r="D225" s="26"/>
      <c r="E225" s="26"/>
      <c r="F225" s="26"/>
    </row>
    <row r="226" spans="2:6" ht="15">
      <c r="B226" s="26"/>
      <c r="C226" s="26"/>
      <c r="D226" s="26"/>
      <c r="E226" s="26"/>
      <c r="F226" s="26"/>
    </row>
    <row r="227" spans="2:6" ht="15">
      <c r="B227" s="26"/>
      <c r="C227" s="26"/>
      <c r="D227" s="26"/>
      <c r="E227" s="26"/>
      <c r="F227" s="26"/>
    </row>
    <row r="228" spans="2:6" ht="15">
      <c r="B228" s="26"/>
      <c r="C228" s="26"/>
      <c r="D228" s="26"/>
      <c r="E228" s="26"/>
      <c r="F228" s="26"/>
    </row>
    <row r="229" spans="2:6" ht="15">
      <c r="B229" s="26"/>
      <c r="C229" s="26"/>
      <c r="D229" s="26"/>
      <c r="E229" s="26"/>
      <c r="F229" s="26"/>
    </row>
    <row r="230" spans="2:6" ht="15">
      <c r="B230" s="26"/>
      <c r="C230" s="26"/>
      <c r="D230" s="26"/>
      <c r="E230" s="26"/>
      <c r="F230" s="26"/>
    </row>
    <row r="231" spans="2:6" ht="15">
      <c r="B231" s="26"/>
      <c r="C231" s="26"/>
      <c r="D231" s="26"/>
      <c r="E231" s="26"/>
      <c r="F231" s="26"/>
    </row>
    <row r="232" spans="2:6" ht="15">
      <c r="B232" s="26"/>
      <c r="C232" s="26"/>
      <c r="D232" s="26"/>
      <c r="E232" s="26"/>
      <c r="F232" s="26"/>
    </row>
    <row r="233" spans="2:6" ht="15">
      <c r="B233" s="26"/>
      <c r="C233" s="26"/>
      <c r="D233" s="26"/>
      <c r="E233" s="26"/>
      <c r="F233" s="26"/>
    </row>
    <row r="234" spans="2:6" ht="15">
      <c r="B234" s="26"/>
      <c r="C234" s="26"/>
      <c r="D234" s="26"/>
      <c r="E234" s="26"/>
      <c r="F234" s="26"/>
    </row>
    <row r="235" spans="2:6" ht="15">
      <c r="B235" s="26"/>
      <c r="C235" s="26"/>
      <c r="D235" s="26"/>
      <c r="E235" s="26"/>
      <c r="F235" s="26"/>
    </row>
    <row r="236" spans="2:6" ht="15">
      <c r="B236" s="26"/>
      <c r="C236" s="26"/>
      <c r="D236" s="26"/>
      <c r="E236" s="26"/>
      <c r="F236" s="26"/>
    </row>
    <row r="237" spans="2:6" ht="15">
      <c r="B237" s="26"/>
      <c r="C237" s="26"/>
      <c r="D237" s="26"/>
      <c r="E237" s="26"/>
      <c r="F237" s="26"/>
    </row>
    <row r="238" spans="2:6" ht="15">
      <c r="B238" s="26"/>
      <c r="C238" s="26"/>
      <c r="D238" s="26"/>
      <c r="E238" s="26"/>
      <c r="F238" s="26"/>
    </row>
    <row r="239" spans="2:6" ht="15">
      <c r="B239" s="26"/>
      <c r="C239" s="26"/>
      <c r="D239" s="26"/>
      <c r="E239" s="26"/>
      <c r="F239" s="26"/>
    </row>
    <row r="240" spans="2:6" ht="15">
      <c r="B240" s="26"/>
      <c r="C240" s="26"/>
      <c r="D240" s="26"/>
      <c r="E240" s="26"/>
      <c r="F240" s="26"/>
    </row>
    <row r="241" spans="2:6" ht="15">
      <c r="B241" s="26"/>
      <c r="C241" s="26"/>
      <c r="D241" s="26"/>
      <c r="E241" s="26"/>
      <c r="F241" s="26"/>
    </row>
    <row r="242" spans="2:6" ht="15">
      <c r="B242" s="26"/>
      <c r="C242" s="26"/>
      <c r="D242" s="26"/>
      <c r="E242" s="26"/>
      <c r="F242" s="26"/>
    </row>
    <row r="243" spans="2:6" ht="15">
      <c r="B243" s="26"/>
      <c r="C243" s="26"/>
      <c r="D243" s="26"/>
      <c r="E243" s="26"/>
      <c r="F243" s="26"/>
    </row>
    <row r="244" spans="2:6" ht="15">
      <c r="B244" s="26"/>
      <c r="C244" s="26"/>
      <c r="D244" s="26"/>
      <c r="E244" s="26"/>
      <c r="F244" s="26"/>
    </row>
    <row r="245" spans="2:6" ht="15">
      <c r="B245" s="26"/>
      <c r="C245" s="26"/>
      <c r="D245" s="26"/>
      <c r="E245" s="26"/>
      <c r="F245" s="26"/>
    </row>
    <row r="246" spans="2:6" ht="15">
      <c r="B246" s="26"/>
      <c r="C246" s="26"/>
      <c r="D246" s="26"/>
      <c r="E246" s="26"/>
      <c r="F246" s="26"/>
    </row>
    <row r="247" spans="2:6" ht="15">
      <c r="B247" s="26"/>
      <c r="C247" s="26"/>
      <c r="D247" s="26"/>
      <c r="E247" s="26"/>
      <c r="F247" s="26"/>
    </row>
    <row r="248" spans="2:6" ht="15">
      <c r="B248" s="26"/>
      <c r="C248" s="26"/>
      <c r="D248" s="26"/>
      <c r="E248" s="26"/>
      <c r="F248" s="26"/>
    </row>
    <row r="249" spans="2:6" ht="15">
      <c r="B249" s="26"/>
      <c r="C249" s="26"/>
      <c r="D249" s="26"/>
      <c r="E249" s="26"/>
      <c r="F249" s="26"/>
    </row>
    <row r="250" spans="2:6" ht="15">
      <c r="B250" s="26"/>
      <c r="C250" s="26"/>
      <c r="D250" s="26"/>
      <c r="E250" s="26"/>
      <c r="F250" s="26"/>
    </row>
    <row r="251" spans="2:6" ht="15">
      <c r="B251" s="26"/>
      <c r="C251" s="26"/>
      <c r="D251" s="26"/>
      <c r="E251" s="26"/>
      <c r="F251" s="26"/>
    </row>
    <row r="252" spans="2:6" ht="15">
      <c r="B252" s="26"/>
      <c r="C252" s="26"/>
      <c r="D252" s="26"/>
      <c r="E252" s="26"/>
      <c r="F252" s="26"/>
    </row>
    <row r="253" spans="2:6" ht="15">
      <c r="B253" s="26"/>
      <c r="C253" s="26"/>
      <c r="D253" s="26"/>
      <c r="E253" s="26"/>
      <c r="F253" s="26"/>
    </row>
    <row r="254" spans="2:6" ht="15">
      <c r="B254" s="26"/>
      <c r="C254" s="26"/>
      <c r="D254" s="26"/>
      <c r="E254" s="26"/>
      <c r="F254" s="26"/>
    </row>
    <row r="255" spans="2:6" ht="15">
      <c r="B255" s="26"/>
      <c r="C255" s="26"/>
      <c r="D255" s="26"/>
      <c r="E255" s="26"/>
      <c r="F255" s="26"/>
    </row>
    <row r="256" spans="2:6" ht="15">
      <c r="B256" s="26"/>
      <c r="C256" s="26"/>
      <c r="D256" s="26"/>
      <c r="E256" s="26"/>
      <c r="F256" s="26"/>
    </row>
    <row r="257" spans="2:6" ht="15">
      <c r="B257" s="26"/>
      <c r="C257" s="26"/>
      <c r="D257" s="26"/>
      <c r="E257" s="26"/>
      <c r="F257" s="26"/>
    </row>
    <row r="258" spans="2:6" ht="15">
      <c r="B258" s="26"/>
      <c r="C258" s="26"/>
      <c r="D258" s="26"/>
      <c r="E258" s="26"/>
      <c r="F258" s="26"/>
    </row>
    <row r="259" spans="2:6" ht="15">
      <c r="B259" s="26"/>
      <c r="C259" s="26"/>
      <c r="D259" s="26"/>
      <c r="E259" s="26"/>
      <c r="F259" s="26"/>
    </row>
    <row r="260" spans="2:6" ht="15">
      <c r="B260" s="26"/>
      <c r="C260" s="26"/>
      <c r="D260" s="26"/>
      <c r="E260" s="26"/>
      <c r="F260" s="26"/>
    </row>
    <row r="261" spans="2:6" ht="15">
      <c r="B261" s="26"/>
      <c r="C261" s="26"/>
      <c r="D261" s="26"/>
      <c r="E261" s="26"/>
      <c r="F261" s="26"/>
    </row>
    <row r="262" spans="2:6" ht="15">
      <c r="B262" s="26"/>
      <c r="C262" s="26"/>
      <c r="D262" s="26"/>
      <c r="E262" s="26"/>
      <c r="F262" s="26"/>
    </row>
    <row r="263" spans="2:6" ht="15">
      <c r="B263" s="26"/>
      <c r="C263" s="26"/>
      <c r="D263" s="26"/>
      <c r="E263" s="26"/>
      <c r="F263" s="26"/>
    </row>
    <row r="264" spans="2:6" ht="15">
      <c r="B264" s="26"/>
      <c r="C264" s="26"/>
      <c r="D264" s="26"/>
      <c r="E264" s="26"/>
      <c r="F264" s="26"/>
    </row>
    <row r="265" spans="2:6" ht="15">
      <c r="B265" s="26"/>
      <c r="C265" s="26"/>
      <c r="D265" s="26"/>
      <c r="E265" s="26"/>
      <c r="F265" s="26"/>
    </row>
    <row r="266" spans="2:6" ht="15">
      <c r="B266" s="26"/>
      <c r="C266" s="26"/>
      <c r="D266" s="26"/>
      <c r="E266" s="26"/>
      <c r="F266" s="26"/>
    </row>
    <row r="267" spans="2:6" ht="15">
      <c r="B267" s="26"/>
      <c r="C267" s="26"/>
      <c r="D267" s="26"/>
      <c r="E267" s="26"/>
      <c r="F267" s="26"/>
    </row>
    <row r="268" spans="2:6" ht="15">
      <c r="B268" s="26"/>
      <c r="C268" s="26"/>
      <c r="D268" s="26"/>
      <c r="E268" s="26"/>
      <c r="F268" s="26"/>
    </row>
    <row r="269" spans="2:6" ht="15">
      <c r="B269" s="26"/>
      <c r="C269" s="26"/>
      <c r="D269" s="26"/>
      <c r="E269" s="26"/>
      <c r="F269" s="26"/>
    </row>
    <row r="270" spans="2:6" ht="15">
      <c r="B270" s="26"/>
      <c r="C270" s="26"/>
      <c r="D270" s="26"/>
      <c r="E270" s="26"/>
      <c r="F270" s="26"/>
    </row>
    <row r="271" spans="2:6" ht="15">
      <c r="B271" s="26"/>
      <c r="C271" s="26"/>
      <c r="D271" s="26"/>
      <c r="E271" s="26"/>
      <c r="F271" s="26"/>
    </row>
    <row r="272" spans="2:6" ht="15">
      <c r="B272" s="26"/>
      <c r="C272" s="26"/>
      <c r="D272" s="26"/>
      <c r="E272" s="26"/>
      <c r="F272" s="26"/>
    </row>
    <row r="273" spans="2:6" ht="15">
      <c r="B273" s="26"/>
      <c r="C273" s="26"/>
      <c r="D273" s="26"/>
      <c r="E273" s="26"/>
      <c r="F273" s="26"/>
    </row>
    <row r="274" spans="2:6" ht="15">
      <c r="B274" s="26"/>
      <c r="C274" s="26"/>
      <c r="D274" s="26"/>
      <c r="E274" s="26"/>
      <c r="F274" s="26"/>
    </row>
    <row r="275" spans="2:6" ht="15">
      <c r="B275" s="26"/>
      <c r="C275" s="26"/>
      <c r="D275" s="26"/>
      <c r="E275" s="26"/>
      <c r="F275" s="26"/>
    </row>
    <row r="276" spans="2:6" ht="15">
      <c r="B276" s="26"/>
      <c r="C276" s="26"/>
      <c r="D276" s="26"/>
      <c r="E276" s="26"/>
      <c r="F276" s="26"/>
    </row>
    <row r="277" spans="2:6" ht="15">
      <c r="B277" s="26"/>
      <c r="C277" s="26"/>
      <c r="D277" s="26"/>
      <c r="E277" s="26"/>
      <c r="F277" s="26"/>
    </row>
    <row r="278" spans="2:6" ht="15">
      <c r="B278" s="26"/>
      <c r="C278" s="26"/>
      <c r="D278" s="26"/>
      <c r="E278" s="26"/>
      <c r="F278" s="26"/>
    </row>
    <row r="279" spans="2:6" ht="15">
      <c r="B279" s="26"/>
      <c r="C279" s="26"/>
      <c r="D279" s="26"/>
      <c r="E279" s="26"/>
      <c r="F279" s="26"/>
    </row>
    <row r="280" spans="2:6" ht="15">
      <c r="B280" s="26"/>
      <c r="C280" s="26"/>
      <c r="D280" s="26"/>
      <c r="E280" s="26"/>
      <c r="F280" s="26"/>
    </row>
    <row r="281" spans="2:6" ht="15">
      <c r="B281" s="26"/>
      <c r="C281" s="26"/>
      <c r="D281" s="26"/>
      <c r="E281" s="26"/>
      <c r="F281" s="26"/>
    </row>
    <row r="282" spans="2:6" ht="15">
      <c r="B282" s="26"/>
      <c r="C282" s="26"/>
      <c r="D282" s="26"/>
      <c r="E282" s="26"/>
      <c r="F282" s="26"/>
    </row>
    <row r="283" spans="2:6" ht="15">
      <c r="B283" s="26"/>
      <c r="C283" s="26"/>
      <c r="D283" s="26"/>
      <c r="E283" s="26"/>
      <c r="F283" s="26"/>
    </row>
    <row r="284" spans="2:6" ht="15">
      <c r="B284" s="26"/>
      <c r="C284" s="26"/>
      <c r="D284" s="26"/>
      <c r="E284" s="26"/>
      <c r="F284" s="26"/>
    </row>
    <row r="285" spans="2:6" ht="15">
      <c r="B285" s="26"/>
      <c r="C285" s="26"/>
      <c r="D285" s="26"/>
      <c r="E285" s="26"/>
      <c r="F285" s="26"/>
    </row>
    <row r="286" spans="2:6" ht="15">
      <c r="B286" s="26"/>
      <c r="C286" s="26"/>
      <c r="D286" s="26"/>
      <c r="E286" s="26"/>
      <c r="F286" s="26"/>
    </row>
    <row r="287" spans="2:6" ht="15">
      <c r="B287" s="26"/>
      <c r="C287" s="26"/>
      <c r="D287" s="26"/>
      <c r="E287" s="26"/>
      <c r="F287" s="26"/>
    </row>
    <row r="288" spans="2:6" ht="15">
      <c r="B288" s="26"/>
      <c r="C288" s="26"/>
      <c r="D288" s="26"/>
      <c r="E288" s="26"/>
      <c r="F288" s="26"/>
    </row>
    <row r="289" spans="2:6" ht="15">
      <c r="B289" s="26"/>
      <c r="C289" s="26"/>
      <c r="D289" s="26"/>
      <c r="E289" s="26"/>
      <c r="F289" s="26"/>
    </row>
    <row r="290" spans="2:6" ht="15">
      <c r="B290" s="26"/>
      <c r="C290" s="26"/>
      <c r="D290" s="26"/>
      <c r="E290" s="26"/>
      <c r="F290" s="26"/>
    </row>
    <row r="291" spans="2:6" ht="15">
      <c r="B291" s="26"/>
      <c r="C291" s="26"/>
      <c r="D291" s="26"/>
      <c r="E291" s="26"/>
      <c r="F291" s="26"/>
    </row>
    <row r="292" spans="2:6" ht="15">
      <c r="B292" s="26"/>
      <c r="C292" s="26"/>
      <c r="D292" s="26"/>
      <c r="E292" s="26"/>
      <c r="F292" s="26"/>
    </row>
    <row r="293" spans="2:6" ht="15">
      <c r="B293" s="26"/>
      <c r="C293" s="26"/>
      <c r="D293" s="26"/>
      <c r="E293" s="26"/>
      <c r="F293" s="26"/>
    </row>
    <row r="294" spans="2:6" ht="15">
      <c r="B294" s="26"/>
      <c r="C294" s="26"/>
      <c r="D294" s="26"/>
      <c r="E294" s="26"/>
      <c r="F294" s="26"/>
    </row>
    <row r="295" spans="2:6" ht="15">
      <c r="B295" s="26"/>
      <c r="C295" s="26"/>
      <c r="D295" s="26"/>
      <c r="E295" s="26"/>
      <c r="F295" s="26"/>
    </row>
    <row r="296" spans="2:6" ht="15">
      <c r="B296" s="26"/>
      <c r="C296" s="26"/>
      <c r="D296" s="26"/>
      <c r="E296" s="26"/>
      <c r="F296" s="26"/>
    </row>
    <row r="297" spans="2:6" ht="15">
      <c r="B297" s="26"/>
      <c r="C297" s="26"/>
      <c r="D297" s="26"/>
      <c r="E297" s="26"/>
      <c r="F297" s="26"/>
    </row>
    <row r="298" spans="2:6" ht="15">
      <c r="B298" s="26"/>
      <c r="C298" s="26"/>
      <c r="D298" s="26"/>
      <c r="E298" s="26"/>
      <c r="F298" s="26"/>
    </row>
    <row r="299" spans="2:6" ht="15">
      <c r="B299" s="26"/>
      <c r="C299" s="26"/>
      <c r="D299" s="26"/>
      <c r="E299" s="26"/>
      <c r="F299" s="26"/>
    </row>
    <row r="300" spans="2:6" ht="15">
      <c r="B300" s="26"/>
      <c r="C300" s="26"/>
      <c r="D300" s="26"/>
      <c r="E300" s="26"/>
      <c r="F300" s="26"/>
    </row>
    <row r="301" spans="2:6" ht="15">
      <c r="B301" s="26"/>
      <c r="C301" s="26"/>
      <c r="D301" s="26"/>
      <c r="E301" s="26"/>
      <c r="F301" s="26"/>
    </row>
    <row r="302" spans="2:6" ht="15">
      <c r="B302" s="26"/>
      <c r="C302" s="26"/>
      <c r="D302" s="26"/>
      <c r="E302" s="26"/>
      <c r="F302" s="26"/>
    </row>
    <row r="303" spans="2:6" ht="15">
      <c r="B303" s="26"/>
      <c r="C303" s="26"/>
      <c r="D303" s="26"/>
      <c r="E303" s="26"/>
      <c r="F303" s="26"/>
    </row>
    <row r="304" spans="2:6" ht="15">
      <c r="B304" s="26"/>
      <c r="C304" s="26"/>
      <c r="D304" s="26"/>
      <c r="E304" s="26"/>
      <c r="F304" s="26"/>
    </row>
    <row r="305" spans="2:6" ht="15">
      <c r="B305" s="26"/>
      <c r="C305" s="26"/>
      <c r="D305" s="26"/>
      <c r="E305" s="26"/>
      <c r="F305" s="26"/>
    </row>
    <row r="306" spans="2:6" ht="15">
      <c r="B306" s="26"/>
      <c r="C306" s="26"/>
      <c r="D306" s="26"/>
      <c r="E306" s="26"/>
      <c r="F306" s="26"/>
    </row>
    <row r="307" spans="2:6" ht="15">
      <c r="B307" s="26"/>
      <c r="C307" s="26"/>
      <c r="D307" s="26"/>
      <c r="E307" s="26"/>
      <c r="F307" s="26"/>
    </row>
    <row r="308" spans="2:6" ht="15">
      <c r="B308" s="26"/>
      <c r="C308" s="26"/>
      <c r="D308" s="26"/>
      <c r="E308" s="26"/>
      <c r="F308" s="26"/>
    </row>
    <row r="309" spans="2:6" ht="15">
      <c r="B309" s="26"/>
      <c r="C309" s="26"/>
      <c r="D309" s="26"/>
      <c r="E309" s="26"/>
      <c r="F309" s="26"/>
    </row>
    <row r="310" spans="2:6" ht="15">
      <c r="B310" s="26"/>
      <c r="C310" s="26"/>
      <c r="D310" s="26"/>
      <c r="E310" s="26"/>
      <c r="F310" s="26"/>
    </row>
    <row r="311" spans="2:6" ht="15">
      <c r="B311" s="26"/>
      <c r="C311" s="26"/>
      <c r="D311" s="26"/>
      <c r="E311" s="26"/>
      <c r="F311" s="26"/>
    </row>
    <row r="312" spans="2:6" ht="15">
      <c r="B312" s="26"/>
      <c r="C312" s="26"/>
      <c r="D312" s="26"/>
      <c r="E312" s="26"/>
      <c r="F312" s="26"/>
    </row>
    <row r="313" spans="2:6" ht="15">
      <c r="B313" s="26"/>
      <c r="C313" s="26"/>
      <c r="D313" s="26"/>
      <c r="E313" s="26"/>
      <c r="F313" s="26"/>
    </row>
    <row r="314" spans="2:6" ht="15">
      <c r="B314" s="26"/>
      <c r="C314" s="26"/>
      <c r="D314" s="26"/>
      <c r="E314" s="26"/>
      <c r="F314" s="26"/>
    </row>
    <row r="315" spans="2:6" ht="15">
      <c r="B315" s="26"/>
      <c r="C315" s="26"/>
      <c r="D315" s="26"/>
      <c r="E315" s="26"/>
      <c r="F315" s="26"/>
    </row>
    <row r="316" spans="2:6" ht="15">
      <c r="B316" s="26"/>
      <c r="C316" s="26"/>
      <c r="D316" s="26"/>
      <c r="E316" s="26"/>
      <c r="F316" s="26"/>
    </row>
    <row r="317" spans="2:6" ht="15">
      <c r="B317" s="26"/>
      <c r="C317" s="26"/>
      <c r="D317" s="26"/>
      <c r="E317" s="26"/>
      <c r="F317" s="26"/>
    </row>
    <row r="318" spans="2:6" ht="15">
      <c r="B318" s="26"/>
      <c r="C318" s="26"/>
      <c r="D318" s="26"/>
      <c r="E318" s="26"/>
      <c r="F318" s="26"/>
    </row>
    <row r="319" spans="2:6" ht="15">
      <c r="B319" s="26"/>
      <c r="C319" s="26"/>
      <c r="D319" s="26"/>
      <c r="E319" s="26"/>
      <c r="F319" s="26"/>
    </row>
    <row r="320" spans="2:6" ht="15">
      <c r="B320" s="26"/>
      <c r="C320" s="26"/>
      <c r="D320" s="26"/>
      <c r="E320" s="26"/>
      <c r="F320" s="26"/>
    </row>
    <row r="321" spans="2:6" ht="15">
      <c r="B321" s="26"/>
      <c r="C321" s="26"/>
      <c r="D321" s="26"/>
      <c r="E321" s="26"/>
      <c r="F321" s="26"/>
    </row>
    <row r="322" spans="2:6" ht="15">
      <c r="B322" s="26"/>
      <c r="C322" s="26"/>
      <c r="D322" s="26"/>
      <c r="E322" s="26"/>
      <c r="F322" s="26"/>
    </row>
    <row r="323" spans="2:6" ht="15">
      <c r="B323" s="26"/>
      <c r="C323" s="26"/>
      <c r="D323" s="26"/>
      <c r="E323" s="26"/>
      <c r="F323" s="26"/>
    </row>
    <row r="324" spans="2:6" ht="15">
      <c r="B324" s="26"/>
      <c r="C324" s="26"/>
      <c r="D324" s="26"/>
      <c r="E324" s="26"/>
      <c r="F324" s="26"/>
    </row>
    <row r="325" spans="2:6" ht="15">
      <c r="B325" s="26"/>
      <c r="C325" s="26"/>
      <c r="D325" s="26"/>
      <c r="E325" s="26"/>
      <c r="F325" s="26"/>
    </row>
    <row r="326" spans="2:6" ht="15">
      <c r="B326" s="26"/>
      <c r="C326" s="26"/>
      <c r="D326" s="26"/>
      <c r="E326" s="26"/>
      <c r="F326" s="26"/>
    </row>
    <row r="327" spans="2:6" ht="15">
      <c r="B327" s="26"/>
      <c r="C327" s="26"/>
      <c r="D327" s="26"/>
      <c r="E327" s="26"/>
      <c r="F327" s="26"/>
    </row>
    <row r="328" spans="2:6" ht="15">
      <c r="B328" s="26"/>
      <c r="C328" s="26"/>
      <c r="D328" s="26"/>
      <c r="E328" s="26"/>
      <c r="F328" s="26"/>
    </row>
    <row r="329" spans="2:6" ht="15">
      <c r="B329" s="26"/>
      <c r="C329" s="26"/>
      <c r="D329" s="26"/>
      <c r="E329" s="26"/>
      <c r="F329" s="26"/>
    </row>
    <row r="330" spans="2:6" ht="15">
      <c r="B330" s="26"/>
      <c r="C330" s="26"/>
      <c r="D330" s="26"/>
      <c r="E330" s="26"/>
      <c r="F330" s="26"/>
    </row>
    <row r="331" spans="2:6" ht="15">
      <c r="B331" s="26"/>
      <c r="C331" s="26"/>
      <c r="D331" s="26"/>
      <c r="E331" s="26"/>
      <c r="F331" s="26"/>
    </row>
    <row r="332" spans="2:6" ht="15">
      <c r="B332" s="26"/>
      <c r="C332" s="26"/>
      <c r="D332" s="26"/>
      <c r="E332" s="26"/>
      <c r="F332" s="26"/>
    </row>
    <row r="333" spans="2:6" ht="15">
      <c r="B333" s="26"/>
      <c r="C333" s="26"/>
      <c r="D333" s="26"/>
      <c r="E333" s="26"/>
      <c r="F333" s="26"/>
    </row>
    <row r="334" spans="2:6" ht="15">
      <c r="B334" s="26"/>
      <c r="C334" s="26"/>
      <c r="D334" s="26"/>
      <c r="E334" s="26"/>
      <c r="F334" s="26"/>
    </row>
    <row r="335" spans="2:6" ht="15">
      <c r="B335" s="26"/>
      <c r="C335" s="26"/>
      <c r="D335" s="26"/>
      <c r="E335" s="26"/>
      <c r="F335" s="26"/>
    </row>
    <row r="336" spans="2:6" ht="15">
      <c r="B336" s="26"/>
      <c r="C336" s="26"/>
      <c r="D336" s="26"/>
      <c r="E336" s="26"/>
      <c r="F336" s="26"/>
    </row>
    <row r="337" spans="2:6" ht="15">
      <c r="B337" s="26"/>
      <c r="C337" s="26"/>
      <c r="D337" s="26"/>
      <c r="E337" s="26"/>
      <c r="F337" s="26"/>
    </row>
    <row r="338" spans="2:6" ht="15">
      <c r="B338" s="26"/>
      <c r="C338" s="26"/>
      <c r="D338" s="26"/>
      <c r="E338" s="26"/>
      <c r="F338" s="26"/>
    </row>
    <row r="339" spans="2:6" ht="15">
      <c r="B339" s="26"/>
      <c r="C339" s="26"/>
      <c r="D339" s="26"/>
      <c r="E339" s="26"/>
      <c r="F339" s="26"/>
    </row>
    <row r="340" spans="2:6" ht="15">
      <c r="B340" s="26"/>
      <c r="C340" s="26"/>
      <c r="D340" s="26"/>
      <c r="E340" s="26"/>
      <c r="F340" s="26"/>
    </row>
    <row r="341" spans="2:6" ht="15">
      <c r="B341" s="26"/>
      <c r="C341" s="26"/>
      <c r="D341" s="26"/>
      <c r="E341" s="26"/>
      <c r="F341" s="26"/>
    </row>
    <row r="342" spans="2:6" ht="15">
      <c r="B342" s="26"/>
      <c r="C342" s="26"/>
      <c r="D342" s="26"/>
      <c r="E342" s="26"/>
      <c r="F342" s="26"/>
    </row>
    <row r="343" spans="2:6" ht="15">
      <c r="B343" s="26"/>
      <c r="C343" s="26"/>
      <c r="D343" s="26"/>
      <c r="E343" s="26"/>
      <c r="F343" s="26"/>
    </row>
    <row r="344" spans="2:6" ht="15">
      <c r="B344" s="26"/>
      <c r="C344" s="26"/>
      <c r="D344" s="26"/>
      <c r="E344" s="26"/>
      <c r="F344" s="26"/>
    </row>
    <row r="345" spans="2:6" ht="15">
      <c r="B345" s="26"/>
      <c r="C345" s="26"/>
      <c r="D345" s="26"/>
      <c r="E345" s="26"/>
      <c r="F345" s="26"/>
    </row>
    <row r="346" spans="2:6" ht="15">
      <c r="B346" s="26"/>
      <c r="C346" s="26"/>
      <c r="D346" s="26"/>
      <c r="E346" s="26"/>
      <c r="F346" s="26"/>
    </row>
    <row r="347" spans="2:6" ht="15">
      <c r="B347" s="26"/>
      <c r="C347" s="26"/>
      <c r="D347" s="26"/>
      <c r="E347" s="26"/>
      <c r="F347" s="26"/>
    </row>
    <row r="348" spans="2:6" ht="15">
      <c r="B348" s="26"/>
      <c r="C348" s="26"/>
      <c r="D348" s="26"/>
      <c r="E348" s="26"/>
      <c r="F348" s="26"/>
    </row>
    <row r="349" spans="2:6" ht="15">
      <c r="B349" s="26"/>
      <c r="C349" s="26"/>
      <c r="D349" s="26"/>
      <c r="E349" s="26"/>
      <c r="F349" s="26"/>
    </row>
    <row r="350" spans="2:6" ht="15">
      <c r="B350" s="26"/>
      <c r="C350" s="26"/>
      <c r="D350" s="26"/>
      <c r="E350" s="26"/>
      <c r="F350" s="26"/>
    </row>
    <row r="351" spans="2:6" ht="15">
      <c r="B351" s="26"/>
      <c r="C351" s="26"/>
      <c r="D351" s="26"/>
      <c r="E351" s="26"/>
      <c r="F351" s="26"/>
    </row>
    <row r="352" spans="2:6" ht="15">
      <c r="B352" s="26"/>
      <c r="C352" s="26"/>
      <c r="D352" s="26"/>
      <c r="E352" s="26"/>
      <c r="F352" s="26"/>
    </row>
    <row r="353" spans="2:6" ht="15">
      <c r="B353" s="26"/>
      <c r="C353" s="26"/>
      <c r="D353" s="26"/>
      <c r="E353" s="26"/>
      <c r="F353" s="26"/>
    </row>
    <row r="354" spans="2:6" ht="15">
      <c r="B354" s="26"/>
      <c r="C354" s="26"/>
      <c r="D354" s="26"/>
      <c r="E354" s="26"/>
      <c r="F354" s="26"/>
    </row>
    <row r="355" spans="2:6" ht="15">
      <c r="B355" s="26"/>
      <c r="C355" s="26"/>
      <c r="D355" s="26"/>
      <c r="E355" s="26"/>
      <c r="F355" s="26"/>
    </row>
    <row r="356" spans="2:6" ht="15">
      <c r="B356" s="26"/>
      <c r="C356" s="26"/>
      <c r="D356" s="26"/>
      <c r="E356" s="26"/>
      <c r="F356" s="26"/>
    </row>
    <row r="357" spans="2:6" ht="15">
      <c r="B357" s="26"/>
      <c r="C357" s="26"/>
      <c r="D357" s="26"/>
      <c r="E357" s="26"/>
      <c r="F357" s="26"/>
    </row>
    <row r="358" spans="2:6" ht="15">
      <c r="B358" s="26"/>
      <c r="C358" s="26"/>
      <c r="D358" s="26"/>
      <c r="E358" s="26"/>
      <c r="F358" s="26"/>
    </row>
    <row r="359" spans="2:6" ht="15">
      <c r="B359" s="26"/>
      <c r="C359" s="26"/>
      <c r="D359" s="26"/>
      <c r="E359" s="26"/>
      <c r="F359" s="26"/>
    </row>
    <row r="360" spans="2:6" ht="15">
      <c r="B360" s="26"/>
      <c r="C360" s="26"/>
      <c r="D360" s="26"/>
      <c r="E360" s="26"/>
      <c r="F360" s="26"/>
    </row>
    <row r="361" spans="2:6" ht="15">
      <c r="B361" s="26"/>
      <c r="C361" s="26"/>
      <c r="D361" s="26"/>
      <c r="E361" s="26"/>
      <c r="F361" s="26"/>
    </row>
    <row r="362" spans="2:6" ht="15">
      <c r="B362" s="26"/>
      <c r="C362" s="26"/>
      <c r="D362" s="26"/>
      <c r="E362" s="26"/>
      <c r="F362" s="26"/>
    </row>
    <row r="363" spans="2:6" ht="15">
      <c r="B363" s="26"/>
      <c r="C363" s="26"/>
      <c r="D363" s="26"/>
      <c r="E363" s="26"/>
      <c r="F363" s="26"/>
    </row>
    <row r="364" spans="2:6" ht="15">
      <c r="B364" s="26"/>
      <c r="C364" s="26"/>
      <c r="D364" s="26"/>
      <c r="E364" s="26"/>
      <c r="F364" s="26"/>
    </row>
    <row r="365" spans="2:6" ht="15">
      <c r="B365" s="26"/>
      <c r="C365" s="26"/>
      <c r="D365" s="26"/>
      <c r="E365" s="26"/>
      <c r="F365" s="26"/>
    </row>
    <row r="366" spans="2:6" ht="15">
      <c r="B366" s="26"/>
      <c r="C366" s="26"/>
      <c r="D366" s="26"/>
      <c r="E366" s="26"/>
      <c r="F366" s="26"/>
    </row>
    <row r="367" spans="2:6" ht="15">
      <c r="B367" s="26"/>
      <c r="C367" s="26"/>
      <c r="D367" s="26"/>
      <c r="E367" s="26"/>
      <c r="F367" s="26"/>
    </row>
    <row r="368" spans="2:6" ht="15">
      <c r="B368" s="26"/>
      <c r="C368" s="26"/>
      <c r="D368" s="26"/>
      <c r="E368" s="26"/>
      <c r="F368" s="26"/>
    </row>
    <row r="369" spans="2:6" ht="15">
      <c r="B369" s="26"/>
      <c r="C369" s="26"/>
      <c r="D369" s="26"/>
      <c r="E369" s="26"/>
      <c r="F369" s="26"/>
    </row>
    <row r="370" spans="2:6" ht="15">
      <c r="B370" s="26"/>
      <c r="C370" s="26"/>
      <c r="D370" s="26"/>
      <c r="E370" s="26"/>
      <c r="F370" s="26"/>
    </row>
    <row r="371" spans="2:6" ht="15">
      <c r="B371" s="26"/>
      <c r="C371" s="26"/>
      <c r="D371" s="26"/>
      <c r="E371" s="26"/>
      <c r="F371" s="26"/>
    </row>
    <row r="372" spans="2:6" ht="15">
      <c r="B372" s="26"/>
      <c r="C372" s="26"/>
      <c r="D372" s="26"/>
      <c r="E372" s="26"/>
      <c r="F372" s="26"/>
    </row>
    <row r="373" spans="2:6" ht="15">
      <c r="B373" s="26"/>
      <c r="C373" s="26"/>
      <c r="D373" s="26"/>
      <c r="E373" s="26"/>
      <c r="F373" s="26"/>
    </row>
    <row r="374" spans="2:6" ht="15">
      <c r="B374" s="26"/>
      <c r="C374" s="26"/>
      <c r="D374" s="26"/>
      <c r="E374" s="26"/>
      <c r="F374" s="26"/>
    </row>
    <row r="375" spans="2:6" ht="15">
      <c r="B375" s="26"/>
      <c r="C375" s="26"/>
      <c r="D375" s="26"/>
      <c r="E375" s="26"/>
      <c r="F375" s="26"/>
    </row>
    <row r="376" spans="2:6" ht="15">
      <c r="B376" s="26"/>
      <c r="C376" s="26"/>
      <c r="D376" s="26"/>
      <c r="E376" s="26"/>
      <c r="F376" s="26"/>
    </row>
    <row r="377" spans="2:6" ht="15">
      <c r="B377" s="26"/>
      <c r="C377" s="26"/>
      <c r="D377" s="26"/>
      <c r="E377" s="26"/>
      <c r="F377" s="26"/>
    </row>
    <row r="378" spans="2:6" ht="15">
      <c r="B378" s="26"/>
      <c r="C378" s="26"/>
      <c r="D378" s="26"/>
      <c r="E378" s="26"/>
      <c r="F378" s="26"/>
    </row>
    <row r="379" spans="2:6" ht="15">
      <c r="B379" s="26"/>
      <c r="C379" s="26"/>
      <c r="D379" s="26"/>
      <c r="E379" s="26"/>
      <c r="F379" s="26"/>
    </row>
    <row r="380" spans="2:6" ht="15">
      <c r="B380" s="26"/>
      <c r="C380" s="26"/>
      <c r="D380" s="26"/>
      <c r="E380" s="26"/>
      <c r="F380" s="26"/>
    </row>
    <row r="381" spans="2:6" ht="15">
      <c r="B381" s="26"/>
      <c r="C381" s="26"/>
      <c r="D381" s="26"/>
      <c r="E381" s="26"/>
      <c r="F381" s="26"/>
    </row>
    <row r="382" spans="2:6" ht="15">
      <c r="B382" s="26"/>
      <c r="C382" s="26"/>
      <c r="D382" s="26"/>
      <c r="E382" s="26"/>
      <c r="F382" s="26"/>
    </row>
    <row r="383" spans="2:6" ht="15">
      <c r="B383" s="26"/>
      <c r="C383" s="26"/>
      <c r="D383" s="26"/>
      <c r="E383" s="26"/>
      <c r="F383" s="26"/>
    </row>
    <row r="384" spans="2:6" ht="15">
      <c r="B384" s="26"/>
      <c r="C384" s="26"/>
      <c r="D384" s="26"/>
      <c r="E384" s="26"/>
      <c r="F384" s="26"/>
    </row>
    <row r="385" spans="2:6" ht="15">
      <c r="B385" s="26"/>
      <c r="C385" s="26"/>
      <c r="D385" s="26"/>
      <c r="E385" s="26"/>
      <c r="F385" s="26"/>
    </row>
    <row r="386" spans="2:6" ht="15">
      <c r="B386" s="26"/>
      <c r="C386" s="26"/>
      <c r="D386" s="26"/>
      <c r="E386" s="26"/>
      <c r="F386" s="26"/>
    </row>
    <row r="387" spans="2:6" ht="15">
      <c r="B387" s="26"/>
      <c r="C387" s="26"/>
      <c r="D387" s="26"/>
      <c r="E387" s="26"/>
      <c r="F387" s="26"/>
    </row>
    <row r="388" spans="2:6" ht="15">
      <c r="B388" s="26"/>
      <c r="C388" s="26"/>
      <c r="D388" s="26"/>
      <c r="E388" s="26"/>
      <c r="F388" s="26"/>
    </row>
    <row r="389" spans="2:6" ht="15">
      <c r="B389" s="26"/>
      <c r="C389" s="26"/>
      <c r="D389" s="26"/>
      <c r="E389" s="26"/>
      <c r="F389" s="26"/>
    </row>
    <row r="390" spans="2:6" ht="15">
      <c r="B390" s="26"/>
      <c r="C390" s="26"/>
      <c r="D390" s="26"/>
      <c r="E390" s="26"/>
      <c r="F390" s="26"/>
    </row>
    <row r="391" spans="2:6" ht="15">
      <c r="B391" s="26"/>
      <c r="C391" s="26"/>
      <c r="D391" s="26"/>
      <c r="E391" s="26"/>
      <c r="F391" s="26"/>
    </row>
    <row r="392" spans="2:6" ht="15">
      <c r="B392" s="26"/>
      <c r="C392" s="26"/>
      <c r="D392" s="26"/>
      <c r="E392" s="26"/>
      <c r="F392" s="26"/>
    </row>
    <row r="393" spans="2:6" ht="15">
      <c r="B393" s="26"/>
      <c r="C393" s="26"/>
      <c r="D393" s="26"/>
      <c r="E393" s="26"/>
      <c r="F393" s="26"/>
    </row>
    <row r="394" spans="2:6" ht="15">
      <c r="B394" s="26"/>
      <c r="C394" s="26"/>
      <c r="D394" s="26"/>
      <c r="E394" s="26"/>
      <c r="F394" s="26"/>
    </row>
    <row r="395" spans="2:6" ht="15">
      <c r="B395" s="26"/>
      <c r="C395" s="26"/>
      <c r="D395" s="26"/>
      <c r="E395" s="26"/>
      <c r="F395" s="26"/>
    </row>
    <row r="396" spans="2:6" ht="15">
      <c r="B396" s="26"/>
      <c r="C396" s="26"/>
      <c r="D396" s="26"/>
      <c r="E396" s="26"/>
      <c r="F396" s="26"/>
    </row>
    <row r="397" spans="2:6" ht="15">
      <c r="B397" s="26"/>
      <c r="C397" s="26"/>
      <c r="D397" s="26"/>
      <c r="E397" s="26"/>
      <c r="F397" s="26"/>
    </row>
    <row r="398" spans="2:6" ht="15">
      <c r="B398" s="26"/>
      <c r="C398" s="26"/>
      <c r="D398" s="26"/>
      <c r="E398" s="26"/>
      <c r="F398" s="26"/>
    </row>
    <row r="399" spans="2:6" ht="15">
      <c r="B399" s="26"/>
      <c r="C399" s="26"/>
      <c r="D399" s="26"/>
      <c r="E399" s="26"/>
      <c r="F399" s="26"/>
    </row>
    <row r="400" spans="2:6" ht="15">
      <c r="B400" s="26"/>
      <c r="C400" s="26"/>
      <c r="D400" s="26"/>
      <c r="E400" s="26"/>
      <c r="F400" s="26"/>
    </row>
    <row r="401" spans="2:6" ht="15">
      <c r="B401" s="26"/>
      <c r="C401" s="26"/>
      <c r="D401" s="26"/>
      <c r="E401" s="26"/>
      <c r="F401" s="26"/>
    </row>
    <row r="402" spans="2:6" ht="15">
      <c r="B402" s="26"/>
      <c r="C402" s="26"/>
      <c r="D402" s="26"/>
      <c r="E402" s="26"/>
      <c r="F402" s="26"/>
    </row>
    <row r="403" spans="2:6" ht="15">
      <c r="B403" s="26"/>
      <c r="C403" s="26"/>
      <c r="D403" s="26"/>
      <c r="E403" s="26"/>
      <c r="F403" s="26"/>
    </row>
    <row r="404" spans="2:6" ht="15">
      <c r="B404" s="26"/>
      <c r="C404" s="26"/>
      <c r="D404" s="26"/>
      <c r="E404" s="26"/>
      <c r="F404" s="26"/>
    </row>
    <row r="405" spans="2:6" ht="15">
      <c r="B405" s="26"/>
      <c r="C405" s="26"/>
      <c r="D405" s="26"/>
      <c r="E405" s="26"/>
      <c r="F405" s="26"/>
    </row>
    <row r="406" spans="2:6" ht="15">
      <c r="B406" s="26"/>
      <c r="C406" s="26"/>
      <c r="D406" s="26"/>
      <c r="E406" s="26"/>
      <c r="F406" s="26"/>
    </row>
    <row r="407" spans="2:6" ht="15">
      <c r="B407" s="26"/>
      <c r="C407" s="26"/>
      <c r="D407" s="26"/>
      <c r="E407" s="26"/>
      <c r="F407" s="26"/>
    </row>
    <row r="408" spans="2:6" ht="15">
      <c r="B408" s="26"/>
      <c r="C408" s="26"/>
      <c r="D408" s="26"/>
      <c r="E408" s="26"/>
      <c r="F408" s="26"/>
    </row>
    <row r="409" spans="2:6" ht="15">
      <c r="B409" s="26"/>
      <c r="C409" s="26"/>
      <c r="D409" s="26"/>
      <c r="E409" s="26"/>
      <c r="F409" s="26"/>
    </row>
    <row r="410" spans="2:6" ht="15">
      <c r="B410" s="26"/>
      <c r="C410" s="26"/>
      <c r="D410" s="26"/>
      <c r="E410" s="26"/>
      <c r="F410" s="26"/>
    </row>
    <row r="411" spans="2:6" ht="15">
      <c r="B411" s="26"/>
      <c r="C411" s="26"/>
      <c r="D411" s="26"/>
      <c r="E411" s="26"/>
      <c r="F411" s="26"/>
    </row>
    <row r="412" spans="2:6" ht="15">
      <c r="B412" s="26"/>
      <c r="C412" s="26"/>
      <c r="D412" s="26"/>
      <c r="E412" s="26"/>
      <c r="F412" s="26"/>
    </row>
    <row r="413" spans="2:6" ht="15">
      <c r="B413" s="26"/>
      <c r="C413" s="26"/>
      <c r="D413" s="26"/>
      <c r="E413" s="26"/>
      <c r="F413" s="26"/>
    </row>
    <row r="414" spans="2:6" ht="15">
      <c r="B414" s="26"/>
      <c r="C414" s="26"/>
      <c r="D414" s="26"/>
      <c r="E414" s="26"/>
      <c r="F414" s="26"/>
    </row>
    <row r="415" spans="2:6" ht="15">
      <c r="B415" s="26"/>
      <c r="C415" s="26"/>
      <c r="D415" s="26"/>
      <c r="E415" s="26"/>
      <c r="F415" s="26"/>
    </row>
    <row r="416" spans="2:6" ht="15">
      <c r="B416" s="26"/>
      <c r="C416" s="26"/>
      <c r="D416" s="26"/>
      <c r="E416" s="26"/>
      <c r="F416" s="26"/>
    </row>
    <row r="417" spans="2:6" ht="15">
      <c r="B417" s="26"/>
      <c r="C417" s="26"/>
      <c r="D417" s="26"/>
      <c r="E417" s="26"/>
      <c r="F417" s="26"/>
    </row>
    <row r="418" spans="2:6" ht="15">
      <c r="B418" s="26"/>
      <c r="C418" s="26"/>
      <c r="D418" s="26"/>
      <c r="E418" s="26"/>
      <c r="F418" s="26"/>
    </row>
    <row r="419" spans="2:6" ht="15">
      <c r="B419" s="26"/>
      <c r="C419" s="26"/>
      <c r="D419" s="26"/>
      <c r="E419" s="26"/>
      <c r="F419" s="26"/>
    </row>
    <row r="420" spans="2:6" ht="15">
      <c r="B420" s="26"/>
      <c r="C420" s="26"/>
      <c r="D420" s="26"/>
      <c r="E420" s="26"/>
      <c r="F420" s="26"/>
    </row>
    <row r="421" spans="2:6" ht="15">
      <c r="B421" s="26"/>
      <c r="C421" s="26"/>
      <c r="D421" s="26"/>
      <c r="E421" s="26"/>
      <c r="F421" s="26"/>
    </row>
    <row r="422" spans="2:6" ht="15">
      <c r="B422" s="26"/>
      <c r="C422" s="26"/>
      <c r="D422" s="26"/>
      <c r="E422" s="26"/>
      <c r="F422" s="26"/>
    </row>
    <row r="423" spans="2:6" ht="15">
      <c r="B423" s="26"/>
      <c r="C423" s="26"/>
      <c r="D423" s="26"/>
      <c r="E423" s="26"/>
      <c r="F423" s="26"/>
    </row>
    <row r="424" spans="2:6" ht="15">
      <c r="B424" s="26"/>
      <c r="C424" s="26"/>
      <c r="D424" s="26"/>
      <c r="E424" s="26"/>
      <c r="F424" s="26"/>
    </row>
    <row r="425" spans="2:6" ht="15">
      <c r="B425" s="26"/>
      <c r="C425" s="26"/>
      <c r="D425" s="26"/>
      <c r="E425" s="26"/>
      <c r="F425" s="26"/>
    </row>
    <row r="426" spans="2:6" ht="15">
      <c r="B426" s="26"/>
      <c r="C426" s="26"/>
      <c r="D426" s="26"/>
      <c r="E426" s="26"/>
      <c r="F426" s="26"/>
    </row>
    <row r="427" spans="2:6" ht="15">
      <c r="B427" s="26"/>
      <c r="C427" s="26"/>
      <c r="D427" s="26"/>
      <c r="E427" s="26"/>
      <c r="F427" s="26"/>
    </row>
    <row r="428" spans="2:6" ht="15">
      <c r="B428" s="26"/>
      <c r="C428" s="26"/>
      <c r="D428" s="26"/>
      <c r="E428" s="26"/>
      <c r="F428" s="26"/>
    </row>
    <row r="429" spans="2:6" ht="15">
      <c r="B429" s="26"/>
      <c r="C429" s="26"/>
      <c r="D429" s="26"/>
      <c r="E429" s="26"/>
      <c r="F429" s="26"/>
    </row>
    <row r="430" spans="2:6" ht="15">
      <c r="B430" s="26"/>
      <c r="C430" s="26"/>
      <c r="D430" s="26"/>
      <c r="E430" s="26"/>
      <c r="F430" s="26"/>
    </row>
    <row r="431" spans="2:6" ht="15">
      <c r="B431" s="26"/>
      <c r="C431" s="26"/>
      <c r="D431" s="26"/>
      <c r="E431" s="26"/>
      <c r="F431" s="26"/>
    </row>
    <row r="432" spans="2:6" ht="15">
      <c r="B432" s="26"/>
      <c r="C432" s="26"/>
      <c r="D432" s="26"/>
      <c r="E432" s="26"/>
      <c r="F432" s="26"/>
    </row>
    <row r="433" spans="2:6" ht="15">
      <c r="B433" s="26"/>
      <c r="C433" s="26"/>
      <c r="D433" s="26"/>
      <c r="E433" s="26"/>
      <c r="F433" s="26"/>
    </row>
    <row r="434" spans="2:6" ht="15">
      <c r="B434" s="26"/>
      <c r="C434" s="26"/>
      <c r="D434" s="26"/>
      <c r="E434" s="26"/>
      <c r="F434" s="26"/>
    </row>
    <row r="435" spans="2:6" ht="15">
      <c r="B435" s="26"/>
      <c r="C435" s="26"/>
      <c r="D435" s="26"/>
      <c r="E435" s="26"/>
      <c r="F435" s="26"/>
    </row>
    <row r="436" spans="2:6" ht="15">
      <c r="B436" s="26"/>
      <c r="C436" s="26"/>
      <c r="D436" s="26"/>
      <c r="E436" s="26"/>
      <c r="F436" s="26"/>
    </row>
    <row r="437" spans="2:6" ht="15">
      <c r="B437" s="26"/>
      <c r="C437" s="26"/>
      <c r="D437" s="26"/>
      <c r="E437" s="26"/>
      <c r="F437" s="26"/>
    </row>
    <row r="438" spans="2:6" ht="15">
      <c r="B438" s="26"/>
      <c r="C438" s="26"/>
      <c r="D438" s="26"/>
      <c r="E438" s="26"/>
      <c r="F438" s="26"/>
    </row>
    <row r="439" spans="2:6" ht="15">
      <c r="B439" s="26"/>
      <c r="C439" s="26"/>
      <c r="D439" s="26"/>
      <c r="E439" s="26"/>
      <c r="F439" s="26"/>
    </row>
    <row r="440" spans="2:6" ht="15">
      <c r="B440" s="26"/>
      <c r="C440" s="26"/>
      <c r="D440" s="26"/>
      <c r="E440" s="26"/>
      <c r="F440" s="26"/>
    </row>
    <row r="441" spans="2:6" ht="15">
      <c r="B441" s="26"/>
      <c r="C441" s="26"/>
      <c r="D441" s="26"/>
      <c r="E441" s="26"/>
      <c r="F441" s="26"/>
    </row>
    <row r="442" spans="2:6" ht="15">
      <c r="B442" s="26"/>
      <c r="C442" s="26"/>
      <c r="D442" s="26"/>
      <c r="E442" s="26"/>
      <c r="F442" s="26"/>
    </row>
    <row r="443" spans="2:6" ht="15">
      <c r="B443" s="26"/>
      <c r="C443" s="26"/>
      <c r="D443" s="26"/>
      <c r="E443" s="26"/>
      <c r="F443" s="26"/>
    </row>
    <row r="444" spans="2:6" ht="15">
      <c r="B444" s="26"/>
      <c r="C444" s="26"/>
      <c r="D444" s="26"/>
      <c r="E444" s="26"/>
      <c r="F444" s="26"/>
    </row>
    <row r="445" spans="2:6" ht="15">
      <c r="B445" s="26"/>
      <c r="C445" s="26"/>
      <c r="D445" s="26"/>
      <c r="E445" s="26"/>
      <c r="F445" s="26"/>
    </row>
    <row r="446" spans="2:6" ht="15">
      <c r="B446" s="26"/>
      <c r="C446" s="26"/>
      <c r="D446" s="26"/>
      <c r="E446" s="26"/>
      <c r="F446" s="26"/>
    </row>
    <row r="447" spans="2:6" ht="15">
      <c r="B447" s="26"/>
      <c r="C447" s="26"/>
      <c r="D447" s="26"/>
      <c r="E447" s="26"/>
      <c r="F447" s="26"/>
    </row>
    <row r="448" spans="2:6" ht="15">
      <c r="B448" s="26"/>
      <c r="C448" s="26"/>
      <c r="D448" s="26"/>
      <c r="E448" s="26"/>
      <c r="F448" s="26"/>
    </row>
    <row r="449" spans="2:6" ht="15">
      <c r="B449" s="26"/>
      <c r="C449" s="26"/>
      <c r="D449" s="26"/>
      <c r="E449" s="26"/>
      <c r="F449" s="26"/>
    </row>
    <row r="450" spans="2:6" ht="15">
      <c r="B450" s="26"/>
      <c r="C450" s="26"/>
      <c r="D450" s="26"/>
      <c r="E450" s="26"/>
      <c r="F450" s="26"/>
    </row>
    <row r="451" spans="2:6" ht="15">
      <c r="B451" s="26"/>
      <c r="C451" s="26"/>
      <c r="D451" s="26"/>
      <c r="E451" s="26"/>
      <c r="F451" s="26"/>
    </row>
    <row r="452" spans="2:6" ht="15">
      <c r="B452" s="26"/>
      <c r="C452" s="26"/>
      <c r="D452" s="26"/>
      <c r="E452" s="26"/>
      <c r="F452" s="26"/>
    </row>
    <row r="453" spans="2:6" ht="15">
      <c r="B453" s="26"/>
      <c r="C453" s="26"/>
      <c r="D453" s="26"/>
      <c r="E453" s="26"/>
      <c r="F453" s="26"/>
    </row>
    <row r="454" spans="2:6" ht="15">
      <c r="B454" s="26"/>
      <c r="C454" s="26"/>
      <c r="D454" s="26"/>
      <c r="E454" s="26"/>
      <c r="F454" s="26"/>
    </row>
    <row r="455" spans="2:6" ht="15">
      <c r="B455" s="26"/>
      <c r="C455" s="26"/>
      <c r="D455" s="26"/>
      <c r="E455" s="26"/>
      <c r="F455" s="26"/>
    </row>
    <row r="456" spans="2:6" ht="15">
      <c r="B456" s="26"/>
      <c r="C456" s="26"/>
      <c r="D456" s="26"/>
      <c r="E456" s="26"/>
      <c r="F456" s="26"/>
    </row>
    <row r="457" spans="2:6" ht="15">
      <c r="B457" s="26"/>
      <c r="C457" s="26"/>
      <c r="D457" s="26"/>
      <c r="E457" s="26"/>
      <c r="F457" s="26"/>
    </row>
    <row r="458" spans="2:6" ht="15">
      <c r="B458" s="26"/>
      <c r="C458" s="26"/>
      <c r="D458" s="26"/>
      <c r="E458" s="26"/>
      <c r="F458" s="26"/>
    </row>
    <row r="459" spans="2:6" ht="15">
      <c r="B459" s="26"/>
      <c r="C459" s="26"/>
      <c r="D459" s="26"/>
      <c r="E459" s="26"/>
      <c r="F459" s="26"/>
    </row>
    <row r="460" spans="2:6" ht="15">
      <c r="B460" s="26"/>
      <c r="C460" s="26"/>
      <c r="D460" s="26"/>
      <c r="E460" s="26"/>
      <c r="F460" s="26"/>
    </row>
    <row r="461" spans="2:6" ht="15">
      <c r="B461" s="26"/>
      <c r="C461" s="26"/>
      <c r="D461" s="26"/>
      <c r="E461" s="26"/>
      <c r="F461" s="26"/>
    </row>
    <row r="462" spans="2:6" ht="15">
      <c r="B462" s="26"/>
      <c r="C462" s="26"/>
      <c r="D462" s="26"/>
      <c r="E462" s="26"/>
      <c r="F462" s="26"/>
    </row>
    <row r="463" spans="2:6" ht="15">
      <c r="B463" s="26"/>
      <c r="C463" s="26"/>
      <c r="D463" s="26"/>
      <c r="E463" s="26"/>
      <c r="F463" s="26"/>
    </row>
    <row r="464" spans="2:6" ht="15">
      <c r="B464" s="26"/>
      <c r="C464" s="26"/>
      <c r="D464" s="26"/>
      <c r="E464" s="26"/>
      <c r="F464" s="26"/>
    </row>
    <row r="465" spans="2:6" ht="15">
      <c r="B465" s="26"/>
      <c r="C465" s="26"/>
      <c r="D465" s="26"/>
      <c r="E465" s="26"/>
      <c r="F465" s="26"/>
    </row>
    <row r="466" spans="2:6" ht="15">
      <c r="B466" s="26"/>
      <c r="C466" s="26"/>
      <c r="D466" s="26"/>
      <c r="E466" s="26"/>
      <c r="F466" s="26"/>
    </row>
    <row r="467" spans="2:6" ht="15">
      <c r="B467" s="26"/>
      <c r="C467" s="26"/>
      <c r="D467" s="26"/>
      <c r="E467" s="26"/>
      <c r="F467" s="26"/>
    </row>
    <row r="468" spans="2:6" ht="15">
      <c r="B468" s="26"/>
      <c r="C468" s="26"/>
      <c r="D468" s="26"/>
      <c r="E468" s="26"/>
      <c r="F468" s="26"/>
    </row>
    <row r="469" spans="2:6" ht="15">
      <c r="B469" s="26"/>
      <c r="C469" s="26"/>
      <c r="D469" s="26"/>
      <c r="E469" s="26"/>
      <c r="F469" s="26"/>
    </row>
    <row r="470" spans="2:6" ht="15">
      <c r="B470" s="26"/>
      <c r="C470" s="26"/>
      <c r="D470" s="26"/>
      <c r="E470" s="26"/>
      <c r="F470" s="26"/>
    </row>
    <row r="471" spans="2:6" ht="15">
      <c r="B471" s="26"/>
      <c r="C471" s="26"/>
      <c r="D471" s="26"/>
      <c r="E471" s="26"/>
      <c r="F471" s="26"/>
    </row>
    <row r="472" spans="2:6" ht="15">
      <c r="B472" s="26"/>
      <c r="C472" s="26"/>
      <c r="D472" s="26"/>
      <c r="E472" s="26"/>
      <c r="F472" s="26"/>
    </row>
    <row r="473" spans="2:6" ht="15">
      <c r="B473" s="26"/>
      <c r="C473" s="26"/>
      <c r="D473" s="26"/>
      <c r="E473" s="26"/>
      <c r="F473" s="26"/>
    </row>
    <row r="474" spans="2:6" ht="15">
      <c r="B474" s="26"/>
      <c r="C474" s="26"/>
      <c r="D474" s="26"/>
      <c r="E474" s="26"/>
      <c r="F474" s="26"/>
    </row>
    <row r="475" spans="2:6" ht="15">
      <c r="B475" s="26"/>
      <c r="C475" s="26"/>
      <c r="D475" s="26"/>
      <c r="E475" s="26"/>
      <c r="F475" s="26"/>
    </row>
    <row r="476" spans="2:6" ht="15">
      <c r="B476" s="26"/>
      <c r="C476" s="26"/>
      <c r="D476" s="26"/>
      <c r="E476" s="26"/>
      <c r="F476" s="26"/>
    </row>
    <row r="477" spans="2:6" ht="15">
      <c r="B477" s="26"/>
      <c r="C477" s="26"/>
      <c r="D477" s="26"/>
      <c r="E477" s="26"/>
      <c r="F477" s="26"/>
    </row>
    <row r="478" spans="2:6" ht="15">
      <c r="B478" s="26"/>
      <c r="C478" s="26"/>
      <c r="D478" s="26"/>
      <c r="E478" s="26"/>
      <c r="F478" s="26"/>
    </row>
    <row r="479" spans="2:6" ht="15">
      <c r="B479" s="26"/>
      <c r="C479" s="26"/>
      <c r="D479" s="26"/>
      <c r="E479" s="26"/>
      <c r="F479" s="26"/>
    </row>
    <row r="480" spans="2:6" ht="15">
      <c r="B480" s="26"/>
      <c r="C480" s="26"/>
      <c r="D480" s="26"/>
      <c r="E480" s="26"/>
      <c r="F480" s="26"/>
    </row>
    <row r="481" spans="2:6" ht="15">
      <c r="B481" s="26"/>
      <c r="C481" s="26"/>
      <c r="D481" s="26"/>
      <c r="E481" s="26"/>
      <c r="F481" s="26"/>
    </row>
    <row r="482" spans="2:6" ht="15">
      <c r="B482" s="26"/>
      <c r="C482" s="26"/>
      <c r="D482" s="26"/>
      <c r="E482" s="26"/>
      <c r="F482" s="26"/>
    </row>
    <row r="483" spans="2:6" ht="15">
      <c r="B483" s="26"/>
      <c r="C483" s="26"/>
      <c r="D483" s="26"/>
      <c r="E483" s="26"/>
      <c r="F483" s="26"/>
    </row>
    <row r="484" spans="2:6" ht="15">
      <c r="B484" s="26"/>
      <c r="C484" s="26"/>
      <c r="D484" s="26"/>
      <c r="E484" s="26"/>
      <c r="F484" s="26"/>
    </row>
    <row r="485" spans="2:6" ht="15">
      <c r="B485" s="26"/>
      <c r="C485" s="26"/>
      <c r="D485" s="26"/>
      <c r="E485" s="26"/>
      <c r="F485" s="26"/>
    </row>
    <row r="486" spans="2:6" ht="15">
      <c r="B486" s="26"/>
      <c r="C486" s="26"/>
      <c r="D486" s="26"/>
      <c r="E486" s="26"/>
      <c r="F486" s="26"/>
    </row>
    <row r="487" spans="2:6" ht="15">
      <c r="B487" s="26"/>
      <c r="C487" s="26"/>
      <c r="D487" s="26"/>
      <c r="E487" s="26"/>
      <c r="F487" s="26"/>
    </row>
    <row r="488" spans="2:6" ht="15">
      <c r="B488" s="26"/>
      <c r="C488" s="26"/>
      <c r="D488" s="26"/>
      <c r="E488" s="26"/>
      <c r="F488" s="26"/>
    </row>
    <row r="489" spans="2:6" ht="15">
      <c r="B489" s="26"/>
      <c r="C489" s="26"/>
      <c r="D489" s="26"/>
      <c r="E489" s="26"/>
      <c r="F489" s="26"/>
    </row>
    <row r="490" spans="2:6" ht="15">
      <c r="B490" s="26"/>
      <c r="C490" s="26"/>
      <c r="D490" s="26"/>
      <c r="E490" s="26"/>
      <c r="F490" s="26"/>
    </row>
    <row r="491" spans="2:6" ht="15">
      <c r="B491" s="26"/>
      <c r="C491" s="26"/>
      <c r="D491" s="26"/>
      <c r="E491" s="26"/>
      <c r="F491" s="26"/>
    </row>
    <row r="492" spans="2:6" ht="15">
      <c r="B492" s="26"/>
      <c r="C492" s="26"/>
      <c r="D492" s="26"/>
      <c r="E492" s="26"/>
      <c r="F492" s="26"/>
    </row>
    <row r="493" spans="2:6" ht="15">
      <c r="B493" s="26"/>
      <c r="C493" s="26"/>
      <c r="D493" s="26"/>
      <c r="E493" s="26"/>
      <c r="F493" s="26"/>
    </row>
    <row r="494" spans="2:6" ht="15">
      <c r="B494" s="26"/>
      <c r="C494" s="26"/>
      <c r="D494" s="26"/>
      <c r="E494" s="26"/>
      <c r="F494" s="26"/>
    </row>
    <row r="495" spans="2:6" ht="15">
      <c r="B495" s="26"/>
      <c r="C495" s="26"/>
      <c r="D495" s="26"/>
      <c r="E495" s="26"/>
      <c r="F495" s="26"/>
    </row>
    <row r="496" spans="2:6" ht="15">
      <c r="B496" s="26"/>
      <c r="C496" s="26"/>
      <c r="D496" s="26"/>
      <c r="E496" s="26"/>
      <c r="F496" s="26"/>
    </row>
    <row r="497" spans="2:6" ht="15">
      <c r="B497" s="26"/>
      <c r="C497" s="26"/>
      <c r="D497" s="26"/>
      <c r="E497" s="26"/>
      <c r="F497" s="26"/>
    </row>
    <row r="498" spans="2:6" ht="15">
      <c r="B498" s="26"/>
      <c r="C498" s="26"/>
      <c r="D498" s="26"/>
      <c r="E498" s="26"/>
      <c r="F498" s="26"/>
    </row>
    <row r="499" spans="2:6" ht="15">
      <c r="B499" s="26"/>
      <c r="C499" s="26"/>
      <c r="D499" s="26"/>
      <c r="E499" s="26"/>
      <c r="F499" s="26"/>
    </row>
    <row r="500" spans="2:6" ht="15">
      <c r="B500" s="26"/>
      <c r="C500" s="26"/>
      <c r="D500" s="26"/>
      <c r="E500" s="26"/>
      <c r="F500" s="26"/>
    </row>
    <row r="501" spans="2:6" ht="15">
      <c r="B501" s="26"/>
      <c r="C501" s="26"/>
      <c r="D501" s="26"/>
      <c r="E501" s="26"/>
      <c r="F501" s="26"/>
    </row>
    <row r="502" spans="2:6" ht="15">
      <c r="B502" s="26"/>
      <c r="C502" s="26"/>
      <c r="D502" s="26"/>
      <c r="E502" s="26"/>
      <c r="F502" s="26"/>
    </row>
    <row r="503" spans="2:6" ht="15">
      <c r="B503" s="26"/>
      <c r="C503" s="26"/>
      <c r="D503" s="26"/>
      <c r="E503" s="26"/>
      <c r="F503" s="26"/>
    </row>
    <row r="504" spans="2:6" ht="15">
      <c r="B504" s="26"/>
      <c r="C504" s="26"/>
      <c r="D504" s="26"/>
      <c r="E504" s="26"/>
      <c r="F504" s="26"/>
    </row>
    <row r="505" spans="2:6" ht="15">
      <c r="B505" s="26"/>
      <c r="C505" s="26"/>
      <c r="D505" s="26"/>
      <c r="E505" s="26"/>
      <c r="F505" s="26"/>
    </row>
    <row r="506" spans="2:6" ht="15">
      <c r="B506" s="26"/>
      <c r="C506" s="26"/>
      <c r="D506" s="26"/>
      <c r="E506" s="26"/>
      <c r="F506" s="26"/>
    </row>
    <row r="507" spans="2:6" ht="15">
      <c r="B507" s="26"/>
      <c r="C507" s="26"/>
      <c r="D507" s="26"/>
      <c r="E507" s="26"/>
      <c r="F507" s="26"/>
    </row>
    <row r="508" spans="2:6" ht="15">
      <c r="B508" s="26"/>
      <c r="C508" s="26"/>
      <c r="D508" s="26"/>
      <c r="E508" s="26"/>
      <c r="F508" s="26"/>
    </row>
    <row r="509" spans="2:6" ht="15">
      <c r="B509" s="26"/>
      <c r="C509" s="26"/>
      <c r="D509" s="26"/>
      <c r="E509" s="26"/>
      <c r="F509" s="26"/>
    </row>
    <row r="510" spans="2:6" ht="15">
      <c r="B510" s="26"/>
      <c r="C510" s="26"/>
      <c r="D510" s="26"/>
      <c r="E510" s="26"/>
      <c r="F510" s="26"/>
    </row>
    <row r="511" spans="2:6" ht="15">
      <c r="B511" s="26"/>
      <c r="C511" s="26"/>
      <c r="D511" s="26"/>
      <c r="E511" s="26"/>
      <c r="F511" s="26"/>
    </row>
    <row r="512" spans="2:6" ht="15">
      <c r="B512" s="26"/>
      <c r="C512" s="26"/>
      <c r="D512" s="26"/>
      <c r="E512" s="26"/>
      <c r="F512" s="26"/>
    </row>
    <row r="513" spans="2:6" ht="15">
      <c r="B513" s="26"/>
      <c r="C513" s="26"/>
      <c r="D513" s="26"/>
      <c r="E513" s="26"/>
      <c r="F513" s="26"/>
    </row>
    <row r="514" spans="2:6" ht="15">
      <c r="B514" s="26"/>
      <c r="C514" s="26"/>
      <c r="D514" s="26"/>
      <c r="E514" s="26"/>
      <c r="F514" s="26"/>
    </row>
    <row r="515" spans="2:6" ht="15">
      <c r="B515" s="26"/>
      <c r="C515" s="26"/>
      <c r="D515" s="26"/>
      <c r="E515" s="26"/>
      <c r="F515" s="26"/>
    </row>
    <row r="516" spans="2:6" ht="15">
      <c r="B516" s="26"/>
      <c r="C516" s="26"/>
      <c r="D516" s="26"/>
      <c r="E516" s="26"/>
      <c r="F516" s="26"/>
    </row>
    <row r="517" spans="2:6" ht="15">
      <c r="B517" s="26"/>
      <c r="C517" s="26"/>
      <c r="D517" s="26"/>
      <c r="E517" s="26"/>
      <c r="F517" s="26"/>
    </row>
    <row r="518" spans="2:6" ht="15">
      <c r="B518" s="26"/>
      <c r="C518" s="26"/>
      <c r="D518" s="26"/>
      <c r="E518" s="26"/>
      <c r="F518" s="26"/>
    </row>
    <row r="519" spans="2:6" ht="15">
      <c r="B519" s="26"/>
      <c r="C519" s="26"/>
      <c r="D519" s="26"/>
      <c r="E519" s="26"/>
      <c r="F519" s="26"/>
    </row>
    <row r="520" spans="2:6" ht="15">
      <c r="B520" s="26"/>
      <c r="C520" s="26"/>
      <c r="D520" s="26"/>
      <c r="E520" s="26"/>
      <c r="F520" s="26"/>
    </row>
    <row r="521" spans="2:6" ht="15">
      <c r="B521" s="26"/>
      <c r="C521" s="26"/>
      <c r="D521" s="26"/>
      <c r="E521" s="26"/>
      <c r="F521" s="26"/>
    </row>
    <row r="522" spans="2:6" ht="15">
      <c r="B522" s="26"/>
      <c r="C522" s="26"/>
      <c r="D522" s="26"/>
      <c r="E522" s="26"/>
      <c r="F522" s="26"/>
    </row>
    <row r="523" spans="2:6" ht="15">
      <c r="B523" s="26"/>
      <c r="C523" s="26"/>
      <c r="D523" s="26"/>
      <c r="E523" s="26"/>
      <c r="F523" s="26"/>
    </row>
    <row r="524" spans="2:6" ht="15">
      <c r="B524" s="26"/>
      <c r="C524" s="26"/>
      <c r="D524" s="26"/>
      <c r="E524" s="26"/>
      <c r="F524" s="26"/>
    </row>
    <row r="525" spans="2:6" ht="15">
      <c r="B525" s="26"/>
      <c r="C525" s="26"/>
      <c r="D525" s="26"/>
      <c r="E525" s="26"/>
      <c r="F525" s="26"/>
    </row>
    <row r="526" spans="2:6" ht="15">
      <c r="B526" s="26"/>
      <c r="C526" s="26"/>
      <c r="D526" s="26"/>
      <c r="E526" s="26"/>
      <c r="F526" s="26"/>
    </row>
    <row r="527" spans="2:6" ht="15">
      <c r="B527" s="26"/>
      <c r="C527" s="26"/>
      <c r="D527" s="26"/>
      <c r="E527" s="26"/>
      <c r="F527" s="26"/>
    </row>
    <row r="528" spans="2:6" ht="15">
      <c r="B528" s="26"/>
      <c r="C528" s="26"/>
      <c r="D528" s="26"/>
      <c r="E528" s="26"/>
      <c r="F528" s="26"/>
    </row>
    <row r="529" spans="2:6" ht="15">
      <c r="B529" s="26"/>
      <c r="C529" s="26"/>
      <c r="D529" s="26"/>
      <c r="E529" s="26"/>
      <c r="F529" s="26"/>
    </row>
    <row r="530" spans="2:6" ht="15">
      <c r="B530" s="26"/>
      <c r="C530" s="26"/>
      <c r="D530" s="26"/>
      <c r="E530" s="26"/>
      <c r="F530" s="26"/>
    </row>
    <row r="531" spans="2:6" ht="15">
      <c r="B531" s="26"/>
      <c r="C531" s="26"/>
      <c r="D531" s="26"/>
      <c r="E531" s="26"/>
      <c r="F531" s="26"/>
    </row>
    <row r="532" spans="2:6" ht="15">
      <c r="B532" s="26"/>
      <c r="C532" s="26"/>
      <c r="D532" s="26"/>
      <c r="E532" s="26"/>
      <c r="F532" s="26"/>
    </row>
    <row r="533" spans="2:6" ht="15">
      <c r="B533" s="26"/>
      <c r="C533" s="26"/>
      <c r="D533" s="26"/>
      <c r="E533" s="26"/>
      <c r="F533" s="26"/>
    </row>
    <row r="534" spans="2:6" ht="15">
      <c r="B534" s="26"/>
      <c r="C534" s="26"/>
      <c r="D534" s="26"/>
      <c r="E534" s="26"/>
      <c r="F534" s="26"/>
    </row>
    <row r="535" spans="2:6" ht="15">
      <c r="B535" s="26"/>
      <c r="C535" s="26"/>
      <c r="D535" s="26"/>
      <c r="E535" s="26"/>
      <c r="F535" s="26"/>
    </row>
    <row r="536" spans="2:6" ht="15">
      <c r="B536" s="26"/>
      <c r="C536" s="26"/>
      <c r="D536" s="26"/>
      <c r="E536" s="26"/>
      <c r="F536" s="26"/>
    </row>
    <row r="537" spans="2:6" ht="15">
      <c r="B537" s="26"/>
      <c r="C537" s="26"/>
      <c r="D537" s="26"/>
      <c r="E537" s="26"/>
      <c r="F537" s="26"/>
    </row>
    <row r="538" spans="2:6" ht="15">
      <c r="B538" s="26"/>
      <c r="C538" s="26"/>
      <c r="D538" s="26"/>
      <c r="E538" s="26"/>
      <c r="F538" s="26"/>
    </row>
    <row r="539" spans="2:6" ht="15">
      <c r="B539" s="26"/>
      <c r="C539" s="26"/>
      <c r="D539" s="26"/>
      <c r="E539" s="26"/>
      <c r="F539" s="26"/>
    </row>
    <row r="540" spans="2:6" ht="15">
      <c r="B540" s="26"/>
      <c r="C540" s="26"/>
      <c r="D540" s="26"/>
      <c r="E540" s="26"/>
      <c r="F540" s="26"/>
    </row>
    <row r="541" spans="2:6" ht="15">
      <c r="B541" s="26"/>
      <c r="C541" s="26"/>
      <c r="D541" s="26"/>
      <c r="E541" s="26"/>
      <c r="F541" s="26"/>
    </row>
    <row r="542" spans="2:6" ht="15">
      <c r="B542" s="26"/>
      <c r="C542" s="26"/>
      <c r="D542" s="26"/>
      <c r="E542" s="26"/>
      <c r="F542" s="26"/>
    </row>
    <row r="543" spans="2:6" ht="15">
      <c r="B543" s="26"/>
      <c r="C543" s="26"/>
      <c r="D543" s="26"/>
      <c r="E543" s="26"/>
      <c r="F543" s="26"/>
    </row>
    <row r="544" spans="2:6" ht="15">
      <c r="B544" s="26"/>
      <c r="C544" s="26"/>
      <c r="D544" s="26"/>
      <c r="E544" s="26"/>
      <c r="F544" s="26"/>
    </row>
    <row r="545" spans="2:6" ht="15">
      <c r="B545" s="26"/>
      <c r="C545" s="26"/>
      <c r="D545" s="26"/>
      <c r="E545" s="26"/>
      <c r="F545" s="26"/>
    </row>
    <row r="546" spans="2:6" ht="15">
      <c r="B546" s="26"/>
      <c r="C546" s="26"/>
      <c r="D546" s="26"/>
      <c r="E546" s="26"/>
      <c r="F546" s="26"/>
    </row>
    <row r="547" spans="2:6" ht="15">
      <c r="B547" s="26"/>
      <c r="C547" s="26"/>
      <c r="D547" s="26"/>
      <c r="E547" s="26"/>
      <c r="F547" s="26"/>
    </row>
    <row r="548" spans="2:6" ht="15">
      <c r="B548" s="26"/>
      <c r="C548" s="26"/>
      <c r="D548" s="26"/>
      <c r="E548" s="26"/>
      <c r="F548" s="26"/>
    </row>
    <row r="549" spans="2:6" ht="15">
      <c r="B549" s="26"/>
      <c r="C549" s="26"/>
      <c r="D549" s="26"/>
      <c r="E549" s="26"/>
      <c r="F549" s="26"/>
    </row>
    <row r="550" spans="2:6" ht="15">
      <c r="B550" s="26"/>
      <c r="C550" s="26"/>
      <c r="D550" s="26"/>
      <c r="E550" s="26"/>
      <c r="F550" s="26"/>
    </row>
    <row r="551" spans="2:6" ht="15">
      <c r="B551" s="26"/>
      <c r="C551" s="26"/>
      <c r="D551" s="26"/>
      <c r="E551" s="26"/>
      <c r="F551" s="26"/>
    </row>
    <row r="552" spans="2:6" ht="15">
      <c r="B552" s="26"/>
      <c r="C552" s="26"/>
      <c r="D552" s="26"/>
      <c r="E552" s="26"/>
      <c r="F552" s="26"/>
    </row>
    <row r="553" spans="2:6" ht="15">
      <c r="B553" s="26"/>
      <c r="C553" s="26"/>
      <c r="D553" s="26"/>
      <c r="E553" s="26"/>
      <c r="F553" s="26"/>
    </row>
    <row r="554" spans="2:6" ht="15">
      <c r="B554" s="26"/>
      <c r="C554" s="26"/>
      <c r="D554" s="26"/>
      <c r="E554" s="26"/>
      <c r="F554" s="26"/>
    </row>
    <row r="555" spans="2:6" ht="15">
      <c r="B555" s="26"/>
      <c r="C555" s="26"/>
      <c r="D555" s="26"/>
      <c r="E555" s="26"/>
      <c r="F555" s="26"/>
    </row>
    <row r="556" spans="2:6" ht="15">
      <c r="B556" s="26"/>
      <c r="C556" s="26"/>
      <c r="D556" s="26"/>
      <c r="E556" s="26"/>
      <c r="F556" s="26"/>
    </row>
    <row r="557" spans="2:6" ht="15">
      <c r="B557" s="26"/>
      <c r="C557" s="26"/>
      <c r="D557" s="26"/>
      <c r="E557" s="26"/>
      <c r="F557" s="26"/>
    </row>
    <row r="558" spans="2:6" ht="15">
      <c r="B558" s="26"/>
      <c r="C558" s="26"/>
      <c r="D558" s="26"/>
      <c r="E558" s="26"/>
      <c r="F558" s="26"/>
    </row>
    <row r="559" spans="2:6" ht="15">
      <c r="B559" s="26"/>
      <c r="C559" s="26"/>
      <c r="D559" s="26"/>
      <c r="E559" s="26"/>
      <c r="F559" s="26"/>
    </row>
    <row r="560" spans="2:6" ht="15">
      <c r="B560" s="26"/>
      <c r="C560" s="26"/>
      <c r="D560" s="26"/>
      <c r="E560" s="26"/>
      <c r="F560" s="26"/>
    </row>
    <row r="561" spans="2:6" ht="15">
      <c r="B561" s="26"/>
      <c r="C561" s="26"/>
      <c r="D561" s="26"/>
      <c r="E561" s="26"/>
      <c r="F561" s="26"/>
    </row>
    <row r="562" spans="2:6" ht="15">
      <c r="B562" s="26"/>
      <c r="C562" s="26"/>
      <c r="D562" s="26"/>
      <c r="E562" s="26"/>
      <c r="F562" s="26"/>
    </row>
    <row r="563" spans="2:6" ht="15">
      <c r="B563" s="26"/>
      <c r="C563" s="26"/>
      <c r="D563" s="26"/>
      <c r="E563" s="26"/>
      <c r="F563" s="26"/>
    </row>
    <row r="564" spans="2:6" ht="15">
      <c r="B564" s="26"/>
      <c r="C564" s="26"/>
      <c r="D564" s="26"/>
      <c r="E564" s="26"/>
      <c r="F564" s="26"/>
    </row>
    <row r="565" spans="2:6" ht="15">
      <c r="B565" s="26"/>
      <c r="C565" s="26"/>
      <c r="D565" s="26"/>
      <c r="E565" s="26"/>
      <c r="F565" s="26"/>
    </row>
    <row r="566" spans="2:6" ht="15">
      <c r="B566" s="26"/>
      <c r="C566" s="26"/>
      <c r="D566" s="26"/>
      <c r="E566" s="26"/>
      <c r="F566" s="26"/>
    </row>
    <row r="567" spans="2:6" ht="15">
      <c r="B567" s="26"/>
      <c r="C567" s="26"/>
      <c r="D567" s="26"/>
      <c r="E567" s="26"/>
      <c r="F567" s="26"/>
    </row>
    <row r="568" spans="2:6" ht="15">
      <c r="B568" s="26"/>
      <c r="C568" s="26"/>
      <c r="D568" s="26"/>
      <c r="E568" s="26"/>
      <c r="F568" s="26"/>
    </row>
    <row r="569" spans="2:6" ht="15">
      <c r="B569" s="26"/>
      <c r="C569" s="26"/>
      <c r="D569" s="26"/>
      <c r="E569" s="26"/>
      <c r="F569" s="26"/>
    </row>
    <row r="570" spans="2:6" ht="15">
      <c r="B570" s="26"/>
      <c r="C570" s="26"/>
      <c r="D570" s="26"/>
      <c r="E570" s="26"/>
      <c r="F570" s="26"/>
    </row>
    <row r="571" spans="2:6" ht="15">
      <c r="B571" s="26"/>
      <c r="C571" s="26"/>
      <c r="D571" s="26"/>
      <c r="E571" s="26"/>
      <c r="F571" s="26"/>
    </row>
    <row r="572" spans="2:6" ht="15">
      <c r="B572" s="26"/>
      <c r="C572" s="26"/>
      <c r="D572" s="26"/>
      <c r="E572" s="26"/>
      <c r="F572" s="26"/>
    </row>
    <row r="573" spans="2:6" ht="15">
      <c r="B573" s="26"/>
      <c r="C573" s="26"/>
      <c r="D573" s="26"/>
      <c r="E573" s="26"/>
      <c r="F573" s="26"/>
    </row>
    <row r="574" spans="2:6" ht="15">
      <c r="B574" s="26"/>
      <c r="C574" s="26"/>
      <c r="D574" s="26"/>
      <c r="E574" s="26"/>
      <c r="F574" s="26"/>
    </row>
    <row r="575" spans="2:6" ht="15">
      <c r="B575" s="26"/>
      <c r="C575" s="26"/>
      <c r="D575" s="26"/>
      <c r="E575" s="26"/>
      <c r="F575" s="26"/>
    </row>
    <row r="576" spans="2:6" ht="15">
      <c r="B576" s="26"/>
      <c r="C576" s="26"/>
      <c r="D576" s="26"/>
      <c r="E576" s="26"/>
      <c r="F576" s="26"/>
    </row>
    <row r="577" spans="2:6" ht="15">
      <c r="B577" s="26"/>
      <c r="C577" s="26"/>
      <c r="D577" s="26"/>
      <c r="E577" s="26"/>
      <c r="F577" s="26"/>
    </row>
    <row r="578" spans="2:6" ht="15">
      <c r="B578" s="26"/>
      <c r="C578" s="26"/>
      <c r="D578" s="26"/>
      <c r="E578" s="26"/>
      <c r="F578" s="26"/>
    </row>
    <row r="579" spans="2:6" ht="15">
      <c r="B579" s="26"/>
      <c r="C579" s="26"/>
      <c r="D579" s="26"/>
      <c r="E579" s="26"/>
      <c r="F579" s="26"/>
    </row>
    <row r="580" spans="2:6" ht="15">
      <c r="B580" s="26"/>
      <c r="C580" s="26"/>
      <c r="D580" s="26"/>
      <c r="E580" s="26"/>
      <c r="F580" s="26"/>
    </row>
    <row r="581" spans="2:6" ht="15">
      <c r="B581" s="26"/>
      <c r="C581" s="26"/>
      <c r="D581" s="26"/>
      <c r="E581" s="26"/>
      <c r="F581" s="26"/>
    </row>
    <row r="582" spans="2:6" ht="15">
      <c r="B582" s="26"/>
      <c r="C582" s="26"/>
      <c r="D582" s="26"/>
      <c r="E582" s="26"/>
      <c r="F582" s="26"/>
    </row>
    <row r="583" spans="2:6" ht="15">
      <c r="B583" s="26"/>
      <c r="C583" s="26"/>
      <c r="D583" s="26"/>
      <c r="E583" s="26"/>
      <c r="F583" s="26"/>
    </row>
    <row r="584" spans="2:6" ht="15">
      <c r="B584" s="26"/>
      <c r="C584" s="26"/>
      <c r="D584" s="26"/>
      <c r="E584" s="26"/>
      <c r="F584" s="26"/>
    </row>
    <row r="585" spans="2:6" ht="15">
      <c r="B585" s="26"/>
      <c r="C585" s="26"/>
      <c r="D585" s="26"/>
      <c r="E585" s="26"/>
      <c r="F585" s="26"/>
    </row>
    <row r="586" spans="2:6" ht="15">
      <c r="B586" s="26"/>
      <c r="C586" s="26"/>
      <c r="D586" s="26"/>
      <c r="E586" s="26"/>
      <c r="F586" s="26"/>
    </row>
    <row r="587" spans="2:6" ht="15">
      <c r="B587" s="26"/>
      <c r="C587" s="26"/>
      <c r="D587" s="26"/>
      <c r="E587" s="26"/>
      <c r="F587" s="26"/>
    </row>
    <row r="588" spans="2:6" ht="15">
      <c r="B588" s="26"/>
      <c r="C588" s="26"/>
      <c r="D588" s="26"/>
      <c r="E588" s="26"/>
      <c r="F588" s="26"/>
    </row>
    <row r="589" spans="2:6" ht="15">
      <c r="B589" s="26"/>
      <c r="C589" s="26"/>
      <c r="D589" s="26"/>
      <c r="E589" s="26"/>
      <c r="F589" s="26"/>
    </row>
    <row r="590" spans="2:6" ht="15">
      <c r="B590" s="26"/>
      <c r="C590" s="26"/>
      <c r="D590" s="26"/>
      <c r="E590" s="26"/>
      <c r="F590" s="26"/>
    </row>
    <row r="591" spans="2:6" ht="15">
      <c r="B591" s="26"/>
      <c r="C591" s="26"/>
      <c r="D591" s="26"/>
      <c r="E591" s="26"/>
      <c r="F591" s="26"/>
    </row>
    <row r="592" spans="2:6" ht="15">
      <c r="B592" s="26"/>
      <c r="C592" s="26"/>
      <c r="D592" s="26"/>
      <c r="E592" s="26"/>
      <c r="F592" s="26"/>
    </row>
    <row r="593" spans="2:6" ht="15">
      <c r="B593" s="26"/>
      <c r="C593" s="26"/>
      <c r="D593" s="26"/>
      <c r="E593" s="26"/>
      <c r="F593" s="26"/>
    </row>
    <row r="594" spans="2:6" ht="15">
      <c r="B594" s="26"/>
      <c r="C594" s="26"/>
      <c r="D594" s="26"/>
      <c r="E594" s="26"/>
      <c r="F594" s="26"/>
    </row>
    <row r="595" spans="2:6" ht="15">
      <c r="B595" s="26"/>
      <c r="C595" s="26"/>
      <c r="D595" s="26"/>
      <c r="E595" s="26"/>
      <c r="F595" s="26"/>
    </row>
    <row r="596" spans="2:6" ht="15">
      <c r="B596" s="26"/>
      <c r="C596" s="26"/>
      <c r="D596" s="26"/>
      <c r="E596" s="26"/>
      <c r="F596" s="26"/>
    </row>
    <row r="597" spans="2:6" ht="15">
      <c r="B597" s="26"/>
      <c r="C597" s="26"/>
      <c r="D597" s="26"/>
      <c r="E597" s="26"/>
      <c r="F597" s="26"/>
    </row>
    <row r="598" spans="2:6" ht="15">
      <c r="B598" s="26"/>
      <c r="C598" s="26"/>
      <c r="D598" s="26"/>
      <c r="E598" s="26"/>
      <c r="F598" s="26"/>
    </row>
    <row r="599" spans="2:6" ht="15">
      <c r="B599" s="26"/>
      <c r="C599" s="26"/>
      <c r="D599" s="26"/>
      <c r="E599" s="26"/>
      <c r="F599" s="26"/>
    </row>
    <row r="600" spans="2:6" ht="15">
      <c r="B600" s="26"/>
      <c r="C600" s="26"/>
      <c r="D600" s="26"/>
      <c r="E600" s="26"/>
      <c r="F600" s="26"/>
    </row>
    <row r="601" spans="2:6" ht="15">
      <c r="B601" s="26"/>
      <c r="C601" s="26"/>
      <c r="D601" s="26"/>
      <c r="E601" s="26"/>
      <c r="F601" s="26"/>
    </row>
    <row r="602" spans="2:6" ht="15">
      <c r="B602" s="26"/>
      <c r="C602" s="26"/>
      <c r="D602" s="26"/>
      <c r="E602" s="26"/>
      <c r="F602" s="26"/>
    </row>
    <row r="603" spans="2:6" ht="15">
      <c r="B603" s="26"/>
      <c r="C603" s="26"/>
      <c r="D603" s="26"/>
      <c r="E603" s="26"/>
      <c r="F603" s="26"/>
    </row>
    <row r="604" spans="2:6" ht="15">
      <c r="B604" s="26"/>
      <c r="C604" s="26"/>
      <c r="D604" s="26"/>
      <c r="E604" s="26"/>
      <c r="F604" s="26"/>
    </row>
    <row r="605" spans="2:6" ht="15">
      <c r="B605" s="26"/>
      <c r="C605" s="26"/>
      <c r="D605" s="26"/>
      <c r="E605" s="26"/>
      <c r="F605" s="26"/>
    </row>
    <row r="606" spans="2:6" ht="15">
      <c r="B606" s="26"/>
      <c r="C606" s="26"/>
      <c r="D606" s="26"/>
      <c r="E606" s="26"/>
      <c r="F606" s="26"/>
    </row>
    <row r="607" spans="2:6" ht="15">
      <c r="B607" s="26"/>
      <c r="C607" s="26"/>
      <c r="D607" s="26"/>
      <c r="E607" s="26"/>
      <c r="F607" s="26"/>
    </row>
    <row r="608" spans="2:6" ht="15">
      <c r="B608" s="26"/>
      <c r="C608" s="26"/>
      <c r="D608" s="26"/>
      <c r="E608" s="26"/>
      <c r="F608" s="26"/>
    </row>
    <row r="609" spans="2:6" ht="15">
      <c r="B609" s="26"/>
      <c r="C609" s="26"/>
      <c r="D609" s="26"/>
      <c r="E609" s="26"/>
      <c r="F609" s="26"/>
    </row>
    <row r="610" spans="2:6" ht="15">
      <c r="B610" s="26"/>
      <c r="C610" s="26"/>
      <c r="D610" s="26"/>
      <c r="E610" s="26"/>
      <c r="F610" s="26"/>
    </row>
    <row r="611" spans="2:6" ht="15">
      <c r="B611" s="26"/>
      <c r="C611" s="26"/>
      <c r="D611" s="26"/>
      <c r="E611" s="26"/>
      <c r="F611" s="26"/>
    </row>
    <row r="612" spans="2:6" ht="15">
      <c r="B612" s="26"/>
      <c r="C612" s="26"/>
      <c r="D612" s="26"/>
      <c r="E612" s="26"/>
      <c r="F612" s="26"/>
    </row>
    <row r="613" spans="2:6" ht="15">
      <c r="B613" s="26"/>
      <c r="C613" s="26"/>
      <c r="D613" s="26"/>
      <c r="E613" s="26"/>
      <c r="F613" s="26"/>
    </row>
    <row r="614" spans="2:6" ht="15">
      <c r="B614" s="26"/>
      <c r="C614" s="26"/>
      <c r="D614" s="26"/>
      <c r="E614" s="26"/>
      <c r="F614" s="26"/>
    </row>
    <row r="615" spans="2:6" ht="15">
      <c r="B615" s="26"/>
      <c r="C615" s="26"/>
      <c r="D615" s="26"/>
      <c r="E615" s="26"/>
      <c r="F615" s="26"/>
    </row>
    <row r="616" spans="2:6" ht="15">
      <c r="B616" s="26"/>
      <c r="C616" s="26"/>
      <c r="D616" s="26"/>
      <c r="E616" s="26"/>
      <c r="F616" s="26"/>
    </row>
    <row r="617" spans="2:6" ht="15">
      <c r="B617" s="26"/>
      <c r="C617" s="26"/>
      <c r="D617" s="26"/>
      <c r="E617" s="26"/>
      <c r="F617" s="26"/>
    </row>
    <row r="618" spans="2:6" ht="15">
      <c r="B618" s="26"/>
      <c r="C618" s="26"/>
      <c r="D618" s="26"/>
      <c r="E618" s="26"/>
      <c r="F618" s="26"/>
    </row>
    <row r="619" spans="2:6" ht="15">
      <c r="B619" s="26"/>
      <c r="C619" s="26"/>
      <c r="D619" s="26"/>
      <c r="E619" s="26"/>
      <c r="F619" s="26"/>
    </row>
    <row r="620" spans="2:6" ht="15">
      <c r="B620" s="26"/>
      <c r="C620" s="26"/>
      <c r="D620" s="26"/>
      <c r="E620" s="26"/>
      <c r="F620" s="26"/>
    </row>
    <row r="621" spans="2:6" ht="15">
      <c r="B621" s="26"/>
      <c r="C621" s="26"/>
      <c r="D621" s="26"/>
      <c r="E621" s="26"/>
      <c r="F621" s="26"/>
    </row>
    <row r="622" spans="2:6" ht="15">
      <c r="B622" s="26"/>
      <c r="C622" s="26"/>
      <c r="D622" s="26"/>
      <c r="E622" s="26"/>
      <c r="F622" s="26"/>
    </row>
    <row r="623" spans="2:6" ht="15">
      <c r="B623" s="26"/>
      <c r="C623" s="26"/>
      <c r="D623" s="26"/>
      <c r="E623" s="26"/>
      <c r="F623" s="26"/>
    </row>
    <row r="624" spans="2:6" ht="15">
      <c r="B624" s="26"/>
      <c r="C624" s="26"/>
      <c r="D624" s="26"/>
      <c r="E624" s="26"/>
      <c r="F624" s="26"/>
    </row>
    <row r="625" spans="2:6" ht="15">
      <c r="B625" s="26"/>
      <c r="C625" s="26"/>
      <c r="D625" s="26"/>
      <c r="E625" s="26"/>
      <c r="F625" s="26"/>
    </row>
    <row r="626" spans="2:6" ht="15">
      <c r="B626" s="26"/>
      <c r="C626" s="26"/>
      <c r="D626" s="26"/>
      <c r="E626" s="26"/>
      <c r="F626" s="26"/>
    </row>
    <row r="627" spans="2:6" ht="15">
      <c r="B627" s="26"/>
      <c r="C627" s="26"/>
      <c r="D627" s="26"/>
      <c r="E627" s="26"/>
      <c r="F627" s="26"/>
    </row>
    <row r="628" spans="2:6" ht="15">
      <c r="B628" s="26"/>
      <c r="C628" s="26"/>
      <c r="D628" s="26"/>
      <c r="E628" s="26"/>
      <c r="F628" s="26"/>
    </row>
    <row r="629" spans="2:6" ht="15">
      <c r="B629" s="26"/>
      <c r="C629" s="26"/>
      <c r="D629" s="26"/>
      <c r="E629" s="26"/>
      <c r="F629" s="26"/>
    </row>
    <row r="630" spans="2:6" ht="15">
      <c r="B630" s="26"/>
      <c r="C630" s="26"/>
      <c r="D630" s="26"/>
      <c r="E630" s="26"/>
      <c r="F630" s="26"/>
    </row>
    <row r="631" spans="2:6" ht="15">
      <c r="B631" s="26"/>
      <c r="C631" s="26"/>
      <c r="D631" s="26"/>
      <c r="E631" s="26"/>
      <c r="F631" s="26"/>
    </row>
    <row r="632" spans="2:6" ht="15">
      <c r="B632" s="26"/>
      <c r="C632" s="26"/>
      <c r="D632" s="26"/>
      <c r="E632" s="26"/>
      <c r="F632" s="26"/>
    </row>
    <row r="633" spans="2:6" ht="15">
      <c r="B633" s="26"/>
      <c r="C633" s="26"/>
      <c r="D633" s="26"/>
      <c r="E633" s="26"/>
      <c r="F633" s="26"/>
    </row>
    <row r="634" spans="2:6" ht="15">
      <c r="B634" s="26"/>
      <c r="C634" s="26"/>
      <c r="D634" s="26"/>
      <c r="E634" s="26"/>
      <c r="F634" s="26"/>
    </row>
    <row r="635" spans="2:6" ht="15">
      <c r="B635" s="26"/>
      <c r="C635" s="26"/>
      <c r="D635" s="26"/>
      <c r="E635" s="26"/>
      <c r="F635" s="26"/>
    </row>
    <row r="636" spans="2:6" ht="15">
      <c r="B636" s="26"/>
      <c r="C636" s="26"/>
      <c r="D636" s="26"/>
      <c r="E636" s="26"/>
      <c r="F636" s="26"/>
    </row>
    <row r="637" spans="2:6" ht="15">
      <c r="B637" s="26"/>
      <c r="C637" s="26"/>
      <c r="D637" s="26"/>
      <c r="E637" s="26"/>
      <c r="F637" s="26"/>
    </row>
    <row r="638" spans="2:6" ht="15">
      <c r="B638" s="26"/>
      <c r="C638" s="26"/>
      <c r="D638" s="26"/>
      <c r="E638" s="26"/>
      <c r="F638" s="26"/>
    </row>
    <row r="639" spans="2:6" ht="15">
      <c r="B639" s="26"/>
      <c r="C639" s="26"/>
      <c r="D639" s="26"/>
      <c r="E639" s="26"/>
      <c r="F639" s="26"/>
    </row>
    <row r="640" spans="2:6" ht="15">
      <c r="B640" s="26"/>
      <c r="C640" s="26"/>
      <c r="D640" s="26"/>
      <c r="E640" s="26"/>
      <c r="F640" s="26"/>
    </row>
    <row r="641" spans="2:6" ht="15">
      <c r="B641" s="26"/>
      <c r="C641" s="26"/>
      <c r="D641" s="26"/>
      <c r="E641" s="26"/>
      <c r="F641" s="26"/>
    </row>
    <row r="642" spans="2:6" ht="15">
      <c r="B642" s="26"/>
      <c r="C642" s="26"/>
      <c r="D642" s="26"/>
      <c r="E642" s="26"/>
      <c r="F642" s="26"/>
    </row>
    <row r="643" spans="2:6" ht="15">
      <c r="B643" s="26"/>
      <c r="C643" s="26"/>
      <c r="D643" s="26"/>
      <c r="E643" s="26"/>
      <c r="F643" s="26"/>
    </row>
    <row r="644" spans="2:6" ht="15">
      <c r="B644" s="26"/>
      <c r="C644" s="26"/>
      <c r="D644" s="26"/>
      <c r="E644" s="26"/>
      <c r="F644" s="26"/>
    </row>
    <row r="645" spans="2:6" ht="15">
      <c r="B645" s="26"/>
      <c r="C645" s="26"/>
      <c r="D645" s="26"/>
      <c r="E645" s="26"/>
      <c r="F645" s="26"/>
    </row>
    <row r="646" spans="2:6" ht="15">
      <c r="B646" s="26"/>
      <c r="C646" s="26"/>
      <c r="D646" s="26"/>
      <c r="E646" s="26"/>
      <c r="F646" s="26"/>
    </row>
    <row r="647" spans="2:6" ht="15">
      <c r="B647" s="26"/>
      <c r="C647" s="26"/>
      <c r="D647" s="26"/>
      <c r="E647" s="26"/>
      <c r="F647" s="26"/>
    </row>
    <row r="648" spans="2:6" ht="15">
      <c r="B648" s="26"/>
      <c r="C648" s="26"/>
      <c r="D648" s="26"/>
      <c r="E648" s="26"/>
      <c r="F648" s="26"/>
    </row>
    <row r="649" spans="2:6" ht="15">
      <c r="B649" s="26"/>
      <c r="C649" s="26"/>
      <c r="D649" s="26"/>
      <c r="E649" s="26"/>
      <c r="F649" s="26"/>
    </row>
    <row r="650" spans="2:6" ht="15">
      <c r="B650" s="26"/>
      <c r="C650" s="26"/>
      <c r="D650" s="26"/>
      <c r="E650" s="26"/>
      <c r="F650" s="26"/>
    </row>
    <row r="651" spans="2:6" ht="15">
      <c r="B651" s="26"/>
      <c r="C651" s="26"/>
      <c r="D651" s="26"/>
      <c r="E651" s="26"/>
      <c r="F651" s="26"/>
    </row>
    <row r="652" spans="2:6" ht="15">
      <c r="B652" s="26"/>
      <c r="C652" s="26"/>
      <c r="D652" s="26"/>
      <c r="E652" s="26"/>
      <c r="F652" s="26"/>
    </row>
    <row r="653" spans="2:6" ht="15">
      <c r="B653" s="26"/>
      <c r="C653" s="26"/>
      <c r="D653" s="26"/>
      <c r="E653" s="26"/>
      <c r="F653" s="26"/>
    </row>
    <row r="654" spans="2:6" ht="15">
      <c r="B654" s="26"/>
      <c r="C654" s="26"/>
      <c r="D654" s="26"/>
      <c r="E654" s="26"/>
      <c r="F654" s="26"/>
    </row>
    <row r="655" spans="2:6" ht="15">
      <c r="B655" s="26"/>
      <c r="C655" s="26"/>
      <c r="D655" s="26"/>
      <c r="E655" s="26"/>
      <c r="F655" s="26"/>
    </row>
    <row r="656" spans="2:6" ht="15">
      <c r="B656" s="26"/>
      <c r="C656" s="26"/>
      <c r="D656" s="26"/>
      <c r="E656" s="26"/>
      <c r="F656" s="26"/>
    </row>
    <row r="657" spans="2:6" ht="15">
      <c r="B657" s="26"/>
      <c r="C657" s="26"/>
      <c r="D657" s="26"/>
      <c r="E657" s="26"/>
      <c r="F657" s="26"/>
    </row>
    <row r="658" spans="2:6" ht="15">
      <c r="B658" s="26"/>
      <c r="C658" s="26"/>
      <c r="D658" s="26"/>
      <c r="E658" s="26"/>
      <c r="F658" s="26"/>
    </row>
    <row r="659" spans="2:6" ht="15">
      <c r="B659" s="26"/>
      <c r="C659" s="26"/>
      <c r="D659" s="26"/>
      <c r="E659" s="26"/>
      <c r="F659" s="26"/>
    </row>
    <row r="660" spans="2:6" ht="15">
      <c r="B660" s="26"/>
      <c r="C660" s="26"/>
      <c r="D660" s="26"/>
      <c r="E660" s="26"/>
      <c r="F660" s="26"/>
    </row>
    <row r="661" spans="2:6" ht="15">
      <c r="B661" s="26"/>
      <c r="C661" s="26"/>
      <c r="D661" s="26"/>
      <c r="E661" s="26"/>
      <c r="F661" s="26"/>
    </row>
    <row r="662" spans="2:6" ht="15">
      <c r="B662" s="26"/>
      <c r="C662" s="26"/>
      <c r="D662" s="26"/>
      <c r="E662" s="26"/>
      <c r="F662" s="26"/>
    </row>
    <row r="663" spans="2:6" ht="15">
      <c r="B663" s="26"/>
      <c r="C663" s="26"/>
      <c r="D663" s="26"/>
      <c r="E663" s="26"/>
      <c r="F663" s="26"/>
    </row>
    <row r="664" spans="2:6" ht="15">
      <c r="B664" s="26"/>
      <c r="C664" s="26"/>
      <c r="D664" s="26"/>
      <c r="E664" s="26"/>
      <c r="F664" s="26"/>
    </row>
    <row r="665" spans="2:6" ht="15">
      <c r="B665" s="26"/>
      <c r="C665" s="26"/>
      <c r="D665" s="26"/>
      <c r="E665" s="26"/>
      <c r="F665" s="26"/>
    </row>
    <row r="666" spans="2:6" ht="15">
      <c r="B666" s="26"/>
      <c r="C666" s="26"/>
      <c r="D666" s="26"/>
      <c r="E666" s="26"/>
      <c r="F666" s="26"/>
    </row>
    <row r="667" spans="2:6" ht="15">
      <c r="B667" s="26"/>
      <c r="C667" s="26"/>
      <c r="D667" s="26"/>
      <c r="E667" s="26"/>
      <c r="F667" s="26"/>
    </row>
    <row r="668" spans="2:6" ht="15">
      <c r="B668" s="26"/>
      <c r="C668" s="26"/>
      <c r="D668" s="26"/>
      <c r="E668" s="26"/>
      <c r="F668" s="26"/>
    </row>
    <row r="669" spans="2:6" ht="15">
      <c r="B669" s="26"/>
      <c r="C669" s="26"/>
      <c r="D669" s="26"/>
      <c r="E669" s="26"/>
      <c r="F669" s="26"/>
    </row>
    <row r="670" spans="2:6" ht="15">
      <c r="B670" s="26"/>
      <c r="C670" s="26"/>
      <c r="D670" s="26"/>
      <c r="E670" s="26"/>
      <c r="F670" s="26"/>
    </row>
    <row r="671" spans="2:6" ht="15">
      <c r="B671" s="26"/>
      <c r="C671" s="26"/>
      <c r="D671" s="26"/>
      <c r="E671" s="26"/>
      <c r="F671" s="26"/>
    </row>
    <row r="672" spans="2:6" ht="15">
      <c r="B672" s="26"/>
      <c r="C672" s="26"/>
      <c r="D672" s="26"/>
      <c r="E672" s="26"/>
      <c r="F672" s="26"/>
    </row>
    <row r="673" spans="2:6" ht="15">
      <c r="B673" s="26"/>
      <c r="C673" s="26"/>
      <c r="D673" s="26"/>
      <c r="E673" s="26"/>
      <c r="F673" s="26"/>
    </row>
    <row r="674" spans="2:6" ht="15">
      <c r="B674" s="26"/>
      <c r="C674" s="26"/>
      <c r="D674" s="26"/>
      <c r="E674" s="26"/>
      <c r="F674" s="26"/>
    </row>
    <row r="675" spans="2:6" ht="15">
      <c r="B675" s="26"/>
      <c r="C675" s="26"/>
      <c r="D675" s="26"/>
      <c r="E675" s="26"/>
      <c r="F675" s="26"/>
    </row>
    <row r="676" spans="2:6" ht="15">
      <c r="B676" s="26"/>
      <c r="C676" s="26"/>
      <c r="D676" s="26"/>
      <c r="E676" s="26"/>
      <c r="F676" s="26"/>
    </row>
    <row r="677" spans="2:6" ht="15">
      <c r="B677" s="26"/>
      <c r="C677" s="26"/>
      <c r="D677" s="26"/>
      <c r="E677" s="26"/>
      <c r="F677" s="26"/>
    </row>
    <row r="678" spans="2:6" ht="15">
      <c r="B678" s="26"/>
      <c r="C678" s="26"/>
      <c r="D678" s="26"/>
      <c r="E678" s="26"/>
      <c r="F678" s="26"/>
    </row>
    <row r="679" spans="2:6" ht="15">
      <c r="B679" s="26"/>
      <c r="C679" s="26"/>
      <c r="D679" s="26"/>
      <c r="E679" s="26"/>
      <c r="F679" s="26"/>
    </row>
    <row r="680" spans="2:6" ht="15">
      <c r="B680" s="26"/>
      <c r="C680" s="26"/>
      <c r="D680" s="26"/>
      <c r="E680" s="26"/>
      <c r="F680" s="26"/>
    </row>
    <row r="681" spans="2:6" ht="15">
      <c r="B681" s="26"/>
      <c r="C681" s="26"/>
      <c r="D681" s="26"/>
      <c r="E681" s="26"/>
      <c r="F681" s="26"/>
    </row>
    <row r="682" spans="2:6" ht="15">
      <c r="B682" s="26"/>
      <c r="C682" s="26"/>
      <c r="D682" s="26"/>
      <c r="E682" s="26"/>
      <c r="F682" s="26"/>
    </row>
    <row r="683" spans="2:6" ht="15">
      <c r="B683" s="26"/>
      <c r="C683" s="26"/>
      <c r="D683" s="26"/>
      <c r="E683" s="26"/>
      <c r="F683" s="26"/>
    </row>
    <row r="684" spans="2:6" ht="15">
      <c r="B684" s="26"/>
      <c r="C684" s="26"/>
      <c r="D684" s="26"/>
      <c r="E684" s="26"/>
      <c r="F684" s="26"/>
    </row>
    <row r="685" spans="2:6" ht="15">
      <c r="B685" s="26"/>
      <c r="C685" s="26"/>
      <c r="D685" s="26"/>
      <c r="E685" s="26"/>
      <c r="F685" s="26"/>
    </row>
    <row r="686" spans="2:6" ht="15">
      <c r="B686" s="26"/>
      <c r="C686" s="26"/>
      <c r="D686" s="26"/>
      <c r="E686" s="26"/>
      <c r="F686" s="26"/>
    </row>
    <row r="687" spans="2:6" ht="15">
      <c r="B687" s="26"/>
      <c r="C687" s="26"/>
      <c r="D687" s="26"/>
      <c r="E687" s="26"/>
      <c r="F687" s="26"/>
    </row>
    <row r="688" spans="2:6" ht="15">
      <c r="B688" s="26"/>
      <c r="C688" s="26"/>
      <c r="D688" s="26"/>
      <c r="E688" s="26"/>
      <c r="F688" s="26"/>
    </row>
    <row r="689" spans="2:6" ht="15">
      <c r="B689" s="26"/>
      <c r="C689" s="26"/>
      <c r="D689" s="26"/>
      <c r="E689" s="26"/>
      <c r="F689" s="26"/>
    </row>
    <row r="690" spans="2:6" ht="15">
      <c r="B690" s="26"/>
      <c r="C690" s="26"/>
      <c r="D690" s="26"/>
      <c r="E690" s="26"/>
      <c r="F690" s="26"/>
    </row>
    <row r="691" spans="2:6" ht="15">
      <c r="B691" s="26"/>
      <c r="C691" s="26"/>
      <c r="D691" s="26"/>
      <c r="E691" s="26"/>
      <c r="F691" s="26"/>
    </row>
    <row r="692" spans="2:6" ht="15">
      <c r="B692" s="26"/>
      <c r="C692" s="26"/>
      <c r="D692" s="26"/>
      <c r="E692" s="26"/>
      <c r="F692" s="26"/>
    </row>
    <row r="693" spans="2:6" ht="15">
      <c r="B693" s="26"/>
      <c r="C693" s="26"/>
      <c r="D693" s="26"/>
      <c r="E693" s="26"/>
      <c r="F693" s="26"/>
    </row>
    <row r="694" spans="2:6" ht="15">
      <c r="B694" s="26"/>
      <c r="C694" s="26"/>
      <c r="D694" s="26"/>
      <c r="E694" s="26"/>
      <c r="F694" s="26"/>
    </row>
    <row r="695" spans="2:6" ht="15">
      <c r="B695" s="26"/>
      <c r="C695" s="26"/>
      <c r="D695" s="26"/>
      <c r="E695" s="26"/>
      <c r="F695" s="26"/>
    </row>
    <row r="696" spans="2:6" ht="15">
      <c r="B696" s="26"/>
      <c r="C696" s="26"/>
      <c r="D696" s="26"/>
      <c r="E696" s="26"/>
      <c r="F696" s="26"/>
    </row>
    <row r="697" spans="2:6" ht="15">
      <c r="B697" s="26"/>
      <c r="C697" s="26"/>
      <c r="D697" s="26"/>
      <c r="E697" s="26"/>
      <c r="F697" s="26"/>
    </row>
    <row r="698" spans="2:6" ht="15">
      <c r="B698" s="26"/>
      <c r="C698" s="26"/>
      <c r="D698" s="26"/>
      <c r="E698" s="26"/>
      <c r="F698" s="26"/>
    </row>
    <row r="699" spans="2:6" ht="15">
      <c r="B699" s="26"/>
      <c r="C699" s="26"/>
      <c r="D699" s="26"/>
      <c r="E699" s="26"/>
      <c r="F699" s="26"/>
    </row>
    <row r="700" spans="2:6" ht="15">
      <c r="B700" s="26"/>
      <c r="C700" s="26"/>
      <c r="D700" s="26"/>
      <c r="E700" s="26"/>
      <c r="F700" s="26"/>
    </row>
    <row r="701" spans="2:6" ht="15">
      <c r="B701" s="26"/>
      <c r="C701" s="26"/>
      <c r="D701" s="26"/>
      <c r="E701" s="26"/>
      <c r="F701" s="26"/>
    </row>
    <row r="702" spans="2:6" ht="15">
      <c r="B702" s="26"/>
      <c r="C702" s="26"/>
      <c r="D702" s="26"/>
      <c r="E702" s="26"/>
      <c r="F702" s="26"/>
    </row>
    <row r="703" spans="2:6" ht="15">
      <c r="B703" s="26"/>
      <c r="C703" s="26"/>
      <c r="D703" s="26"/>
      <c r="E703" s="26"/>
      <c r="F703" s="26"/>
    </row>
    <row r="704" spans="2:6" ht="15">
      <c r="B704" s="26"/>
      <c r="C704" s="26"/>
      <c r="D704" s="26"/>
      <c r="E704" s="26"/>
      <c r="F704" s="26"/>
    </row>
    <row r="705" spans="2:6" ht="15">
      <c r="B705" s="26"/>
      <c r="C705" s="26"/>
      <c r="D705" s="26"/>
      <c r="E705" s="26"/>
      <c r="F705" s="26"/>
    </row>
    <row r="706" spans="2:6" ht="15">
      <c r="B706" s="26"/>
      <c r="C706" s="26"/>
      <c r="D706" s="26"/>
      <c r="E706" s="26"/>
      <c r="F706" s="26"/>
    </row>
    <row r="707" spans="2:6" ht="15">
      <c r="B707" s="26"/>
      <c r="C707" s="26"/>
      <c r="D707" s="26"/>
      <c r="E707" s="26"/>
      <c r="F707" s="26"/>
    </row>
    <row r="708" spans="2:6" ht="15">
      <c r="B708" s="26"/>
      <c r="C708" s="26"/>
      <c r="D708" s="26"/>
      <c r="E708" s="26"/>
      <c r="F708" s="26"/>
    </row>
    <row r="709" spans="2:6" ht="15">
      <c r="B709" s="26"/>
      <c r="C709" s="26"/>
      <c r="D709" s="26"/>
      <c r="E709" s="26"/>
      <c r="F709" s="26"/>
    </row>
    <row r="710" spans="2:6" ht="15">
      <c r="B710" s="26"/>
      <c r="C710" s="26"/>
      <c r="D710" s="26"/>
      <c r="E710" s="26"/>
      <c r="F710" s="26"/>
    </row>
    <row r="711" spans="2:6" ht="15">
      <c r="B711" s="26"/>
      <c r="C711" s="26"/>
      <c r="D711" s="26"/>
      <c r="E711" s="26"/>
      <c r="F711" s="26"/>
    </row>
    <row r="712" spans="2:6" ht="15">
      <c r="B712" s="26"/>
      <c r="C712" s="26"/>
      <c r="D712" s="26"/>
      <c r="E712" s="26"/>
      <c r="F712" s="26"/>
    </row>
    <row r="713" spans="2:6" ht="15">
      <c r="B713" s="26"/>
      <c r="C713" s="26"/>
      <c r="D713" s="26"/>
      <c r="E713" s="26"/>
      <c r="F713" s="26"/>
    </row>
    <row r="714" spans="2:6" ht="15">
      <c r="B714" s="26"/>
      <c r="C714" s="26"/>
      <c r="D714" s="26"/>
      <c r="E714" s="26"/>
      <c r="F714" s="26"/>
    </row>
    <row r="715" spans="2:6" ht="15">
      <c r="B715" s="26"/>
      <c r="C715" s="26"/>
      <c r="D715" s="26"/>
      <c r="E715" s="26"/>
      <c r="F715" s="26"/>
    </row>
    <row r="716" spans="2:6" ht="15">
      <c r="B716" s="26"/>
      <c r="C716" s="26"/>
      <c r="D716" s="26"/>
      <c r="E716" s="26"/>
      <c r="F716" s="26"/>
    </row>
    <row r="717" spans="2:6" ht="15">
      <c r="B717" s="26"/>
      <c r="C717" s="26"/>
      <c r="D717" s="26"/>
      <c r="E717" s="26"/>
      <c r="F717" s="26"/>
    </row>
    <row r="718" spans="2:6" ht="15">
      <c r="B718" s="26"/>
      <c r="C718" s="26"/>
      <c r="D718" s="26"/>
      <c r="E718" s="26"/>
      <c r="F718" s="26"/>
    </row>
    <row r="719" spans="2:6" ht="15">
      <c r="B719" s="26"/>
      <c r="C719" s="26"/>
      <c r="D719" s="26"/>
      <c r="E719" s="26"/>
      <c r="F719" s="26"/>
    </row>
    <row r="720" spans="2:6" ht="15">
      <c r="B720" s="26"/>
      <c r="C720" s="26"/>
      <c r="D720" s="26"/>
      <c r="E720" s="26"/>
      <c r="F720" s="26"/>
    </row>
    <row r="721" spans="2:6" ht="15">
      <c r="B721" s="26"/>
      <c r="C721" s="26"/>
      <c r="D721" s="26"/>
      <c r="E721" s="26"/>
      <c r="F721" s="26"/>
    </row>
    <row r="722" spans="2:6" ht="15">
      <c r="B722" s="26"/>
      <c r="C722" s="26"/>
      <c r="D722" s="26"/>
      <c r="E722" s="26"/>
      <c r="F722" s="26"/>
    </row>
    <row r="723" spans="2:6" ht="15">
      <c r="B723" s="26"/>
      <c r="C723" s="26"/>
      <c r="D723" s="26"/>
      <c r="E723" s="26"/>
      <c r="F723" s="26"/>
    </row>
    <row r="724" spans="2:6" ht="15">
      <c r="B724" s="26"/>
      <c r="C724" s="26"/>
      <c r="D724" s="26"/>
      <c r="E724" s="26"/>
      <c r="F724" s="26"/>
    </row>
    <row r="725" spans="2:6" ht="15">
      <c r="B725" s="26"/>
      <c r="C725" s="26"/>
      <c r="D725" s="26"/>
      <c r="E725" s="26"/>
      <c r="F725" s="26"/>
    </row>
    <row r="726" spans="2:6" ht="15">
      <c r="B726" s="26"/>
      <c r="C726" s="26"/>
      <c r="D726" s="26"/>
      <c r="E726" s="26"/>
      <c r="F726" s="26"/>
    </row>
    <row r="727" spans="2:6" ht="15">
      <c r="B727" s="26"/>
      <c r="C727" s="26"/>
      <c r="D727" s="26"/>
      <c r="E727" s="26"/>
      <c r="F727" s="26"/>
    </row>
    <row r="728" spans="2:6" ht="15">
      <c r="B728" s="26"/>
      <c r="C728" s="26"/>
      <c r="D728" s="26"/>
      <c r="E728" s="26"/>
      <c r="F728" s="26"/>
    </row>
    <row r="729" spans="2:6" ht="15">
      <c r="B729" s="26"/>
      <c r="C729" s="26"/>
      <c r="D729" s="26"/>
      <c r="E729" s="26"/>
      <c r="F729" s="26"/>
    </row>
    <row r="730" spans="2:6" ht="15">
      <c r="B730" s="26"/>
      <c r="C730" s="26"/>
      <c r="D730" s="26"/>
      <c r="E730" s="26"/>
      <c r="F730" s="26"/>
    </row>
    <row r="731" spans="2:6" ht="15">
      <c r="B731" s="26"/>
      <c r="C731" s="26"/>
      <c r="D731" s="26"/>
      <c r="E731" s="26"/>
      <c r="F731" s="26"/>
    </row>
    <row r="732" spans="2:6" ht="15">
      <c r="B732" s="26"/>
      <c r="C732" s="26"/>
      <c r="D732" s="26"/>
      <c r="E732" s="26"/>
      <c r="F732" s="26"/>
    </row>
    <row r="733" spans="2:6" ht="15">
      <c r="B733" s="26"/>
      <c r="C733" s="26"/>
      <c r="D733" s="26"/>
      <c r="E733" s="26"/>
      <c r="F733" s="26"/>
    </row>
    <row r="734" spans="2:6" ht="15">
      <c r="B734" s="26"/>
      <c r="C734" s="26"/>
      <c r="D734" s="26"/>
      <c r="E734" s="26"/>
      <c r="F734" s="26"/>
    </row>
    <row r="735" spans="2:6" ht="15">
      <c r="B735" s="26"/>
      <c r="C735" s="26"/>
      <c r="D735" s="26"/>
      <c r="E735" s="26"/>
      <c r="F735" s="26"/>
    </row>
    <row r="736" spans="2:6" ht="15">
      <c r="B736" s="26"/>
      <c r="C736" s="26"/>
      <c r="D736" s="26"/>
      <c r="E736" s="26"/>
      <c r="F736" s="26"/>
    </row>
    <row r="737" spans="2:6" ht="15">
      <c r="B737" s="26"/>
      <c r="C737" s="26"/>
      <c r="D737" s="26"/>
      <c r="E737" s="26"/>
      <c r="F737" s="26"/>
    </row>
    <row r="738" spans="2:6" ht="15">
      <c r="B738" s="26"/>
      <c r="C738" s="26"/>
      <c r="D738" s="26"/>
      <c r="E738" s="26"/>
      <c r="F738" s="26"/>
    </row>
    <row r="739" spans="2:6" ht="15">
      <c r="B739" s="26"/>
      <c r="C739" s="26"/>
      <c r="D739" s="26"/>
      <c r="E739" s="26"/>
      <c r="F739" s="26"/>
    </row>
    <row r="740" spans="2:6" ht="15">
      <c r="B740" s="26"/>
      <c r="C740" s="26"/>
      <c r="D740" s="26"/>
      <c r="E740" s="26"/>
      <c r="F740" s="26"/>
    </row>
    <row r="741" spans="2:6" ht="15">
      <c r="B741" s="26"/>
      <c r="C741" s="26"/>
      <c r="D741" s="26"/>
      <c r="E741" s="26"/>
      <c r="F741" s="26"/>
    </row>
    <row r="742" spans="2:6" ht="15">
      <c r="B742" s="26"/>
      <c r="C742" s="26"/>
      <c r="D742" s="26"/>
      <c r="E742" s="26"/>
      <c r="F742" s="26"/>
    </row>
    <row r="743" spans="2:6" ht="15">
      <c r="B743" s="26"/>
      <c r="C743" s="26"/>
      <c r="D743" s="26"/>
      <c r="E743" s="26"/>
      <c r="F743" s="26"/>
    </row>
    <row r="744" spans="2:6" ht="15">
      <c r="B744" s="26"/>
      <c r="C744" s="26"/>
      <c r="D744" s="26"/>
      <c r="E744" s="26"/>
      <c r="F744" s="26"/>
    </row>
    <row r="745" spans="2:6" ht="15">
      <c r="B745" s="26"/>
      <c r="C745" s="26"/>
      <c r="D745" s="26"/>
      <c r="E745" s="26"/>
      <c r="F745" s="26"/>
    </row>
    <row r="746" spans="2:6" ht="15">
      <c r="B746" s="26"/>
      <c r="C746" s="26"/>
      <c r="D746" s="26"/>
      <c r="E746" s="26"/>
      <c r="F746" s="26"/>
    </row>
    <row r="747" spans="2:6" ht="15">
      <c r="B747" s="26"/>
      <c r="C747" s="26"/>
      <c r="D747" s="26"/>
      <c r="E747" s="26"/>
      <c r="F747" s="26"/>
    </row>
    <row r="748" spans="2:6" ht="15">
      <c r="B748" s="26"/>
      <c r="C748" s="26"/>
      <c r="D748" s="26"/>
      <c r="E748" s="26"/>
      <c r="F748" s="26"/>
    </row>
    <row r="749" spans="2:6" ht="15">
      <c r="B749" s="26"/>
      <c r="C749" s="26"/>
      <c r="D749" s="26"/>
      <c r="E749" s="26"/>
      <c r="F749" s="26"/>
    </row>
    <row r="750" spans="2:6" ht="15">
      <c r="B750" s="26"/>
      <c r="C750" s="26"/>
      <c r="D750" s="26"/>
      <c r="E750" s="26"/>
      <c r="F750" s="26"/>
    </row>
    <row r="751" spans="2:6" ht="15">
      <c r="B751" s="26"/>
      <c r="C751" s="26"/>
      <c r="D751" s="26"/>
      <c r="E751" s="26"/>
      <c r="F751" s="26"/>
    </row>
    <row r="752" spans="2:6" ht="15">
      <c r="B752" s="26"/>
      <c r="C752" s="26"/>
      <c r="D752" s="26"/>
      <c r="E752" s="26"/>
      <c r="F752" s="26"/>
    </row>
    <row r="753" spans="2:6" ht="15">
      <c r="B753" s="26"/>
      <c r="C753" s="26"/>
      <c r="D753" s="26"/>
      <c r="E753" s="26"/>
      <c r="F753" s="26"/>
    </row>
    <row r="754" spans="2:6" ht="15">
      <c r="B754" s="26"/>
      <c r="C754" s="26"/>
      <c r="D754" s="26"/>
      <c r="E754" s="26"/>
      <c r="F754" s="26"/>
    </row>
    <row r="755" spans="2:6" ht="15">
      <c r="B755" s="26"/>
      <c r="C755" s="26"/>
      <c r="D755" s="26"/>
      <c r="E755" s="26"/>
      <c r="F755" s="26"/>
    </row>
    <row r="756" spans="2:6" ht="15">
      <c r="B756" s="26"/>
      <c r="C756" s="26"/>
      <c r="D756" s="26"/>
      <c r="E756" s="26"/>
      <c r="F756" s="26"/>
    </row>
    <row r="757" spans="2:6" ht="15">
      <c r="B757" s="26"/>
      <c r="C757" s="26"/>
      <c r="D757" s="26"/>
      <c r="E757" s="26"/>
      <c r="F757" s="26"/>
    </row>
    <row r="758" spans="2:6" ht="15">
      <c r="B758" s="26"/>
      <c r="C758" s="26"/>
      <c r="D758" s="26"/>
      <c r="E758" s="26"/>
      <c r="F758" s="26"/>
    </row>
    <row r="759" spans="2:6" ht="15">
      <c r="B759" s="26"/>
      <c r="C759" s="26"/>
      <c r="D759" s="26"/>
      <c r="E759" s="26"/>
      <c r="F759" s="26"/>
    </row>
    <row r="760" spans="2:6" ht="15">
      <c r="B760" s="26"/>
      <c r="C760" s="26"/>
      <c r="D760" s="26"/>
      <c r="E760" s="26"/>
      <c r="F760" s="26"/>
    </row>
    <row r="761" spans="2:6" ht="15">
      <c r="B761" s="26"/>
      <c r="C761" s="26"/>
      <c r="D761" s="26"/>
      <c r="E761" s="26"/>
      <c r="F761" s="26"/>
    </row>
    <row r="762" spans="2:6" ht="15">
      <c r="B762" s="26"/>
      <c r="C762" s="26"/>
      <c r="D762" s="26"/>
      <c r="E762" s="26"/>
      <c r="F762" s="26"/>
    </row>
    <row r="763" spans="2:6" ht="15">
      <c r="B763" s="26"/>
      <c r="C763" s="26"/>
      <c r="D763" s="26"/>
      <c r="E763" s="26"/>
      <c r="F763" s="26"/>
    </row>
    <row r="764" spans="2:6" ht="15">
      <c r="B764" s="26"/>
      <c r="C764" s="26"/>
      <c r="D764" s="26"/>
      <c r="E764" s="26"/>
      <c r="F764" s="26"/>
    </row>
    <row r="765" spans="2:6" ht="15">
      <c r="B765" s="26"/>
      <c r="C765" s="26"/>
      <c r="D765" s="26"/>
      <c r="E765" s="26"/>
      <c r="F765" s="26"/>
    </row>
    <row r="766" spans="2:6" ht="15">
      <c r="B766" s="26"/>
      <c r="C766" s="26"/>
      <c r="D766" s="26"/>
      <c r="E766" s="26"/>
      <c r="F766" s="26"/>
    </row>
    <row r="767" spans="2:6" ht="15">
      <c r="B767" s="26"/>
      <c r="C767" s="26"/>
      <c r="D767" s="26"/>
      <c r="E767" s="26"/>
      <c r="F767" s="26"/>
    </row>
    <row r="768" spans="2:6" ht="15">
      <c r="B768" s="26"/>
      <c r="C768" s="26"/>
      <c r="D768" s="26"/>
      <c r="E768" s="26"/>
      <c r="F768" s="26"/>
    </row>
    <row r="769" spans="2:6" ht="15">
      <c r="B769" s="26"/>
      <c r="C769" s="26"/>
      <c r="D769" s="26"/>
      <c r="E769" s="26"/>
      <c r="F769" s="26"/>
    </row>
    <row r="770" spans="2:6" ht="15">
      <c r="B770" s="26"/>
      <c r="C770" s="26"/>
      <c r="D770" s="26"/>
      <c r="E770" s="26"/>
      <c r="F770" s="26"/>
    </row>
    <row r="771" spans="2:6" ht="15">
      <c r="B771" s="26"/>
      <c r="C771" s="26"/>
      <c r="D771" s="26"/>
      <c r="E771" s="26"/>
      <c r="F771" s="26"/>
    </row>
    <row r="772" spans="2:6" ht="15">
      <c r="B772" s="26"/>
      <c r="C772" s="26"/>
      <c r="D772" s="26"/>
      <c r="E772" s="26"/>
      <c r="F772" s="26"/>
    </row>
    <row r="773" spans="2:6" ht="15">
      <c r="B773" s="26"/>
      <c r="C773" s="26"/>
      <c r="D773" s="26"/>
      <c r="E773" s="26"/>
      <c r="F773" s="26"/>
    </row>
    <row r="774" spans="2:6" ht="15">
      <c r="B774" s="26"/>
      <c r="C774" s="26"/>
      <c r="D774" s="26"/>
      <c r="E774" s="26"/>
      <c r="F774" s="26"/>
    </row>
    <row r="775" spans="2:6" ht="15">
      <c r="B775" s="26"/>
      <c r="C775" s="26"/>
      <c r="D775" s="26"/>
      <c r="E775" s="26"/>
      <c r="F775" s="26"/>
    </row>
    <row r="776" spans="2:6" ht="15">
      <c r="B776" s="26"/>
      <c r="C776" s="26"/>
      <c r="D776" s="26"/>
      <c r="E776" s="26"/>
      <c r="F776" s="26"/>
    </row>
    <row r="777" spans="2:6" ht="15">
      <c r="B777" s="26"/>
      <c r="C777" s="26"/>
      <c r="D777" s="26"/>
      <c r="E777" s="26"/>
      <c r="F777" s="26"/>
    </row>
    <row r="778" spans="2:6" ht="15">
      <c r="B778" s="26"/>
      <c r="C778" s="26"/>
      <c r="D778" s="26"/>
      <c r="E778" s="26"/>
      <c r="F778" s="26"/>
    </row>
    <row r="779" spans="2:6" ht="15">
      <c r="B779" s="26"/>
      <c r="C779" s="26"/>
      <c r="D779" s="26"/>
      <c r="E779" s="26"/>
      <c r="F779" s="26"/>
    </row>
    <row r="780" spans="2:6" ht="15">
      <c r="B780" s="26"/>
      <c r="C780" s="26"/>
      <c r="D780" s="26"/>
      <c r="E780" s="26"/>
      <c r="F780" s="26"/>
    </row>
    <row r="781" spans="2:6" ht="15">
      <c r="B781" s="26"/>
      <c r="C781" s="26"/>
      <c r="D781" s="26"/>
      <c r="E781" s="26"/>
      <c r="F781" s="26"/>
    </row>
    <row r="782" spans="2:6" ht="15">
      <c r="B782" s="26"/>
      <c r="C782" s="26"/>
      <c r="D782" s="26"/>
      <c r="E782" s="26"/>
      <c r="F782" s="26"/>
    </row>
    <row r="783" spans="2:6" ht="15">
      <c r="B783" s="26"/>
      <c r="C783" s="26"/>
      <c r="D783" s="26"/>
      <c r="E783" s="26"/>
      <c r="F783" s="26"/>
    </row>
    <row r="784" spans="2:6" ht="15">
      <c r="B784" s="26"/>
      <c r="C784" s="26"/>
      <c r="D784" s="26"/>
      <c r="E784" s="26"/>
      <c r="F784" s="26"/>
    </row>
    <row r="785" spans="2:6" ht="15">
      <c r="B785" s="26"/>
      <c r="C785" s="26"/>
      <c r="D785" s="26"/>
      <c r="E785" s="26"/>
      <c r="F785" s="26"/>
    </row>
    <row r="786" spans="2:6" ht="15">
      <c r="B786" s="26"/>
      <c r="C786" s="26"/>
      <c r="D786" s="26"/>
      <c r="E786" s="26"/>
      <c r="F786" s="26"/>
    </row>
    <row r="787" spans="2:6" ht="15">
      <c r="B787" s="26"/>
      <c r="C787" s="26"/>
      <c r="D787" s="26"/>
      <c r="E787" s="26"/>
      <c r="F787" s="26"/>
    </row>
    <row r="788" spans="2:6" ht="15">
      <c r="B788" s="26"/>
      <c r="C788" s="26"/>
      <c r="D788" s="26"/>
      <c r="E788" s="26"/>
      <c r="F788" s="26"/>
    </row>
    <row r="789" spans="2:6" ht="15">
      <c r="B789" s="26"/>
      <c r="C789" s="26"/>
      <c r="D789" s="26"/>
      <c r="E789" s="26"/>
      <c r="F789" s="26"/>
    </row>
    <row r="790" spans="2:6" ht="15">
      <c r="B790" s="26"/>
      <c r="C790" s="26"/>
      <c r="D790" s="26"/>
      <c r="E790" s="26"/>
      <c r="F790" s="26"/>
    </row>
    <row r="791" spans="2:6" ht="15">
      <c r="B791" s="26"/>
      <c r="C791" s="26"/>
      <c r="D791" s="26"/>
      <c r="E791" s="26"/>
      <c r="F791" s="26"/>
    </row>
    <row r="792" spans="2:6" ht="15">
      <c r="B792" s="26"/>
      <c r="C792" s="26"/>
      <c r="D792" s="26"/>
      <c r="E792" s="26"/>
      <c r="F792" s="26"/>
    </row>
    <row r="793" spans="2:6" ht="15">
      <c r="B793" s="26"/>
      <c r="C793" s="26"/>
      <c r="D793" s="26"/>
      <c r="E793" s="26"/>
      <c r="F793" s="26"/>
    </row>
    <row r="794" spans="2:6" ht="15">
      <c r="B794" s="26"/>
      <c r="C794" s="26"/>
      <c r="D794" s="26"/>
      <c r="E794" s="26"/>
      <c r="F794" s="26"/>
    </row>
    <row r="795" spans="2:6" ht="15">
      <c r="B795" s="26"/>
      <c r="C795" s="26"/>
      <c r="D795" s="26"/>
      <c r="E795" s="26"/>
      <c r="F795" s="26"/>
    </row>
    <row r="796" spans="2:6" ht="15">
      <c r="B796" s="26"/>
      <c r="C796" s="26"/>
      <c r="D796" s="26"/>
      <c r="E796" s="26"/>
      <c r="F796" s="26"/>
    </row>
    <row r="797" spans="2:6" ht="15">
      <c r="B797" s="26"/>
      <c r="C797" s="26"/>
      <c r="D797" s="26"/>
      <c r="E797" s="26"/>
      <c r="F797" s="26"/>
    </row>
    <row r="798" spans="2:6" ht="15">
      <c r="B798" s="26"/>
      <c r="C798" s="26"/>
      <c r="D798" s="26"/>
      <c r="E798" s="26"/>
      <c r="F798" s="26"/>
    </row>
    <row r="799" spans="2:6" ht="15">
      <c r="B799" s="26"/>
      <c r="C799" s="26"/>
      <c r="D799" s="26"/>
      <c r="E799" s="26"/>
      <c r="F799" s="26"/>
    </row>
    <row r="800" spans="2:6" ht="15">
      <c r="B800" s="26"/>
      <c r="C800" s="26"/>
      <c r="D800" s="26"/>
      <c r="E800" s="26"/>
      <c r="F800" s="26"/>
    </row>
    <row r="801" spans="2:6" ht="15">
      <c r="B801" s="26"/>
      <c r="C801" s="26"/>
      <c r="D801" s="26"/>
      <c r="E801" s="26"/>
      <c r="F801" s="26"/>
    </row>
    <row r="802" spans="2:6" ht="15">
      <c r="B802" s="26"/>
      <c r="C802" s="26"/>
      <c r="D802" s="26"/>
      <c r="E802" s="26"/>
      <c r="F802" s="26"/>
    </row>
    <row r="803" spans="2:6" ht="15">
      <c r="B803" s="26"/>
      <c r="C803" s="26"/>
      <c r="D803" s="26"/>
      <c r="E803" s="26"/>
      <c r="F803" s="26"/>
    </row>
    <row r="804" spans="2:6" ht="15">
      <c r="B804" s="26"/>
      <c r="C804" s="26"/>
      <c r="D804" s="26"/>
      <c r="E804" s="26"/>
      <c r="F804" s="26"/>
    </row>
    <row r="805" spans="2:6" ht="15">
      <c r="B805" s="26"/>
      <c r="C805" s="26"/>
      <c r="D805" s="26"/>
      <c r="E805" s="26"/>
      <c r="F805" s="26"/>
    </row>
    <row r="806" spans="2:6" ht="15">
      <c r="B806" s="26"/>
      <c r="C806" s="26"/>
      <c r="D806" s="26"/>
      <c r="E806" s="26"/>
      <c r="F806" s="26"/>
    </row>
    <row r="807" spans="2:6" ht="15">
      <c r="B807" s="26"/>
      <c r="C807" s="26"/>
      <c r="D807" s="26"/>
      <c r="E807" s="26"/>
      <c r="F807" s="26"/>
    </row>
    <row r="808" spans="2:6" ht="15">
      <c r="B808" s="26"/>
      <c r="C808" s="26"/>
      <c r="D808" s="26"/>
      <c r="E808" s="26"/>
      <c r="F808" s="26"/>
    </row>
    <row r="809" spans="2:6" ht="15">
      <c r="B809" s="26"/>
      <c r="C809" s="26"/>
      <c r="D809" s="26"/>
      <c r="E809" s="26"/>
      <c r="F809" s="26"/>
    </row>
    <row r="810" spans="2:6" ht="15">
      <c r="B810" s="26"/>
      <c r="C810" s="26"/>
      <c r="D810" s="26"/>
      <c r="E810" s="26"/>
      <c r="F810" s="26"/>
    </row>
    <row r="811" spans="2:6" ht="15">
      <c r="B811" s="26"/>
      <c r="C811" s="26"/>
      <c r="D811" s="26"/>
      <c r="E811" s="26"/>
      <c r="F811" s="26"/>
    </row>
    <row r="812" spans="2:6" ht="15">
      <c r="B812" s="26"/>
      <c r="C812" s="26"/>
      <c r="D812" s="26"/>
      <c r="E812" s="26"/>
      <c r="F812" s="26"/>
    </row>
    <row r="813" spans="2:6" ht="15">
      <c r="B813" s="26"/>
      <c r="C813" s="26"/>
      <c r="D813" s="26"/>
      <c r="E813" s="26"/>
      <c r="F813" s="26"/>
    </row>
    <row r="814" spans="2:6" ht="15">
      <c r="B814" s="26"/>
      <c r="C814" s="26"/>
      <c r="D814" s="26"/>
      <c r="E814" s="26"/>
      <c r="F814" s="26"/>
    </row>
    <row r="815" spans="2:6" ht="15">
      <c r="B815" s="26"/>
      <c r="C815" s="26"/>
      <c r="D815" s="26"/>
      <c r="E815" s="26"/>
      <c r="F815" s="26"/>
    </row>
    <row r="816" spans="2:6" ht="15">
      <c r="B816" s="26"/>
      <c r="C816" s="26"/>
      <c r="D816" s="26"/>
      <c r="E816" s="26"/>
      <c r="F816" s="26"/>
    </row>
    <row r="817" spans="2:6" ht="15">
      <c r="B817" s="26"/>
      <c r="C817" s="26"/>
      <c r="D817" s="26"/>
      <c r="E817" s="26"/>
      <c r="F817" s="26"/>
    </row>
    <row r="818" spans="2:6" ht="15">
      <c r="B818" s="26"/>
      <c r="C818" s="26"/>
      <c r="D818" s="26"/>
      <c r="E818" s="26"/>
      <c r="F818" s="26"/>
    </row>
    <row r="819" spans="2:6" ht="15">
      <c r="B819" s="26"/>
      <c r="C819" s="26"/>
      <c r="D819" s="26"/>
      <c r="E819" s="26"/>
      <c r="F819" s="26"/>
    </row>
    <row r="820" spans="2:6" ht="15">
      <c r="B820" s="26"/>
      <c r="C820" s="26"/>
      <c r="D820" s="26"/>
      <c r="E820" s="26"/>
      <c r="F820" s="26"/>
    </row>
    <row r="821" spans="2:6" ht="15">
      <c r="B821" s="26"/>
      <c r="C821" s="26"/>
      <c r="D821" s="26"/>
      <c r="E821" s="26"/>
      <c r="F821" s="26"/>
    </row>
    <row r="822" spans="2:6" ht="15">
      <c r="B822" s="26"/>
      <c r="C822" s="26"/>
      <c r="D822" s="26"/>
      <c r="E822" s="26"/>
      <c r="F822" s="26"/>
    </row>
    <row r="823" spans="2:6" ht="15">
      <c r="B823" s="26"/>
      <c r="C823" s="26"/>
      <c r="D823" s="26"/>
      <c r="E823" s="26"/>
      <c r="F823" s="26"/>
    </row>
    <row r="824" spans="2:6" ht="15">
      <c r="B824" s="26"/>
      <c r="C824" s="26"/>
      <c r="D824" s="26"/>
      <c r="E824" s="26"/>
      <c r="F824" s="26"/>
    </row>
    <row r="825" spans="2:6" ht="15">
      <c r="B825" s="26"/>
      <c r="C825" s="26"/>
      <c r="D825" s="26"/>
      <c r="E825" s="26"/>
      <c r="F825" s="26"/>
    </row>
    <row r="826" spans="2:6" ht="15">
      <c r="B826" s="26"/>
      <c r="C826" s="26"/>
      <c r="D826" s="26"/>
      <c r="E826" s="26"/>
      <c r="F826" s="26"/>
    </row>
    <row r="827" spans="2:6" ht="15">
      <c r="B827" s="26"/>
      <c r="C827" s="26"/>
      <c r="D827" s="26"/>
      <c r="E827" s="26"/>
      <c r="F827" s="26"/>
    </row>
    <row r="828" spans="2:6" ht="15">
      <c r="B828" s="26"/>
      <c r="C828" s="26"/>
      <c r="D828" s="26"/>
      <c r="E828" s="26"/>
      <c r="F828" s="26"/>
    </row>
    <row r="829" spans="2:6" ht="15">
      <c r="B829" s="26"/>
      <c r="C829" s="26"/>
      <c r="D829" s="26"/>
      <c r="E829" s="26"/>
      <c r="F829" s="26"/>
    </row>
    <row r="830" spans="2:6" ht="15">
      <c r="B830" s="26"/>
      <c r="C830" s="26"/>
      <c r="D830" s="26"/>
      <c r="E830" s="26"/>
      <c r="F830" s="26"/>
    </row>
    <row r="831" spans="2:6" ht="15">
      <c r="B831" s="26"/>
      <c r="C831" s="26"/>
      <c r="D831" s="26"/>
      <c r="E831" s="26"/>
      <c r="F831" s="26"/>
    </row>
    <row r="832" spans="2:6" ht="15">
      <c r="B832" s="26"/>
      <c r="C832" s="26"/>
      <c r="D832" s="26"/>
      <c r="E832" s="26"/>
      <c r="F832" s="26"/>
    </row>
    <row r="833" spans="2:6" ht="15">
      <c r="B833" s="26"/>
      <c r="C833" s="26"/>
      <c r="D833" s="26"/>
      <c r="E833" s="26"/>
      <c r="F833" s="26"/>
    </row>
    <row r="834" spans="2:6" ht="15">
      <c r="B834" s="26"/>
      <c r="C834" s="26"/>
      <c r="D834" s="26"/>
      <c r="E834" s="26"/>
      <c r="F834" s="26"/>
    </row>
    <row r="835" spans="2:6" ht="15">
      <c r="B835" s="26"/>
      <c r="C835" s="26"/>
      <c r="D835" s="26"/>
      <c r="E835" s="26"/>
      <c r="F835" s="26"/>
    </row>
    <row r="836" spans="2:6" ht="15">
      <c r="B836" s="26"/>
      <c r="C836" s="26"/>
      <c r="D836" s="26"/>
      <c r="E836" s="26"/>
      <c r="F836" s="26"/>
    </row>
    <row r="837" spans="2:6" ht="15">
      <c r="B837" s="26"/>
      <c r="C837" s="26"/>
      <c r="D837" s="26"/>
      <c r="E837" s="26"/>
      <c r="F837" s="26"/>
    </row>
    <row r="838" spans="2:6" ht="15">
      <c r="B838" s="26"/>
      <c r="C838" s="26"/>
      <c r="D838" s="26"/>
      <c r="E838" s="26"/>
      <c r="F838" s="26"/>
    </row>
    <row r="839" spans="2:6" ht="15">
      <c r="B839" s="26"/>
      <c r="C839" s="26"/>
      <c r="D839" s="26"/>
      <c r="E839" s="26"/>
      <c r="F839" s="26"/>
    </row>
    <row r="840" spans="2:6" ht="15">
      <c r="B840" s="26"/>
      <c r="C840" s="26"/>
      <c r="D840" s="26"/>
      <c r="E840" s="26"/>
      <c r="F840" s="26"/>
    </row>
    <row r="841" spans="2:6" ht="15">
      <c r="B841" s="26"/>
      <c r="C841" s="26"/>
      <c r="D841" s="26"/>
      <c r="E841" s="26"/>
      <c r="F841" s="26"/>
    </row>
    <row r="842" spans="2:6" ht="15">
      <c r="B842" s="26"/>
      <c r="C842" s="26"/>
      <c r="D842" s="26"/>
      <c r="E842" s="26"/>
      <c r="F842" s="26"/>
    </row>
    <row r="843" spans="2:6" ht="15">
      <c r="B843" s="26"/>
      <c r="C843" s="26"/>
      <c r="D843" s="26"/>
      <c r="E843" s="26"/>
      <c r="F843" s="26"/>
    </row>
    <row r="844" spans="2:6" ht="15">
      <c r="B844" s="26"/>
      <c r="C844" s="26"/>
      <c r="D844" s="26"/>
      <c r="E844" s="26"/>
      <c r="F844" s="26"/>
    </row>
    <row r="845" spans="2:6" ht="15">
      <c r="B845" s="26"/>
      <c r="C845" s="26"/>
      <c r="D845" s="26"/>
      <c r="E845" s="26"/>
      <c r="F845" s="26"/>
    </row>
    <row r="846" spans="2:6" ht="15">
      <c r="B846" s="26"/>
      <c r="C846" s="26"/>
      <c r="D846" s="26"/>
      <c r="E846" s="26"/>
      <c r="F846" s="26"/>
    </row>
    <row r="847" spans="2:6" ht="15">
      <c r="B847" s="26"/>
      <c r="C847" s="26"/>
      <c r="D847" s="26"/>
      <c r="E847" s="26"/>
      <c r="F847" s="26"/>
    </row>
    <row r="848" spans="2:6" ht="15">
      <c r="B848" s="26"/>
      <c r="C848" s="26"/>
      <c r="D848" s="26"/>
      <c r="E848" s="26"/>
      <c r="F848" s="26"/>
    </row>
    <row r="849" spans="2:6" ht="15">
      <c r="B849" s="26"/>
      <c r="C849" s="26"/>
      <c r="D849" s="26"/>
      <c r="E849" s="26"/>
      <c r="F849" s="26"/>
    </row>
    <row r="850" spans="2:6" ht="15">
      <c r="B850" s="26"/>
      <c r="C850" s="26"/>
      <c r="D850" s="26"/>
      <c r="E850" s="26"/>
      <c r="F850" s="26"/>
    </row>
    <row r="851" spans="2:6" ht="15">
      <c r="B851" s="26"/>
      <c r="C851" s="26"/>
      <c r="D851" s="26"/>
      <c r="E851" s="26"/>
      <c r="F851" s="26"/>
    </row>
    <row r="852" spans="2:6" ht="15">
      <c r="B852" s="26"/>
      <c r="C852" s="26"/>
      <c r="D852" s="26"/>
      <c r="E852" s="26"/>
      <c r="F852" s="26"/>
    </row>
    <row r="853" spans="2:6" ht="15">
      <c r="B853" s="26"/>
      <c r="C853" s="26"/>
      <c r="D853" s="26"/>
      <c r="E853" s="26"/>
      <c r="F853" s="26"/>
    </row>
    <row r="854" spans="2:6" ht="15">
      <c r="B854" s="26"/>
      <c r="C854" s="26"/>
      <c r="D854" s="26"/>
      <c r="E854" s="26"/>
      <c r="F854" s="26"/>
    </row>
    <row r="855" spans="2:6" ht="15">
      <c r="B855" s="26"/>
      <c r="C855" s="26"/>
      <c r="D855" s="26"/>
      <c r="E855" s="26"/>
      <c r="F855" s="26"/>
    </row>
    <row r="856" spans="2:6" ht="15">
      <c r="B856" s="26"/>
      <c r="C856" s="26"/>
      <c r="D856" s="26"/>
      <c r="E856" s="26"/>
      <c r="F856" s="26"/>
    </row>
    <row r="857" spans="2:6" ht="15">
      <c r="B857" s="26"/>
      <c r="C857" s="26"/>
      <c r="D857" s="26"/>
      <c r="E857" s="26"/>
      <c r="F857" s="26"/>
    </row>
    <row r="858" spans="2:6" ht="15">
      <c r="B858" s="26"/>
      <c r="C858" s="26"/>
      <c r="D858" s="26"/>
      <c r="E858" s="26"/>
      <c r="F858" s="26"/>
    </row>
    <row r="859" spans="2:6" ht="15">
      <c r="B859" s="26"/>
      <c r="C859" s="26"/>
      <c r="D859" s="26"/>
      <c r="E859" s="26"/>
      <c r="F859" s="26"/>
    </row>
    <row r="860" spans="2:6" ht="15">
      <c r="B860" s="26"/>
      <c r="C860" s="26"/>
      <c r="D860" s="26"/>
      <c r="E860" s="26"/>
      <c r="F860" s="26"/>
    </row>
    <row r="861" spans="2:6" ht="15">
      <c r="B861" s="26"/>
      <c r="C861" s="26"/>
      <c r="D861" s="26"/>
      <c r="E861" s="26"/>
      <c r="F861" s="26"/>
    </row>
    <row r="862" spans="2:6" ht="15">
      <c r="B862" s="26"/>
      <c r="C862" s="26"/>
      <c r="D862" s="26"/>
      <c r="E862" s="26"/>
      <c r="F862" s="26"/>
    </row>
    <row r="863" spans="2:6" ht="15">
      <c r="B863" s="26"/>
      <c r="C863" s="26"/>
      <c r="D863" s="26"/>
      <c r="E863" s="26"/>
      <c r="F863" s="26"/>
    </row>
    <row r="864" spans="2:6" ht="15">
      <c r="B864" s="26"/>
      <c r="C864" s="26"/>
      <c r="D864" s="26"/>
      <c r="E864" s="26"/>
      <c r="F864" s="26"/>
    </row>
    <row r="865" spans="2:6" ht="15">
      <c r="B865" s="26"/>
      <c r="C865" s="26"/>
      <c r="D865" s="26"/>
      <c r="E865" s="26"/>
      <c r="F865" s="26"/>
    </row>
    <row r="866" spans="2:6" ht="15">
      <c r="B866" s="26"/>
      <c r="C866" s="26"/>
      <c r="D866" s="26"/>
      <c r="E866" s="26"/>
      <c r="F866" s="26"/>
    </row>
    <row r="867" spans="2:6" ht="15">
      <c r="B867" s="26"/>
      <c r="C867" s="26"/>
      <c r="D867" s="26"/>
      <c r="E867" s="26"/>
      <c r="F867" s="26"/>
    </row>
    <row r="868" spans="2:6" ht="15">
      <c r="B868" s="26"/>
      <c r="C868" s="26"/>
      <c r="D868" s="26"/>
      <c r="E868" s="26"/>
      <c r="F868" s="26"/>
    </row>
    <row r="869" spans="2:6" ht="15">
      <c r="B869" s="26"/>
      <c r="C869" s="26"/>
      <c r="D869" s="26"/>
      <c r="E869" s="26"/>
      <c r="F869" s="26"/>
    </row>
    <row r="870" spans="2:6" ht="15">
      <c r="B870" s="26"/>
      <c r="C870" s="26"/>
      <c r="D870" s="26"/>
      <c r="E870" s="26"/>
      <c r="F870" s="26"/>
    </row>
    <row r="871" spans="2:6" ht="15">
      <c r="B871" s="26"/>
      <c r="C871" s="26"/>
      <c r="D871" s="26"/>
      <c r="E871" s="26"/>
      <c r="F871" s="26"/>
    </row>
    <row r="872" spans="2:6" ht="15">
      <c r="B872" s="26"/>
      <c r="C872" s="26"/>
      <c r="D872" s="26"/>
      <c r="E872" s="26"/>
      <c r="F872" s="26"/>
    </row>
    <row r="873" spans="2:6" ht="15">
      <c r="B873" s="26"/>
      <c r="C873" s="26"/>
      <c r="D873" s="26"/>
      <c r="E873" s="26"/>
      <c r="F873" s="26"/>
    </row>
    <row r="874" spans="2:6" ht="15">
      <c r="B874" s="26"/>
      <c r="C874" s="26"/>
      <c r="D874" s="26"/>
      <c r="E874" s="26"/>
      <c r="F874" s="26"/>
    </row>
    <row r="875" spans="2:6" ht="15">
      <c r="B875" s="26"/>
      <c r="C875" s="26"/>
      <c r="D875" s="26"/>
      <c r="E875" s="26"/>
      <c r="F875" s="26"/>
    </row>
    <row r="876" spans="2:6" ht="15">
      <c r="B876" s="26"/>
      <c r="C876" s="26"/>
      <c r="D876" s="26"/>
      <c r="E876" s="26"/>
      <c r="F876" s="26"/>
    </row>
    <row r="877" spans="2:6" ht="15">
      <c r="B877" s="26"/>
      <c r="C877" s="26"/>
      <c r="D877" s="26"/>
      <c r="E877" s="26"/>
      <c r="F877" s="26"/>
    </row>
    <row r="878" spans="2:6" ht="15">
      <c r="B878" s="26"/>
      <c r="C878" s="26"/>
      <c r="D878" s="26"/>
      <c r="E878" s="26"/>
      <c r="F878" s="26"/>
    </row>
    <row r="879" spans="2:6" ht="15">
      <c r="B879" s="26"/>
      <c r="C879" s="26"/>
      <c r="D879" s="26"/>
      <c r="E879" s="26"/>
      <c r="F879" s="26"/>
    </row>
    <row r="880" spans="2:6" ht="15">
      <c r="B880" s="26"/>
      <c r="C880" s="26"/>
      <c r="D880" s="26"/>
      <c r="E880" s="26"/>
      <c r="F880" s="26"/>
    </row>
    <row r="881" spans="2:6" ht="15">
      <c r="B881" s="26"/>
      <c r="C881" s="26"/>
      <c r="D881" s="26"/>
      <c r="E881" s="26"/>
      <c r="F881" s="26"/>
    </row>
    <row r="882" spans="2:6" ht="15">
      <c r="B882" s="26"/>
      <c r="C882" s="26"/>
      <c r="D882" s="26"/>
      <c r="E882" s="26"/>
      <c r="F882" s="26"/>
    </row>
    <row r="883" spans="2:6" ht="15">
      <c r="B883" s="26"/>
      <c r="C883" s="26"/>
      <c r="D883" s="26"/>
      <c r="E883" s="26"/>
      <c r="F883" s="26"/>
    </row>
    <row r="884" spans="2:6" ht="15">
      <c r="B884" s="26"/>
      <c r="C884" s="26"/>
      <c r="D884" s="26"/>
      <c r="E884" s="26"/>
      <c r="F884" s="26"/>
    </row>
    <row r="885" spans="2:6" ht="15">
      <c r="B885" s="26"/>
      <c r="C885" s="26"/>
      <c r="D885" s="26"/>
      <c r="E885" s="26"/>
      <c r="F885" s="26"/>
    </row>
    <row r="886" spans="2:6" ht="15">
      <c r="B886" s="26"/>
      <c r="C886" s="26"/>
      <c r="D886" s="26"/>
      <c r="E886" s="26"/>
      <c r="F886" s="26"/>
    </row>
    <row r="887" spans="2:6" ht="15">
      <c r="B887" s="26"/>
      <c r="C887" s="26"/>
      <c r="D887" s="26"/>
      <c r="E887" s="26"/>
      <c r="F887" s="26"/>
    </row>
    <row r="888" spans="2:6" ht="15">
      <c r="B888" s="26"/>
      <c r="C888" s="26"/>
      <c r="D888" s="26"/>
      <c r="E888" s="26"/>
      <c r="F888" s="26"/>
    </row>
    <row r="889" spans="2:6" ht="15">
      <c r="B889" s="26"/>
      <c r="C889" s="26"/>
      <c r="D889" s="26"/>
      <c r="E889" s="26"/>
      <c r="F889" s="26"/>
    </row>
    <row r="890" spans="2:6" ht="15">
      <c r="B890" s="26"/>
      <c r="C890" s="26"/>
      <c r="D890" s="26"/>
      <c r="E890" s="26"/>
      <c r="F890" s="26"/>
    </row>
    <row r="891" spans="2:6" ht="15">
      <c r="B891" s="26"/>
      <c r="C891" s="26"/>
      <c r="D891" s="26"/>
      <c r="E891" s="26"/>
      <c r="F891" s="26"/>
    </row>
    <row r="892" spans="2:6" ht="15">
      <c r="B892" s="26"/>
      <c r="C892" s="26"/>
      <c r="D892" s="26"/>
      <c r="E892" s="26"/>
      <c r="F892" s="26"/>
    </row>
    <row r="893" spans="2:6" ht="15">
      <c r="B893" s="26"/>
      <c r="C893" s="26"/>
      <c r="D893" s="26"/>
      <c r="E893" s="26"/>
      <c r="F893" s="26"/>
    </row>
    <row r="894" spans="2:6" ht="15">
      <c r="B894" s="26"/>
      <c r="C894" s="26"/>
      <c r="D894" s="26"/>
      <c r="E894" s="26"/>
      <c r="F894" s="26"/>
    </row>
    <row r="895" spans="2:6" ht="15">
      <c r="B895" s="26"/>
      <c r="C895" s="26"/>
      <c r="D895" s="26"/>
      <c r="E895" s="26"/>
      <c r="F895" s="26"/>
    </row>
    <row r="896" spans="2:6" ht="15">
      <c r="B896" s="26"/>
      <c r="C896" s="26"/>
      <c r="D896" s="26"/>
      <c r="E896" s="26"/>
      <c r="F896" s="26"/>
    </row>
    <row r="897" spans="2:6" ht="15">
      <c r="B897" s="26"/>
      <c r="C897" s="26"/>
      <c r="D897" s="26"/>
      <c r="E897" s="26"/>
      <c r="F897" s="26"/>
    </row>
    <row r="898" spans="2:6" ht="15">
      <c r="B898" s="26"/>
      <c r="C898" s="26"/>
      <c r="D898" s="26"/>
      <c r="E898" s="26"/>
      <c r="F898" s="26"/>
    </row>
    <row r="899" spans="2:6" ht="15">
      <c r="B899" s="26"/>
      <c r="C899" s="26"/>
      <c r="D899" s="26"/>
      <c r="E899" s="26"/>
      <c r="F899" s="26"/>
    </row>
    <row r="900" spans="2:6" ht="15">
      <c r="B900" s="26"/>
      <c r="C900" s="26"/>
      <c r="D900" s="26"/>
      <c r="E900" s="26"/>
      <c r="F900" s="26"/>
    </row>
    <row r="901" spans="2:6" ht="15">
      <c r="B901" s="26"/>
      <c r="C901" s="26"/>
      <c r="D901" s="26"/>
      <c r="E901" s="26"/>
      <c r="F901" s="26"/>
    </row>
    <row r="902" spans="2:6" ht="15">
      <c r="B902" s="26"/>
      <c r="C902" s="26"/>
      <c r="D902" s="26"/>
      <c r="E902" s="26"/>
      <c r="F902" s="26"/>
    </row>
    <row r="903" spans="2:6" ht="15">
      <c r="B903" s="26"/>
      <c r="C903" s="26"/>
      <c r="D903" s="26"/>
      <c r="E903" s="26"/>
      <c r="F903" s="26"/>
    </row>
    <row r="904" spans="2:6" ht="15">
      <c r="B904" s="26"/>
      <c r="C904" s="26"/>
      <c r="D904" s="26"/>
      <c r="E904" s="26"/>
      <c r="F904" s="26"/>
    </row>
    <row r="905" spans="2:6" ht="15">
      <c r="B905" s="26"/>
      <c r="C905" s="26"/>
      <c r="D905" s="26"/>
      <c r="E905" s="26"/>
      <c r="F905" s="26"/>
    </row>
    <row r="906" spans="2:6" ht="15">
      <c r="B906" s="26"/>
      <c r="C906" s="26"/>
      <c r="D906" s="26"/>
      <c r="E906" s="26"/>
      <c r="F906" s="26"/>
    </row>
    <row r="907" spans="2:6" ht="15">
      <c r="B907" s="26"/>
      <c r="C907" s="26"/>
      <c r="D907" s="26"/>
      <c r="E907" s="26"/>
      <c r="F907" s="26"/>
    </row>
    <row r="908" spans="2:6" ht="15">
      <c r="B908" s="26"/>
      <c r="C908" s="26"/>
      <c r="D908" s="26"/>
      <c r="E908" s="26"/>
      <c r="F908" s="26"/>
    </row>
    <row r="909" spans="2:6" ht="15">
      <c r="B909" s="26"/>
      <c r="C909" s="26"/>
      <c r="D909" s="26"/>
      <c r="E909" s="26"/>
      <c r="F909" s="26"/>
    </row>
    <row r="910" spans="2:6" ht="15">
      <c r="B910" s="26"/>
      <c r="C910" s="26"/>
      <c r="D910" s="26"/>
      <c r="E910" s="26"/>
      <c r="F910" s="26"/>
    </row>
    <row r="911" spans="2:6" ht="15">
      <c r="B911" s="26"/>
      <c r="C911" s="26"/>
      <c r="D911" s="26"/>
      <c r="E911" s="26"/>
      <c r="F911" s="26"/>
    </row>
    <row r="912" spans="2:6" ht="15">
      <c r="B912" s="26"/>
      <c r="C912" s="26"/>
      <c r="D912" s="26"/>
      <c r="E912" s="26"/>
      <c r="F912" s="26"/>
    </row>
    <row r="913" spans="2:6" ht="15">
      <c r="B913" s="26"/>
      <c r="C913" s="26"/>
      <c r="D913" s="26"/>
      <c r="E913" s="26"/>
      <c r="F913" s="26"/>
    </row>
    <row r="914" spans="2:6" ht="15">
      <c r="B914" s="26"/>
      <c r="C914" s="26"/>
      <c r="D914" s="26"/>
      <c r="E914" s="26"/>
      <c r="F914" s="26"/>
    </row>
    <row r="915" spans="2:6" ht="15">
      <c r="B915" s="26"/>
      <c r="C915" s="26"/>
      <c r="D915" s="26"/>
      <c r="E915" s="26"/>
      <c r="F915" s="26"/>
    </row>
    <row r="916" spans="2:6" ht="15">
      <c r="B916" s="26"/>
      <c r="C916" s="26"/>
      <c r="D916" s="26"/>
      <c r="E916" s="26"/>
      <c r="F916" s="26"/>
    </row>
    <row r="917" spans="2:6" ht="15">
      <c r="B917" s="26"/>
      <c r="C917" s="26"/>
      <c r="D917" s="26"/>
      <c r="E917" s="26"/>
      <c r="F917" s="26"/>
    </row>
    <row r="918" spans="2:6" ht="15">
      <c r="B918" s="26"/>
      <c r="C918" s="26"/>
      <c r="D918" s="26"/>
      <c r="E918" s="26"/>
      <c r="F918" s="26"/>
    </row>
    <row r="919" spans="2:6" ht="15">
      <c r="B919" s="26"/>
      <c r="C919" s="26"/>
      <c r="D919" s="26"/>
      <c r="E919" s="26"/>
      <c r="F919" s="26"/>
    </row>
    <row r="920" spans="2:6" ht="15">
      <c r="B920" s="26"/>
      <c r="C920" s="26"/>
      <c r="D920" s="26"/>
      <c r="E920" s="26"/>
      <c r="F920" s="26"/>
    </row>
    <row r="921" spans="2:6" ht="15">
      <c r="B921" s="26"/>
      <c r="C921" s="26"/>
      <c r="D921" s="26"/>
      <c r="E921" s="26"/>
      <c r="F921" s="26"/>
    </row>
    <row r="922" spans="2:6" ht="15">
      <c r="B922" s="26"/>
      <c r="C922" s="26"/>
      <c r="D922" s="26"/>
      <c r="E922" s="26"/>
      <c r="F922" s="26"/>
    </row>
    <row r="923" spans="2:6" ht="15">
      <c r="B923" s="26"/>
      <c r="C923" s="26"/>
      <c r="D923" s="26"/>
      <c r="E923" s="26"/>
      <c r="F923" s="26"/>
    </row>
    <row r="924" spans="2:6" ht="15">
      <c r="B924" s="26"/>
      <c r="C924" s="26"/>
      <c r="D924" s="26"/>
      <c r="E924" s="26"/>
      <c r="F924" s="26"/>
    </row>
    <row r="925" spans="2:6" ht="15">
      <c r="B925" s="26"/>
      <c r="C925" s="26"/>
      <c r="D925" s="26"/>
      <c r="E925" s="26"/>
      <c r="F925" s="26"/>
    </row>
    <row r="926" spans="2:6" ht="15">
      <c r="B926" s="26"/>
      <c r="C926" s="26"/>
      <c r="D926" s="26"/>
      <c r="E926" s="26"/>
      <c r="F926" s="26"/>
    </row>
    <row r="927" spans="2:6" ht="15">
      <c r="B927" s="26"/>
      <c r="C927" s="26"/>
      <c r="D927" s="26"/>
      <c r="E927" s="26"/>
      <c r="F927" s="26"/>
    </row>
    <row r="928" spans="2:6" ht="15">
      <c r="B928" s="26"/>
      <c r="C928" s="26"/>
      <c r="D928" s="26"/>
      <c r="E928" s="26"/>
      <c r="F928" s="26"/>
    </row>
    <row r="929" spans="2:6" ht="15">
      <c r="B929" s="26"/>
      <c r="C929" s="26"/>
      <c r="D929" s="26"/>
      <c r="E929" s="26"/>
      <c r="F929" s="26"/>
    </row>
    <row r="930" spans="2:6" ht="15">
      <c r="B930" s="26"/>
      <c r="C930" s="26"/>
      <c r="D930" s="26"/>
      <c r="E930" s="26"/>
      <c r="F930" s="26"/>
    </row>
    <row r="931" spans="2:6" ht="15">
      <c r="B931" s="26"/>
      <c r="C931" s="26"/>
      <c r="D931" s="26"/>
      <c r="E931" s="26"/>
      <c r="F931" s="26"/>
    </row>
    <row r="932" spans="2:6" ht="15">
      <c r="B932" s="26"/>
      <c r="C932" s="26"/>
      <c r="D932" s="26"/>
      <c r="E932" s="26"/>
      <c r="F932" s="26"/>
    </row>
    <row r="933" spans="2:6" ht="15">
      <c r="B933" s="26"/>
      <c r="C933" s="26"/>
      <c r="D933" s="26"/>
      <c r="E933" s="26"/>
      <c r="F933" s="26"/>
    </row>
    <row r="934" spans="2:6" ht="15">
      <c r="B934" s="26"/>
      <c r="C934" s="26"/>
      <c r="D934" s="26"/>
      <c r="E934" s="26"/>
      <c r="F934" s="26"/>
    </row>
    <row r="935" spans="2:6" ht="15">
      <c r="B935" s="26"/>
      <c r="C935" s="26"/>
      <c r="D935" s="26"/>
      <c r="E935" s="26"/>
      <c r="F935" s="26"/>
    </row>
    <row r="936" spans="2:6" ht="15">
      <c r="B936" s="26"/>
      <c r="C936" s="26"/>
      <c r="D936" s="26"/>
      <c r="E936" s="26"/>
      <c r="F936" s="26"/>
    </row>
    <row r="937" spans="2:6" ht="15">
      <c r="B937" s="26"/>
      <c r="C937" s="26"/>
      <c r="D937" s="26"/>
      <c r="E937" s="26"/>
      <c r="F937" s="26"/>
    </row>
    <row r="938" spans="2:6" ht="15">
      <c r="B938" s="26"/>
      <c r="C938" s="26"/>
      <c r="D938" s="26"/>
      <c r="E938" s="26"/>
      <c r="F938" s="26"/>
    </row>
    <row r="939" spans="2:6" ht="15">
      <c r="B939" s="26"/>
      <c r="C939" s="26"/>
      <c r="D939" s="26"/>
      <c r="E939" s="26"/>
      <c r="F939" s="26"/>
    </row>
    <row r="940" spans="2:6" ht="15">
      <c r="B940" s="26"/>
      <c r="C940" s="26"/>
      <c r="D940" s="26"/>
      <c r="E940" s="26"/>
      <c r="F940" s="26"/>
    </row>
    <row r="941" spans="2:6" ht="15">
      <c r="B941" s="26"/>
      <c r="C941" s="26"/>
      <c r="D941" s="26"/>
      <c r="E941" s="26"/>
      <c r="F941" s="26"/>
    </row>
    <row r="942" spans="2:6" ht="15">
      <c r="B942" s="26"/>
      <c r="C942" s="26"/>
      <c r="D942" s="26"/>
      <c r="E942" s="26"/>
      <c r="F942" s="26"/>
    </row>
    <row r="943" spans="2:6" ht="15">
      <c r="B943" s="26"/>
      <c r="C943" s="26"/>
      <c r="D943" s="26"/>
      <c r="E943" s="26"/>
      <c r="F943" s="26"/>
    </row>
    <row r="944" spans="2:6" ht="15">
      <c r="B944" s="26"/>
      <c r="C944" s="26"/>
      <c r="D944" s="26"/>
      <c r="E944" s="26"/>
      <c r="F944" s="26"/>
    </row>
    <row r="945" spans="2:6" ht="15">
      <c r="B945" s="26"/>
      <c r="C945" s="26"/>
      <c r="D945" s="26"/>
      <c r="E945" s="26"/>
      <c r="F945" s="26"/>
    </row>
    <row r="946" spans="2:6" ht="15">
      <c r="B946" s="26"/>
      <c r="C946" s="26"/>
      <c r="D946" s="26"/>
      <c r="E946" s="26"/>
      <c r="F946" s="26"/>
    </row>
    <row r="947" spans="2:6" ht="15">
      <c r="B947" s="26"/>
      <c r="C947" s="26"/>
      <c r="D947" s="26"/>
      <c r="E947" s="26"/>
      <c r="F947" s="26"/>
    </row>
    <row r="948" spans="2:6" ht="15">
      <c r="B948" s="26"/>
      <c r="C948" s="26"/>
      <c r="D948" s="26"/>
      <c r="E948" s="26"/>
      <c r="F948" s="26"/>
    </row>
    <row r="949" spans="2:6" ht="15">
      <c r="B949" s="26"/>
      <c r="C949" s="26"/>
      <c r="D949" s="26"/>
      <c r="E949" s="26"/>
      <c r="F949" s="26"/>
    </row>
    <row r="950" spans="2:6" ht="15">
      <c r="B950" s="26"/>
      <c r="C950" s="26"/>
      <c r="D950" s="26"/>
      <c r="E950" s="26"/>
      <c r="F950" s="26"/>
    </row>
    <row r="951" spans="2:6" ht="15">
      <c r="B951" s="26"/>
      <c r="C951" s="26"/>
      <c r="D951" s="26"/>
      <c r="E951" s="26"/>
      <c r="F951" s="26"/>
    </row>
    <row r="952" spans="2:6" ht="15">
      <c r="B952" s="26"/>
      <c r="C952" s="26"/>
      <c r="D952" s="26"/>
      <c r="E952" s="26"/>
      <c r="F952" s="26"/>
    </row>
    <row r="953" spans="2:6" ht="15">
      <c r="B953" s="26"/>
      <c r="C953" s="26"/>
      <c r="D953" s="26"/>
      <c r="E953" s="26"/>
      <c r="F953" s="26"/>
    </row>
    <row r="954" spans="2:6" ht="15">
      <c r="B954" s="26"/>
      <c r="C954" s="26"/>
      <c r="D954" s="26"/>
      <c r="E954" s="26"/>
      <c r="F954" s="26"/>
    </row>
    <row r="955" spans="2:6" ht="15">
      <c r="B955" s="26"/>
      <c r="C955" s="26"/>
      <c r="D955" s="26"/>
      <c r="E955" s="26"/>
      <c r="F955" s="26"/>
    </row>
    <row r="956" spans="2:6" ht="15">
      <c r="B956" s="26"/>
      <c r="C956" s="26"/>
      <c r="D956" s="26"/>
      <c r="E956" s="26"/>
      <c r="F956" s="26"/>
    </row>
    <row r="957" spans="2:6" ht="15">
      <c r="B957" s="26"/>
      <c r="C957" s="26"/>
      <c r="D957" s="26"/>
      <c r="E957" s="26"/>
      <c r="F957" s="26"/>
    </row>
    <row r="958" spans="2:6" ht="15">
      <c r="B958" s="26"/>
      <c r="C958" s="26"/>
      <c r="D958" s="26"/>
      <c r="E958" s="26"/>
      <c r="F958" s="26"/>
    </row>
    <row r="959" spans="2:6" ht="15">
      <c r="B959" s="26"/>
      <c r="C959" s="26"/>
      <c r="D959" s="26"/>
      <c r="E959" s="26"/>
      <c r="F959" s="26"/>
    </row>
    <row r="960" spans="2:6" ht="15">
      <c r="B960" s="26"/>
      <c r="C960" s="26"/>
      <c r="D960" s="26"/>
      <c r="E960" s="26"/>
      <c r="F960" s="26"/>
    </row>
    <row r="961" spans="2:6" ht="15">
      <c r="B961" s="26"/>
      <c r="C961" s="26"/>
      <c r="D961" s="26"/>
      <c r="E961" s="26"/>
      <c r="F961" s="26"/>
    </row>
    <row r="962" spans="2:6" ht="15">
      <c r="B962" s="26"/>
      <c r="C962" s="26"/>
      <c r="D962" s="26"/>
      <c r="E962" s="26"/>
      <c r="F962" s="26"/>
    </row>
    <row r="963" spans="2:6" ht="15">
      <c r="B963" s="26"/>
      <c r="C963" s="26"/>
      <c r="D963" s="26"/>
      <c r="E963" s="26"/>
      <c r="F963" s="26"/>
    </row>
    <row r="964" spans="2:6" ht="15">
      <c r="B964" s="26"/>
      <c r="C964" s="26"/>
      <c r="D964" s="26"/>
      <c r="E964" s="26"/>
      <c r="F964" s="26"/>
    </row>
    <row r="965" spans="2:6" ht="15">
      <c r="B965" s="26"/>
      <c r="C965" s="26"/>
      <c r="D965" s="26"/>
      <c r="E965" s="26"/>
      <c r="F965" s="26"/>
    </row>
    <row r="966" spans="2:6" ht="15">
      <c r="B966" s="26"/>
      <c r="C966" s="26"/>
      <c r="D966" s="26"/>
      <c r="E966" s="26"/>
      <c r="F966" s="26"/>
    </row>
    <row r="967" spans="2:6" ht="15">
      <c r="B967" s="26"/>
      <c r="C967" s="26"/>
      <c r="D967" s="26"/>
      <c r="E967" s="26"/>
      <c r="F967" s="26"/>
    </row>
    <row r="968" spans="2:6" ht="15">
      <c r="B968" s="26"/>
      <c r="C968" s="26"/>
      <c r="D968" s="26"/>
      <c r="E968" s="26"/>
      <c r="F968" s="26"/>
    </row>
    <row r="969" spans="2:6" ht="15">
      <c r="B969" s="26"/>
      <c r="C969" s="26"/>
      <c r="D969" s="26"/>
      <c r="E969" s="26"/>
      <c r="F969" s="26"/>
    </row>
    <row r="970" spans="2:6" ht="15">
      <c r="B970" s="26"/>
      <c r="C970" s="26"/>
      <c r="D970" s="26"/>
      <c r="E970" s="26"/>
      <c r="F970" s="26"/>
    </row>
    <row r="971" spans="2:6" ht="15">
      <c r="B971" s="26"/>
      <c r="C971" s="26"/>
      <c r="D971" s="26"/>
      <c r="E971" s="26"/>
      <c r="F971" s="26"/>
    </row>
    <row r="972" spans="2:6" ht="15">
      <c r="B972" s="26"/>
      <c r="C972" s="26"/>
      <c r="D972" s="26"/>
      <c r="E972" s="26"/>
      <c r="F972" s="26"/>
    </row>
    <row r="973" spans="2:6" ht="15">
      <c r="B973" s="26"/>
      <c r="C973" s="26"/>
      <c r="D973" s="26"/>
      <c r="E973" s="26"/>
      <c r="F973" s="26"/>
    </row>
    <row r="974" spans="2:6" ht="15">
      <c r="B974" s="26"/>
      <c r="C974" s="26"/>
      <c r="D974" s="26"/>
      <c r="E974" s="26"/>
      <c r="F974" s="26"/>
    </row>
    <row r="975" spans="2:6" ht="15">
      <c r="B975" s="26"/>
      <c r="C975" s="26"/>
      <c r="D975" s="26"/>
      <c r="E975" s="26"/>
      <c r="F975" s="26"/>
    </row>
    <row r="976" spans="2:6" ht="15">
      <c r="B976" s="26"/>
      <c r="C976" s="26"/>
      <c r="D976" s="26"/>
      <c r="E976" s="26"/>
      <c r="F976" s="26"/>
    </row>
    <row r="977" spans="2:6" ht="15">
      <c r="B977" s="26"/>
      <c r="C977" s="26"/>
      <c r="D977" s="26"/>
      <c r="E977" s="26"/>
      <c r="F977" s="26"/>
    </row>
    <row r="978" spans="2:6" ht="15">
      <c r="B978" s="26"/>
      <c r="C978" s="26"/>
      <c r="D978" s="26"/>
      <c r="E978" s="26"/>
      <c r="F978" s="26"/>
    </row>
    <row r="979" spans="2:6" ht="15">
      <c r="B979" s="26"/>
      <c r="C979" s="26"/>
      <c r="D979" s="26"/>
      <c r="E979" s="26"/>
      <c r="F979" s="26"/>
    </row>
    <row r="980" spans="2:6" ht="15">
      <c r="B980" s="26"/>
      <c r="C980" s="26"/>
      <c r="D980" s="26"/>
      <c r="E980" s="26"/>
      <c r="F980" s="26"/>
    </row>
    <row r="981" spans="2:6" ht="15">
      <c r="B981" s="26"/>
      <c r="C981" s="26"/>
      <c r="D981" s="26"/>
      <c r="E981" s="26"/>
      <c r="F981" s="26"/>
    </row>
  </sheetData>
  <pageMargins left="0" right="0" top="0" bottom="0" header="0" footer="0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8BC3-281E-4F44-BED1-FD9F3259E0CC}">
  <dimension ref="A1:P15"/>
  <sheetViews>
    <sheetView workbookViewId="0">
      <selection activeCell="P15" sqref="P15"/>
    </sheetView>
  </sheetViews>
  <sheetFormatPr defaultColWidth="9.140625" defaultRowHeight="12.75" customHeight="1"/>
  <cols>
    <col min="1" max="1" width="22.7109375" style="5" bestFit="1" customWidth="1"/>
    <col min="2" max="2" width="5.85546875" style="5" customWidth="1"/>
    <col min="3" max="4" width="5.7109375" style="5" customWidth="1"/>
    <col min="5" max="5" width="7.42578125" style="5" customWidth="1"/>
    <col min="6" max="6" width="5.7109375" style="5" customWidth="1"/>
    <col min="7" max="7" width="7.42578125" style="75" customWidth="1"/>
    <col min="8" max="9" width="7.42578125" style="33" customWidth="1"/>
    <col min="10" max="10" width="7.42578125" style="246" customWidth="1"/>
    <col min="11" max="11" width="6.140625" style="5" customWidth="1"/>
    <col min="12" max="12" width="5.7109375" style="5" customWidth="1"/>
    <col min="13" max="13" width="6.42578125" style="5" customWidth="1"/>
    <col min="14" max="14" width="9.140625" style="5"/>
    <col min="15" max="15" width="44" style="145" customWidth="1"/>
    <col min="16" max="16" width="18" style="5" bestFit="1" customWidth="1"/>
    <col min="17" max="16384" width="9.140625" style="5"/>
  </cols>
  <sheetData>
    <row r="1" spans="1:16" ht="12.75" customHeight="1">
      <c r="A1" s="38" t="s">
        <v>1207</v>
      </c>
      <c r="B1" s="39"/>
      <c r="C1" s="39"/>
      <c r="D1" s="39"/>
      <c r="E1" s="39"/>
      <c r="F1" s="39"/>
      <c r="G1" s="39"/>
      <c r="H1" s="40"/>
      <c r="I1" s="40"/>
      <c r="J1" s="247"/>
      <c r="K1" s="39"/>
      <c r="L1" s="39"/>
      <c r="M1" s="41"/>
      <c r="O1" s="277" t="s">
        <v>1208</v>
      </c>
      <c r="P1" s="53"/>
    </row>
    <row r="2" spans="1:16" ht="15">
      <c r="A2" s="138" t="s">
        <v>914</v>
      </c>
      <c r="B2" s="114" t="s">
        <v>915</v>
      </c>
      <c r="C2" s="114" t="s">
        <v>28</v>
      </c>
      <c r="D2" s="114" t="s">
        <v>17</v>
      </c>
      <c r="E2" s="114" t="s">
        <v>916</v>
      </c>
      <c r="F2" s="114" t="s">
        <v>917</v>
      </c>
      <c r="G2" s="153" t="s">
        <v>1001</v>
      </c>
      <c r="H2" s="229" t="s">
        <v>5</v>
      </c>
      <c r="I2" s="229" t="s">
        <v>6</v>
      </c>
      <c r="J2" s="257" t="s">
        <v>7</v>
      </c>
      <c r="K2" s="115" t="s">
        <v>1209</v>
      </c>
      <c r="L2" s="115" t="s">
        <v>1026</v>
      </c>
      <c r="M2" s="126" t="s">
        <v>922</v>
      </c>
      <c r="O2" s="144" t="s">
        <v>924</v>
      </c>
      <c r="P2" s="53" t="s">
        <v>925</v>
      </c>
    </row>
    <row r="3" spans="1:16" ht="15">
      <c r="A3" s="137" t="s">
        <v>1210</v>
      </c>
      <c r="B3" s="30">
        <f>SUM(C3:D3)</f>
        <v>24</v>
      </c>
      <c r="C3" s="30">
        <v>19</v>
      </c>
      <c r="D3" s="67">
        <v>5</v>
      </c>
      <c r="E3" s="31">
        <f>IFERROR(C3/B3,0)</f>
        <v>0.79166666666666663</v>
      </c>
      <c r="F3" s="30">
        <f>24-D3</f>
        <v>19</v>
      </c>
      <c r="G3" s="133" t="str">
        <f>IF((IF($B$3&gt;B3,((MAX($C$3,C3)-C3)+(D3-MIN($D$3,D3)))/2,((MIN($B$3,B3)-MAX($B$3,B3))/2)+(D3-MIN($D$3,D3)))) = 0, "-", IF($B$3&gt;B3,((MAX($C$3,C3)-C3)+(D3-MIN($D$3,D3)))/2,((MIN($B$3,B3)-MAX($B$3,B3))/2)+(D3-MIN($D$3,D3))))</f>
        <v>-</v>
      </c>
      <c r="H3" s="230">
        <v>207</v>
      </c>
      <c r="I3" s="230">
        <v>110</v>
      </c>
      <c r="J3" s="258">
        <f>Table18[[#This Row],[RF]]-Table18[[#This Row],[RA]]</f>
        <v>97</v>
      </c>
      <c r="K3" s="98">
        <f>ROUNDUP(24*E3,0.1)</f>
        <v>19</v>
      </c>
      <c r="L3" s="98">
        <f>24-K3</f>
        <v>5</v>
      </c>
      <c r="M3" s="97">
        <f>IFERROR(B3/24,0)</f>
        <v>1</v>
      </c>
      <c r="O3" s="219" t="s">
        <v>1211</v>
      </c>
      <c r="P3" s="67" t="s">
        <v>1212</v>
      </c>
    </row>
    <row r="4" spans="1:16" ht="15">
      <c r="A4" s="137" t="s">
        <v>1213</v>
      </c>
      <c r="B4" s="30">
        <f>SUM(C4:D4)</f>
        <v>24</v>
      </c>
      <c r="C4" s="30">
        <v>18</v>
      </c>
      <c r="D4" s="67">
        <v>6</v>
      </c>
      <c r="E4" s="31">
        <f>IFERROR(C4/B4,0)</f>
        <v>0.75</v>
      </c>
      <c r="F4" s="30">
        <f>24-D4</f>
        <v>18</v>
      </c>
      <c r="G4" s="133">
        <f>IF((IF($B$3&gt;B4,((MAX($C$3,C4)-C4)+(D4-MIN($D$3,D4)))/2,((MIN($B$3,B4)-MAX($B$3,B4))/2)+(D4-MIN($D$3,D4)))) = 0, "-", IF($B$3&gt;B4,((MAX($C$3,C4)-C4)+(D4-MIN($D$3,D4)))/2,((MIN($B$3,B4)-MAX($B$3,B4))/2)+(D4-MIN($D$3,D4))))</f>
        <v>1</v>
      </c>
      <c r="H4" s="230">
        <v>223</v>
      </c>
      <c r="I4" s="230">
        <v>100</v>
      </c>
      <c r="J4" s="258">
        <f>Table18[[#This Row],[RF]]-Table18[[#This Row],[RA]]</f>
        <v>123</v>
      </c>
      <c r="K4" s="98">
        <f>ROUNDUP(24*E4,0.1)</f>
        <v>18</v>
      </c>
      <c r="L4" s="98">
        <f>24-K4</f>
        <v>6</v>
      </c>
      <c r="M4" s="97">
        <f>IFERROR(B4/24,0)</f>
        <v>1</v>
      </c>
      <c r="O4" s="219" t="s">
        <v>1214</v>
      </c>
      <c r="P4" s="67" t="s">
        <v>1215</v>
      </c>
    </row>
    <row r="5" spans="1:16" ht="15">
      <c r="A5" s="137" t="s">
        <v>1216</v>
      </c>
      <c r="B5" s="30">
        <f>SUM(C5:D5)</f>
        <v>24</v>
      </c>
      <c r="C5" s="30">
        <v>13</v>
      </c>
      <c r="D5" s="67">
        <v>11</v>
      </c>
      <c r="E5" s="31">
        <f>IFERROR(C5/B5,0)</f>
        <v>0.54166666666666663</v>
      </c>
      <c r="F5" s="30">
        <f>24-D5</f>
        <v>13</v>
      </c>
      <c r="G5" s="133">
        <f>IF((IF($B$3&gt;B5,((MAX($C$3,C5)-C5)+(D5-MIN($D$3,D5)))/2,((MIN($B$3,B5)-MAX($B$3,B5))/2)+(D5-MIN($D$3,D5)))) = 0, "-", IF($B$3&gt;B5,((MAX($C$3,C5)-C5)+(D5-MIN($D$3,D5)))/2,((MIN($B$3,B5)-MAX($B$3,B5))/2)+(D5-MIN($D$3,D5))))</f>
        <v>6</v>
      </c>
      <c r="H5" s="230">
        <v>178</v>
      </c>
      <c r="I5" s="230">
        <v>159</v>
      </c>
      <c r="J5" s="258">
        <f>Table18[[#This Row],[RF]]-Table18[[#This Row],[RA]]</f>
        <v>19</v>
      </c>
      <c r="K5" s="98">
        <f>ROUNDUP(24*E5,0.1)</f>
        <v>13</v>
      </c>
      <c r="L5" s="98">
        <f>24-K5</f>
        <v>11</v>
      </c>
      <c r="M5" s="97">
        <f>IFERROR(B5/24,0)</f>
        <v>1</v>
      </c>
      <c r="O5" s="219" t="s">
        <v>1217</v>
      </c>
      <c r="P5" s="67" t="s">
        <v>1218</v>
      </c>
    </row>
    <row r="6" spans="1:16" ht="15">
      <c r="A6" s="137" t="s">
        <v>1219</v>
      </c>
      <c r="B6" s="30">
        <f>SUM(C6:D6)</f>
        <v>24</v>
      </c>
      <c r="C6" s="30">
        <v>12</v>
      </c>
      <c r="D6" s="67">
        <v>12</v>
      </c>
      <c r="E6" s="31">
        <f>IFERROR(C6/B6,0)</f>
        <v>0.5</v>
      </c>
      <c r="F6" s="30">
        <f>24-D6</f>
        <v>12</v>
      </c>
      <c r="G6" s="133">
        <f>IF((IF($B$3&gt;B6,((MAX($C$3,C6)-C6)+(D6-MIN($D$3,D6)))/2,((MIN($B$3,B6)-MAX($B$3,B6))/2)+(D6-MIN($D$3,D6)))) = 0, "-", IF($B$3&gt;B6,((MAX($C$3,C6)-C6)+(D6-MIN($D$3,D6)))/2,((MIN($B$3,B6)-MAX($B$3,B6))/2)+(D6-MIN($D$3,D6))))</f>
        <v>7</v>
      </c>
      <c r="H6" s="230">
        <v>168</v>
      </c>
      <c r="I6" s="230">
        <v>165</v>
      </c>
      <c r="J6" s="258">
        <f>Table18[[#This Row],[RF]]-Table18[[#This Row],[RA]]</f>
        <v>3</v>
      </c>
      <c r="K6" s="98">
        <f>ROUNDUP(24*E6,0.1)</f>
        <v>12</v>
      </c>
      <c r="L6" s="98">
        <f>24-K6</f>
        <v>12</v>
      </c>
      <c r="M6" s="97">
        <f>IFERROR(B6/24,0)</f>
        <v>1</v>
      </c>
    </row>
    <row r="7" spans="1:16" ht="15">
      <c r="A7" s="137" t="s">
        <v>1220</v>
      </c>
      <c r="B7" s="30">
        <f>SUM(C7:D7)</f>
        <v>24</v>
      </c>
      <c r="C7" s="30">
        <v>12</v>
      </c>
      <c r="D7" s="67">
        <v>12</v>
      </c>
      <c r="E7" s="31">
        <f>IFERROR(C7/B7,0)</f>
        <v>0.5</v>
      </c>
      <c r="F7" s="30">
        <f>24-D7</f>
        <v>12</v>
      </c>
      <c r="G7" s="133">
        <f>IF((IF($B$3&gt;B7,((MAX($C$3,C7)-C7)+(D7-MIN($D$3,D7)))/2,((MIN($B$3,B7)-MAX($B$3,B7))/2)+(D7-MIN($D$3,D7)))) = 0, "-", IF($B$3&gt;B7,((MAX($C$3,C7)-C7)+(D7-MIN($D$3,D7)))/2,((MIN($B$3,B7)-MAX($B$3,B7))/2)+(D7-MIN($D$3,D7))))</f>
        <v>7</v>
      </c>
      <c r="H7" s="230">
        <v>147</v>
      </c>
      <c r="I7" s="230">
        <v>152</v>
      </c>
      <c r="J7" s="258">
        <f>Table18[[#This Row],[RF]]-Table18[[#This Row],[RA]]</f>
        <v>-5</v>
      </c>
      <c r="K7" s="98">
        <f>ROUNDUP(24*E7,0.1)</f>
        <v>12</v>
      </c>
      <c r="L7" s="98">
        <f>24-K7</f>
        <v>12</v>
      </c>
      <c r="M7" s="97">
        <f>IFERROR(B7/24,0)</f>
        <v>1</v>
      </c>
      <c r="O7" s="277" t="s">
        <v>1221</v>
      </c>
      <c r="P7" s="53"/>
    </row>
    <row r="8" spans="1:16" ht="15">
      <c r="A8" s="137" t="s">
        <v>1222</v>
      </c>
      <c r="B8" s="30">
        <f>SUM(C8:D8)</f>
        <v>24</v>
      </c>
      <c r="C8" s="30">
        <v>9</v>
      </c>
      <c r="D8" s="67">
        <v>15</v>
      </c>
      <c r="E8" s="31">
        <f>IFERROR(C8/B8,0)</f>
        <v>0.375</v>
      </c>
      <c r="F8" s="30">
        <f>24-D8</f>
        <v>9</v>
      </c>
      <c r="G8" s="133">
        <f>IF((IF($B$3&gt;B8,((MAX($C$3,C8)-C8)+(D8-MIN($D$3,D8)))/2,((MIN($B$3,B8)-MAX($B$3,B8))/2)+(D8-MIN($D$3,D8)))) = 0, "-", IF($B$3&gt;B8,((MAX($C$3,C8)-C8)+(D8-MIN($D$3,D8)))/2,((MIN($B$3,B8)-MAX($B$3,B8))/2)+(D8-MIN($D$3,D8))))</f>
        <v>10</v>
      </c>
      <c r="H8" s="230">
        <v>148</v>
      </c>
      <c r="I8" s="230">
        <v>202</v>
      </c>
      <c r="J8" s="258">
        <f>Table18[[#This Row],[RF]]-Table18[[#This Row],[RA]]</f>
        <v>-54</v>
      </c>
      <c r="K8" s="98">
        <f>ROUNDUP(24*E8,0.1)</f>
        <v>9</v>
      </c>
      <c r="L8" s="98">
        <f>24-K8</f>
        <v>15</v>
      </c>
      <c r="M8" s="97">
        <f>IFERROR(B8/24,0)</f>
        <v>1</v>
      </c>
      <c r="O8" s="144" t="s">
        <v>924</v>
      </c>
      <c r="P8" s="53" t="s">
        <v>925</v>
      </c>
    </row>
    <row r="9" spans="1:16" ht="15">
      <c r="A9" s="141" t="s">
        <v>1223</v>
      </c>
      <c r="B9" s="91">
        <f>SUM(C9:D9)</f>
        <v>24</v>
      </c>
      <c r="C9" s="91">
        <v>1</v>
      </c>
      <c r="D9" s="202">
        <v>23</v>
      </c>
      <c r="E9" s="94">
        <f>IFERROR(C9/B9,0)</f>
        <v>4.1666666666666664E-2</v>
      </c>
      <c r="F9" s="91">
        <f>24-D9</f>
        <v>1</v>
      </c>
      <c r="G9" s="57">
        <f>IF((IF($B$3&gt;B9,((MAX($C$3,C9)-C9)+(D9-MIN($D$3,D9)))/2,((MIN($B$3,B9)-MAX($B$3,B9))/2)+(D9-MIN($D$3,D9)))) = 0, "-", IF($B$3&gt;B9,((MAX($C$3,C9)-C9)+(D9-MIN($D$3,D9)))/2,((MIN($B$3,B9)-MAX($B$3,B9))/2)+(D9-MIN($D$3,D9))))</f>
        <v>18</v>
      </c>
      <c r="H9" s="231">
        <v>55</v>
      </c>
      <c r="I9" s="231">
        <v>238</v>
      </c>
      <c r="J9" s="258">
        <f>Table18[[#This Row],[RF]]-Table18[[#This Row],[RA]]</f>
        <v>-183</v>
      </c>
      <c r="K9" s="160">
        <f>ROUNDUP(24*E9,0.1)</f>
        <v>1</v>
      </c>
      <c r="L9" s="160">
        <f>24-K9</f>
        <v>23</v>
      </c>
      <c r="M9" s="159">
        <f>IFERROR(B9/24,0)</f>
        <v>1</v>
      </c>
      <c r="O9" s="219" t="s">
        <v>1224</v>
      </c>
      <c r="P9" s="67" t="s">
        <v>1225</v>
      </c>
    </row>
    <row r="10" spans="1:16" ht="15">
      <c r="O10" s="219" t="s">
        <v>1226</v>
      </c>
      <c r="P10" s="67" t="s">
        <v>1227</v>
      </c>
    </row>
    <row r="11" spans="1:16" ht="15"/>
    <row r="12" spans="1:16" ht="12.75" customHeight="1">
      <c r="O12" s="277" t="s">
        <v>1228</v>
      </c>
      <c r="P12" s="53"/>
    </row>
    <row r="13" spans="1:16" ht="15">
      <c r="O13" s="144" t="s">
        <v>924</v>
      </c>
      <c r="P13" s="53" t="s">
        <v>925</v>
      </c>
    </row>
    <row r="14" spans="1:16" ht="15">
      <c r="O14" s="219" t="s">
        <v>1229</v>
      </c>
      <c r="P14" s="67" t="s">
        <v>1230</v>
      </c>
    </row>
    <row r="15" spans="1:16" ht="1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AAD8-BD3B-4AFF-A2AD-E8BC6702A140}">
  <dimension ref="A1:R58"/>
  <sheetViews>
    <sheetView workbookViewId="0">
      <pane ySplit="1" topLeftCell="A27" activePane="bottomLeft" state="frozen"/>
      <selection pane="bottomLeft" activeCell="O39" sqref="O39"/>
    </sheetView>
  </sheetViews>
  <sheetFormatPr defaultColWidth="9.140625" defaultRowHeight="12.75" customHeight="1"/>
  <cols>
    <col min="1" max="1" width="33.42578125" style="5" bestFit="1" customWidth="1"/>
    <col min="2" max="2" width="6.28515625" style="66" bestFit="1" customWidth="1"/>
    <col min="3" max="3" width="10.7109375" style="5" bestFit="1" customWidth="1"/>
    <col min="4" max="4" width="10.28515625" style="5" bestFit="1" customWidth="1"/>
    <col min="5" max="5" width="6.28515625" style="5" bestFit="1" customWidth="1"/>
    <col min="6" max="6" width="6.5703125" style="5" bestFit="1" customWidth="1"/>
    <col min="7" max="8" width="5.7109375" style="5" customWidth="1"/>
    <col min="9" max="9" width="5.7109375" style="246" customWidth="1"/>
    <col min="10" max="10" width="6.5703125" style="5" bestFit="1" customWidth="1"/>
    <col min="11" max="11" width="16.140625" style="5" customWidth="1"/>
    <col min="12" max="13" width="13.28515625" style="5" customWidth="1"/>
    <col min="14" max="14" width="10.85546875" style="5" bestFit="1" customWidth="1"/>
    <col min="15" max="15" width="7.28515625" style="5" bestFit="1" customWidth="1"/>
    <col min="16" max="17" width="9.140625" style="5"/>
    <col min="18" max="18" width="9.140625" style="103"/>
    <col min="19" max="16384" width="9.140625" style="5"/>
  </cols>
  <sheetData>
    <row r="1" spans="1:15" ht="15">
      <c r="A1" s="1" t="s">
        <v>0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70" t="s">
        <v>7</v>
      </c>
      <c r="J1" s="3" t="s">
        <v>8</v>
      </c>
      <c r="K1" s="3" t="s">
        <v>9</v>
      </c>
      <c r="L1" s="3" t="s">
        <v>10</v>
      </c>
      <c r="M1" s="3" t="s">
        <v>1231</v>
      </c>
      <c r="N1" s="3" t="s">
        <v>12</v>
      </c>
      <c r="O1" s="3" t="s">
        <v>13</v>
      </c>
    </row>
    <row r="2" spans="1:15" ht="15">
      <c r="A2" s="99" t="s">
        <v>1232</v>
      </c>
      <c r="B2" s="100">
        <v>1</v>
      </c>
      <c r="C2" s="8" t="s">
        <v>389</v>
      </c>
      <c r="D2" s="8" t="s">
        <v>1233</v>
      </c>
      <c r="E2" s="8" t="s">
        <v>17</v>
      </c>
      <c r="F2" s="8" t="s">
        <v>1234</v>
      </c>
      <c r="G2" s="8" t="s">
        <v>1235</v>
      </c>
      <c r="H2" s="8" t="s">
        <v>1078</v>
      </c>
      <c r="I2" s="271">
        <f>IF(E2="","",G2-H2)</f>
        <v>-10</v>
      </c>
      <c r="J2" s="8" t="s">
        <v>1236</v>
      </c>
      <c r="K2" s="8" t="s">
        <v>1237</v>
      </c>
      <c r="L2" s="8" t="s">
        <v>1238</v>
      </c>
      <c r="M2" s="8" t="s">
        <v>24</v>
      </c>
      <c r="N2" s="9" t="str">
        <f>IF(E2="","",IFERROR(_xlfn.CONCAT(ROUND((G2^2)/((G2^2)+(H2^2))*B2,0),"-",B2-ROUND((G2^2)/((G2^2)+(H2^2))*B2,0)),0))</f>
        <v>0-1</v>
      </c>
      <c r="O2" s="8" t="s">
        <v>25</v>
      </c>
    </row>
    <row r="3" spans="1:15" ht="15">
      <c r="A3" s="101" t="s">
        <v>1239</v>
      </c>
      <c r="B3" s="100">
        <v>2</v>
      </c>
      <c r="C3" s="8" t="s">
        <v>395</v>
      </c>
      <c r="D3" s="8" t="s">
        <v>1240</v>
      </c>
      <c r="E3" s="8" t="s">
        <v>17</v>
      </c>
      <c r="F3" s="8" t="s">
        <v>688</v>
      </c>
      <c r="G3" s="8" t="s">
        <v>1241</v>
      </c>
      <c r="H3" s="8" t="s">
        <v>1242</v>
      </c>
      <c r="I3" s="271">
        <f t="shared" ref="I3:I57" si="0">IF(E3="","",G3-H3)</f>
        <v>-16</v>
      </c>
      <c r="J3" s="8" t="s">
        <v>24</v>
      </c>
      <c r="K3" s="8" t="s">
        <v>24</v>
      </c>
      <c r="L3" s="8" t="s">
        <v>24</v>
      </c>
      <c r="M3" s="8" t="s">
        <v>24</v>
      </c>
      <c r="N3" s="9" t="str">
        <f t="shared" ref="N3:N57" si="1">IF(E3="","",IFERROR(_xlfn.CONCAT(ROUND((G3^2)/((G3^2)+(H3^2))*B3,0),"-",B3-ROUND((G3^2)/((G3^2)+(H3^2))*B3,0)),0))</f>
        <v>0-2</v>
      </c>
      <c r="O3" s="8" t="s">
        <v>376</v>
      </c>
    </row>
    <row r="4" spans="1:15" ht="15">
      <c r="A4" s="101" t="s">
        <v>1243</v>
      </c>
      <c r="B4" s="100">
        <v>3</v>
      </c>
      <c r="C4" s="8" t="s">
        <v>401</v>
      </c>
      <c r="D4" s="8" t="s">
        <v>1240</v>
      </c>
      <c r="E4" s="8" t="s">
        <v>17</v>
      </c>
      <c r="F4" s="8" t="s">
        <v>445</v>
      </c>
      <c r="G4" s="8" t="s">
        <v>1244</v>
      </c>
      <c r="H4" s="8" t="s">
        <v>1095</v>
      </c>
      <c r="I4" s="271">
        <f t="shared" si="0"/>
        <v>-23</v>
      </c>
      <c r="J4" s="8" t="s">
        <v>1245</v>
      </c>
      <c r="K4" s="8" t="s">
        <v>1246</v>
      </c>
      <c r="L4" s="8" t="s">
        <v>1247</v>
      </c>
      <c r="M4" s="8" t="s">
        <v>24</v>
      </c>
      <c r="N4" s="9" t="str">
        <f t="shared" si="1"/>
        <v>0-3</v>
      </c>
      <c r="O4" s="8" t="s">
        <v>1248</v>
      </c>
    </row>
    <row r="5" spans="1:15" ht="15">
      <c r="A5" s="102" t="s">
        <v>1249</v>
      </c>
      <c r="B5" s="100">
        <v>4</v>
      </c>
      <c r="C5" s="8" t="s">
        <v>407</v>
      </c>
      <c r="D5" s="8" t="s">
        <v>124</v>
      </c>
      <c r="E5" s="8" t="s">
        <v>17</v>
      </c>
      <c r="F5" s="8" t="s">
        <v>1250</v>
      </c>
      <c r="G5" s="8" t="s">
        <v>1077</v>
      </c>
      <c r="H5" s="8" t="s">
        <v>1100</v>
      </c>
      <c r="I5" s="271">
        <f t="shared" si="0"/>
        <v>-32</v>
      </c>
      <c r="J5" s="8" t="s">
        <v>1251</v>
      </c>
      <c r="K5" s="8" t="s">
        <v>1252</v>
      </c>
      <c r="L5" s="8" t="s">
        <v>1253</v>
      </c>
      <c r="M5" s="8" t="s">
        <v>24</v>
      </c>
      <c r="N5" s="9" t="str">
        <f t="shared" si="1"/>
        <v>0-4</v>
      </c>
      <c r="O5" s="8" t="s">
        <v>1254</v>
      </c>
    </row>
    <row r="6" spans="1:15" ht="15">
      <c r="A6" s="99" t="s">
        <v>1255</v>
      </c>
      <c r="B6" s="100">
        <v>5</v>
      </c>
      <c r="C6" s="8" t="s">
        <v>1256</v>
      </c>
      <c r="D6" s="8" t="s">
        <v>1233</v>
      </c>
      <c r="E6" s="8" t="s">
        <v>17</v>
      </c>
      <c r="F6" s="8" t="s">
        <v>634</v>
      </c>
      <c r="G6" s="8" t="s">
        <v>1257</v>
      </c>
      <c r="H6" s="8" t="s">
        <v>1258</v>
      </c>
      <c r="I6" s="271">
        <f t="shared" si="0"/>
        <v>-37</v>
      </c>
      <c r="J6" s="8" t="s">
        <v>1259</v>
      </c>
      <c r="K6" s="8" t="s">
        <v>1260</v>
      </c>
      <c r="L6" s="8" t="s">
        <v>1261</v>
      </c>
      <c r="M6" s="8" t="s">
        <v>24</v>
      </c>
      <c r="N6" s="9" t="str">
        <f t="shared" si="1"/>
        <v>0-5</v>
      </c>
      <c r="O6" s="8" t="s">
        <v>72</v>
      </c>
    </row>
    <row r="7" spans="1:15" ht="15">
      <c r="A7" s="101" t="s">
        <v>1262</v>
      </c>
      <c r="B7" s="100">
        <v>6</v>
      </c>
      <c r="C7" s="8" t="s">
        <v>421</v>
      </c>
      <c r="D7" s="8" t="s">
        <v>1240</v>
      </c>
      <c r="E7" s="8" t="s">
        <v>17</v>
      </c>
      <c r="F7" s="8" t="s">
        <v>78</v>
      </c>
      <c r="G7" s="8" t="s">
        <v>1263</v>
      </c>
      <c r="H7" s="8" t="s">
        <v>1264</v>
      </c>
      <c r="I7" s="271">
        <f t="shared" si="0"/>
        <v>-38</v>
      </c>
      <c r="J7" s="8" t="s">
        <v>119</v>
      </c>
      <c r="K7" s="8" t="s">
        <v>1265</v>
      </c>
      <c r="L7" s="8" t="s">
        <v>1266</v>
      </c>
      <c r="M7" s="8" t="s">
        <v>1267</v>
      </c>
      <c r="N7" s="9" t="str">
        <f t="shared" si="1"/>
        <v>1-5</v>
      </c>
      <c r="O7" s="8" t="s">
        <v>1268</v>
      </c>
    </row>
    <row r="8" spans="1:15" ht="15">
      <c r="A8" s="101" t="s">
        <v>1269</v>
      </c>
      <c r="B8" s="100">
        <v>7</v>
      </c>
      <c r="C8" s="8" t="s">
        <v>425</v>
      </c>
      <c r="D8" s="8" t="s">
        <v>1240</v>
      </c>
      <c r="E8" s="8" t="s">
        <v>17</v>
      </c>
      <c r="F8" s="8" t="s">
        <v>1270</v>
      </c>
      <c r="G8" s="8" t="s">
        <v>1090</v>
      </c>
      <c r="H8" s="8" t="s">
        <v>144</v>
      </c>
      <c r="I8" s="271">
        <f t="shared" si="0"/>
        <v>-45</v>
      </c>
      <c r="J8" s="8" t="s">
        <v>1271</v>
      </c>
      <c r="K8" s="8" t="s">
        <v>1272</v>
      </c>
      <c r="L8" s="8" t="s">
        <v>1273</v>
      </c>
      <c r="M8" s="8" t="s">
        <v>24</v>
      </c>
      <c r="N8" s="9" t="str">
        <f t="shared" si="1"/>
        <v>1-6</v>
      </c>
      <c r="O8" s="8" t="s">
        <v>181</v>
      </c>
    </row>
    <row r="9" spans="1:15" ht="15">
      <c r="A9" s="101" t="s">
        <v>1269</v>
      </c>
      <c r="B9" s="100">
        <v>8</v>
      </c>
      <c r="C9" s="8" t="s">
        <v>430</v>
      </c>
      <c r="D9" s="8" t="s">
        <v>1240</v>
      </c>
      <c r="E9" s="8" t="s">
        <v>17</v>
      </c>
      <c r="F9" s="8" t="s">
        <v>72</v>
      </c>
      <c r="G9" s="8" t="s">
        <v>1090</v>
      </c>
      <c r="H9" s="8" t="s">
        <v>149</v>
      </c>
      <c r="I9" s="271">
        <f t="shared" si="0"/>
        <v>-50</v>
      </c>
      <c r="J9" s="8" t="s">
        <v>151</v>
      </c>
      <c r="K9" s="8" t="s">
        <v>601</v>
      </c>
      <c r="L9" s="8" t="s">
        <v>1247</v>
      </c>
      <c r="M9" s="8" t="s">
        <v>24</v>
      </c>
      <c r="N9" s="9" t="str">
        <f t="shared" si="1"/>
        <v>1-7</v>
      </c>
      <c r="O9" s="8" t="s">
        <v>472</v>
      </c>
    </row>
    <row r="10" spans="1:15" ht="15">
      <c r="A10" s="101" t="s">
        <v>1274</v>
      </c>
      <c r="B10" s="100">
        <v>9</v>
      </c>
      <c r="C10" s="8" t="s">
        <v>435</v>
      </c>
      <c r="D10" s="8" t="s">
        <v>1240</v>
      </c>
      <c r="E10" s="8" t="s">
        <v>17</v>
      </c>
      <c r="F10" s="8" t="s">
        <v>474</v>
      </c>
      <c r="G10" s="8" t="s">
        <v>58</v>
      </c>
      <c r="H10" s="8" t="s">
        <v>166</v>
      </c>
      <c r="I10" s="271">
        <f t="shared" si="0"/>
        <v>-55</v>
      </c>
      <c r="J10" s="8" t="s">
        <v>163</v>
      </c>
      <c r="K10" s="8" t="s">
        <v>1275</v>
      </c>
      <c r="L10" s="8" t="s">
        <v>1276</v>
      </c>
      <c r="M10" s="8" t="s">
        <v>24</v>
      </c>
      <c r="N10" s="9" t="str">
        <f t="shared" si="1"/>
        <v>1-8</v>
      </c>
      <c r="O10" s="8" t="s">
        <v>1277</v>
      </c>
    </row>
    <row r="11" spans="1:15" ht="15">
      <c r="A11" s="101" t="s">
        <v>1274</v>
      </c>
      <c r="B11" s="100">
        <v>10</v>
      </c>
      <c r="C11" s="8" t="s">
        <v>441</v>
      </c>
      <c r="D11" s="8" t="s">
        <v>1183</v>
      </c>
      <c r="E11" s="8" t="s">
        <v>28</v>
      </c>
      <c r="F11" s="8" t="s">
        <v>134</v>
      </c>
      <c r="G11" s="8" t="s">
        <v>87</v>
      </c>
      <c r="H11" s="8" t="s">
        <v>175</v>
      </c>
      <c r="I11" s="271">
        <f t="shared" si="0"/>
        <v>-54</v>
      </c>
      <c r="J11" s="8" t="s">
        <v>1278</v>
      </c>
      <c r="K11" s="8" t="s">
        <v>1279</v>
      </c>
      <c r="L11" s="8" t="s">
        <v>1280</v>
      </c>
      <c r="M11" s="8" t="s">
        <v>1238</v>
      </c>
      <c r="N11" s="9" t="str">
        <f t="shared" si="1"/>
        <v>1-9</v>
      </c>
      <c r="O11" s="8" t="s">
        <v>760</v>
      </c>
    </row>
    <row r="12" spans="1:15" ht="15">
      <c r="A12" s="99" t="s">
        <v>1232</v>
      </c>
      <c r="B12" s="100">
        <v>11</v>
      </c>
      <c r="C12" s="8" t="s">
        <v>463</v>
      </c>
      <c r="D12" s="8" t="s">
        <v>1233</v>
      </c>
      <c r="E12" s="8" t="s">
        <v>28</v>
      </c>
      <c r="F12" s="8" t="s">
        <v>1281</v>
      </c>
      <c r="G12" s="8" t="s">
        <v>103</v>
      </c>
      <c r="H12" s="8" t="s">
        <v>212</v>
      </c>
      <c r="I12" s="271">
        <f t="shared" si="0"/>
        <v>-49</v>
      </c>
      <c r="J12" s="8" t="s">
        <v>1282</v>
      </c>
      <c r="K12" s="8" t="s">
        <v>1238</v>
      </c>
      <c r="L12" s="8" t="s">
        <v>1237</v>
      </c>
      <c r="M12" s="8" t="s">
        <v>24</v>
      </c>
      <c r="N12" s="9" t="str">
        <f t="shared" si="1"/>
        <v>2-9</v>
      </c>
      <c r="O12" s="8" t="s">
        <v>1283</v>
      </c>
    </row>
    <row r="13" spans="1:15" ht="15">
      <c r="A13" s="101" t="s">
        <v>1239</v>
      </c>
      <c r="B13" s="100">
        <v>12</v>
      </c>
      <c r="C13" s="8" t="s">
        <v>1284</v>
      </c>
      <c r="D13" s="8" t="s">
        <v>1240</v>
      </c>
      <c r="E13" s="8" t="s">
        <v>17</v>
      </c>
      <c r="F13" s="8" t="s">
        <v>1285</v>
      </c>
      <c r="G13" s="8" t="s">
        <v>118</v>
      </c>
      <c r="H13" s="8" t="s">
        <v>1286</v>
      </c>
      <c r="I13" s="271">
        <f t="shared" si="0"/>
        <v>-58</v>
      </c>
      <c r="J13" s="8" t="s">
        <v>304</v>
      </c>
      <c r="K13" s="8" t="s">
        <v>1287</v>
      </c>
      <c r="L13" s="8" t="s">
        <v>1273</v>
      </c>
      <c r="M13" s="8" t="s">
        <v>24</v>
      </c>
      <c r="N13" s="9" t="str">
        <f t="shared" si="1"/>
        <v>2-10</v>
      </c>
      <c r="O13" s="8" t="s">
        <v>183</v>
      </c>
    </row>
    <row r="14" spans="1:15" ht="15">
      <c r="A14" s="101" t="s">
        <v>1288</v>
      </c>
      <c r="B14" s="100">
        <v>13</v>
      </c>
      <c r="C14" s="8" t="s">
        <v>471</v>
      </c>
      <c r="D14" s="8" t="s">
        <v>1240</v>
      </c>
      <c r="E14" s="8" t="s">
        <v>17</v>
      </c>
      <c r="F14" s="8" t="s">
        <v>1289</v>
      </c>
      <c r="G14" s="8" t="s">
        <v>1264</v>
      </c>
      <c r="H14" s="8" t="s">
        <v>1290</v>
      </c>
      <c r="I14" s="271">
        <f t="shared" si="0"/>
        <v>-68</v>
      </c>
      <c r="J14" s="8" t="s">
        <v>404</v>
      </c>
      <c r="K14" s="8" t="s">
        <v>1291</v>
      </c>
      <c r="L14" s="8" t="s">
        <v>1292</v>
      </c>
      <c r="M14" s="8" t="s">
        <v>24</v>
      </c>
      <c r="N14" s="9" t="str">
        <f t="shared" si="1"/>
        <v>2-11</v>
      </c>
      <c r="O14" s="8" t="s">
        <v>218</v>
      </c>
    </row>
    <row r="15" spans="1:15" ht="15">
      <c r="A15" s="101" t="s">
        <v>1288</v>
      </c>
      <c r="B15" s="100">
        <v>14</v>
      </c>
      <c r="C15" s="8" t="s">
        <v>477</v>
      </c>
      <c r="D15" s="8" t="s">
        <v>1240</v>
      </c>
      <c r="E15" s="8" t="s">
        <v>28</v>
      </c>
      <c r="F15" s="8" t="s">
        <v>163</v>
      </c>
      <c r="G15" s="8" t="s">
        <v>1293</v>
      </c>
      <c r="H15" s="8" t="s">
        <v>1294</v>
      </c>
      <c r="I15" s="271">
        <f t="shared" si="0"/>
        <v>-64</v>
      </c>
      <c r="J15" s="8" t="s">
        <v>1295</v>
      </c>
      <c r="K15" s="8" t="s">
        <v>1296</v>
      </c>
      <c r="L15" s="8" t="s">
        <v>1297</v>
      </c>
      <c r="M15" s="8" t="s">
        <v>24</v>
      </c>
      <c r="N15" s="9" t="str">
        <f t="shared" si="1"/>
        <v>3-11</v>
      </c>
      <c r="O15" s="8" t="s">
        <v>1271</v>
      </c>
    </row>
    <row r="16" spans="1:15" ht="15">
      <c r="A16" s="99" t="s">
        <v>1298</v>
      </c>
      <c r="B16" s="100">
        <v>15</v>
      </c>
      <c r="C16" s="8" t="s">
        <v>483</v>
      </c>
      <c r="D16" s="8" t="s">
        <v>124</v>
      </c>
      <c r="E16" s="8" t="s">
        <v>17</v>
      </c>
      <c r="F16" s="8" t="s">
        <v>1299</v>
      </c>
      <c r="G16" s="8" t="s">
        <v>156</v>
      </c>
      <c r="H16" s="8" t="s">
        <v>264</v>
      </c>
      <c r="I16" s="271">
        <f t="shared" si="0"/>
        <v>-89</v>
      </c>
      <c r="J16" s="8" t="s">
        <v>1300</v>
      </c>
      <c r="K16" s="8" t="s">
        <v>1301</v>
      </c>
      <c r="L16" s="8" t="s">
        <v>1261</v>
      </c>
      <c r="M16" s="8" t="s">
        <v>24</v>
      </c>
      <c r="N16" s="9" t="str">
        <f t="shared" si="1"/>
        <v>2-13</v>
      </c>
      <c r="O16" s="8" t="s">
        <v>1302</v>
      </c>
    </row>
    <row r="17" spans="1:15" ht="15">
      <c r="A17" s="101" t="s">
        <v>1288</v>
      </c>
      <c r="B17" s="100">
        <v>16</v>
      </c>
      <c r="C17" s="8" t="s">
        <v>491</v>
      </c>
      <c r="D17" s="8" t="s">
        <v>1240</v>
      </c>
      <c r="E17" s="8" t="s">
        <v>17</v>
      </c>
      <c r="F17" s="8" t="s">
        <v>795</v>
      </c>
      <c r="G17" s="8" t="s">
        <v>1303</v>
      </c>
      <c r="H17" s="8" t="s">
        <v>269</v>
      </c>
      <c r="I17" s="271">
        <f t="shared" si="0"/>
        <v>-92</v>
      </c>
      <c r="J17" s="8" t="s">
        <v>332</v>
      </c>
      <c r="K17" s="8" t="s">
        <v>380</v>
      </c>
      <c r="L17" s="8" t="s">
        <v>1296</v>
      </c>
      <c r="M17" s="8" t="s">
        <v>24</v>
      </c>
      <c r="N17" s="9" t="str">
        <f t="shared" si="1"/>
        <v>3-13</v>
      </c>
      <c r="O17" s="8" t="s">
        <v>1304</v>
      </c>
    </row>
    <row r="18" spans="1:15" ht="15">
      <c r="A18" s="101" t="s">
        <v>1239</v>
      </c>
      <c r="B18" s="100">
        <v>17</v>
      </c>
      <c r="C18" s="8" t="s">
        <v>495</v>
      </c>
      <c r="D18" s="8" t="s">
        <v>1240</v>
      </c>
      <c r="E18" s="8" t="s">
        <v>17</v>
      </c>
      <c r="F18" s="8" t="s">
        <v>200</v>
      </c>
      <c r="G18" s="8" t="s">
        <v>174</v>
      </c>
      <c r="H18" s="8" t="s">
        <v>330</v>
      </c>
      <c r="I18" s="271">
        <f t="shared" si="0"/>
        <v>-93</v>
      </c>
      <c r="J18" s="8" t="s">
        <v>813</v>
      </c>
      <c r="K18" s="8" t="s">
        <v>1305</v>
      </c>
      <c r="L18" s="8" t="s">
        <v>1253</v>
      </c>
      <c r="M18" s="8" t="s">
        <v>82</v>
      </c>
      <c r="N18" s="9" t="str">
        <f t="shared" si="1"/>
        <v>3-14</v>
      </c>
      <c r="O18" s="8" t="s">
        <v>1306</v>
      </c>
    </row>
    <row r="19" spans="1:15" ht="15">
      <c r="A19" s="101" t="s">
        <v>1288</v>
      </c>
      <c r="B19" s="100">
        <v>18</v>
      </c>
      <c r="C19" s="8" t="s">
        <v>501</v>
      </c>
      <c r="D19" s="8" t="s">
        <v>1240</v>
      </c>
      <c r="E19" s="8" t="s">
        <v>17</v>
      </c>
      <c r="F19" s="8" t="s">
        <v>688</v>
      </c>
      <c r="G19" s="8" t="s">
        <v>1152</v>
      </c>
      <c r="H19" s="8" t="s">
        <v>303</v>
      </c>
      <c r="I19" s="271">
        <f t="shared" si="0"/>
        <v>-99</v>
      </c>
      <c r="J19" s="8" t="s">
        <v>1259</v>
      </c>
      <c r="K19" s="8" t="s">
        <v>1291</v>
      </c>
      <c r="L19" s="8" t="s">
        <v>1307</v>
      </c>
      <c r="M19" s="8" t="s">
        <v>24</v>
      </c>
      <c r="N19" s="9" t="str">
        <f t="shared" si="1"/>
        <v>3-15</v>
      </c>
      <c r="O19" s="8" t="s">
        <v>1308</v>
      </c>
    </row>
    <row r="20" spans="1:15" ht="15">
      <c r="A20" s="99" t="s">
        <v>1298</v>
      </c>
      <c r="B20" s="100">
        <v>19</v>
      </c>
      <c r="C20" s="8" t="s">
        <v>508</v>
      </c>
      <c r="D20" s="8" t="s">
        <v>1240</v>
      </c>
      <c r="E20" s="8" t="s">
        <v>28</v>
      </c>
      <c r="F20" s="8" t="s">
        <v>398</v>
      </c>
      <c r="G20" s="8" t="s">
        <v>1146</v>
      </c>
      <c r="H20" s="8" t="s">
        <v>1309</v>
      </c>
      <c r="I20" s="271">
        <f t="shared" si="0"/>
        <v>-94</v>
      </c>
      <c r="J20" s="8" t="s">
        <v>1147</v>
      </c>
      <c r="K20" s="8" t="s">
        <v>1276</v>
      </c>
      <c r="L20" s="8" t="s">
        <v>1310</v>
      </c>
      <c r="M20" s="8" t="s">
        <v>24</v>
      </c>
      <c r="N20" s="9" t="str">
        <f t="shared" si="1"/>
        <v>4-15</v>
      </c>
      <c r="O20" s="8" t="s">
        <v>367</v>
      </c>
    </row>
    <row r="21" spans="1:15" ht="15">
      <c r="A21" s="101" t="s">
        <v>1311</v>
      </c>
      <c r="B21" s="100">
        <v>20</v>
      </c>
      <c r="C21" s="8" t="s">
        <v>514</v>
      </c>
      <c r="D21" s="8" t="s">
        <v>1240</v>
      </c>
      <c r="E21" s="8" t="s">
        <v>28</v>
      </c>
      <c r="F21" s="8" t="s">
        <v>1312</v>
      </c>
      <c r="G21" s="8" t="s">
        <v>1185</v>
      </c>
      <c r="H21" s="8" t="s">
        <v>349</v>
      </c>
      <c r="I21" s="271">
        <f>IF(E21="","",G21-H21)</f>
        <v>-83</v>
      </c>
      <c r="J21" s="8" t="s">
        <v>1313</v>
      </c>
      <c r="K21" s="8" t="s">
        <v>1279</v>
      </c>
      <c r="L21" s="8" t="s">
        <v>1314</v>
      </c>
      <c r="M21" s="8" t="s">
        <v>24</v>
      </c>
      <c r="N21" s="9" t="str">
        <f>IF(E21="","",IFERROR(_xlfn.CONCAT(ROUND((G21^2)/((G21^2)+(H21^2))*B21,0),"-",B21-ROUND((G21^2)/((G21^2)+(H21^2))*B21,0)),0))</f>
        <v>5-15</v>
      </c>
      <c r="O21" s="8" t="s">
        <v>1315</v>
      </c>
    </row>
    <row r="22" spans="1:15" ht="15">
      <c r="A22" s="99" t="s">
        <v>1316</v>
      </c>
      <c r="B22" s="100">
        <v>21</v>
      </c>
      <c r="C22" s="8" t="s">
        <v>528</v>
      </c>
      <c r="D22" s="8" t="s">
        <v>1240</v>
      </c>
      <c r="E22" s="8" t="s">
        <v>17</v>
      </c>
      <c r="F22" s="8" t="s">
        <v>521</v>
      </c>
      <c r="G22" s="8" t="s">
        <v>226</v>
      </c>
      <c r="H22" s="8" t="s">
        <v>1317</v>
      </c>
      <c r="I22" s="271">
        <f t="shared" si="0"/>
        <v>-85</v>
      </c>
      <c r="J22" s="8" t="s">
        <v>114</v>
      </c>
      <c r="K22" s="8" t="s">
        <v>1318</v>
      </c>
      <c r="L22" s="8" t="s">
        <v>1238</v>
      </c>
      <c r="M22" s="8" t="s">
        <v>1319</v>
      </c>
      <c r="N22" s="9" t="str">
        <f t="shared" si="1"/>
        <v>6-15</v>
      </c>
      <c r="O22" s="8" t="s">
        <v>1320</v>
      </c>
    </row>
    <row r="23" spans="1:15" ht="15">
      <c r="A23" s="99" t="s">
        <v>1316</v>
      </c>
      <c r="B23" s="100">
        <v>22</v>
      </c>
      <c r="C23" s="8" t="s">
        <v>534</v>
      </c>
      <c r="D23" s="8" t="s">
        <v>1240</v>
      </c>
      <c r="E23" s="8" t="s">
        <v>17</v>
      </c>
      <c r="F23" s="8" t="s">
        <v>1268</v>
      </c>
      <c r="G23" s="8" t="s">
        <v>226</v>
      </c>
      <c r="H23" s="8" t="s">
        <v>1321</v>
      </c>
      <c r="I23" s="271">
        <f t="shared" si="0"/>
        <v>-91</v>
      </c>
      <c r="J23" s="8" t="s">
        <v>825</v>
      </c>
      <c r="K23" s="8" t="s">
        <v>1322</v>
      </c>
      <c r="L23" s="8" t="s">
        <v>1253</v>
      </c>
      <c r="M23" s="8" t="s">
        <v>24</v>
      </c>
      <c r="N23" s="9" t="str">
        <f t="shared" si="1"/>
        <v>6-16</v>
      </c>
      <c r="O23" s="8" t="s">
        <v>1323</v>
      </c>
    </row>
    <row r="24" spans="1:15" ht="15">
      <c r="A24" s="102" t="s">
        <v>1324</v>
      </c>
      <c r="B24" s="100">
        <v>23</v>
      </c>
      <c r="C24" s="8" t="s">
        <v>540</v>
      </c>
      <c r="D24" s="8" t="s">
        <v>1240</v>
      </c>
      <c r="E24" s="8" t="s">
        <v>17</v>
      </c>
      <c r="F24" s="8" t="s">
        <v>573</v>
      </c>
      <c r="G24" s="8" t="s">
        <v>235</v>
      </c>
      <c r="H24" s="8" t="s">
        <v>366</v>
      </c>
      <c r="I24" s="271">
        <f t="shared" si="0"/>
        <v>-92</v>
      </c>
      <c r="J24" s="8" t="s">
        <v>230</v>
      </c>
      <c r="K24" s="8" t="s">
        <v>819</v>
      </c>
      <c r="L24" s="8" t="s">
        <v>1279</v>
      </c>
      <c r="M24" s="8" t="s">
        <v>24</v>
      </c>
      <c r="N24" s="9" t="str">
        <f t="shared" si="1"/>
        <v>6-17</v>
      </c>
      <c r="O24" s="8" t="s">
        <v>1236</v>
      </c>
    </row>
    <row r="25" spans="1:15" ht="15">
      <c r="A25" s="102" t="s">
        <v>1324</v>
      </c>
      <c r="B25" s="100">
        <v>24</v>
      </c>
      <c r="C25" s="8" t="s">
        <v>545</v>
      </c>
      <c r="D25" s="8" t="s">
        <v>1240</v>
      </c>
      <c r="E25" s="8" t="s">
        <v>17</v>
      </c>
      <c r="F25" s="8" t="s">
        <v>521</v>
      </c>
      <c r="G25" s="8" t="s">
        <v>1325</v>
      </c>
      <c r="H25" s="8" t="s">
        <v>1326</v>
      </c>
      <c r="I25" s="271">
        <f t="shared" si="0"/>
        <v>-94</v>
      </c>
      <c r="J25" s="8" t="s">
        <v>1327</v>
      </c>
      <c r="K25" s="8" t="s">
        <v>1328</v>
      </c>
      <c r="L25" s="8" t="s">
        <v>1296</v>
      </c>
      <c r="M25" s="8" t="s">
        <v>1329</v>
      </c>
      <c r="N25" s="9" t="str">
        <f t="shared" si="1"/>
        <v>6-18</v>
      </c>
      <c r="O25" s="8" t="s">
        <v>1330</v>
      </c>
    </row>
    <row r="26" spans="1:15" ht="15">
      <c r="A26" s="102" t="s">
        <v>1331</v>
      </c>
      <c r="B26" s="100">
        <v>25</v>
      </c>
      <c r="C26" s="8" t="s">
        <v>551</v>
      </c>
      <c r="D26" s="8" t="s">
        <v>1240</v>
      </c>
      <c r="E26" s="8" t="s">
        <v>17</v>
      </c>
      <c r="F26" s="8" t="s">
        <v>472</v>
      </c>
      <c r="G26" s="8" t="s">
        <v>1325</v>
      </c>
      <c r="H26" s="8" t="s">
        <v>1332</v>
      </c>
      <c r="I26" s="271">
        <f t="shared" si="0"/>
        <v>-102</v>
      </c>
      <c r="J26" s="8" t="s">
        <v>142</v>
      </c>
      <c r="K26" s="8" t="s">
        <v>1319</v>
      </c>
      <c r="L26" s="8" t="s">
        <v>1276</v>
      </c>
      <c r="M26" s="8" t="s">
        <v>24</v>
      </c>
      <c r="N26" s="9" t="str">
        <f t="shared" si="1"/>
        <v>6-19</v>
      </c>
      <c r="O26" s="8" t="s">
        <v>1333</v>
      </c>
    </row>
    <row r="27" spans="1:15" ht="15">
      <c r="A27" s="102" t="s">
        <v>1331</v>
      </c>
      <c r="B27" s="100">
        <v>26</v>
      </c>
      <c r="C27" s="8" t="s">
        <v>558</v>
      </c>
      <c r="D27" s="8" t="s">
        <v>124</v>
      </c>
      <c r="E27" s="8" t="s">
        <v>17</v>
      </c>
      <c r="F27" s="8" t="s">
        <v>472</v>
      </c>
      <c r="G27" s="8" t="s">
        <v>1325</v>
      </c>
      <c r="H27" s="8" t="s">
        <v>1334</v>
      </c>
      <c r="I27" s="271">
        <f t="shared" si="0"/>
        <v>-110</v>
      </c>
      <c r="J27" s="8" t="s">
        <v>1283</v>
      </c>
      <c r="K27" s="8" t="s">
        <v>1335</v>
      </c>
      <c r="L27" s="8" t="s">
        <v>1279</v>
      </c>
      <c r="M27" s="8" t="s">
        <v>24</v>
      </c>
      <c r="N27" s="9" t="str">
        <f t="shared" si="1"/>
        <v>6-20</v>
      </c>
      <c r="O27" s="8" t="s">
        <v>1336</v>
      </c>
    </row>
    <row r="28" spans="1:15" ht="15">
      <c r="A28" s="99" t="s">
        <v>1298</v>
      </c>
      <c r="B28" s="100">
        <v>27</v>
      </c>
      <c r="C28" s="8" t="s">
        <v>569</v>
      </c>
      <c r="D28" s="8" t="s">
        <v>375</v>
      </c>
      <c r="E28" s="8" t="s">
        <v>28</v>
      </c>
      <c r="F28" s="8" t="s">
        <v>1337</v>
      </c>
      <c r="G28" s="8" t="s">
        <v>1338</v>
      </c>
      <c r="H28" s="8" t="s">
        <v>1339</v>
      </c>
      <c r="I28" s="271">
        <f t="shared" si="0"/>
        <v>-99</v>
      </c>
      <c r="J28" s="8" t="s">
        <v>1340</v>
      </c>
      <c r="K28" s="8" t="s">
        <v>1238</v>
      </c>
      <c r="L28" s="8" t="s">
        <v>1341</v>
      </c>
      <c r="M28" s="8" t="s">
        <v>24</v>
      </c>
      <c r="N28" s="9" t="str">
        <f t="shared" si="1"/>
        <v>7-20</v>
      </c>
      <c r="O28" s="8" t="s">
        <v>1342</v>
      </c>
    </row>
    <row r="29" spans="1:15" ht="15">
      <c r="A29" s="101" t="s">
        <v>1269</v>
      </c>
      <c r="B29" s="100">
        <v>28</v>
      </c>
      <c r="C29" s="8" t="s">
        <v>575</v>
      </c>
      <c r="D29" s="8" t="s">
        <v>375</v>
      </c>
      <c r="E29" s="8" t="s">
        <v>17</v>
      </c>
      <c r="F29" s="8" t="s">
        <v>1277</v>
      </c>
      <c r="G29" s="8" t="s">
        <v>1338</v>
      </c>
      <c r="H29" s="8" t="s">
        <v>426</v>
      </c>
      <c r="I29" s="271">
        <f>IF(E29="","",G29-H29)</f>
        <v>-108</v>
      </c>
      <c r="J29" s="8" t="s">
        <v>89</v>
      </c>
      <c r="K29" s="8" t="s">
        <v>1343</v>
      </c>
      <c r="L29" s="8" t="s">
        <v>1266</v>
      </c>
      <c r="M29" s="8" t="s">
        <v>24</v>
      </c>
      <c r="N29" s="9" t="str">
        <f>IF(E29="","",IFERROR(_xlfn.CONCAT(ROUND((G29^2)/((G29^2)+(H29^2))*B29,0),"-",B29-ROUND((G29^2)/((G29^2)+(H29^2))*B29,0)),0))</f>
        <v>7-21</v>
      </c>
      <c r="O29" s="8" t="s">
        <v>1344</v>
      </c>
    </row>
    <row r="30" spans="1:15" ht="15">
      <c r="A30" s="101" t="s">
        <v>1269</v>
      </c>
      <c r="B30" s="100">
        <v>29</v>
      </c>
      <c r="C30" s="8" t="s">
        <v>575</v>
      </c>
      <c r="D30" s="8" t="s">
        <v>1240</v>
      </c>
      <c r="E30" s="8" t="s">
        <v>17</v>
      </c>
      <c r="F30" s="8" t="s">
        <v>1345</v>
      </c>
      <c r="G30" s="8" t="s">
        <v>293</v>
      </c>
      <c r="H30" s="8" t="s">
        <v>1346</v>
      </c>
      <c r="I30" s="271">
        <f t="shared" si="0"/>
        <v>-113</v>
      </c>
      <c r="J30" s="8" t="s">
        <v>183</v>
      </c>
      <c r="K30" s="8" t="s">
        <v>1347</v>
      </c>
      <c r="L30" s="8" t="s">
        <v>1292</v>
      </c>
      <c r="M30" s="8" t="s">
        <v>24</v>
      </c>
      <c r="N30" s="9" t="str">
        <f t="shared" si="1"/>
        <v>7-22</v>
      </c>
      <c r="O30" s="8" t="s">
        <v>1348</v>
      </c>
    </row>
    <row r="31" spans="1:15" ht="15">
      <c r="A31" s="101" t="s">
        <v>1349</v>
      </c>
      <c r="B31" s="100">
        <v>30</v>
      </c>
      <c r="C31" s="8" t="s">
        <v>580</v>
      </c>
      <c r="D31" s="8" t="s">
        <v>1240</v>
      </c>
      <c r="E31" s="8" t="s">
        <v>17</v>
      </c>
      <c r="F31" s="8" t="s">
        <v>795</v>
      </c>
      <c r="G31" s="8" t="s">
        <v>1350</v>
      </c>
      <c r="H31" s="8" t="s">
        <v>1351</v>
      </c>
      <c r="I31" s="271">
        <f t="shared" si="0"/>
        <v>-116</v>
      </c>
      <c r="J31" s="8" t="s">
        <v>257</v>
      </c>
      <c r="K31" s="8" t="s">
        <v>1352</v>
      </c>
      <c r="L31" s="8" t="s">
        <v>1296</v>
      </c>
      <c r="M31" s="8" t="s">
        <v>1353</v>
      </c>
      <c r="N31" s="9" t="str">
        <f t="shared" si="1"/>
        <v>7-23</v>
      </c>
      <c r="O31" s="8" t="s">
        <v>1354</v>
      </c>
    </row>
    <row r="32" spans="1:15" ht="15">
      <c r="A32" s="101" t="s">
        <v>1349</v>
      </c>
      <c r="B32" s="100">
        <v>31</v>
      </c>
      <c r="C32" s="8" t="s">
        <v>586</v>
      </c>
      <c r="D32" s="8" t="s">
        <v>1240</v>
      </c>
      <c r="E32" s="8" t="s">
        <v>28</v>
      </c>
      <c r="F32" s="8" t="s">
        <v>587</v>
      </c>
      <c r="G32" s="8" t="s">
        <v>1355</v>
      </c>
      <c r="H32" s="8" t="s">
        <v>444</v>
      </c>
      <c r="I32" s="271">
        <f t="shared" si="0"/>
        <v>-115</v>
      </c>
      <c r="J32" s="8" t="s">
        <v>91</v>
      </c>
      <c r="K32" s="8" t="s">
        <v>1261</v>
      </c>
      <c r="L32" s="8" t="s">
        <v>1356</v>
      </c>
      <c r="M32" s="8" t="s">
        <v>1357</v>
      </c>
      <c r="N32" s="9" t="str">
        <f t="shared" si="1"/>
        <v>8-23</v>
      </c>
      <c r="O32" s="8" t="s">
        <v>1358</v>
      </c>
    </row>
    <row r="33" spans="1:15" ht="15">
      <c r="A33" s="99" t="s">
        <v>1359</v>
      </c>
      <c r="B33" s="100">
        <v>32</v>
      </c>
      <c r="C33" s="8" t="s">
        <v>597</v>
      </c>
      <c r="D33" s="8" t="s">
        <v>1240</v>
      </c>
      <c r="E33" s="8" t="s">
        <v>1360</v>
      </c>
      <c r="F33" s="8" t="s">
        <v>151</v>
      </c>
      <c r="G33" s="8" t="s">
        <v>309</v>
      </c>
      <c r="H33" s="8" t="s">
        <v>1361</v>
      </c>
      <c r="I33" s="271">
        <f t="shared" si="0"/>
        <v>-117</v>
      </c>
      <c r="J33" s="8" t="s">
        <v>1164</v>
      </c>
      <c r="K33" s="8" t="s">
        <v>1362</v>
      </c>
      <c r="L33" s="8" t="s">
        <v>1253</v>
      </c>
      <c r="M33" s="8" t="s">
        <v>24</v>
      </c>
      <c r="N33" s="9" t="str">
        <f t="shared" si="1"/>
        <v>8-24</v>
      </c>
      <c r="O33" s="8" t="s">
        <v>1363</v>
      </c>
    </row>
    <row r="34" spans="1:15" ht="15">
      <c r="A34" s="102" t="s">
        <v>1232</v>
      </c>
      <c r="B34" s="100">
        <v>33</v>
      </c>
      <c r="C34" s="8" t="s">
        <v>608</v>
      </c>
      <c r="D34" s="8" t="s">
        <v>1233</v>
      </c>
      <c r="E34" s="8" t="s">
        <v>17</v>
      </c>
      <c r="F34" s="8" t="s">
        <v>1364</v>
      </c>
      <c r="G34" s="8" t="s">
        <v>1365</v>
      </c>
      <c r="H34" s="8" t="s">
        <v>485</v>
      </c>
      <c r="I34" s="271">
        <f>IF(E34="","",G34-H34)</f>
        <v>-133</v>
      </c>
      <c r="J34" s="8" t="s">
        <v>1366</v>
      </c>
      <c r="K34" s="8" t="s">
        <v>1367</v>
      </c>
      <c r="L34" s="8" t="s">
        <v>1238</v>
      </c>
      <c r="M34" s="8" t="s">
        <v>24</v>
      </c>
      <c r="N34" s="9" t="str">
        <f>IF(E34="","",IFERROR(_xlfn.CONCAT(ROUND((G34^2)/((G34^2)+(H34^2))*B34,0),"-",B34-ROUND((G34^2)/((G34^2)+(H34^2))*B34,0)),0))</f>
        <v>8-25</v>
      </c>
      <c r="O34" s="8" t="s">
        <v>1368</v>
      </c>
    </row>
    <row r="35" spans="1:15" ht="15">
      <c r="A35" s="99" t="s">
        <v>1249</v>
      </c>
      <c r="B35" s="100">
        <v>34</v>
      </c>
      <c r="C35" s="8" t="s">
        <v>620</v>
      </c>
      <c r="D35" s="8" t="s">
        <v>1240</v>
      </c>
      <c r="E35" s="8" t="s">
        <v>17</v>
      </c>
      <c r="F35" s="8" t="s">
        <v>173</v>
      </c>
      <c r="G35" s="8" t="s">
        <v>1369</v>
      </c>
      <c r="H35" s="8" t="s">
        <v>1370</v>
      </c>
      <c r="I35" s="271">
        <f t="shared" si="0"/>
        <v>-138</v>
      </c>
      <c r="J35" s="8" t="s">
        <v>1278</v>
      </c>
      <c r="K35" s="8" t="s">
        <v>1371</v>
      </c>
      <c r="L35" s="8" t="s">
        <v>1279</v>
      </c>
      <c r="M35" s="8" t="s">
        <v>24</v>
      </c>
      <c r="N35" s="9" t="str">
        <f t="shared" si="1"/>
        <v>8-26</v>
      </c>
      <c r="O35" s="8" t="s">
        <v>1372</v>
      </c>
    </row>
    <row r="36" spans="1:15" ht="15">
      <c r="A36" s="99" t="s">
        <v>1255</v>
      </c>
      <c r="B36" s="100">
        <v>35</v>
      </c>
      <c r="C36" s="8" t="s">
        <v>627</v>
      </c>
      <c r="D36" s="8" t="s">
        <v>1373</v>
      </c>
      <c r="E36" s="8" t="s">
        <v>17</v>
      </c>
      <c r="F36" s="8" t="s">
        <v>1374</v>
      </c>
      <c r="G36" s="8" t="s">
        <v>282</v>
      </c>
      <c r="H36" s="8" t="s">
        <v>503</v>
      </c>
      <c r="I36" s="271">
        <f t="shared" si="0"/>
        <v>-154</v>
      </c>
      <c r="J36" s="8" t="s">
        <v>1375</v>
      </c>
      <c r="K36" s="8" t="s">
        <v>1275</v>
      </c>
      <c r="L36" s="8" t="s">
        <v>1276</v>
      </c>
      <c r="M36" s="8" t="s">
        <v>24</v>
      </c>
      <c r="N36" s="9" t="str">
        <f t="shared" si="1"/>
        <v>8-27</v>
      </c>
      <c r="O36" s="8" t="s">
        <v>1376</v>
      </c>
    </row>
    <row r="37" spans="1:15" ht="15">
      <c r="A37" s="99" t="s">
        <v>1255</v>
      </c>
      <c r="B37" s="100">
        <v>36</v>
      </c>
      <c r="C37" s="8" t="s">
        <v>631</v>
      </c>
      <c r="D37" s="8" t="s">
        <v>1377</v>
      </c>
      <c r="E37" s="8" t="s">
        <v>17</v>
      </c>
      <c r="F37" s="8" t="s">
        <v>1101</v>
      </c>
      <c r="G37" s="8" t="s">
        <v>1378</v>
      </c>
      <c r="H37" s="8" t="s">
        <v>1379</v>
      </c>
      <c r="I37" s="271">
        <f t="shared" si="0"/>
        <v>-159</v>
      </c>
      <c r="J37" s="8" t="s">
        <v>1245</v>
      </c>
      <c r="K37" s="8" t="s">
        <v>1380</v>
      </c>
      <c r="L37" s="8" t="s">
        <v>1238</v>
      </c>
      <c r="M37" s="8" t="s">
        <v>24</v>
      </c>
      <c r="N37" s="9" t="str">
        <f t="shared" si="1"/>
        <v>8-28</v>
      </c>
      <c r="O37" s="8" t="s">
        <v>1381</v>
      </c>
    </row>
    <row r="38" spans="1:15" ht="15">
      <c r="A38" s="101" t="s">
        <v>1262</v>
      </c>
      <c r="B38" s="100">
        <v>37</v>
      </c>
      <c r="C38" s="8" t="s">
        <v>1382</v>
      </c>
      <c r="D38" s="8" t="s">
        <v>1240</v>
      </c>
      <c r="E38" s="8" t="s">
        <v>24</v>
      </c>
      <c r="F38" s="8" t="s">
        <v>24</v>
      </c>
      <c r="G38" s="8" t="s">
        <v>1383</v>
      </c>
      <c r="H38" s="8" t="s">
        <v>1383</v>
      </c>
      <c r="I38" s="271">
        <f t="shared" si="0"/>
        <v>0</v>
      </c>
      <c r="J38" s="8" t="s">
        <v>24</v>
      </c>
      <c r="K38" s="8" t="s">
        <v>1384</v>
      </c>
      <c r="L38" s="8" t="s">
        <v>24</v>
      </c>
      <c r="M38" s="8" t="s">
        <v>24</v>
      </c>
      <c r="N38" s="9">
        <f t="shared" si="1"/>
        <v>0</v>
      </c>
      <c r="O38" s="8" t="s">
        <v>24</v>
      </c>
    </row>
    <row r="39" spans="1:15" ht="15">
      <c r="A39" s="99" t="s">
        <v>1359</v>
      </c>
      <c r="B39" s="100">
        <v>37</v>
      </c>
      <c r="C39" s="8" t="s">
        <v>1385</v>
      </c>
      <c r="D39" s="8" t="s">
        <v>1183</v>
      </c>
      <c r="E39" s="8" t="s">
        <v>609</v>
      </c>
      <c r="F39" s="8" t="s">
        <v>109</v>
      </c>
      <c r="G39" s="8" t="s">
        <v>339</v>
      </c>
      <c r="H39" s="8" t="s">
        <v>523</v>
      </c>
      <c r="I39" s="271">
        <f>IF(E39="","",G39-H39)</f>
        <v>-158</v>
      </c>
      <c r="J39" s="8" t="s">
        <v>1386</v>
      </c>
      <c r="K39" s="8" t="s">
        <v>1296</v>
      </c>
      <c r="L39" s="8" t="s">
        <v>1387</v>
      </c>
      <c r="M39" s="8" t="s">
        <v>454</v>
      </c>
      <c r="N39" s="9" t="str">
        <f>IF(E39="","",IFERROR(_xlfn.CONCAT(ROUND((G39^2)/((G39^2)+(H39^2))*B39,0),"-",B39-ROUND((G39^2)/((G39^2)+(H39^2))*B39,0)),0))</f>
        <v>8-29</v>
      </c>
      <c r="O39" s="8" t="s">
        <v>1388</v>
      </c>
    </row>
    <row r="40" spans="1:15" ht="15">
      <c r="A40" s="99" t="s">
        <v>1359</v>
      </c>
      <c r="B40" s="100">
        <v>38</v>
      </c>
      <c r="C40" s="8" t="s">
        <v>1385</v>
      </c>
      <c r="D40" s="8" t="s">
        <v>1240</v>
      </c>
      <c r="E40" s="8" t="s">
        <v>1389</v>
      </c>
      <c r="F40" s="8" t="s">
        <v>1345</v>
      </c>
      <c r="G40" s="8" t="s">
        <v>1390</v>
      </c>
      <c r="H40" s="8" t="s">
        <v>530</v>
      </c>
      <c r="I40" s="271">
        <f t="shared" si="0"/>
        <v>-163</v>
      </c>
      <c r="J40" s="8" t="s">
        <v>1134</v>
      </c>
      <c r="K40" s="8" t="s">
        <v>1391</v>
      </c>
      <c r="L40" s="8" t="s">
        <v>1266</v>
      </c>
      <c r="M40" s="8" t="s">
        <v>499</v>
      </c>
      <c r="N40" s="9" t="str">
        <f t="shared" si="1"/>
        <v>8-30</v>
      </c>
      <c r="O40" s="8" t="s">
        <v>1392</v>
      </c>
    </row>
    <row r="41" spans="1:15" ht="15">
      <c r="A41" s="99" t="s">
        <v>1359</v>
      </c>
      <c r="B41" s="100">
        <v>39</v>
      </c>
      <c r="C41" s="8" t="s">
        <v>1393</v>
      </c>
      <c r="D41" s="8" t="s">
        <v>1240</v>
      </c>
      <c r="E41" s="8" t="s">
        <v>17</v>
      </c>
      <c r="F41" s="8" t="s">
        <v>1283</v>
      </c>
      <c r="G41" s="8" t="s">
        <v>1394</v>
      </c>
      <c r="H41" s="8" t="s">
        <v>1395</v>
      </c>
      <c r="I41" s="271">
        <f t="shared" si="0"/>
        <v>-170</v>
      </c>
      <c r="J41" s="8" t="s">
        <v>35</v>
      </c>
      <c r="K41" s="8" t="s">
        <v>1314</v>
      </c>
      <c r="L41" s="8" t="s">
        <v>1279</v>
      </c>
      <c r="M41" s="8" t="s">
        <v>24</v>
      </c>
      <c r="N41" s="9" t="str">
        <f t="shared" si="1"/>
        <v>8-31</v>
      </c>
      <c r="O41" s="8" t="s">
        <v>1396</v>
      </c>
    </row>
    <row r="42" spans="1:15" ht="15">
      <c r="A42" s="101" t="s">
        <v>1311</v>
      </c>
      <c r="B42" s="100">
        <v>40</v>
      </c>
      <c r="C42" s="8" t="s">
        <v>637</v>
      </c>
      <c r="D42" s="8" t="s">
        <v>1240</v>
      </c>
      <c r="E42" s="8" t="s">
        <v>28</v>
      </c>
      <c r="F42" s="8" t="s">
        <v>109</v>
      </c>
      <c r="G42" s="8" t="s">
        <v>1397</v>
      </c>
      <c r="H42" s="8" t="s">
        <v>1398</v>
      </c>
      <c r="I42" s="271">
        <f t="shared" si="0"/>
        <v>-169</v>
      </c>
      <c r="J42" s="8" t="s">
        <v>214</v>
      </c>
      <c r="K42" s="8" t="s">
        <v>1276</v>
      </c>
      <c r="L42" s="8" t="s">
        <v>1399</v>
      </c>
      <c r="M42" s="8" t="s">
        <v>1307</v>
      </c>
      <c r="N42" s="9" t="str">
        <f t="shared" si="1"/>
        <v>9-31</v>
      </c>
      <c r="O42" s="8" t="s">
        <v>1400</v>
      </c>
    </row>
    <row r="43" spans="1:15" ht="15">
      <c r="A43" s="101" t="s">
        <v>1243</v>
      </c>
      <c r="B43" s="100">
        <v>41</v>
      </c>
      <c r="C43" s="8" t="s">
        <v>646</v>
      </c>
      <c r="D43" s="8" t="s">
        <v>1183</v>
      </c>
      <c r="E43" s="8" t="s">
        <v>17</v>
      </c>
      <c r="F43" s="8" t="s">
        <v>315</v>
      </c>
      <c r="G43" s="8" t="s">
        <v>1401</v>
      </c>
      <c r="H43" s="8" t="s">
        <v>565</v>
      </c>
      <c r="I43" s="271">
        <f t="shared" si="0"/>
        <v>-175</v>
      </c>
      <c r="J43" s="8" t="s">
        <v>1402</v>
      </c>
      <c r="K43" s="8" t="s">
        <v>1403</v>
      </c>
      <c r="L43" s="8" t="s">
        <v>1404</v>
      </c>
      <c r="M43" s="8" t="s">
        <v>24</v>
      </c>
      <c r="N43" s="9" t="str">
        <f t="shared" si="1"/>
        <v>9-32</v>
      </c>
      <c r="O43" s="8" t="s">
        <v>1405</v>
      </c>
    </row>
    <row r="44" spans="1:15" ht="15">
      <c r="A44" s="99" t="s">
        <v>1249</v>
      </c>
      <c r="B44" s="100">
        <v>42</v>
      </c>
      <c r="C44" s="8" t="s">
        <v>653</v>
      </c>
      <c r="D44" s="8" t="s">
        <v>1240</v>
      </c>
      <c r="E44" s="8" t="s">
        <v>28</v>
      </c>
      <c r="F44" s="8" t="s">
        <v>60</v>
      </c>
      <c r="G44" s="8" t="s">
        <v>331</v>
      </c>
      <c r="H44" s="8" t="s">
        <v>1406</v>
      </c>
      <c r="I44" s="271">
        <f t="shared" si="0"/>
        <v>-169</v>
      </c>
      <c r="J44" s="8" t="s">
        <v>304</v>
      </c>
      <c r="K44" s="8" t="s">
        <v>1296</v>
      </c>
      <c r="L44" s="8" t="s">
        <v>1407</v>
      </c>
      <c r="M44" s="8" t="s">
        <v>24</v>
      </c>
      <c r="N44" s="9" t="str">
        <f t="shared" si="1"/>
        <v>10-32</v>
      </c>
      <c r="O44" s="8" t="s">
        <v>1408</v>
      </c>
    </row>
    <row r="45" spans="1:15" ht="15">
      <c r="A45" s="101" t="s">
        <v>1274</v>
      </c>
      <c r="B45" s="100">
        <v>43</v>
      </c>
      <c r="C45" s="8" t="s">
        <v>659</v>
      </c>
      <c r="D45" s="8" t="s">
        <v>1240</v>
      </c>
      <c r="E45" s="8" t="s">
        <v>17</v>
      </c>
      <c r="F45" s="8" t="s">
        <v>484</v>
      </c>
      <c r="G45" s="8" t="s">
        <v>1409</v>
      </c>
      <c r="H45" s="8" t="s">
        <v>578</v>
      </c>
      <c r="I45" s="271">
        <f t="shared" si="0"/>
        <v>-176</v>
      </c>
      <c r="J45" s="8" t="s">
        <v>789</v>
      </c>
      <c r="K45" s="8" t="s">
        <v>1410</v>
      </c>
      <c r="L45" s="8" t="s">
        <v>1238</v>
      </c>
      <c r="M45" s="8" t="s">
        <v>24</v>
      </c>
      <c r="N45" s="9" t="str">
        <f t="shared" si="1"/>
        <v>10-33</v>
      </c>
      <c r="O45" s="8" t="s">
        <v>1411</v>
      </c>
    </row>
    <row r="46" spans="1:15" ht="15">
      <c r="A46" s="101" t="s">
        <v>1311</v>
      </c>
      <c r="B46" s="100">
        <v>44</v>
      </c>
      <c r="C46" s="8" t="s">
        <v>665</v>
      </c>
      <c r="D46" s="8" t="s">
        <v>1240</v>
      </c>
      <c r="E46" s="8" t="s">
        <v>17</v>
      </c>
      <c r="F46" s="8" t="s">
        <v>1412</v>
      </c>
      <c r="G46" s="8" t="s">
        <v>1409</v>
      </c>
      <c r="H46" s="8" t="s">
        <v>594</v>
      </c>
      <c r="I46" s="271">
        <f t="shared" si="0"/>
        <v>-187</v>
      </c>
      <c r="J46" s="8" t="s">
        <v>1413</v>
      </c>
      <c r="K46" s="8" t="s">
        <v>1391</v>
      </c>
      <c r="L46" s="8" t="s">
        <v>1276</v>
      </c>
      <c r="M46" s="8" t="s">
        <v>24</v>
      </c>
      <c r="N46" s="9" t="str">
        <f t="shared" si="1"/>
        <v>10-34</v>
      </c>
      <c r="O46" s="8" t="s">
        <v>1414</v>
      </c>
    </row>
    <row r="47" spans="1:15" ht="15">
      <c r="A47" s="99" t="s">
        <v>1255</v>
      </c>
      <c r="B47" s="100">
        <v>45</v>
      </c>
      <c r="C47" s="8" t="s">
        <v>670</v>
      </c>
      <c r="D47" s="8" t="s">
        <v>1233</v>
      </c>
      <c r="E47" s="8" t="s">
        <v>17</v>
      </c>
      <c r="F47" s="8" t="s">
        <v>1277</v>
      </c>
      <c r="G47" s="8" t="s">
        <v>1409</v>
      </c>
      <c r="H47" s="8" t="s">
        <v>615</v>
      </c>
      <c r="I47" s="271">
        <f t="shared" si="0"/>
        <v>-196</v>
      </c>
      <c r="J47" s="8" t="s">
        <v>1327</v>
      </c>
      <c r="K47" s="8" t="s">
        <v>1415</v>
      </c>
      <c r="L47" s="8" t="s">
        <v>1266</v>
      </c>
      <c r="M47" s="8" t="s">
        <v>24</v>
      </c>
      <c r="N47" s="9" t="str">
        <f t="shared" si="1"/>
        <v>10-35</v>
      </c>
      <c r="O47" s="8" t="s">
        <v>1416</v>
      </c>
    </row>
    <row r="48" spans="1:15" ht="15">
      <c r="A48" s="101" t="s">
        <v>1274</v>
      </c>
      <c r="B48" s="100">
        <v>46</v>
      </c>
      <c r="C48" s="8" t="s">
        <v>677</v>
      </c>
      <c r="D48" s="8" t="s">
        <v>1240</v>
      </c>
      <c r="E48" s="8" t="s">
        <v>17</v>
      </c>
      <c r="F48" s="8" t="s">
        <v>142</v>
      </c>
      <c r="G48" s="8" t="s">
        <v>1417</v>
      </c>
      <c r="H48" s="8" t="s">
        <v>1418</v>
      </c>
      <c r="I48" s="271">
        <f t="shared" si="0"/>
        <v>-200</v>
      </c>
      <c r="J48" s="8" t="s">
        <v>1304</v>
      </c>
      <c r="K48" s="8" t="s">
        <v>1275</v>
      </c>
      <c r="L48" s="8" t="s">
        <v>1279</v>
      </c>
      <c r="M48" s="8" t="s">
        <v>24</v>
      </c>
      <c r="N48" s="9" t="str">
        <f t="shared" si="1"/>
        <v>10-36</v>
      </c>
      <c r="O48" s="8" t="s">
        <v>1419</v>
      </c>
    </row>
    <row r="49" spans="1:15" ht="15">
      <c r="A49" s="99" t="s">
        <v>1249</v>
      </c>
      <c r="B49" s="100">
        <v>46</v>
      </c>
      <c r="C49" s="8" t="s">
        <v>682</v>
      </c>
      <c r="D49" s="8" t="s">
        <v>1240</v>
      </c>
      <c r="E49" s="8" t="s">
        <v>17</v>
      </c>
      <c r="F49" s="8" t="s">
        <v>1420</v>
      </c>
      <c r="G49" s="8" t="s">
        <v>361</v>
      </c>
      <c r="H49" s="8" t="s">
        <v>1421</v>
      </c>
      <c r="I49" s="271">
        <f t="shared" si="0"/>
        <v>-220</v>
      </c>
      <c r="J49" s="8" t="s">
        <v>1422</v>
      </c>
      <c r="K49" s="8" t="s">
        <v>1423</v>
      </c>
      <c r="L49" s="8" t="s">
        <v>1404</v>
      </c>
      <c r="M49" s="8" t="s">
        <v>24</v>
      </c>
      <c r="N49" s="9" t="str">
        <f t="shared" si="1"/>
        <v>9-37</v>
      </c>
      <c r="O49" s="8" t="s">
        <v>1424</v>
      </c>
    </row>
    <row r="50" spans="1:15" ht="15">
      <c r="A50" s="102" t="s">
        <v>1232</v>
      </c>
      <c r="B50" s="100">
        <v>47</v>
      </c>
      <c r="C50" s="8" t="s">
        <v>687</v>
      </c>
      <c r="D50" s="8" t="s">
        <v>1233</v>
      </c>
      <c r="E50" s="8" t="s">
        <v>17</v>
      </c>
      <c r="F50" s="8" t="s">
        <v>552</v>
      </c>
      <c r="G50" s="8" t="s">
        <v>1425</v>
      </c>
      <c r="H50" s="8" t="s">
        <v>1426</v>
      </c>
      <c r="I50" s="271">
        <f>IF(E50="","",G50-H50)</f>
        <v>-234</v>
      </c>
      <c r="J50" s="8" t="s">
        <v>418</v>
      </c>
      <c r="K50" s="8" t="s">
        <v>1343</v>
      </c>
      <c r="L50" s="8" t="s">
        <v>1296</v>
      </c>
      <c r="M50" s="8" t="s">
        <v>24</v>
      </c>
      <c r="N50" s="9" t="str">
        <f>IF(E50="","",IFERROR(_xlfn.CONCAT(ROUND((G50^2)/((G50^2)+(H50^2))*B50,0),"-",B50-ROUND((G50^2)/((G50^2)+(H50^2))*B50,0)),0))</f>
        <v>9-38</v>
      </c>
      <c r="O50" s="8" t="s">
        <v>1427</v>
      </c>
    </row>
    <row r="51" spans="1:15" ht="15">
      <c r="A51" s="99" t="s">
        <v>1249</v>
      </c>
      <c r="B51" s="100">
        <v>48</v>
      </c>
      <c r="C51" s="8" t="s">
        <v>692</v>
      </c>
      <c r="D51" s="8" t="s">
        <v>1240</v>
      </c>
      <c r="E51" s="8" t="s">
        <v>535</v>
      </c>
      <c r="F51" s="8" t="s">
        <v>39</v>
      </c>
      <c r="G51" s="8" t="s">
        <v>391</v>
      </c>
      <c r="H51" s="8" t="s">
        <v>1428</v>
      </c>
      <c r="I51" s="271">
        <f t="shared" si="0"/>
        <v>-235</v>
      </c>
      <c r="J51" s="8" t="s">
        <v>442</v>
      </c>
      <c r="K51" s="8" t="s">
        <v>1429</v>
      </c>
      <c r="L51" s="8" t="s">
        <v>1357</v>
      </c>
      <c r="M51" s="8" t="s">
        <v>24</v>
      </c>
      <c r="N51" s="9" t="str">
        <f t="shared" si="1"/>
        <v>9-39</v>
      </c>
      <c r="O51" s="8" t="s">
        <v>1430</v>
      </c>
    </row>
    <row r="52" spans="1:15" ht="15">
      <c r="A52" s="101" t="s">
        <v>1239</v>
      </c>
      <c r="B52" s="100">
        <v>49</v>
      </c>
      <c r="C52" s="8" t="s">
        <v>699</v>
      </c>
      <c r="D52" s="8" t="s">
        <v>1240</v>
      </c>
      <c r="E52" s="8" t="s">
        <v>17</v>
      </c>
      <c r="F52" s="8" t="s">
        <v>151</v>
      </c>
      <c r="G52" s="8" t="s">
        <v>1431</v>
      </c>
      <c r="H52" s="8" t="s">
        <v>1432</v>
      </c>
      <c r="I52" s="271">
        <f t="shared" si="0"/>
        <v>-237</v>
      </c>
      <c r="J52" s="8" t="s">
        <v>1251</v>
      </c>
      <c r="K52" s="8" t="s">
        <v>1433</v>
      </c>
      <c r="L52" s="8" t="s">
        <v>1266</v>
      </c>
      <c r="M52" s="8" t="s">
        <v>24</v>
      </c>
      <c r="N52" s="9" t="str">
        <f t="shared" si="1"/>
        <v>9-40</v>
      </c>
      <c r="O52" s="8" t="s">
        <v>1434</v>
      </c>
    </row>
    <row r="53" spans="1:15" ht="15">
      <c r="A53" s="101" t="s">
        <v>1239</v>
      </c>
      <c r="B53" s="100">
        <v>50</v>
      </c>
      <c r="C53" s="8" t="s">
        <v>1435</v>
      </c>
      <c r="D53" s="8" t="s">
        <v>1240</v>
      </c>
      <c r="E53" s="8" t="s">
        <v>17</v>
      </c>
      <c r="F53" s="8" t="s">
        <v>509</v>
      </c>
      <c r="G53" s="8" t="s">
        <v>1436</v>
      </c>
      <c r="H53" s="8" t="s">
        <v>1437</v>
      </c>
      <c r="I53" s="271">
        <f t="shared" si="0"/>
        <v>-243</v>
      </c>
      <c r="J53" s="8" t="s">
        <v>1413</v>
      </c>
      <c r="K53" s="8" t="s">
        <v>1438</v>
      </c>
      <c r="L53" s="8" t="s">
        <v>1439</v>
      </c>
      <c r="M53" s="8" t="s">
        <v>24</v>
      </c>
      <c r="N53" s="9" t="str">
        <f t="shared" si="1"/>
        <v>9-41</v>
      </c>
      <c r="O53" s="8" t="s">
        <v>1440</v>
      </c>
    </row>
    <row r="54" spans="1:15" ht="15">
      <c r="A54" s="99" t="s">
        <v>1298</v>
      </c>
      <c r="B54" s="100">
        <v>51</v>
      </c>
      <c r="C54" s="8" t="s">
        <v>716</v>
      </c>
      <c r="D54" s="8" t="s">
        <v>1240</v>
      </c>
      <c r="E54" s="8" t="s">
        <v>17</v>
      </c>
      <c r="F54" s="8" t="s">
        <v>1441</v>
      </c>
      <c r="G54" s="8" t="s">
        <v>1442</v>
      </c>
      <c r="H54" s="8" t="s">
        <v>1443</v>
      </c>
      <c r="I54" s="271">
        <f t="shared" si="0"/>
        <v>-258</v>
      </c>
      <c r="J54" s="8" t="s">
        <v>1444</v>
      </c>
      <c r="K54" s="8" t="s">
        <v>1445</v>
      </c>
      <c r="L54" s="8" t="s">
        <v>1279</v>
      </c>
      <c r="M54" s="8" t="s">
        <v>24</v>
      </c>
      <c r="N54" s="9" t="str">
        <f t="shared" si="1"/>
        <v>9-42</v>
      </c>
      <c r="O54" s="8" t="s">
        <v>1446</v>
      </c>
    </row>
    <row r="55" spans="1:15" ht="15">
      <c r="A55" s="99" t="s">
        <v>1298</v>
      </c>
      <c r="B55" s="100">
        <v>52</v>
      </c>
      <c r="C55" s="8" t="s">
        <v>721</v>
      </c>
      <c r="D55" s="8" t="s">
        <v>1240</v>
      </c>
      <c r="E55" s="8" t="s">
        <v>1447</v>
      </c>
      <c r="F55" s="8" t="s">
        <v>1134</v>
      </c>
      <c r="G55" s="8" t="s">
        <v>1326</v>
      </c>
      <c r="H55" s="8" t="s">
        <v>1448</v>
      </c>
      <c r="I55" s="271">
        <f t="shared" si="0"/>
        <v>-259</v>
      </c>
      <c r="J55" s="8" t="s">
        <v>396</v>
      </c>
      <c r="K55" s="8" t="s">
        <v>1449</v>
      </c>
      <c r="L55" s="8" t="s">
        <v>1292</v>
      </c>
      <c r="M55" s="8" t="s">
        <v>24</v>
      </c>
      <c r="N55" s="9" t="str">
        <f t="shared" si="1"/>
        <v>10-42</v>
      </c>
      <c r="O55" s="8" t="s">
        <v>1450</v>
      </c>
    </row>
    <row r="56" spans="1:15" ht="15">
      <c r="A56" s="101" t="s">
        <v>1288</v>
      </c>
      <c r="B56" s="100">
        <v>53</v>
      </c>
      <c r="C56" s="8" t="s">
        <v>726</v>
      </c>
      <c r="D56" s="8" t="s">
        <v>1183</v>
      </c>
      <c r="E56" s="8" t="s">
        <v>17</v>
      </c>
      <c r="F56" s="8" t="s">
        <v>1451</v>
      </c>
      <c r="G56" s="8" t="s">
        <v>1332</v>
      </c>
      <c r="H56" s="8" t="s">
        <v>706</v>
      </c>
      <c r="I56" s="271">
        <f t="shared" si="0"/>
        <v>-267</v>
      </c>
      <c r="J56" s="8" t="s">
        <v>1452</v>
      </c>
      <c r="K56" s="8" t="s">
        <v>1453</v>
      </c>
      <c r="L56" s="8" t="s">
        <v>1296</v>
      </c>
      <c r="M56" s="8" t="s">
        <v>24</v>
      </c>
      <c r="N56" s="9" t="str">
        <f t="shared" si="1"/>
        <v>10-43</v>
      </c>
      <c r="O56" s="8" t="s">
        <v>1454</v>
      </c>
    </row>
    <row r="57" spans="1:15" ht="15">
      <c r="A57" s="101" t="s">
        <v>1311</v>
      </c>
      <c r="B57" s="100">
        <v>54</v>
      </c>
      <c r="C57" s="8" t="s">
        <v>733</v>
      </c>
      <c r="D57" s="8" t="s">
        <v>1240</v>
      </c>
      <c r="E57" s="8" t="s">
        <v>1455</v>
      </c>
      <c r="F57" s="8" t="s">
        <v>825</v>
      </c>
      <c r="G57" s="8" t="s">
        <v>403</v>
      </c>
      <c r="H57" s="8" t="s">
        <v>1456</v>
      </c>
      <c r="I57" s="271">
        <f t="shared" si="0"/>
        <v>-269</v>
      </c>
      <c r="J57" s="8" t="s">
        <v>576</v>
      </c>
      <c r="K57" s="8" t="s">
        <v>1457</v>
      </c>
      <c r="L57" s="8" t="s">
        <v>1238</v>
      </c>
      <c r="M57" s="8" t="s">
        <v>24</v>
      </c>
      <c r="N57" s="9" t="str">
        <f t="shared" si="1"/>
        <v>10-44</v>
      </c>
      <c r="O57" s="8" t="s">
        <v>1458</v>
      </c>
    </row>
    <row r="58" spans="1:15" ht="13.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5E5C-9F73-42B9-9D24-868EBB22B122}">
  <dimension ref="A1:AG62"/>
  <sheetViews>
    <sheetView workbookViewId="0">
      <pane xSplit="1" ySplit="2" topLeftCell="B36" activePane="bottomRight" state="frozen"/>
      <selection pane="bottomRight"/>
      <selection pane="bottomLeft"/>
      <selection pane="topRight"/>
    </sheetView>
  </sheetViews>
  <sheetFormatPr defaultRowHeight="15"/>
  <cols>
    <col min="2" max="3" width="8.28515625" style="152" customWidth="1"/>
    <col min="4" max="4" width="2.7109375" customWidth="1"/>
    <col min="5" max="6" width="11" style="152" customWidth="1"/>
    <col min="7" max="7" width="2.7109375" customWidth="1"/>
    <col min="8" max="9" width="9.85546875" style="152" customWidth="1"/>
    <col min="10" max="10" width="2.7109375" customWidth="1"/>
    <col min="11" max="12" width="9.140625" style="152"/>
    <col min="13" max="13" width="2.7109375" customWidth="1"/>
    <col min="14" max="15" width="10.28515625" style="152" customWidth="1"/>
    <col min="16" max="16" width="2.7109375" customWidth="1"/>
    <col min="17" max="18" width="10.85546875" style="152" customWidth="1"/>
    <col min="19" max="19" width="2.7109375" customWidth="1"/>
    <col min="20" max="21" width="10.28515625" style="152" customWidth="1"/>
    <col min="22" max="22" width="2.7109375" customWidth="1"/>
    <col min="23" max="24" width="7.85546875" style="152" customWidth="1"/>
    <col min="25" max="25" width="2.7109375" customWidth="1"/>
    <col min="26" max="27" width="10" style="152" customWidth="1"/>
    <col min="28" max="28" width="2.7109375" customWidth="1"/>
    <col min="29" max="30" width="8.140625" style="152" customWidth="1"/>
    <col min="31" max="31" width="2.7109375" customWidth="1"/>
    <col min="32" max="33" width="9.140625" style="152"/>
  </cols>
  <sheetData>
    <row r="1" spans="1:33">
      <c r="B1" s="346" t="s">
        <v>1459</v>
      </c>
      <c r="C1" s="346"/>
      <c r="E1" s="346" t="s">
        <v>1460</v>
      </c>
      <c r="F1" s="346"/>
      <c r="H1" s="346" t="s">
        <v>1461</v>
      </c>
      <c r="I1" s="346"/>
      <c r="K1" s="346" t="s">
        <v>1462</v>
      </c>
      <c r="L1" s="346"/>
      <c r="N1" s="346" t="s">
        <v>1463</v>
      </c>
      <c r="O1" s="346"/>
      <c r="Q1" s="346" t="s">
        <v>1464</v>
      </c>
      <c r="R1" s="346"/>
      <c r="T1" s="346" t="s">
        <v>1465</v>
      </c>
      <c r="U1" s="346"/>
      <c r="W1" s="346" t="s">
        <v>1466</v>
      </c>
      <c r="X1" s="346"/>
      <c r="Z1" s="346" t="s">
        <v>1467</v>
      </c>
      <c r="AA1" s="346"/>
      <c r="AC1" s="346" t="s">
        <v>1468</v>
      </c>
      <c r="AD1" s="346"/>
      <c r="AF1" s="346" t="s">
        <v>1469</v>
      </c>
      <c r="AG1" s="346"/>
    </row>
    <row r="2" spans="1:33">
      <c r="A2" s="278" t="s">
        <v>1470</v>
      </c>
      <c r="B2" s="279" t="s">
        <v>5</v>
      </c>
      <c r="C2" s="344" t="s">
        <v>6</v>
      </c>
      <c r="E2" s="344" t="s">
        <v>5</v>
      </c>
      <c r="F2" s="344" t="s">
        <v>6</v>
      </c>
      <c r="H2" s="344" t="s">
        <v>5</v>
      </c>
      <c r="I2" s="344" t="s">
        <v>6</v>
      </c>
      <c r="K2" s="344" t="s">
        <v>5</v>
      </c>
      <c r="L2" s="344" t="s">
        <v>6</v>
      </c>
      <c r="N2" s="344" t="s">
        <v>5</v>
      </c>
      <c r="O2" s="344" t="s">
        <v>6</v>
      </c>
      <c r="Q2" s="344" t="s">
        <v>5</v>
      </c>
      <c r="R2" s="344" t="s">
        <v>6</v>
      </c>
      <c r="T2" s="344" t="s">
        <v>5</v>
      </c>
      <c r="U2" s="344" t="s">
        <v>6</v>
      </c>
      <c r="W2" s="344" t="s">
        <v>5</v>
      </c>
      <c r="X2" s="344" t="s">
        <v>6</v>
      </c>
      <c r="Z2" s="344" t="s">
        <v>5</v>
      </c>
      <c r="AA2" s="344" t="s">
        <v>6</v>
      </c>
      <c r="AC2" s="344" t="s">
        <v>5</v>
      </c>
      <c r="AD2" s="344" t="s">
        <v>6</v>
      </c>
      <c r="AF2" s="344" t="s">
        <v>5</v>
      </c>
      <c r="AG2" s="344" t="s">
        <v>6</v>
      </c>
    </row>
    <row r="3" spans="1:33">
      <c r="A3" s="278">
        <v>1</v>
      </c>
      <c r="B3" s="279">
        <v>6</v>
      </c>
      <c r="C3" s="344">
        <v>4</v>
      </c>
      <c r="E3" s="344">
        <v>10</v>
      </c>
      <c r="F3" s="344">
        <v>11</v>
      </c>
      <c r="H3" s="344">
        <v>4</v>
      </c>
      <c r="I3" s="344">
        <v>4</v>
      </c>
      <c r="K3" s="344">
        <v>4</v>
      </c>
      <c r="L3" s="344">
        <v>6</v>
      </c>
      <c r="N3" s="344">
        <v>12</v>
      </c>
      <c r="O3" s="344">
        <v>11</v>
      </c>
      <c r="Q3" s="344">
        <v>10</v>
      </c>
      <c r="R3" s="344">
        <v>13</v>
      </c>
      <c r="T3" s="344">
        <v>11</v>
      </c>
      <c r="U3" s="344">
        <v>12</v>
      </c>
      <c r="W3" s="344">
        <v>11</v>
      </c>
      <c r="X3" s="344">
        <v>1</v>
      </c>
      <c r="Z3" s="344">
        <v>0</v>
      </c>
      <c r="AA3" s="344">
        <v>9</v>
      </c>
      <c r="AC3" s="344">
        <v>11</v>
      </c>
      <c r="AD3" s="344">
        <v>10</v>
      </c>
      <c r="AF3" s="344">
        <v>9</v>
      </c>
      <c r="AG3" s="344">
        <v>0</v>
      </c>
    </row>
    <row r="4" spans="1:33">
      <c r="A4" s="278">
        <v>2</v>
      </c>
      <c r="B4" s="279">
        <v>12</v>
      </c>
      <c r="C4" s="344">
        <v>5</v>
      </c>
      <c r="E4" s="344">
        <v>7</v>
      </c>
      <c r="F4" s="344">
        <v>5</v>
      </c>
      <c r="H4" s="344">
        <v>1</v>
      </c>
      <c r="I4" s="344">
        <v>5</v>
      </c>
      <c r="K4" s="344">
        <v>7</v>
      </c>
      <c r="L4" s="344">
        <v>17</v>
      </c>
      <c r="N4" s="344">
        <v>13</v>
      </c>
      <c r="O4" s="344">
        <v>10</v>
      </c>
      <c r="Q4" s="344">
        <v>5</v>
      </c>
      <c r="R4" s="344">
        <v>8</v>
      </c>
      <c r="T4" s="344">
        <v>5</v>
      </c>
      <c r="U4" s="344">
        <v>7</v>
      </c>
      <c r="W4" s="344">
        <v>5</v>
      </c>
      <c r="X4" s="344">
        <v>0</v>
      </c>
      <c r="Z4" s="344">
        <v>8</v>
      </c>
      <c r="AA4" s="344">
        <v>5</v>
      </c>
      <c r="AC4" s="344">
        <v>4</v>
      </c>
      <c r="AD4" s="344">
        <v>4</v>
      </c>
      <c r="AF4" s="344">
        <v>0</v>
      </c>
      <c r="AG4" s="344">
        <v>5</v>
      </c>
    </row>
    <row r="5" spans="1:33">
      <c r="A5" s="278">
        <v>3</v>
      </c>
      <c r="B5" s="279">
        <v>10</v>
      </c>
      <c r="C5" s="344">
        <v>14</v>
      </c>
      <c r="E5" s="344">
        <v>14</v>
      </c>
      <c r="F5" s="344">
        <v>10</v>
      </c>
      <c r="H5" s="344">
        <v>2</v>
      </c>
      <c r="I5" s="344">
        <v>9</v>
      </c>
      <c r="K5" s="344">
        <v>7</v>
      </c>
      <c r="L5" s="344">
        <v>10</v>
      </c>
      <c r="N5" s="344">
        <v>10</v>
      </c>
      <c r="O5" s="344">
        <v>4</v>
      </c>
      <c r="Q5" s="344">
        <v>16</v>
      </c>
      <c r="R5" s="344">
        <v>19</v>
      </c>
      <c r="T5" s="344">
        <v>10</v>
      </c>
      <c r="U5" s="344">
        <v>7</v>
      </c>
      <c r="W5" s="344">
        <v>3</v>
      </c>
      <c r="X5" s="344">
        <v>8</v>
      </c>
      <c r="Z5" s="344">
        <v>8</v>
      </c>
      <c r="AA5" s="344">
        <v>3</v>
      </c>
      <c r="AC5" s="344">
        <v>5</v>
      </c>
      <c r="AD5" s="344">
        <v>1</v>
      </c>
      <c r="AF5" s="344">
        <v>19</v>
      </c>
      <c r="AG5" s="344">
        <v>16</v>
      </c>
    </row>
    <row r="6" spans="1:33">
      <c r="A6" s="278">
        <v>4</v>
      </c>
      <c r="B6" s="279">
        <v>6</v>
      </c>
      <c r="C6" s="344">
        <v>15</v>
      </c>
      <c r="E6" s="344">
        <v>8</v>
      </c>
      <c r="F6" s="344">
        <v>7</v>
      </c>
      <c r="H6" s="344">
        <v>3</v>
      </c>
      <c r="I6" s="344">
        <v>5</v>
      </c>
      <c r="K6" s="344">
        <v>6</v>
      </c>
      <c r="L6" s="344">
        <v>0</v>
      </c>
      <c r="N6" s="344">
        <v>17</v>
      </c>
      <c r="O6" s="344">
        <v>7</v>
      </c>
      <c r="Q6" s="344">
        <v>8</v>
      </c>
      <c r="R6" s="344">
        <v>7</v>
      </c>
      <c r="T6" s="344">
        <v>15</v>
      </c>
      <c r="U6" s="344">
        <v>6</v>
      </c>
      <c r="W6" s="344">
        <v>14</v>
      </c>
      <c r="X6" s="344">
        <v>9</v>
      </c>
      <c r="Z6" s="344">
        <v>9</v>
      </c>
      <c r="AA6" s="344">
        <v>4</v>
      </c>
      <c r="AC6" s="344">
        <v>9</v>
      </c>
      <c r="AD6" s="344">
        <v>2</v>
      </c>
      <c r="AF6" s="344">
        <v>7</v>
      </c>
      <c r="AG6" s="344">
        <v>8</v>
      </c>
    </row>
    <row r="7" spans="1:33">
      <c r="A7" s="278">
        <v>5</v>
      </c>
      <c r="B7" s="279">
        <v>6</v>
      </c>
      <c r="C7" s="344">
        <v>3</v>
      </c>
      <c r="E7" s="344">
        <v>3</v>
      </c>
      <c r="F7" s="344">
        <v>6</v>
      </c>
      <c r="H7" s="344">
        <v>6</v>
      </c>
      <c r="I7" s="344">
        <v>14</v>
      </c>
      <c r="K7" s="344">
        <v>3</v>
      </c>
      <c r="L7" s="344">
        <v>2</v>
      </c>
      <c r="N7" s="344">
        <v>9</v>
      </c>
      <c r="O7" s="344">
        <v>14</v>
      </c>
      <c r="Q7" s="344">
        <v>6</v>
      </c>
      <c r="R7" s="344">
        <v>4</v>
      </c>
      <c r="T7" s="344">
        <v>0</v>
      </c>
      <c r="U7" s="344">
        <v>6</v>
      </c>
      <c r="W7" s="344">
        <v>6</v>
      </c>
      <c r="X7" s="344">
        <v>9</v>
      </c>
      <c r="Z7" s="344">
        <v>5</v>
      </c>
      <c r="AA7" s="344">
        <v>3</v>
      </c>
      <c r="AC7" s="344">
        <v>7</v>
      </c>
      <c r="AD7" s="344">
        <v>8</v>
      </c>
      <c r="AF7" s="344">
        <v>4</v>
      </c>
      <c r="AG7" s="344">
        <v>6</v>
      </c>
    </row>
    <row r="8" spans="1:33">
      <c r="A8" s="278">
        <v>6</v>
      </c>
      <c r="B8" s="279">
        <v>1</v>
      </c>
      <c r="C8" s="344">
        <v>8</v>
      </c>
      <c r="E8" s="344">
        <v>2</v>
      </c>
      <c r="F8" s="344">
        <v>6</v>
      </c>
      <c r="H8" s="344">
        <v>8</v>
      </c>
      <c r="I8" s="344">
        <v>6</v>
      </c>
      <c r="K8" s="344">
        <v>6</v>
      </c>
      <c r="L8" s="344">
        <v>2</v>
      </c>
      <c r="N8" s="344">
        <v>9</v>
      </c>
      <c r="O8" s="344">
        <v>6</v>
      </c>
      <c r="Q8" s="344">
        <v>11</v>
      </c>
      <c r="R8" s="344">
        <v>10</v>
      </c>
      <c r="T8" s="344">
        <v>8</v>
      </c>
      <c r="U8" s="344">
        <v>5</v>
      </c>
      <c r="W8" s="344">
        <v>10</v>
      </c>
      <c r="X8" s="344">
        <v>3</v>
      </c>
      <c r="Z8" s="344">
        <v>14</v>
      </c>
      <c r="AA8" s="344">
        <v>6</v>
      </c>
      <c r="AC8" s="344">
        <v>5</v>
      </c>
      <c r="AD8" s="344">
        <v>8</v>
      </c>
      <c r="AF8" s="344">
        <v>6</v>
      </c>
      <c r="AG8" s="344">
        <v>8</v>
      </c>
    </row>
    <row r="9" spans="1:33">
      <c r="A9" s="278">
        <v>7</v>
      </c>
      <c r="B9" s="279">
        <v>2</v>
      </c>
      <c r="C9" s="344">
        <v>7</v>
      </c>
      <c r="E9" s="344">
        <v>5</v>
      </c>
      <c r="F9" s="344">
        <v>9</v>
      </c>
      <c r="H9" s="344">
        <v>8</v>
      </c>
      <c r="I9" s="344">
        <v>4</v>
      </c>
      <c r="K9" s="344">
        <v>9</v>
      </c>
      <c r="L9" s="344">
        <v>5</v>
      </c>
      <c r="N9" s="344">
        <v>10</v>
      </c>
      <c r="O9" s="344">
        <v>11</v>
      </c>
      <c r="Q9" s="344">
        <v>4</v>
      </c>
      <c r="R9" s="344">
        <v>22</v>
      </c>
      <c r="T9" s="344">
        <v>6</v>
      </c>
      <c r="U9" s="344">
        <v>0</v>
      </c>
      <c r="W9" s="344">
        <v>5</v>
      </c>
      <c r="X9" s="344">
        <v>0</v>
      </c>
      <c r="Z9" s="344">
        <v>22</v>
      </c>
      <c r="AA9" s="344">
        <v>4</v>
      </c>
      <c r="AC9" s="344">
        <v>0</v>
      </c>
      <c r="AD9" s="344">
        <v>6</v>
      </c>
      <c r="AF9" s="344">
        <v>4</v>
      </c>
      <c r="AG9" s="344">
        <v>8</v>
      </c>
    </row>
    <row r="10" spans="1:33">
      <c r="A10" s="278">
        <v>8</v>
      </c>
      <c r="B10" s="279">
        <v>10</v>
      </c>
      <c r="C10" s="344">
        <v>2</v>
      </c>
      <c r="E10" s="344">
        <v>1</v>
      </c>
      <c r="F10" s="344">
        <v>20</v>
      </c>
      <c r="H10" s="344">
        <v>12</v>
      </c>
      <c r="I10" s="344">
        <v>10</v>
      </c>
      <c r="K10" s="344">
        <v>9</v>
      </c>
      <c r="L10" s="344">
        <v>10</v>
      </c>
      <c r="N10" s="344">
        <v>8</v>
      </c>
      <c r="O10" s="344">
        <v>1</v>
      </c>
      <c r="Q10" s="344">
        <v>7</v>
      </c>
      <c r="R10" s="344">
        <v>2</v>
      </c>
      <c r="T10" s="344">
        <v>7</v>
      </c>
      <c r="U10" s="344">
        <v>12</v>
      </c>
      <c r="W10" s="344">
        <v>10</v>
      </c>
      <c r="X10" s="344">
        <v>12</v>
      </c>
      <c r="Z10" s="344">
        <v>10</v>
      </c>
      <c r="AA10" s="344">
        <v>5</v>
      </c>
      <c r="AC10" s="344">
        <v>12</v>
      </c>
      <c r="AD10" s="344">
        <v>7</v>
      </c>
      <c r="AF10" s="344">
        <v>5</v>
      </c>
      <c r="AG10" s="344">
        <v>6</v>
      </c>
    </row>
    <row r="11" spans="1:33">
      <c r="A11" s="278">
        <v>9</v>
      </c>
      <c r="B11" s="279">
        <v>4</v>
      </c>
      <c r="C11" s="344">
        <v>7</v>
      </c>
      <c r="E11" s="344">
        <v>4</v>
      </c>
      <c r="F11" s="344">
        <v>5</v>
      </c>
      <c r="H11" s="344">
        <v>4</v>
      </c>
      <c r="I11" s="344">
        <v>7</v>
      </c>
      <c r="K11" s="344">
        <v>19</v>
      </c>
      <c r="L11" s="344">
        <v>11</v>
      </c>
      <c r="N11" s="344">
        <v>6</v>
      </c>
      <c r="O11" s="344">
        <v>5</v>
      </c>
      <c r="Q11" s="344">
        <v>2</v>
      </c>
      <c r="R11" s="344">
        <v>10</v>
      </c>
      <c r="T11" s="344">
        <v>20</v>
      </c>
      <c r="U11" s="344">
        <v>1</v>
      </c>
      <c r="W11" s="344">
        <v>7</v>
      </c>
      <c r="X11" s="344">
        <v>4</v>
      </c>
      <c r="Z11" s="344">
        <v>6</v>
      </c>
      <c r="AA11" s="344">
        <v>7</v>
      </c>
      <c r="AC11" s="344">
        <v>10</v>
      </c>
      <c r="AD11" s="344">
        <v>9</v>
      </c>
      <c r="AF11" s="344">
        <v>5</v>
      </c>
      <c r="AG11" s="344">
        <v>11</v>
      </c>
    </row>
    <row r="12" spans="1:33">
      <c r="A12" s="278">
        <v>10</v>
      </c>
      <c r="B12" s="279">
        <v>3</v>
      </c>
      <c r="C12" s="344">
        <v>5</v>
      </c>
      <c r="E12" s="344">
        <v>14</v>
      </c>
      <c r="F12" s="344">
        <v>0</v>
      </c>
      <c r="H12" s="344">
        <v>0</v>
      </c>
      <c r="I12" s="344">
        <v>14</v>
      </c>
      <c r="K12" s="344">
        <v>7</v>
      </c>
      <c r="L12" s="344">
        <v>4</v>
      </c>
      <c r="N12" s="344">
        <v>11</v>
      </c>
      <c r="O12" s="344">
        <v>5</v>
      </c>
      <c r="Q12" s="344">
        <v>1</v>
      </c>
      <c r="R12" s="344">
        <v>13</v>
      </c>
      <c r="T12" s="344">
        <v>5</v>
      </c>
      <c r="U12" s="344">
        <v>4</v>
      </c>
      <c r="W12" s="344">
        <v>4</v>
      </c>
      <c r="X12" s="344">
        <v>9</v>
      </c>
      <c r="Z12" s="344">
        <v>7</v>
      </c>
      <c r="AA12" s="344">
        <v>1</v>
      </c>
      <c r="AC12" s="344">
        <v>11</v>
      </c>
      <c r="AD12" s="344">
        <v>19</v>
      </c>
      <c r="AF12" s="344">
        <v>13</v>
      </c>
      <c r="AG12" s="344">
        <v>1</v>
      </c>
    </row>
    <row r="13" spans="1:33">
      <c r="A13" s="278">
        <v>11</v>
      </c>
      <c r="B13" s="279">
        <v>2</v>
      </c>
      <c r="C13" s="344">
        <v>17</v>
      </c>
      <c r="E13" s="344">
        <v>11</v>
      </c>
      <c r="F13" s="344">
        <v>6</v>
      </c>
      <c r="H13" s="344">
        <v>6</v>
      </c>
      <c r="I13" s="344">
        <v>11</v>
      </c>
      <c r="K13" s="344">
        <v>9</v>
      </c>
      <c r="L13" s="344">
        <v>8</v>
      </c>
      <c r="N13" s="344">
        <v>1</v>
      </c>
      <c r="O13" s="344">
        <v>7</v>
      </c>
      <c r="Q13" s="344">
        <v>12</v>
      </c>
      <c r="R13" s="344">
        <v>11</v>
      </c>
      <c r="T13" s="344">
        <v>5</v>
      </c>
      <c r="U13" s="344">
        <v>2</v>
      </c>
      <c r="W13" s="344">
        <v>4</v>
      </c>
      <c r="X13" s="344">
        <v>7</v>
      </c>
      <c r="Z13" s="344">
        <v>5</v>
      </c>
      <c r="AA13" s="344">
        <v>4</v>
      </c>
      <c r="AC13" s="344">
        <v>2</v>
      </c>
      <c r="AD13" s="344">
        <v>5</v>
      </c>
      <c r="AF13" s="344">
        <v>7</v>
      </c>
      <c r="AG13" s="344">
        <v>4</v>
      </c>
    </row>
    <row r="14" spans="1:33">
      <c r="A14" s="278">
        <v>12</v>
      </c>
      <c r="B14" s="279">
        <v>3</v>
      </c>
      <c r="C14" s="344">
        <v>9</v>
      </c>
      <c r="E14" s="344">
        <v>1</v>
      </c>
      <c r="F14" s="344">
        <v>8</v>
      </c>
      <c r="H14" s="344">
        <v>0</v>
      </c>
      <c r="I14" s="344">
        <v>3</v>
      </c>
      <c r="K14" s="344">
        <v>3</v>
      </c>
      <c r="L14" s="344">
        <v>0</v>
      </c>
      <c r="N14" s="344">
        <v>4</v>
      </c>
      <c r="O14" s="344">
        <v>5</v>
      </c>
      <c r="Q14" s="344">
        <v>9</v>
      </c>
      <c r="R14" s="344">
        <v>11</v>
      </c>
      <c r="T14" s="344">
        <v>11</v>
      </c>
      <c r="U14" s="344">
        <v>12</v>
      </c>
      <c r="W14" s="344">
        <v>14</v>
      </c>
      <c r="X14" s="344">
        <v>9</v>
      </c>
      <c r="Z14" s="344">
        <v>5</v>
      </c>
      <c r="AA14" s="344">
        <v>3</v>
      </c>
      <c r="AC14" s="344">
        <v>8</v>
      </c>
      <c r="AD14" s="344">
        <v>9</v>
      </c>
      <c r="AF14" s="344">
        <v>9</v>
      </c>
      <c r="AG14" s="344">
        <v>14</v>
      </c>
    </row>
    <row r="15" spans="1:33">
      <c r="A15" s="278">
        <v>13</v>
      </c>
      <c r="B15" s="279">
        <v>7</v>
      </c>
      <c r="C15" s="344">
        <v>9</v>
      </c>
      <c r="E15" s="344">
        <v>2</v>
      </c>
      <c r="F15" s="344">
        <v>3</v>
      </c>
      <c r="H15" s="344">
        <v>5</v>
      </c>
      <c r="I15" s="344">
        <v>0</v>
      </c>
      <c r="K15" s="344">
        <v>0</v>
      </c>
      <c r="L15" s="344">
        <v>5</v>
      </c>
      <c r="N15" s="344">
        <v>17</v>
      </c>
      <c r="O15" s="344">
        <v>8</v>
      </c>
      <c r="Q15" s="344">
        <v>16</v>
      </c>
      <c r="R15" s="344">
        <v>6</v>
      </c>
      <c r="T15" s="344">
        <v>11</v>
      </c>
      <c r="U15" s="344">
        <v>9</v>
      </c>
      <c r="W15" s="344">
        <v>12</v>
      </c>
      <c r="X15" s="344">
        <v>2</v>
      </c>
      <c r="Z15" s="344">
        <v>17</v>
      </c>
      <c r="AA15" s="344">
        <v>2</v>
      </c>
      <c r="AC15" s="344">
        <v>8</v>
      </c>
      <c r="AD15" s="344">
        <v>1</v>
      </c>
      <c r="AF15" s="344">
        <v>5</v>
      </c>
      <c r="AG15" s="344">
        <v>12</v>
      </c>
    </row>
    <row r="16" spans="1:33">
      <c r="A16" s="278">
        <v>14</v>
      </c>
      <c r="B16" s="279">
        <v>3</v>
      </c>
      <c r="C16" s="344">
        <v>6</v>
      </c>
      <c r="E16" s="344">
        <v>3</v>
      </c>
      <c r="F16" s="344">
        <v>8</v>
      </c>
      <c r="H16" s="344">
        <v>1</v>
      </c>
      <c r="I16" s="344">
        <v>3</v>
      </c>
      <c r="K16" s="344">
        <v>3</v>
      </c>
      <c r="L16" s="344">
        <v>1</v>
      </c>
      <c r="N16" s="344">
        <v>5</v>
      </c>
      <c r="O16" s="344">
        <v>4</v>
      </c>
      <c r="Q16" s="344">
        <v>8</v>
      </c>
      <c r="R16" s="344">
        <v>12</v>
      </c>
      <c r="T16" s="344">
        <v>4</v>
      </c>
      <c r="U16" s="344">
        <v>5</v>
      </c>
      <c r="W16" s="344">
        <v>11</v>
      </c>
      <c r="X16" s="344">
        <v>1</v>
      </c>
      <c r="Z16" s="344">
        <v>12</v>
      </c>
      <c r="AA16" s="344">
        <v>5</v>
      </c>
      <c r="AC16" s="344">
        <v>9</v>
      </c>
      <c r="AD16" s="344">
        <v>3</v>
      </c>
      <c r="AF16" s="344">
        <v>4</v>
      </c>
      <c r="AG16" s="344">
        <v>13</v>
      </c>
    </row>
    <row r="17" spans="1:33">
      <c r="A17" s="278">
        <v>15</v>
      </c>
      <c r="B17" s="279">
        <v>1</v>
      </c>
      <c r="C17" s="344">
        <v>10</v>
      </c>
      <c r="E17" s="344">
        <v>7</v>
      </c>
      <c r="F17" s="344">
        <v>2</v>
      </c>
      <c r="H17" s="344">
        <v>3</v>
      </c>
      <c r="I17" s="344">
        <v>1</v>
      </c>
      <c r="K17" s="344">
        <v>1</v>
      </c>
      <c r="L17" s="344">
        <v>3</v>
      </c>
      <c r="N17" s="344">
        <v>2</v>
      </c>
      <c r="O17" s="344">
        <v>12</v>
      </c>
      <c r="Q17" s="344">
        <v>27</v>
      </c>
      <c r="R17" s="344">
        <v>2</v>
      </c>
      <c r="T17" s="344">
        <v>3</v>
      </c>
      <c r="U17" s="344">
        <v>2</v>
      </c>
      <c r="W17" s="344">
        <v>6</v>
      </c>
      <c r="X17" s="344">
        <v>7</v>
      </c>
      <c r="Z17" s="344">
        <v>13</v>
      </c>
      <c r="AA17" s="344">
        <v>4</v>
      </c>
      <c r="AC17" s="344">
        <v>9</v>
      </c>
      <c r="AD17" s="344">
        <v>7</v>
      </c>
      <c r="AF17" s="344">
        <v>2</v>
      </c>
      <c r="AG17" s="344">
        <v>7</v>
      </c>
    </row>
    <row r="18" spans="1:33">
      <c r="A18" s="278">
        <v>16</v>
      </c>
      <c r="B18" s="279">
        <v>5</v>
      </c>
      <c r="C18" s="344">
        <v>6</v>
      </c>
      <c r="E18" s="344">
        <v>7</v>
      </c>
      <c r="F18" s="344">
        <v>18</v>
      </c>
      <c r="H18" s="344">
        <v>8</v>
      </c>
      <c r="I18" s="344">
        <v>9</v>
      </c>
      <c r="K18" s="344">
        <v>10</v>
      </c>
      <c r="L18" s="344">
        <v>1</v>
      </c>
      <c r="N18" s="344">
        <v>1</v>
      </c>
      <c r="O18" s="344">
        <v>11</v>
      </c>
      <c r="Q18" s="344">
        <v>5</v>
      </c>
      <c r="R18" s="344">
        <v>2</v>
      </c>
      <c r="T18" s="344">
        <v>8</v>
      </c>
      <c r="U18" s="344">
        <v>3</v>
      </c>
      <c r="W18" s="344">
        <v>9</v>
      </c>
      <c r="X18" s="344">
        <v>10</v>
      </c>
      <c r="Z18" s="344">
        <v>8</v>
      </c>
      <c r="AA18" s="344">
        <v>6</v>
      </c>
      <c r="AC18" s="344">
        <v>6</v>
      </c>
      <c r="AD18" s="344">
        <v>8</v>
      </c>
      <c r="AF18" s="344">
        <v>18</v>
      </c>
      <c r="AG18" s="344">
        <v>7</v>
      </c>
    </row>
    <row r="19" spans="1:33">
      <c r="A19" s="278">
        <v>17</v>
      </c>
      <c r="B19" s="279">
        <v>10</v>
      </c>
      <c r="C19" s="344">
        <v>5</v>
      </c>
      <c r="E19" s="344">
        <v>10</v>
      </c>
      <c r="F19" s="344">
        <v>9</v>
      </c>
      <c r="H19" s="344">
        <v>1</v>
      </c>
      <c r="I19" s="344">
        <v>7</v>
      </c>
      <c r="K19" s="344">
        <v>6</v>
      </c>
      <c r="L19" s="344">
        <v>5</v>
      </c>
      <c r="N19" s="344">
        <v>6</v>
      </c>
      <c r="O19" s="344">
        <v>3</v>
      </c>
      <c r="Q19" s="344">
        <v>7</v>
      </c>
      <c r="R19" s="344">
        <v>6</v>
      </c>
      <c r="T19" s="344">
        <v>9</v>
      </c>
      <c r="U19" s="344">
        <v>8</v>
      </c>
      <c r="W19" s="344">
        <v>4</v>
      </c>
      <c r="X19" s="344">
        <v>6</v>
      </c>
      <c r="Z19" s="344">
        <v>14</v>
      </c>
      <c r="AA19" s="344">
        <v>7</v>
      </c>
      <c r="AC19" s="344">
        <v>7</v>
      </c>
      <c r="AD19" s="344">
        <v>14</v>
      </c>
      <c r="AF19" s="344">
        <v>1</v>
      </c>
      <c r="AG19" s="344">
        <v>7</v>
      </c>
    </row>
    <row r="20" spans="1:33">
      <c r="A20" s="278">
        <v>18</v>
      </c>
      <c r="B20" s="279">
        <v>8</v>
      </c>
      <c r="C20" s="344">
        <v>7</v>
      </c>
      <c r="E20" s="344">
        <v>6</v>
      </c>
      <c r="F20" s="344">
        <v>4</v>
      </c>
      <c r="H20" s="344">
        <v>5</v>
      </c>
      <c r="I20" s="344">
        <v>6</v>
      </c>
      <c r="K20" s="344">
        <v>7</v>
      </c>
      <c r="L20" s="344">
        <v>2</v>
      </c>
      <c r="N20" s="344">
        <v>13</v>
      </c>
      <c r="O20" s="344">
        <v>12</v>
      </c>
      <c r="Q20" s="344">
        <v>10</v>
      </c>
      <c r="R20" s="344">
        <v>4</v>
      </c>
      <c r="T20" s="344">
        <v>7</v>
      </c>
      <c r="U20" s="344">
        <v>1</v>
      </c>
      <c r="W20" s="344">
        <v>8</v>
      </c>
      <c r="X20" s="344">
        <v>0</v>
      </c>
      <c r="Z20" s="344">
        <v>7</v>
      </c>
      <c r="AA20" s="344">
        <v>8</v>
      </c>
      <c r="AC20" s="344">
        <v>7</v>
      </c>
      <c r="AD20" s="344">
        <v>1</v>
      </c>
      <c r="AF20" s="344">
        <v>10</v>
      </c>
      <c r="AG20" s="344">
        <v>4</v>
      </c>
    </row>
    <row r="21" spans="1:33">
      <c r="A21" s="278">
        <v>19</v>
      </c>
      <c r="B21" s="279">
        <v>2</v>
      </c>
      <c r="C21" s="344">
        <v>9</v>
      </c>
      <c r="E21" s="344">
        <v>3</v>
      </c>
      <c r="F21" s="344">
        <v>4</v>
      </c>
      <c r="H21" s="344">
        <v>4</v>
      </c>
      <c r="I21" s="344">
        <v>2</v>
      </c>
      <c r="K21" s="344">
        <v>5</v>
      </c>
      <c r="L21" s="344">
        <v>10</v>
      </c>
      <c r="N21" s="344">
        <v>8</v>
      </c>
      <c r="O21" s="344">
        <v>7</v>
      </c>
      <c r="Q21" s="344">
        <v>10</v>
      </c>
      <c r="R21" s="344">
        <v>15</v>
      </c>
      <c r="T21" s="344">
        <v>6</v>
      </c>
      <c r="U21" s="344">
        <v>5</v>
      </c>
      <c r="W21" s="344">
        <v>4</v>
      </c>
      <c r="X21" s="344">
        <v>3</v>
      </c>
      <c r="Z21" s="344">
        <v>4</v>
      </c>
      <c r="AA21" s="344">
        <v>3</v>
      </c>
      <c r="AC21" s="344">
        <v>4</v>
      </c>
      <c r="AD21" s="344">
        <v>10</v>
      </c>
      <c r="AF21" s="344">
        <v>14</v>
      </c>
      <c r="AG21" s="344">
        <v>25</v>
      </c>
    </row>
    <row r="22" spans="1:33">
      <c r="A22" s="278">
        <v>20</v>
      </c>
      <c r="B22" s="279">
        <v>6</v>
      </c>
      <c r="C22" s="344">
        <v>9</v>
      </c>
      <c r="E22" s="344">
        <v>0</v>
      </c>
      <c r="F22" s="344">
        <v>4</v>
      </c>
      <c r="H22" s="344">
        <v>6</v>
      </c>
      <c r="I22" s="344">
        <v>0</v>
      </c>
      <c r="K22" s="344">
        <v>13</v>
      </c>
      <c r="L22" s="344">
        <v>2</v>
      </c>
      <c r="N22" s="344">
        <v>7</v>
      </c>
      <c r="O22" s="344">
        <v>1</v>
      </c>
      <c r="Q22" s="344">
        <v>1</v>
      </c>
      <c r="R22" s="344">
        <v>7</v>
      </c>
      <c r="T22" s="344">
        <v>2</v>
      </c>
      <c r="U22" s="344">
        <v>7</v>
      </c>
      <c r="W22" s="344">
        <v>4</v>
      </c>
      <c r="X22" s="344">
        <v>10</v>
      </c>
      <c r="Z22" s="344">
        <v>4</v>
      </c>
      <c r="AA22" s="344">
        <v>0</v>
      </c>
      <c r="AC22" s="344">
        <v>0</v>
      </c>
      <c r="AD22" s="344">
        <v>8</v>
      </c>
      <c r="AF22" s="344">
        <v>3</v>
      </c>
      <c r="AG22" s="344">
        <v>2</v>
      </c>
    </row>
    <row r="23" spans="1:33">
      <c r="A23" s="278">
        <v>21</v>
      </c>
      <c r="B23" s="279">
        <v>2</v>
      </c>
      <c r="C23" s="344">
        <v>7</v>
      </c>
      <c r="E23" s="344">
        <v>2</v>
      </c>
      <c r="F23" s="344">
        <v>13</v>
      </c>
      <c r="H23" s="344">
        <v>0</v>
      </c>
      <c r="I23" s="344">
        <v>3</v>
      </c>
      <c r="K23" s="344">
        <v>13</v>
      </c>
      <c r="L23" s="344">
        <v>2</v>
      </c>
      <c r="N23" s="344">
        <v>2</v>
      </c>
      <c r="O23" s="344">
        <v>3</v>
      </c>
      <c r="Q23" s="344">
        <v>1</v>
      </c>
      <c r="R23" s="344">
        <v>9</v>
      </c>
      <c r="T23" s="344">
        <v>7</v>
      </c>
      <c r="U23" s="344">
        <v>8</v>
      </c>
      <c r="W23" s="344">
        <v>5</v>
      </c>
      <c r="X23" s="344">
        <v>6</v>
      </c>
      <c r="Z23" s="344">
        <v>10</v>
      </c>
      <c r="AA23" s="344">
        <v>4</v>
      </c>
      <c r="AC23" s="344">
        <v>3</v>
      </c>
      <c r="AD23" s="344">
        <v>4</v>
      </c>
      <c r="AF23" s="344">
        <v>3</v>
      </c>
      <c r="AG23" s="344">
        <v>7</v>
      </c>
    </row>
    <row r="24" spans="1:33">
      <c r="A24" s="278">
        <v>22</v>
      </c>
      <c r="B24" s="279">
        <v>1</v>
      </c>
      <c r="C24" s="344">
        <v>6</v>
      </c>
      <c r="E24" s="344">
        <v>2</v>
      </c>
      <c r="F24" s="344">
        <v>13</v>
      </c>
      <c r="H24" s="344">
        <v>6</v>
      </c>
      <c r="I24" s="344">
        <v>5</v>
      </c>
      <c r="K24" s="344">
        <v>2</v>
      </c>
      <c r="L24" s="344">
        <v>24</v>
      </c>
      <c r="N24" s="344">
        <v>7</v>
      </c>
      <c r="O24" s="344">
        <v>3</v>
      </c>
      <c r="Q24" s="344">
        <v>3</v>
      </c>
      <c r="R24" s="344">
        <v>6</v>
      </c>
      <c r="T24" s="344">
        <v>9</v>
      </c>
      <c r="U24" s="344">
        <v>2</v>
      </c>
      <c r="W24" s="344">
        <v>6</v>
      </c>
      <c r="X24" s="344">
        <v>5</v>
      </c>
      <c r="Z24" s="344">
        <v>6</v>
      </c>
      <c r="AA24" s="344">
        <v>5</v>
      </c>
      <c r="AC24" s="344">
        <v>9</v>
      </c>
      <c r="AD24" s="344">
        <v>1</v>
      </c>
      <c r="AF24" s="344">
        <v>5</v>
      </c>
      <c r="AG24" s="344">
        <v>6</v>
      </c>
    </row>
    <row r="25" spans="1:33">
      <c r="A25" s="278">
        <v>23</v>
      </c>
      <c r="B25" s="279">
        <v>10</v>
      </c>
      <c r="C25" s="344">
        <v>5</v>
      </c>
      <c r="E25" s="344">
        <v>9</v>
      </c>
      <c r="F25" s="344">
        <v>8</v>
      </c>
      <c r="H25" s="344">
        <v>2</v>
      </c>
      <c r="I25" s="344">
        <v>7</v>
      </c>
      <c r="K25" s="344">
        <v>6</v>
      </c>
      <c r="L25" s="344">
        <v>1</v>
      </c>
      <c r="N25" s="344">
        <v>5</v>
      </c>
      <c r="O25" s="344">
        <v>6</v>
      </c>
      <c r="Q25" s="344">
        <v>1</v>
      </c>
      <c r="R25" s="344">
        <v>3</v>
      </c>
      <c r="T25" s="344">
        <v>24</v>
      </c>
      <c r="U25" s="344">
        <v>2</v>
      </c>
      <c r="W25" s="344">
        <v>7</v>
      </c>
      <c r="X25" s="344">
        <v>9</v>
      </c>
      <c r="Z25" s="344">
        <v>13</v>
      </c>
      <c r="AA25" s="344">
        <v>1</v>
      </c>
      <c r="AC25" s="344">
        <v>6</v>
      </c>
      <c r="AD25" s="344">
        <v>3</v>
      </c>
      <c r="AF25" s="344">
        <v>2</v>
      </c>
      <c r="AG25" s="344">
        <v>12</v>
      </c>
    </row>
    <row r="26" spans="1:33">
      <c r="A26" s="278">
        <v>24</v>
      </c>
      <c r="B26" s="279">
        <v>13</v>
      </c>
      <c r="C26" s="344">
        <v>8</v>
      </c>
      <c r="E26" s="344">
        <v>3</v>
      </c>
      <c r="F26" s="344">
        <v>1</v>
      </c>
      <c r="H26" s="344">
        <v>7</v>
      </c>
      <c r="I26" s="344">
        <v>6</v>
      </c>
      <c r="K26" s="344">
        <v>6</v>
      </c>
      <c r="L26" s="344">
        <v>14</v>
      </c>
      <c r="N26" s="344">
        <v>9</v>
      </c>
      <c r="O26" s="344">
        <v>7</v>
      </c>
      <c r="Q26" s="344">
        <v>3</v>
      </c>
      <c r="R26" s="344">
        <v>0</v>
      </c>
      <c r="T26" s="344">
        <v>6</v>
      </c>
      <c r="U26" s="344">
        <v>5</v>
      </c>
      <c r="W26" s="344">
        <v>10</v>
      </c>
      <c r="X26" s="344">
        <v>12</v>
      </c>
      <c r="Z26" s="344">
        <v>12</v>
      </c>
      <c r="AA26" s="344">
        <v>6</v>
      </c>
      <c r="AC26" s="344">
        <v>9</v>
      </c>
      <c r="AD26" s="344">
        <v>6</v>
      </c>
      <c r="AF26" s="344">
        <v>5</v>
      </c>
      <c r="AG26" s="344">
        <v>10</v>
      </c>
    </row>
    <row r="27" spans="1:33">
      <c r="A27" s="278">
        <v>25</v>
      </c>
      <c r="B27" s="279">
        <v>4</v>
      </c>
      <c r="C27" s="344">
        <v>15</v>
      </c>
      <c r="E27" s="344">
        <v>4</v>
      </c>
      <c r="F27" s="344">
        <v>2</v>
      </c>
      <c r="H27" s="344">
        <v>11</v>
      </c>
      <c r="I27" s="344">
        <v>10</v>
      </c>
      <c r="K27" s="344">
        <v>0</v>
      </c>
      <c r="L27" s="344">
        <v>11</v>
      </c>
      <c r="N27" s="344">
        <v>1</v>
      </c>
      <c r="O27" s="344">
        <v>13</v>
      </c>
      <c r="Q27" s="344">
        <v>5</v>
      </c>
      <c r="R27" s="344">
        <v>6</v>
      </c>
      <c r="T27" s="344">
        <v>12</v>
      </c>
      <c r="U27" s="344">
        <v>2</v>
      </c>
      <c r="W27" s="344">
        <v>3</v>
      </c>
      <c r="X27" s="344">
        <v>5</v>
      </c>
      <c r="Z27" s="344">
        <v>12</v>
      </c>
      <c r="AA27" s="344">
        <v>10</v>
      </c>
      <c r="AC27" s="344">
        <v>7</v>
      </c>
      <c r="AD27" s="344">
        <v>2</v>
      </c>
      <c r="AF27" s="344">
        <v>8</v>
      </c>
      <c r="AG27" s="344">
        <v>13</v>
      </c>
    </row>
    <row r="28" spans="1:33">
      <c r="A28" s="278">
        <v>26</v>
      </c>
      <c r="B28" s="279">
        <v>9</v>
      </c>
      <c r="C28" s="344">
        <v>8</v>
      </c>
      <c r="E28" s="344">
        <v>1</v>
      </c>
      <c r="F28" s="344">
        <v>4</v>
      </c>
      <c r="H28" s="344">
        <v>0</v>
      </c>
      <c r="I28" s="344">
        <v>1</v>
      </c>
      <c r="K28" s="344">
        <v>13</v>
      </c>
      <c r="L28" s="344">
        <v>5</v>
      </c>
      <c r="N28" s="344">
        <v>6</v>
      </c>
      <c r="O28" s="344">
        <v>12</v>
      </c>
      <c r="Q28" s="344">
        <v>4</v>
      </c>
      <c r="R28" s="344">
        <v>1</v>
      </c>
      <c r="T28" s="344">
        <v>14</v>
      </c>
      <c r="U28" s="344">
        <v>6</v>
      </c>
      <c r="W28" s="344">
        <v>9</v>
      </c>
      <c r="X28" s="344">
        <v>0</v>
      </c>
      <c r="Z28" s="344">
        <v>5</v>
      </c>
      <c r="AA28" s="344">
        <v>3</v>
      </c>
      <c r="AC28" s="344">
        <v>8</v>
      </c>
      <c r="AD28" s="344">
        <v>0</v>
      </c>
      <c r="AF28" s="344">
        <v>5</v>
      </c>
      <c r="AG28" s="344">
        <v>13</v>
      </c>
    </row>
    <row r="29" spans="1:33">
      <c r="A29" s="278">
        <v>27</v>
      </c>
      <c r="B29" s="279">
        <v>10</v>
      </c>
      <c r="C29" s="344">
        <v>24</v>
      </c>
      <c r="E29" s="344">
        <v>7</v>
      </c>
      <c r="F29" s="344">
        <v>2</v>
      </c>
      <c r="H29" s="344">
        <v>5</v>
      </c>
      <c r="I29" s="344">
        <v>7</v>
      </c>
      <c r="K29" s="344">
        <v>14</v>
      </c>
      <c r="L29" s="344">
        <v>10</v>
      </c>
      <c r="N29" s="344">
        <v>3</v>
      </c>
      <c r="O29" s="344">
        <v>2</v>
      </c>
      <c r="Q29" s="344">
        <v>2</v>
      </c>
      <c r="R29" s="344">
        <v>13</v>
      </c>
      <c r="T29" s="344">
        <v>11</v>
      </c>
      <c r="U29" s="344">
        <v>0</v>
      </c>
      <c r="W29" s="344">
        <v>6</v>
      </c>
      <c r="X29" s="344">
        <v>1</v>
      </c>
      <c r="Z29" s="344">
        <v>8</v>
      </c>
      <c r="AA29" s="344">
        <v>7</v>
      </c>
      <c r="AC29" s="344">
        <v>8</v>
      </c>
      <c r="AD29" s="344">
        <v>0</v>
      </c>
      <c r="AF29" s="344">
        <v>10</v>
      </c>
      <c r="AG29" s="344">
        <v>14</v>
      </c>
    </row>
    <row r="30" spans="1:33">
      <c r="A30" s="278">
        <v>28</v>
      </c>
      <c r="B30" s="279">
        <v>12</v>
      </c>
      <c r="C30" s="344">
        <v>7</v>
      </c>
      <c r="E30" s="344">
        <v>6</v>
      </c>
      <c r="F30" s="344">
        <v>7</v>
      </c>
      <c r="H30" s="344">
        <v>1</v>
      </c>
      <c r="I30" s="344">
        <v>2</v>
      </c>
      <c r="K30" s="344">
        <v>7</v>
      </c>
      <c r="L30" s="344">
        <v>12</v>
      </c>
      <c r="N30" s="344">
        <v>1</v>
      </c>
      <c r="O30" s="344">
        <v>9</v>
      </c>
      <c r="Q30" s="344">
        <v>7</v>
      </c>
      <c r="R30" s="344">
        <v>8</v>
      </c>
      <c r="T30" s="344">
        <v>15</v>
      </c>
      <c r="U30" s="344">
        <v>4</v>
      </c>
      <c r="W30" s="344">
        <v>16</v>
      </c>
      <c r="X30" s="344">
        <v>19</v>
      </c>
      <c r="Z30" s="344">
        <v>22</v>
      </c>
      <c r="AA30" s="344">
        <v>4</v>
      </c>
      <c r="AC30" s="344">
        <v>2</v>
      </c>
      <c r="AD30" s="344">
        <v>3</v>
      </c>
      <c r="AF30" s="344">
        <v>4</v>
      </c>
      <c r="AG30" s="344">
        <v>22</v>
      </c>
    </row>
    <row r="31" spans="1:33">
      <c r="A31" s="278">
        <v>29</v>
      </c>
      <c r="B31" s="279">
        <v>1</v>
      </c>
      <c r="C31" s="344">
        <v>5</v>
      </c>
      <c r="E31" s="344">
        <v>10</v>
      </c>
      <c r="F31" s="344">
        <v>11</v>
      </c>
      <c r="H31" s="344">
        <v>3</v>
      </c>
      <c r="I31" s="344">
        <v>8</v>
      </c>
      <c r="K31" s="344">
        <v>7</v>
      </c>
      <c r="L31" s="344">
        <v>5</v>
      </c>
      <c r="N31" s="344">
        <v>1</v>
      </c>
      <c r="O31" s="344">
        <v>0</v>
      </c>
      <c r="Q31" s="344">
        <v>19</v>
      </c>
      <c r="R31" s="344">
        <v>16</v>
      </c>
      <c r="T31" s="344">
        <v>8</v>
      </c>
      <c r="U31" s="344">
        <v>9</v>
      </c>
      <c r="W31" s="344">
        <v>6</v>
      </c>
      <c r="X31" s="344">
        <v>4</v>
      </c>
      <c r="Z31" s="344">
        <v>12</v>
      </c>
      <c r="AA31" s="344">
        <v>8</v>
      </c>
      <c r="AC31" s="344">
        <v>9</v>
      </c>
      <c r="AD31" s="344">
        <v>1</v>
      </c>
      <c r="AF31" s="344">
        <v>8</v>
      </c>
      <c r="AG31" s="344">
        <v>6</v>
      </c>
    </row>
    <row r="32" spans="1:33">
      <c r="A32" s="278">
        <v>30</v>
      </c>
      <c r="B32" s="279">
        <v>3</v>
      </c>
      <c r="C32" s="344">
        <v>13</v>
      </c>
      <c r="E32" s="344">
        <v>24</v>
      </c>
      <c r="F32" s="344">
        <v>10</v>
      </c>
      <c r="H32" s="344">
        <v>5</v>
      </c>
      <c r="I32" s="344">
        <v>2</v>
      </c>
      <c r="K32" s="344">
        <v>15</v>
      </c>
      <c r="L32" s="344">
        <v>14</v>
      </c>
      <c r="N32" s="344">
        <v>7</v>
      </c>
      <c r="O32" s="344">
        <v>5</v>
      </c>
      <c r="Q32" s="344">
        <v>8</v>
      </c>
      <c r="R32" s="344">
        <v>12</v>
      </c>
      <c r="T32" s="344">
        <v>5</v>
      </c>
      <c r="U32" s="344">
        <v>2</v>
      </c>
      <c r="W32" s="344">
        <v>5</v>
      </c>
      <c r="X32" s="344">
        <v>7</v>
      </c>
      <c r="Z32" s="344">
        <v>4</v>
      </c>
      <c r="AA32" s="344">
        <v>6</v>
      </c>
      <c r="AC32" s="344">
        <v>3</v>
      </c>
      <c r="AD32" s="344">
        <v>2</v>
      </c>
      <c r="AF32" s="344">
        <v>3</v>
      </c>
      <c r="AG32" s="344">
        <v>4</v>
      </c>
    </row>
    <row r="33" spans="1:33">
      <c r="A33" s="278">
        <v>31</v>
      </c>
      <c r="B33" s="279">
        <v>1</v>
      </c>
      <c r="C33" s="344">
        <v>4</v>
      </c>
      <c r="E33" s="344">
        <v>2</v>
      </c>
      <c r="F33" s="344">
        <v>3</v>
      </c>
      <c r="H33" s="344">
        <v>7</v>
      </c>
      <c r="I33" s="344">
        <v>6</v>
      </c>
      <c r="K33" s="344">
        <v>4</v>
      </c>
      <c r="L33" s="344">
        <v>1</v>
      </c>
      <c r="N33" s="344">
        <v>11</v>
      </c>
      <c r="O33" s="344">
        <v>10</v>
      </c>
      <c r="Q33" s="344">
        <v>5</v>
      </c>
      <c r="R33" s="344">
        <v>7</v>
      </c>
      <c r="T33" s="344">
        <v>3</v>
      </c>
      <c r="U33" s="344">
        <v>4</v>
      </c>
      <c r="W33" s="344">
        <v>4</v>
      </c>
      <c r="X33" s="344">
        <v>3</v>
      </c>
      <c r="Z33" s="344">
        <v>7</v>
      </c>
      <c r="AA33" s="344">
        <v>5</v>
      </c>
      <c r="AC33" s="344">
        <v>2</v>
      </c>
      <c r="AD33" s="344">
        <v>1</v>
      </c>
      <c r="AF33" s="344">
        <v>6</v>
      </c>
      <c r="AG33" s="344">
        <v>16</v>
      </c>
    </row>
    <row r="34" spans="1:33">
      <c r="A34" s="278">
        <v>32</v>
      </c>
      <c r="B34" s="279">
        <v>6</v>
      </c>
      <c r="C34" s="344">
        <v>8</v>
      </c>
      <c r="E34" s="344">
        <v>10</v>
      </c>
      <c r="F34" s="344">
        <v>11</v>
      </c>
      <c r="H34" s="344">
        <v>7</v>
      </c>
      <c r="I34" s="344">
        <v>6</v>
      </c>
      <c r="K34" s="344">
        <v>7</v>
      </c>
      <c r="L34" s="344">
        <v>6</v>
      </c>
      <c r="N34" s="344">
        <v>1</v>
      </c>
      <c r="O34" s="344">
        <v>7</v>
      </c>
      <c r="Q34" s="344">
        <v>14</v>
      </c>
      <c r="R34" s="344">
        <v>15</v>
      </c>
      <c r="T34" s="344">
        <v>5</v>
      </c>
      <c r="U34" s="344">
        <v>1</v>
      </c>
      <c r="W34" s="344">
        <v>17</v>
      </c>
      <c r="X34" s="344">
        <v>1</v>
      </c>
      <c r="Z34" s="344">
        <v>4</v>
      </c>
      <c r="AA34" s="344">
        <v>3</v>
      </c>
      <c r="AC34" s="344">
        <v>8</v>
      </c>
      <c r="AD34" s="344">
        <v>3</v>
      </c>
      <c r="AF34" s="344">
        <v>8</v>
      </c>
      <c r="AG34" s="344">
        <v>11</v>
      </c>
    </row>
    <row r="35" spans="1:33">
      <c r="A35" s="278">
        <v>33</v>
      </c>
      <c r="B35" s="279">
        <v>3</v>
      </c>
      <c r="C35" s="344">
        <v>4</v>
      </c>
      <c r="E35" s="344">
        <v>7</v>
      </c>
      <c r="F35" s="344">
        <v>1</v>
      </c>
      <c r="H35" s="344">
        <v>1</v>
      </c>
      <c r="I35" s="344">
        <v>8</v>
      </c>
      <c r="K35" s="344">
        <v>6</v>
      </c>
      <c r="L35" s="344">
        <v>11</v>
      </c>
      <c r="N35" s="344">
        <v>19</v>
      </c>
      <c r="O35" s="344">
        <v>6</v>
      </c>
      <c r="Q35" s="344">
        <v>3</v>
      </c>
      <c r="R35" s="344">
        <v>4</v>
      </c>
      <c r="T35" s="344">
        <v>13</v>
      </c>
      <c r="U35" s="344">
        <v>3</v>
      </c>
      <c r="W35" s="344">
        <v>7</v>
      </c>
      <c r="X35" s="344">
        <v>4</v>
      </c>
      <c r="Z35" s="344">
        <v>8</v>
      </c>
      <c r="AA35" s="344">
        <v>9</v>
      </c>
      <c r="AC35" s="344">
        <v>8</v>
      </c>
      <c r="AD35" s="344">
        <v>6</v>
      </c>
      <c r="AF35" s="344">
        <v>6</v>
      </c>
      <c r="AG35" s="344">
        <v>8</v>
      </c>
    </row>
    <row r="36" spans="1:33">
      <c r="A36" s="278">
        <v>34</v>
      </c>
      <c r="B36" s="279">
        <v>1</v>
      </c>
      <c r="C36" s="344">
        <v>6</v>
      </c>
      <c r="E36" s="344">
        <v>2</v>
      </c>
      <c r="F36" s="344">
        <v>5</v>
      </c>
      <c r="H36" s="344">
        <v>2</v>
      </c>
      <c r="I36" s="344">
        <v>3</v>
      </c>
      <c r="K36" s="344">
        <v>6</v>
      </c>
      <c r="L36" s="344">
        <v>5</v>
      </c>
      <c r="N36" s="344">
        <v>11</v>
      </c>
      <c r="O36" s="344">
        <v>8</v>
      </c>
      <c r="Q36" s="344">
        <v>9</v>
      </c>
      <c r="R36" s="344">
        <v>8</v>
      </c>
      <c r="T36" s="344">
        <v>6</v>
      </c>
      <c r="U36" s="344">
        <v>7</v>
      </c>
      <c r="W36" s="344">
        <v>11</v>
      </c>
      <c r="X36" s="344">
        <v>1</v>
      </c>
      <c r="Z36" s="344">
        <v>8</v>
      </c>
      <c r="AA36" s="344">
        <v>6</v>
      </c>
      <c r="AC36" s="344">
        <v>10</v>
      </c>
      <c r="AD36" s="344">
        <v>11</v>
      </c>
      <c r="AF36" s="344">
        <v>2</v>
      </c>
      <c r="AG36" s="344">
        <v>4</v>
      </c>
    </row>
    <row r="37" spans="1:33">
      <c r="A37" s="278">
        <v>35</v>
      </c>
      <c r="B37" s="279">
        <v>12</v>
      </c>
      <c r="C37" s="344">
        <v>8</v>
      </c>
      <c r="E37" s="344">
        <v>6</v>
      </c>
      <c r="F37" s="344">
        <v>7</v>
      </c>
      <c r="H37" s="344">
        <v>4</v>
      </c>
      <c r="I37" s="344">
        <v>16</v>
      </c>
      <c r="K37" s="344">
        <v>5</v>
      </c>
      <c r="L37" s="344">
        <v>9</v>
      </c>
      <c r="N37" s="344">
        <v>5</v>
      </c>
      <c r="O37" s="344">
        <v>19</v>
      </c>
      <c r="Q37" s="344">
        <v>4</v>
      </c>
      <c r="R37" s="344">
        <v>7</v>
      </c>
      <c r="T37" s="344">
        <v>11</v>
      </c>
      <c r="U37" s="344">
        <v>10</v>
      </c>
      <c r="W37" s="344">
        <v>8</v>
      </c>
      <c r="X37" s="344">
        <v>5</v>
      </c>
      <c r="Z37" s="344">
        <v>4</v>
      </c>
      <c r="AA37" s="344">
        <v>2</v>
      </c>
      <c r="AC37" s="344">
        <v>4</v>
      </c>
      <c r="AD37" s="344">
        <v>3</v>
      </c>
      <c r="AF37" s="344">
        <v>1</v>
      </c>
      <c r="AG37" s="344">
        <v>11</v>
      </c>
    </row>
    <row r="38" spans="1:33">
      <c r="A38" s="278">
        <v>36</v>
      </c>
      <c r="B38" s="279">
        <v>15</v>
      </c>
      <c r="C38" s="344">
        <v>5</v>
      </c>
      <c r="E38" s="344">
        <v>11</v>
      </c>
      <c r="F38" s="344">
        <v>6</v>
      </c>
      <c r="H38" s="344">
        <v>0</v>
      </c>
      <c r="I38" s="344">
        <v>5</v>
      </c>
      <c r="K38" s="344">
        <v>5</v>
      </c>
      <c r="L38" s="344">
        <v>3</v>
      </c>
      <c r="N38" s="344">
        <v>8</v>
      </c>
      <c r="O38" s="344">
        <v>3</v>
      </c>
      <c r="Q38" s="344">
        <v>19</v>
      </c>
      <c r="R38" s="344">
        <v>5</v>
      </c>
      <c r="T38" s="344">
        <v>6</v>
      </c>
      <c r="U38" s="344">
        <v>7</v>
      </c>
      <c r="W38" s="344">
        <v>9</v>
      </c>
      <c r="X38" s="344">
        <v>7</v>
      </c>
      <c r="Z38" s="344">
        <v>18</v>
      </c>
      <c r="AA38" s="344">
        <v>2</v>
      </c>
      <c r="AC38" s="344">
        <v>6</v>
      </c>
      <c r="AD38" s="344">
        <v>1</v>
      </c>
      <c r="AF38" s="344">
        <v>5</v>
      </c>
      <c r="AG38" s="344">
        <v>8</v>
      </c>
    </row>
    <row r="39" spans="1:33">
      <c r="A39" s="278">
        <v>37</v>
      </c>
      <c r="B39" s="279">
        <v>10</v>
      </c>
      <c r="C39" s="344">
        <v>9</v>
      </c>
      <c r="E39" s="344">
        <v>5</v>
      </c>
      <c r="F39" s="344">
        <v>6</v>
      </c>
      <c r="H39" s="344">
        <v>5</v>
      </c>
      <c r="I39" s="344">
        <v>2</v>
      </c>
      <c r="K39" s="344">
        <v>5</v>
      </c>
      <c r="L39" s="344">
        <v>9</v>
      </c>
      <c r="N39" s="344">
        <v>4</v>
      </c>
      <c r="O39" s="344">
        <v>6</v>
      </c>
      <c r="Q39" s="344">
        <v>6</v>
      </c>
      <c r="R39" s="344">
        <v>4</v>
      </c>
      <c r="T39" s="344">
        <v>8</v>
      </c>
      <c r="U39" s="344">
        <v>1</v>
      </c>
      <c r="W39" s="344">
        <v>9</v>
      </c>
      <c r="X39" s="344">
        <v>10</v>
      </c>
      <c r="Z39" s="344">
        <v>11</v>
      </c>
      <c r="AA39" s="344">
        <v>6</v>
      </c>
      <c r="AC39" s="344">
        <v>9</v>
      </c>
      <c r="AD39" s="344">
        <v>5</v>
      </c>
      <c r="AF39" s="344">
        <v>5</v>
      </c>
      <c r="AG39" s="344">
        <v>4</v>
      </c>
    </row>
    <row r="40" spans="1:33">
      <c r="A40" s="278">
        <v>38</v>
      </c>
      <c r="B40" s="279">
        <v>11</v>
      </c>
      <c r="C40" s="344">
        <v>12</v>
      </c>
      <c r="E40" s="344">
        <v>8</v>
      </c>
      <c r="F40" s="344">
        <v>12</v>
      </c>
      <c r="H40" s="344">
        <v>3</v>
      </c>
      <c r="I40" s="344">
        <v>2</v>
      </c>
      <c r="K40" s="344">
        <v>2</v>
      </c>
      <c r="L40" s="344">
        <v>13</v>
      </c>
      <c r="N40" s="344">
        <v>9</v>
      </c>
      <c r="O40" s="344">
        <v>5</v>
      </c>
      <c r="Q40" s="344">
        <v>7</v>
      </c>
      <c r="R40" s="344">
        <v>9</v>
      </c>
      <c r="T40" s="344">
        <v>3</v>
      </c>
      <c r="U40" s="344">
        <v>2</v>
      </c>
      <c r="W40" s="344">
        <v>12</v>
      </c>
      <c r="X40" s="344">
        <v>11</v>
      </c>
      <c r="Z40" s="344">
        <v>11</v>
      </c>
      <c r="AA40" s="344">
        <v>8</v>
      </c>
      <c r="AC40" s="344">
        <v>3</v>
      </c>
      <c r="AD40" s="344">
        <v>5</v>
      </c>
      <c r="AF40" s="344">
        <v>1</v>
      </c>
      <c r="AG40" s="344">
        <v>2</v>
      </c>
    </row>
    <row r="41" spans="1:33">
      <c r="A41" s="278">
        <v>39</v>
      </c>
      <c r="B41" s="279">
        <v>14</v>
      </c>
      <c r="C41" s="344">
        <v>8</v>
      </c>
      <c r="E41" s="344">
        <v>5</v>
      </c>
      <c r="F41" s="344">
        <v>15</v>
      </c>
      <c r="H41" s="344">
        <v>12</v>
      </c>
      <c r="I41" s="344">
        <v>5</v>
      </c>
      <c r="K41" s="344">
        <v>5</v>
      </c>
      <c r="L41" s="344">
        <v>3</v>
      </c>
      <c r="N41" s="344">
        <v>2</v>
      </c>
      <c r="O41" s="344">
        <v>11</v>
      </c>
      <c r="Q41" s="344">
        <v>4</v>
      </c>
      <c r="R41" s="344">
        <v>5</v>
      </c>
      <c r="T41" s="344">
        <v>16</v>
      </c>
      <c r="U41" s="344">
        <v>4</v>
      </c>
      <c r="W41" s="344">
        <v>3</v>
      </c>
      <c r="X41" s="344">
        <v>9</v>
      </c>
      <c r="Z41" s="344">
        <v>5</v>
      </c>
      <c r="AA41" s="344">
        <v>9</v>
      </c>
      <c r="AC41" s="344">
        <v>5</v>
      </c>
      <c r="AD41" s="344">
        <v>0</v>
      </c>
      <c r="AF41" s="344">
        <v>6</v>
      </c>
      <c r="AG41" s="344">
        <v>1</v>
      </c>
    </row>
    <row r="42" spans="1:33">
      <c r="A42" s="278">
        <v>40</v>
      </c>
      <c r="B42" s="279">
        <v>5</v>
      </c>
      <c r="C42" s="344">
        <v>12</v>
      </c>
      <c r="E42" s="344">
        <v>0</v>
      </c>
      <c r="F42" s="344">
        <v>9</v>
      </c>
      <c r="H42" s="344">
        <v>9</v>
      </c>
      <c r="I42" s="344">
        <v>6</v>
      </c>
      <c r="K42" s="344">
        <v>0</v>
      </c>
      <c r="L42" s="344">
        <v>12</v>
      </c>
      <c r="N42" s="344">
        <v>12</v>
      </c>
      <c r="O42" s="344">
        <v>1</v>
      </c>
      <c r="Q42" s="344">
        <v>11</v>
      </c>
      <c r="R42" s="344">
        <v>2</v>
      </c>
      <c r="T42" s="344">
        <v>8</v>
      </c>
      <c r="U42" s="344">
        <v>11</v>
      </c>
      <c r="W42" s="344">
        <v>3</v>
      </c>
      <c r="X42" s="344">
        <v>7</v>
      </c>
      <c r="Z42" s="344">
        <v>13</v>
      </c>
      <c r="AA42" s="344">
        <v>2</v>
      </c>
      <c r="AC42" s="344">
        <v>2</v>
      </c>
      <c r="AD42" s="344">
        <v>5</v>
      </c>
      <c r="AF42" s="344">
        <v>9</v>
      </c>
      <c r="AG42" s="344">
        <v>2</v>
      </c>
    </row>
    <row r="43" spans="1:33">
      <c r="A43" s="278">
        <v>41</v>
      </c>
      <c r="B43" s="279">
        <v>6</v>
      </c>
      <c r="C43" s="344">
        <v>9</v>
      </c>
      <c r="E43" s="344">
        <v>4</v>
      </c>
      <c r="F43" s="344">
        <v>8</v>
      </c>
      <c r="H43" s="344">
        <v>5</v>
      </c>
      <c r="I43" s="344">
        <v>8</v>
      </c>
      <c r="K43" s="344">
        <v>9</v>
      </c>
      <c r="L43" s="344">
        <v>0</v>
      </c>
      <c r="N43" s="344">
        <v>7</v>
      </c>
      <c r="O43" s="344">
        <v>12</v>
      </c>
      <c r="Q43" s="344">
        <v>1</v>
      </c>
      <c r="R43" s="344">
        <v>12</v>
      </c>
      <c r="T43" s="344">
        <v>9</v>
      </c>
      <c r="U43" s="344">
        <v>5</v>
      </c>
      <c r="W43" s="344">
        <v>10</v>
      </c>
      <c r="X43" s="344">
        <v>11</v>
      </c>
      <c r="Z43" s="344">
        <v>3</v>
      </c>
      <c r="AA43" s="344">
        <v>5</v>
      </c>
      <c r="AC43" s="344">
        <v>2</v>
      </c>
      <c r="AD43" s="344">
        <v>3</v>
      </c>
      <c r="AF43" s="344">
        <v>1</v>
      </c>
      <c r="AG43" s="344">
        <v>2</v>
      </c>
    </row>
    <row r="44" spans="1:33">
      <c r="A44" s="278">
        <v>42</v>
      </c>
      <c r="B44" s="279">
        <v>8</v>
      </c>
      <c r="C44" s="344">
        <v>5</v>
      </c>
      <c r="E44" s="344">
        <v>9</v>
      </c>
      <c r="F44" s="344">
        <v>1</v>
      </c>
      <c r="H44" s="344">
        <v>2</v>
      </c>
      <c r="I44" s="344">
        <v>4</v>
      </c>
      <c r="K44" s="344">
        <v>8</v>
      </c>
      <c r="L44" s="344">
        <v>4</v>
      </c>
      <c r="N44" s="344">
        <v>6</v>
      </c>
      <c r="O44" s="344">
        <v>12</v>
      </c>
      <c r="Q44" s="344">
        <v>12</v>
      </c>
      <c r="R44" s="344">
        <v>7</v>
      </c>
      <c r="T44" s="344">
        <v>9</v>
      </c>
      <c r="U44" s="344">
        <v>3</v>
      </c>
      <c r="W44" s="344">
        <v>8</v>
      </c>
      <c r="X44" s="344">
        <v>10</v>
      </c>
      <c r="Z44" s="344">
        <v>9</v>
      </c>
      <c r="AA44" s="344">
        <v>2</v>
      </c>
      <c r="AC44" s="344">
        <v>12</v>
      </c>
      <c r="AD44" s="344">
        <v>0</v>
      </c>
      <c r="AF44" s="344">
        <v>2</v>
      </c>
      <c r="AG44" s="344">
        <v>9</v>
      </c>
    </row>
    <row r="45" spans="1:33">
      <c r="A45" s="278">
        <v>43</v>
      </c>
      <c r="B45" s="279">
        <v>4</v>
      </c>
      <c r="C45" s="344">
        <v>2</v>
      </c>
      <c r="E45" s="344">
        <v>3</v>
      </c>
      <c r="F45" s="344">
        <v>4</v>
      </c>
      <c r="H45" s="344">
        <v>6</v>
      </c>
      <c r="I45" s="344">
        <v>4</v>
      </c>
      <c r="K45" s="344">
        <v>10</v>
      </c>
      <c r="L45" s="344">
        <v>8</v>
      </c>
      <c r="N45" s="344">
        <v>17</v>
      </c>
      <c r="O45" s="344">
        <v>6</v>
      </c>
      <c r="Q45" s="344">
        <v>11</v>
      </c>
      <c r="R45" s="344">
        <v>10</v>
      </c>
      <c r="T45" s="344">
        <v>7</v>
      </c>
      <c r="U45" s="344">
        <v>3</v>
      </c>
      <c r="W45" s="344">
        <v>4</v>
      </c>
      <c r="X45" s="344">
        <v>5</v>
      </c>
      <c r="Z45" s="344">
        <v>14</v>
      </c>
      <c r="AA45" s="344">
        <v>2</v>
      </c>
      <c r="AC45" s="344">
        <v>7</v>
      </c>
      <c r="AD45" s="344">
        <v>5</v>
      </c>
      <c r="AF45" s="344">
        <v>2</v>
      </c>
      <c r="AG45" s="344">
        <v>14</v>
      </c>
    </row>
    <row r="46" spans="1:33">
      <c r="A46" s="278">
        <v>44</v>
      </c>
      <c r="B46" s="279">
        <v>1</v>
      </c>
      <c r="C46" s="344">
        <v>4</v>
      </c>
      <c r="E46" s="344">
        <v>3</v>
      </c>
      <c r="F46" s="344">
        <v>5</v>
      </c>
      <c r="H46" s="344">
        <v>0</v>
      </c>
      <c r="I46" s="344">
        <v>14</v>
      </c>
      <c r="K46" s="344">
        <v>5</v>
      </c>
      <c r="L46" s="344">
        <v>4</v>
      </c>
      <c r="N46" s="344">
        <v>16</v>
      </c>
      <c r="O46" s="344">
        <v>10</v>
      </c>
      <c r="Q46" s="344">
        <v>4</v>
      </c>
      <c r="R46" s="344">
        <v>1</v>
      </c>
      <c r="T46" s="344">
        <v>5</v>
      </c>
      <c r="U46" s="344">
        <v>7</v>
      </c>
      <c r="W46" s="344">
        <v>0</v>
      </c>
      <c r="X46" s="344">
        <v>3</v>
      </c>
      <c r="Z46" s="344">
        <v>11</v>
      </c>
      <c r="AA46" s="344">
        <v>4</v>
      </c>
      <c r="AC46" s="344">
        <v>1</v>
      </c>
      <c r="AD46" s="344">
        <v>9</v>
      </c>
      <c r="AF46" s="344">
        <v>1</v>
      </c>
      <c r="AG46" s="344">
        <v>4</v>
      </c>
    </row>
    <row r="47" spans="1:33">
      <c r="A47" s="278">
        <v>45</v>
      </c>
      <c r="B47" s="279">
        <v>2</v>
      </c>
      <c r="C47" s="344">
        <v>17</v>
      </c>
      <c r="E47" s="344">
        <v>10</v>
      </c>
      <c r="F47" s="344">
        <v>4</v>
      </c>
      <c r="H47" s="344">
        <v>6</v>
      </c>
      <c r="I47" s="344">
        <v>13</v>
      </c>
      <c r="K47" s="344">
        <v>4</v>
      </c>
      <c r="L47" s="344">
        <v>6</v>
      </c>
      <c r="N47" s="344">
        <v>3</v>
      </c>
      <c r="O47" s="344">
        <v>0</v>
      </c>
      <c r="Q47" s="344">
        <v>6</v>
      </c>
      <c r="R47" s="344">
        <v>17</v>
      </c>
      <c r="T47" s="344">
        <v>4</v>
      </c>
      <c r="U47" s="344">
        <v>1</v>
      </c>
      <c r="W47" s="344">
        <v>3</v>
      </c>
      <c r="X47" s="344">
        <v>7</v>
      </c>
      <c r="Z47" s="344">
        <v>9</v>
      </c>
      <c r="AA47" s="344">
        <v>0</v>
      </c>
      <c r="AC47" s="344">
        <v>4</v>
      </c>
      <c r="AD47" s="344">
        <v>3</v>
      </c>
      <c r="AF47" s="344">
        <v>11</v>
      </c>
      <c r="AG47" s="344">
        <v>0</v>
      </c>
    </row>
    <row r="48" spans="1:33">
      <c r="A48" s="278">
        <v>46</v>
      </c>
      <c r="B48" s="279">
        <v>4</v>
      </c>
      <c r="C48" s="344">
        <v>10</v>
      </c>
      <c r="E48" s="344">
        <v>14</v>
      </c>
      <c r="F48" s="344">
        <v>16</v>
      </c>
      <c r="H48" s="344">
        <v>2</v>
      </c>
      <c r="I48" s="344">
        <v>12</v>
      </c>
      <c r="K48" s="344">
        <v>14</v>
      </c>
      <c r="L48" s="344">
        <v>0</v>
      </c>
      <c r="N48" s="344">
        <v>7</v>
      </c>
      <c r="O48" s="344">
        <v>3</v>
      </c>
      <c r="Q48" s="344">
        <v>10</v>
      </c>
      <c r="R48" s="344">
        <v>16</v>
      </c>
      <c r="T48" s="344">
        <v>17</v>
      </c>
      <c r="U48" s="344">
        <v>2</v>
      </c>
      <c r="W48" s="344">
        <v>2</v>
      </c>
      <c r="X48" s="344">
        <v>5</v>
      </c>
      <c r="Z48" s="344">
        <v>8</v>
      </c>
      <c r="AA48" s="344">
        <v>4</v>
      </c>
      <c r="AC48" s="344">
        <v>5</v>
      </c>
      <c r="AD48" s="344">
        <v>3</v>
      </c>
      <c r="AF48" s="344">
        <v>6</v>
      </c>
      <c r="AG48" s="344">
        <v>13</v>
      </c>
    </row>
    <row r="49" spans="1:33">
      <c r="A49" s="278">
        <v>47</v>
      </c>
      <c r="B49" s="279">
        <v>16</v>
      </c>
      <c r="C49" s="344">
        <v>14</v>
      </c>
      <c r="E49" s="344">
        <v>8</v>
      </c>
      <c r="F49" s="344">
        <v>7</v>
      </c>
      <c r="H49" s="344">
        <v>1</v>
      </c>
      <c r="I49" s="344">
        <v>8</v>
      </c>
      <c r="K49" s="344">
        <v>13</v>
      </c>
      <c r="L49" s="344">
        <v>6</v>
      </c>
      <c r="N49" s="344">
        <v>24</v>
      </c>
      <c r="O49" s="344">
        <v>4</v>
      </c>
      <c r="Q49" s="344">
        <v>13</v>
      </c>
      <c r="R49" s="344">
        <v>6</v>
      </c>
      <c r="T49" s="344">
        <v>0</v>
      </c>
      <c r="U49" s="344">
        <v>0</v>
      </c>
      <c r="W49" s="344">
        <v>6</v>
      </c>
      <c r="X49" s="344">
        <v>3</v>
      </c>
      <c r="Z49" s="344">
        <v>6</v>
      </c>
      <c r="AA49" s="344">
        <v>4</v>
      </c>
      <c r="AC49" s="344">
        <v>12</v>
      </c>
      <c r="AD49" s="344">
        <v>2</v>
      </c>
      <c r="AF49" s="344">
        <v>5</v>
      </c>
      <c r="AG49" s="344">
        <v>2</v>
      </c>
    </row>
    <row r="50" spans="1:33">
      <c r="A50" s="278">
        <v>48</v>
      </c>
      <c r="B50" s="279">
        <v>7</v>
      </c>
      <c r="C50" s="344">
        <v>8</v>
      </c>
      <c r="E50" s="344">
        <v>1</v>
      </c>
      <c r="F50" s="344">
        <v>6</v>
      </c>
      <c r="H50" s="344">
        <v>0</v>
      </c>
      <c r="I50" s="344">
        <v>0</v>
      </c>
      <c r="K50" s="344">
        <v>11</v>
      </c>
      <c r="L50" s="344">
        <v>2</v>
      </c>
      <c r="N50" s="344">
        <v>2</v>
      </c>
      <c r="O50" s="344">
        <v>1</v>
      </c>
      <c r="Q50" s="344">
        <v>4</v>
      </c>
      <c r="R50" s="344">
        <v>6</v>
      </c>
      <c r="T50" s="344">
        <v>0</v>
      </c>
      <c r="U50" s="344">
        <v>0</v>
      </c>
      <c r="W50" s="344">
        <v>4</v>
      </c>
      <c r="X50" s="344">
        <v>0</v>
      </c>
      <c r="Z50" s="344">
        <v>13</v>
      </c>
      <c r="AA50" s="344">
        <v>3</v>
      </c>
      <c r="AC50" s="344">
        <v>8</v>
      </c>
      <c r="AD50" s="344">
        <v>1</v>
      </c>
      <c r="AF50" s="344">
        <v>3</v>
      </c>
      <c r="AG50" s="344">
        <v>6</v>
      </c>
    </row>
    <row r="51" spans="1:33">
      <c r="A51" s="278">
        <v>49</v>
      </c>
      <c r="B51" s="279">
        <v>3</v>
      </c>
      <c r="C51" s="344">
        <v>2</v>
      </c>
      <c r="E51" s="344">
        <v>4</v>
      </c>
      <c r="F51" s="344">
        <v>5</v>
      </c>
      <c r="H51" s="344">
        <v>0</v>
      </c>
      <c r="I51" s="344">
        <v>0</v>
      </c>
      <c r="K51" s="344">
        <v>4</v>
      </c>
      <c r="L51" s="344">
        <v>6</v>
      </c>
      <c r="N51" s="344">
        <v>8</v>
      </c>
      <c r="O51" s="344">
        <v>6</v>
      </c>
      <c r="Q51" s="344">
        <v>3</v>
      </c>
      <c r="R51" s="344">
        <v>13</v>
      </c>
      <c r="T51" s="344">
        <v>6</v>
      </c>
      <c r="U51" s="344">
        <v>4</v>
      </c>
      <c r="W51" s="344">
        <v>15</v>
      </c>
      <c r="X51" s="344">
        <v>1</v>
      </c>
      <c r="Z51" s="344">
        <v>7</v>
      </c>
      <c r="AA51" s="344">
        <v>3</v>
      </c>
      <c r="AC51" s="344">
        <v>2</v>
      </c>
      <c r="AD51" s="344">
        <v>3</v>
      </c>
      <c r="AF51" s="344">
        <v>0</v>
      </c>
      <c r="AG51" s="344">
        <v>4</v>
      </c>
    </row>
    <row r="52" spans="1:33">
      <c r="A52" s="278">
        <v>50</v>
      </c>
      <c r="B52" s="279">
        <v>2</v>
      </c>
      <c r="C52" s="344">
        <v>11</v>
      </c>
      <c r="E52" s="344">
        <v>0</v>
      </c>
      <c r="F52" s="344">
        <v>9</v>
      </c>
      <c r="H52" s="344">
        <v>6</v>
      </c>
      <c r="I52" s="344">
        <v>2</v>
      </c>
      <c r="K52" s="344">
        <v>4</v>
      </c>
      <c r="L52" s="344">
        <v>2</v>
      </c>
      <c r="N52" s="344">
        <v>7</v>
      </c>
      <c r="O52" s="344">
        <v>1</v>
      </c>
      <c r="Q52" s="344">
        <v>14</v>
      </c>
      <c r="R52" s="344">
        <v>6</v>
      </c>
      <c r="T52" s="344">
        <v>9</v>
      </c>
      <c r="U52" s="344">
        <v>0</v>
      </c>
      <c r="W52" s="344">
        <v>6</v>
      </c>
      <c r="X52" s="344">
        <v>14</v>
      </c>
      <c r="Z52" s="344">
        <v>5</v>
      </c>
      <c r="AA52" s="344">
        <v>4</v>
      </c>
      <c r="AC52" s="344">
        <v>6</v>
      </c>
      <c r="AD52" s="344">
        <v>1</v>
      </c>
      <c r="AF52" s="344">
        <v>3</v>
      </c>
      <c r="AG52" s="344">
        <v>7</v>
      </c>
    </row>
    <row r="53" spans="1:33">
      <c r="A53" s="278">
        <v>51</v>
      </c>
      <c r="B53" s="279">
        <v>2</v>
      </c>
      <c r="C53" s="344">
        <v>6</v>
      </c>
      <c r="E53" s="344">
        <v>5</v>
      </c>
      <c r="F53" s="344">
        <v>1</v>
      </c>
      <c r="H53" s="344">
        <v>2</v>
      </c>
      <c r="I53" s="344">
        <v>6</v>
      </c>
      <c r="K53" s="344">
        <v>0</v>
      </c>
      <c r="L53" s="344">
        <v>7</v>
      </c>
      <c r="N53" s="344">
        <v>6</v>
      </c>
      <c r="O53" s="344">
        <v>7</v>
      </c>
      <c r="Q53" s="344">
        <v>11</v>
      </c>
      <c r="R53" s="344">
        <v>20</v>
      </c>
      <c r="T53" s="344">
        <v>1</v>
      </c>
      <c r="U53" s="344">
        <v>5</v>
      </c>
      <c r="W53" s="344">
        <v>20</v>
      </c>
      <c r="X53" s="344">
        <v>11</v>
      </c>
      <c r="Z53" s="344">
        <v>10</v>
      </c>
      <c r="AA53" s="344">
        <v>3</v>
      </c>
      <c r="AC53" s="344">
        <v>5</v>
      </c>
      <c r="AD53" s="344">
        <v>4</v>
      </c>
      <c r="AF53" s="344"/>
      <c r="AG53" s="344"/>
    </row>
    <row r="54" spans="1:33">
      <c r="A54" s="278">
        <v>52</v>
      </c>
      <c r="B54" s="279">
        <v>6</v>
      </c>
      <c r="C54" s="344">
        <v>2</v>
      </c>
      <c r="E54" s="344">
        <v>1</v>
      </c>
      <c r="F54" s="344">
        <v>7</v>
      </c>
      <c r="H54" s="344">
        <v>1</v>
      </c>
      <c r="I54" s="344">
        <v>10</v>
      </c>
      <c r="K54" s="344">
        <v>1</v>
      </c>
      <c r="L54" s="344">
        <v>4</v>
      </c>
      <c r="N54" s="344">
        <v>7</v>
      </c>
      <c r="O54" s="344">
        <v>14</v>
      </c>
      <c r="Q54" s="344">
        <v>11</v>
      </c>
      <c r="R54" s="344">
        <v>8</v>
      </c>
      <c r="T54" s="344">
        <v>7</v>
      </c>
      <c r="U54" s="344">
        <v>1</v>
      </c>
      <c r="W54" s="344">
        <v>3</v>
      </c>
      <c r="X54" s="344">
        <v>10</v>
      </c>
      <c r="Z54" s="344">
        <v>6</v>
      </c>
      <c r="AA54" s="344">
        <v>7</v>
      </c>
      <c r="AC54" s="344">
        <v>2</v>
      </c>
      <c r="AD54" s="344">
        <v>4</v>
      </c>
      <c r="AF54" s="344"/>
      <c r="AG54" s="344"/>
    </row>
    <row r="55" spans="1:33">
      <c r="A55" s="278">
        <v>53</v>
      </c>
      <c r="B55" s="279">
        <v>10</v>
      </c>
      <c r="C55" s="344">
        <v>1</v>
      </c>
      <c r="E55" s="344">
        <v>5</v>
      </c>
      <c r="F55" s="344">
        <v>9</v>
      </c>
      <c r="H55" s="344">
        <v>4</v>
      </c>
      <c r="I55" s="344">
        <v>13</v>
      </c>
      <c r="K55" s="344">
        <v>6</v>
      </c>
      <c r="L55" s="344">
        <v>9</v>
      </c>
      <c r="N55" s="344">
        <v>10</v>
      </c>
      <c r="O55" s="344">
        <v>14</v>
      </c>
      <c r="Q55" s="344">
        <v>16</v>
      </c>
      <c r="R55" s="344">
        <v>1</v>
      </c>
      <c r="T55" s="344">
        <v>4</v>
      </c>
      <c r="U55" s="344">
        <v>1</v>
      </c>
      <c r="W55" s="344">
        <v>7</v>
      </c>
      <c r="X55" s="344">
        <v>6</v>
      </c>
      <c r="Z55" s="344">
        <v>2</v>
      </c>
      <c r="AA55" s="344">
        <v>4</v>
      </c>
      <c r="AC55" s="344">
        <v>7</v>
      </c>
      <c r="AD55" s="344">
        <v>0</v>
      </c>
      <c r="AF55" s="344"/>
      <c r="AG55" s="344"/>
    </row>
    <row r="56" spans="1:33">
      <c r="A56" s="278">
        <v>54</v>
      </c>
      <c r="B56" s="279">
        <v>13</v>
      </c>
      <c r="C56" s="344">
        <v>4</v>
      </c>
      <c r="E56" s="344">
        <v>4</v>
      </c>
      <c r="F56" s="344">
        <v>7</v>
      </c>
      <c r="H56" s="344">
        <v>7</v>
      </c>
      <c r="I56" s="344">
        <v>4</v>
      </c>
      <c r="K56" s="344">
        <v>5</v>
      </c>
      <c r="L56" s="344">
        <v>6</v>
      </c>
      <c r="N56" s="344">
        <v>5</v>
      </c>
      <c r="O56" s="344">
        <v>7</v>
      </c>
      <c r="Q56" s="344">
        <v>8</v>
      </c>
      <c r="R56" s="344">
        <v>7</v>
      </c>
      <c r="T56" s="344">
        <v>9</v>
      </c>
      <c r="U56" s="344">
        <v>6</v>
      </c>
      <c r="W56" s="344">
        <v>4</v>
      </c>
      <c r="X56" s="344">
        <v>2</v>
      </c>
      <c r="Z56" s="344">
        <v>14</v>
      </c>
      <c r="AA56" s="344">
        <v>10</v>
      </c>
      <c r="AC56" s="344">
        <v>9</v>
      </c>
      <c r="AD56" s="344">
        <v>5</v>
      </c>
      <c r="AF56" s="344"/>
      <c r="AG56" s="344"/>
    </row>
    <row r="57" spans="1:33">
      <c r="A57" s="293">
        <v>55</v>
      </c>
      <c r="B57" s="294">
        <v>6</v>
      </c>
      <c r="C57" s="295">
        <v>5</v>
      </c>
      <c r="E57" s="295">
        <v>6</v>
      </c>
      <c r="F57" s="295">
        <v>5</v>
      </c>
      <c r="H57" s="295">
        <v>5</v>
      </c>
      <c r="I57" s="295">
        <v>6</v>
      </c>
      <c r="K57" s="295">
        <v>7</v>
      </c>
      <c r="L57" s="295">
        <v>3</v>
      </c>
      <c r="N57" s="295"/>
      <c r="O57" s="295"/>
      <c r="Q57" s="295">
        <v>16</v>
      </c>
      <c r="R57" s="295">
        <v>8</v>
      </c>
      <c r="T57" s="295">
        <v>5</v>
      </c>
      <c r="U57" s="295">
        <v>3</v>
      </c>
      <c r="W57" s="295">
        <v>13</v>
      </c>
      <c r="X57" s="295">
        <v>12</v>
      </c>
      <c r="Z57" s="295">
        <v>7</v>
      </c>
      <c r="AA57" s="295">
        <v>5</v>
      </c>
      <c r="AC57" s="295">
        <v>3</v>
      </c>
      <c r="AD57" s="295">
        <v>5</v>
      </c>
      <c r="AF57" s="295"/>
      <c r="AG57" s="295"/>
    </row>
    <row r="58" spans="1:33">
      <c r="A58" s="278">
        <v>56</v>
      </c>
      <c r="B58" s="344">
        <v>7</v>
      </c>
      <c r="C58" s="344">
        <v>3</v>
      </c>
      <c r="E58" s="344"/>
      <c r="F58" s="344"/>
      <c r="H58" s="344"/>
      <c r="I58" s="344"/>
      <c r="K58" s="344"/>
      <c r="L58" s="344"/>
      <c r="N58" s="344"/>
      <c r="O58" s="344"/>
      <c r="Q58" s="344">
        <v>9</v>
      </c>
      <c r="R58" s="344">
        <v>4</v>
      </c>
      <c r="T58" s="344">
        <v>2</v>
      </c>
      <c r="U58" s="344">
        <v>8</v>
      </c>
      <c r="W58" s="344">
        <v>4</v>
      </c>
      <c r="X58" s="344">
        <v>9</v>
      </c>
      <c r="Z58" s="344"/>
      <c r="AA58" s="344"/>
      <c r="AC58" s="344">
        <v>8</v>
      </c>
      <c r="AD58" s="344">
        <v>2</v>
      </c>
      <c r="AF58" s="344"/>
      <c r="AG58" s="344"/>
    </row>
    <row r="60" spans="1:33">
      <c r="A60" s="278" t="s">
        <v>1471</v>
      </c>
      <c r="B60" s="344">
        <f>SUM(B3:B58)</f>
        <v>347</v>
      </c>
      <c r="C60" s="344">
        <f>SUM(C3:C58)</f>
        <v>434</v>
      </c>
      <c r="E60" s="344">
        <f>SUM(E3:E58)</f>
        <v>319</v>
      </c>
      <c r="F60" s="344">
        <f>SUM(F3:F58)</f>
        <v>385</v>
      </c>
      <c r="H60" s="344">
        <f>SUM(H3:H58)</f>
        <v>224</v>
      </c>
      <c r="I60" s="344">
        <f>SUM(I3:I58)</f>
        <v>334</v>
      </c>
      <c r="K60" s="344">
        <f>SUM(K3:K58)</f>
        <v>363</v>
      </c>
      <c r="L60" s="344">
        <f>SUM(L3:L58)</f>
        <v>341</v>
      </c>
      <c r="N60" s="344">
        <f>SUM(N3:N58)</f>
        <v>418</v>
      </c>
      <c r="O60" s="344">
        <f>SUM(O3:O58)</f>
        <v>377</v>
      </c>
      <c r="Q60" s="344">
        <f>SUM(Q3:Q58)</f>
        <v>459</v>
      </c>
      <c r="R60" s="344">
        <f>SUM(R3:R58)</f>
        <v>466</v>
      </c>
      <c r="T60" s="344">
        <f>SUM(T3:T58)</f>
        <v>437</v>
      </c>
      <c r="U60" s="344">
        <f>SUM(U3:U58)</f>
        <v>253</v>
      </c>
      <c r="W60" s="344">
        <f>SUM(W3:W58)</f>
        <v>416</v>
      </c>
      <c r="X60" s="344">
        <f>SUM(X3:X58)</f>
        <v>345</v>
      </c>
      <c r="Z60" s="344">
        <f>SUM(Z3:Z58)</f>
        <v>495</v>
      </c>
      <c r="AA60" s="344">
        <f>SUM(AA3:AA58)</f>
        <v>255</v>
      </c>
      <c r="AC60" s="344">
        <f>SUM(AC3:AC58)</f>
        <v>348</v>
      </c>
      <c r="AD60" s="344">
        <f>SUM(AD3:AD58)</f>
        <v>252</v>
      </c>
      <c r="AF60" s="344">
        <f>SUM(AF3:AF58)</f>
        <v>281</v>
      </c>
      <c r="AG60" s="344">
        <f>SUM(AG3:AG58)</f>
        <v>399</v>
      </c>
    </row>
    <row r="61" spans="1:33">
      <c r="A61" s="278" t="s">
        <v>1472</v>
      </c>
      <c r="B61" s="280">
        <f>AVERAGE(B3:B58)</f>
        <v>6.1964285714285712</v>
      </c>
      <c r="C61" s="280">
        <f>AVERAGE(C3:C58)</f>
        <v>7.75</v>
      </c>
      <c r="E61" s="280">
        <f>AVERAGE(E3:E58)</f>
        <v>5.8</v>
      </c>
      <c r="F61" s="280">
        <f>AVERAGE(F3:F58)</f>
        <v>7</v>
      </c>
      <c r="H61" s="280">
        <f>AVERAGE(H3:H58)</f>
        <v>4.0727272727272723</v>
      </c>
      <c r="I61" s="280">
        <f>AVERAGE(I3:I58)</f>
        <v>6.0727272727272723</v>
      </c>
      <c r="K61" s="280">
        <f>AVERAGE(K3:K58)</f>
        <v>6.6</v>
      </c>
      <c r="L61" s="280">
        <f>AVERAGE(L3:L58)</f>
        <v>6.2</v>
      </c>
      <c r="N61" s="280">
        <f>AVERAGE(N3:N58)</f>
        <v>7.7407407407407405</v>
      </c>
      <c r="O61" s="280">
        <f>AVERAGE(O3:O58)</f>
        <v>6.9814814814814818</v>
      </c>
      <c r="Q61" s="280">
        <f>AVERAGE(Q3:Q58)</f>
        <v>8.1964285714285712</v>
      </c>
      <c r="R61" s="280">
        <f>AVERAGE(R3:R58)</f>
        <v>8.3214285714285712</v>
      </c>
      <c r="T61" s="280">
        <f>AVERAGE(T3:T58)</f>
        <v>7.8035714285714288</v>
      </c>
      <c r="U61" s="280">
        <f>AVERAGE(U3:U58)</f>
        <v>4.5178571428571432</v>
      </c>
      <c r="W61" s="280">
        <f>AVERAGE(W3:W58)</f>
        <v>7.4285714285714288</v>
      </c>
      <c r="X61" s="280">
        <f>AVERAGE(X3:X58)</f>
        <v>6.1607142857142856</v>
      </c>
      <c r="Z61" s="280">
        <f>AVERAGE(Z3:Z58)</f>
        <v>9</v>
      </c>
      <c r="AA61" s="280">
        <f>AVERAGE(AA3:AA58)</f>
        <v>4.6363636363636367</v>
      </c>
      <c r="AC61" s="280">
        <f>AVERAGE(AC3:AC58)</f>
        <v>6.2142857142857144</v>
      </c>
      <c r="AD61" s="280">
        <f>AVERAGE(AD3:AD58)</f>
        <v>4.5</v>
      </c>
      <c r="AF61" s="280">
        <f>AVERAGE(AF3:AF58)</f>
        <v>5.62</v>
      </c>
      <c r="AG61" s="280">
        <f>AVERAGE(AG3:AG58)</f>
        <v>7.98</v>
      </c>
    </row>
    <row r="62" spans="1:33">
      <c r="B62" s="298">
        <f>B60-C60</f>
        <v>-87</v>
      </c>
      <c r="C62" s="296">
        <f>B61-C61</f>
        <v>-1.5535714285714288</v>
      </c>
      <c r="E62" s="298">
        <f>E60-F60</f>
        <v>-66</v>
      </c>
      <c r="F62" s="296">
        <f>E61-F61</f>
        <v>-1.2000000000000002</v>
      </c>
      <c r="H62" s="298">
        <f>H60-I60</f>
        <v>-110</v>
      </c>
      <c r="I62" s="296">
        <f>H61-I61</f>
        <v>-2</v>
      </c>
      <c r="K62" s="298">
        <f>K60-L60</f>
        <v>22</v>
      </c>
      <c r="L62" s="296">
        <f>K61-L61</f>
        <v>0.39999999999999947</v>
      </c>
      <c r="N62" s="298">
        <f>N60-O60</f>
        <v>41</v>
      </c>
      <c r="O62" s="296">
        <f>N61-O61</f>
        <v>0.75925925925925863</v>
      </c>
      <c r="Q62" s="298">
        <f>Q60-R60</f>
        <v>-7</v>
      </c>
      <c r="R62" s="296">
        <f>Q61-R61</f>
        <v>-0.125</v>
      </c>
      <c r="T62" s="298">
        <f>T60-U60</f>
        <v>184</v>
      </c>
      <c r="U62" s="296">
        <f>T61-U61</f>
        <v>3.2857142857142856</v>
      </c>
      <c r="W62" s="298">
        <f>W60-X60</f>
        <v>71</v>
      </c>
      <c r="X62" s="296">
        <f>W61-X61</f>
        <v>1.2678571428571432</v>
      </c>
      <c r="Z62" s="298">
        <f>Z60-AA60</f>
        <v>240</v>
      </c>
      <c r="AA62" s="296">
        <f>Z61-AA61</f>
        <v>4.3636363636363633</v>
      </c>
      <c r="AC62" s="298">
        <f>AC60-AD60</f>
        <v>96</v>
      </c>
      <c r="AD62" s="296">
        <f>AC61-AD61</f>
        <v>1.7142857142857144</v>
      </c>
      <c r="AF62" s="298">
        <f>AF60-AG60</f>
        <v>-118</v>
      </c>
      <c r="AG62" s="296">
        <f>AF61-AG61</f>
        <v>-2.3600000000000003</v>
      </c>
    </row>
  </sheetData>
  <mergeCells count="11">
    <mergeCell ref="Q1:R1"/>
    <mergeCell ref="B1:C1"/>
    <mergeCell ref="E1:F1"/>
    <mergeCell ref="H1:I1"/>
    <mergeCell ref="K1:L1"/>
    <mergeCell ref="N1:O1"/>
    <mergeCell ref="T1:U1"/>
    <mergeCell ref="W1:X1"/>
    <mergeCell ref="Z1:AA1"/>
    <mergeCell ref="AC1:AD1"/>
    <mergeCell ref="AF1:A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9E21-0DAC-47C5-BA2F-C5840E838326}">
  <dimension ref="A1:Z21"/>
  <sheetViews>
    <sheetView workbookViewId="0">
      <selection activeCell="Z22" sqref="Z22"/>
    </sheetView>
  </sheetViews>
  <sheetFormatPr defaultColWidth="9.140625" defaultRowHeight="12.75" customHeight="1"/>
  <cols>
    <col min="1" max="1" width="24.42578125" style="5" customWidth="1"/>
    <col min="2" max="2" width="5.85546875" style="5" customWidth="1"/>
    <col min="3" max="4" width="5.7109375" style="5" customWidth="1"/>
    <col min="5" max="5" width="7.42578125" style="5" customWidth="1"/>
    <col min="6" max="6" width="5.7109375" style="5" customWidth="1"/>
    <col min="7" max="7" width="7.42578125" style="75" customWidth="1"/>
    <col min="8" max="8" width="6.140625" style="33" customWidth="1"/>
    <col min="9" max="9" width="5.7109375" style="33" customWidth="1"/>
    <col min="10" max="10" width="6.42578125" style="246" customWidth="1"/>
    <col min="11" max="11" width="7.85546875" style="66" bestFit="1" customWidth="1"/>
    <col min="12" max="12" width="7.140625" style="5" bestFit="1" customWidth="1"/>
    <col min="13" max="13" width="6.42578125" style="5" bestFit="1" customWidth="1"/>
    <col min="14" max="14" width="5.85546875" style="5" customWidth="1"/>
    <col min="15" max="15" width="5.7109375" style="5" customWidth="1"/>
    <col min="16" max="16" width="24.42578125" style="222" customWidth="1"/>
    <col min="17" max="17" width="7.42578125" style="5" customWidth="1"/>
    <col min="18" max="18" width="6.42578125" style="5" customWidth="1"/>
    <col min="19" max="19" width="5.42578125" style="66" customWidth="1"/>
    <col min="20" max="20" width="9.140625" style="5"/>
    <col min="21" max="21" width="6.42578125" style="5" bestFit="1" customWidth="1"/>
    <col min="22" max="22" width="6.42578125" style="246" customWidth="1"/>
    <col min="23" max="23" width="5.42578125" style="5" bestFit="1" customWidth="1"/>
    <col min="24" max="24" width="9.140625" style="5"/>
    <col min="25" max="25" width="40.85546875" style="145" bestFit="1" customWidth="1"/>
    <col min="26" max="26" width="15.7109375" style="222" customWidth="1"/>
    <col min="27" max="16384" width="9.140625" style="5"/>
  </cols>
  <sheetData>
    <row r="1" spans="1:26" ht="15" customHeight="1">
      <c r="A1" s="34" t="s">
        <v>998</v>
      </c>
      <c r="B1" s="39"/>
      <c r="C1" s="39"/>
      <c r="D1" s="39"/>
      <c r="E1" s="39"/>
      <c r="F1" s="39"/>
      <c r="G1" s="39"/>
      <c r="H1" s="40"/>
      <c r="I1" s="40"/>
      <c r="J1" s="247"/>
      <c r="K1" s="238"/>
      <c r="L1" s="125"/>
      <c r="M1" s="125"/>
      <c r="N1" s="43"/>
      <c r="P1" s="232" t="s">
        <v>1473</v>
      </c>
      <c r="Q1" s="72"/>
      <c r="R1" s="72"/>
      <c r="S1" s="72"/>
      <c r="T1" s="72"/>
      <c r="U1" s="72"/>
      <c r="V1" s="267"/>
      <c r="W1" s="128"/>
      <c r="Y1" s="277" t="s">
        <v>1474</v>
      </c>
      <c r="Z1" s="301"/>
    </row>
    <row r="2" spans="1:26" ht="15" customHeight="1">
      <c r="A2" s="138" t="s">
        <v>914</v>
      </c>
      <c r="B2" s="114" t="s">
        <v>915</v>
      </c>
      <c r="C2" s="114" t="s">
        <v>28</v>
      </c>
      <c r="D2" s="114" t="s">
        <v>17</v>
      </c>
      <c r="E2" s="114" t="s">
        <v>916</v>
      </c>
      <c r="F2" s="114" t="s">
        <v>917</v>
      </c>
      <c r="G2" s="126" t="s">
        <v>922</v>
      </c>
      <c r="H2" s="153" t="s">
        <v>1001</v>
      </c>
      <c r="I2" s="229" t="s">
        <v>5</v>
      </c>
      <c r="J2" s="229" t="s">
        <v>6</v>
      </c>
      <c r="K2" s="257" t="s">
        <v>7</v>
      </c>
      <c r="L2" s="115" t="s">
        <v>920</v>
      </c>
      <c r="M2" s="115" t="s">
        <v>921</v>
      </c>
      <c r="N2" s="153" t="s">
        <v>923</v>
      </c>
      <c r="P2" s="225" t="s">
        <v>914</v>
      </c>
      <c r="Q2" s="114" t="s">
        <v>915</v>
      </c>
      <c r="R2" s="114" t="s">
        <v>28</v>
      </c>
      <c r="S2" s="114" t="s">
        <v>17</v>
      </c>
      <c r="T2" s="135" t="s">
        <v>916</v>
      </c>
      <c r="U2" s="47" t="s">
        <v>1001</v>
      </c>
      <c r="V2" s="240" t="s">
        <v>7</v>
      </c>
      <c r="W2" s="217" t="s">
        <v>923</v>
      </c>
      <c r="Y2" s="144" t="s">
        <v>924</v>
      </c>
      <c r="Z2" s="301" t="s">
        <v>925</v>
      </c>
    </row>
    <row r="3" spans="1:26" ht="15" customHeight="1">
      <c r="A3" s="137" t="s">
        <v>1467</v>
      </c>
      <c r="B3" s="30">
        <f>SUM(C3:D3)</f>
        <v>55</v>
      </c>
      <c r="C3" s="30">
        <v>46</v>
      </c>
      <c r="D3" s="67">
        <v>9</v>
      </c>
      <c r="E3" s="31">
        <f>IFERROR(C3/B3,0)</f>
        <v>0.83636363636363631</v>
      </c>
      <c r="F3" s="30">
        <f>55-D3</f>
        <v>46</v>
      </c>
      <c r="G3" s="97">
        <f>IFERROR(B3/55,0)</f>
        <v>1</v>
      </c>
      <c r="H3" s="154" t="str">
        <f>IF((IF($B$3&gt;B3,((MAX($C$3,C3)-C3)+(D3-MIN($D$3,D3)))/2,((MIN($B$3,B3)-MAX($B$3,B3))/2)+(D3-MIN($D$3,D3)))) = 0, "-", IF($B$3&gt;B3,((MAX($C$3,C3)-C3)+(D3-MIN($D$3,D3)))/2,((MIN($B$3,B3)-MAX($B$3,B3))/2)+(D3-MIN($D$3,D3))))</f>
        <v>-</v>
      </c>
      <c r="I3" s="230">
        <f>SUM('WCBL Run Diff 2025'!Z3:Z57)</f>
        <v>495</v>
      </c>
      <c r="J3" s="230">
        <f>SUM('WCBL Run Diff 2025'!AA3:AA57)</f>
        <v>255</v>
      </c>
      <c r="K3" s="258">
        <f>Table19[[#This Row],[RF]]-Table19[[#This Row],[RA]]</f>
        <v>240</v>
      </c>
      <c r="L3" s="60" t="str">
        <f>_xlfn.CONCAT(ROUND(((Table19[[#This Row],[RF]]^1.83)/((Table19[[#This Row],[RF]]^1.83)+(Table19[[#This Row],[RA]]^1.83))*B3),0),"-",Table19[[#This Row],[GP]]-ROUND(((Table19[[#This Row],[RF]]^1.83)/((Table19[[#This Row],[RF]]^1.83)+(Table19[[#This Row],[RA]]^1.83))*B3),0))</f>
        <v>42-13</v>
      </c>
      <c r="M3" s="60" t="str">
        <f>_xlfn.CONCAT(ROUND(55*Table19[[#This Row],[PCT.]],0),"-",55-ROUND(55*Table19[[#This Row],[PCT.]],0))</f>
        <v>46-9</v>
      </c>
      <c r="N3" s="164" t="s">
        <v>1475</v>
      </c>
      <c r="P3" s="233" t="s">
        <v>1467</v>
      </c>
      <c r="Q3" s="30">
        <f>SUM(R3:S3)</f>
        <v>55</v>
      </c>
      <c r="R3" s="30">
        <f>VLOOKUP(P3,A:C,3,FALSE)</f>
        <v>46</v>
      </c>
      <c r="S3" s="67">
        <f>VLOOKUP(P3,A:D,4,FALSE)</f>
        <v>9</v>
      </c>
      <c r="T3" s="90">
        <f>IFERROR(R3/Q3,0)</f>
        <v>0.83636363636363631</v>
      </c>
      <c r="U3" s="151" t="str">
        <f>IF((IF($Q$3&gt;Q3,((MAX($R$3,R3)-R3)+(S3-MIN($S$3,S3)))/2,((MIN($Q$3,Q3)-MAX($Q$3,Q3))/2)+(S3-MIN($S$3,S3)))) = 0, "-", (IF($Q$3&gt;Q3,((MAX($R$3,R3)-R3)+(S3-MIN($S$3,S3)))/2,((MIN($Q$3,Q3)-MAX($Q$3,Q3))/2)+(S3-MIN($S$3,S3)))))</f>
        <v>-</v>
      </c>
      <c r="V3" s="264">
        <f>VLOOKUP(Table21[[#This Row],[Team]],A:K,11,FALSE)</f>
        <v>240</v>
      </c>
      <c r="W3" s="162" t="str">
        <f>IF(VLOOKUP(Table21[[#This Row],[Team]],A:N,14,FALSE)=0,"",VLOOKUP(Table21[[#This Row],[Team]],A:N,14,FALSE))</f>
        <v>xyze1</v>
      </c>
      <c r="Y3" s="219" t="s">
        <v>1476</v>
      </c>
      <c r="Z3" s="344" t="s">
        <v>1477</v>
      </c>
    </row>
    <row r="4" spans="1:26" ht="15" customHeight="1">
      <c r="A4" s="137" t="s">
        <v>1463</v>
      </c>
      <c r="B4" s="30">
        <f>SUM(C4:D4)</f>
        <v>55</v>
      </c>
      <c r="C4" s="30">
        <v>34</v>
      </c>
      <c r="D4" s="67">
        <v>21</v>
      </c>
      <c r="E4" s="31">
        <f>IFERROR(C4/B4,0)</f>
        <v>0.61818181818181817</v>
      </c>
      <c r="F4" s="30">
        <f>54-D4</f>
        <v>33</v>
      </c>
      <c r="G4" s="97">
        <f>IFERROR(B4/55,0)</f>
        <v>1</v>
      </c>
      <c r="H4" s="133">
        <f>IF((IF($B$3&gt;B4,((MAX($C$3,C4)-C4)+(D4-MIN($D$3,D4)))/2,((MIN($B$3,B4)-MAX($B$3,B4))/2)+(D4-MIN($D$3,D4)))) = 0, "-", IF($B$3&gt;B4,((MAX($C$3,C4)-C4)+(D4-MIN($D$3,D4)))/2,((MIN($B$3,B4)-MAX($B$3,B4))/2)+(D4-MIN($D$3,D4))))</f>
        <v>12</v>
      </c>
      <c r="I4" s="230">
        <f>SUM('WCBL Run Diff 2025'!N3:N57)</f>
        <v>418</v>
      </c>
      <c r="J4" s="230">
        <f>SUM('WCBL Run Diff 2025'!O3:O57)</f>
        <v>377</v>
      </c>
      <c r="K4" s="258">
        <f>Table19[[#This Row],[RF]]-Table19[[#This Row],[RA]]</f>
        <v>41</v>
      </c>
      <c r="L4" s="268" t="str">
        <f>_xlfn.CONCAT(ROUND(((Table19[[#This Row],[RF]]^1.83)/((Table19[[#This Row],[RF]]^1.83)+(Table19[[#This Row],[RA]]^1.83))*B4),0),"-",Table19[[#This Row],[GP]]-ROUND(((Table19[[#This Row],[RF]]^1.83)/((Table19[[#This Row],[RF]]^1.83)+(Table19[[#This Row],[RA]]^1.83))*B4),0))</f>
        <v>30-25</v>
      </c>
      <c r="M4" s="268" t="str">
        <f>_xlfn.CONCAT(ROUND(55*Table19[[#This Row],[PCT.]],0),"-",55-ROUND(55*Table19[[#This Row],[PCT.]],0))</f>
        <v>34-21</v>
      </c>
      <c r="N4" s="162" t="s">
        <v>1008</v>
      </c>
      <c r="P4" s="226" t="s">
        <v>1465</v>
      </c>
      <c r="Q4" s="30">
        <f>SUM(R4:S4)</f>
        <v>56</v>
      </c>
      <c r="R4" s="30">
        <f>VLOOKUP(P4,A:C,3,FALSE)</f>
        <v>40</v>
      </c>
      <c r="S4" s="30">
        <f>VLOOKUP(P4,A:D,4,FALSE)</f>
        <v>16</v>
      </c>
      <c r="T4" s="90">
        <f>IFERROR(R4/Q4,0)</f>
        <v>0.7142857142857143</v>
      </c>
      <c r="U4" s="151">
        <f>IF((IF($Q$3&gt;Q4,((MAX($R$3,R4)-R4)+(S4-MIN($S$3,S4)))/2,((MIN($Q$3,Q4)-MAX($Q$3,Q4))/2)+(S4-MIN($S$3,S4)))) = 0, "-", (IF($Q$3&gt;Q4,((MAX($R$3,R4)-R4)+(S4-MIN($S$3,S4)))/2,((MIN($Q$3,Q4)-MAX($Q$3,Q4))/2)+(S4-MIN($S$3,S4)))))</f>
        <v>6.5</v>
      </c>
      <c r="V4" s="264">
        <f>VLOOKUP(Table21[[#This Row],[Team]],A:K,11,FALSE)</f>
        <v>190</v>
      </c>
      <c r="W4" s="162" t="str">
        <f>IF(VLOOKUP(Table21[[#This Row],[Team]],A:N,14,FALSE)=0,"",VLOOKUP(Table21[[#This Row],[Team]],A:N,14,FALSE))</f>
        <v>yw1</v>
      </c>
      <c r="Y4" s="219" t="s">
        <v>1478</v>
      </c>
      <c r="Z4" s="344" t="s">
        <v>1479</v>
      </c>
    </row>
    <row r="5" spans="1:26" ht="15" customHeight="1">
      <c r="A5" s="137" t="s">
        <v>1466</v>
      </c>
      <c r="B5" s="30">
        <f>SUM(C5:D5)</f>
        <v>56</v>
      </c>
      <c r="C5" s="30">
        <v>29</v>
      </c>
      <c r="D5" s="67">
        <v>27</v>
      </c>
      <c r="E5" s="31">
        <f>IFERROR(C5/B5,0)</f>
        <v>0.5178571428571429</v>
      </c>
      <c r="F5" s="30">
        <f>55-D5</f>
        <v>28</v>
      </c>
      <c r="G5" s="97">
        <f>IFERROR(B5/56,0)</f>
        <v>1</v>
      </c>
      <c r="H5" s="133">
        <f>IF((IF($B$3&gt;B5,((MAX($C$3,C5)-C5)+(D5-MIN($D$3,D5)))/2,((MIN($B$3,B5)-MAX($B$3,B5))/2)+(D5-MIN($D$3,D5)))) = 0, "-", IF($B$3&gt;B5,((MAX($C$3,C5)-C5)+(D5-MIN($D$3,D5)))/2,((MIN($B$3,B5)-MAX($B$3,B5))/2)+(D5-MIN($D$3,D5))))</f>
        <v>17.5</v>
      </c>
      <c r="I5" s="230">
        <f>SUM('WCBL Run Diff 2025'!W3:W57)</f>
        <v>412</v>
      </c>
      <c r="J5" s="230">
        <f>SUM('WCBL Run Diff 2025'!X3:X57)</f>
        <v>336</v>
      </c>
      <c r="K5" s="258">
        <f>Table19[[#This Row],[RF]]-Table19[[#This Row],[RA]]</f>
        <v>76</v>
      </c>
      <c r="L5" s="98" t="str">
        <f>_xlfn.CONCAT(ROUND(((Table19[[#This Row],[RF]]^1.83)/((Table19[[#This Row],[RF]]^1.83)+(Table19[[#This Row],[RA]]^1.83))*B5),0),"-",Table19[[#This Row],[GP]]-ROUND(((Table19[[#This Row],[RF]]^1.83)/((Table19[[#This Row],[RF]]^1.83)+(Table19[[#This Row],[RA]]^1.83))*B5),0))</f>
        <v>33-23</v>
      </c>
      <c r="M5" s="98" t="str">
        <f>_xlfn.CONCAT(ROUND(56*Table19[[#This Row],[PCT.]],0),"-",56-ROUND(56*Table19[[#This Row],[PCT.]],0))</f>
        <v>29-27</v>
      </c>
      <c r="N5" s="162" t="s">
        <v>1013</v>
      </c>
      <c r="P5" s="226" t="s">
        <v>1468</v>
      </c>
      <c r="Q5" s="30">
        <f>SUM(R5:S5)</f>
        <v>56</v>
      </c>
      <c r="R5" s="30">
        <f>VLOOKUP(P5,A:C,3,FALSE)</f>
        <v>36</v>
      </c>
      <c r="S5" s="30">
        <f>VLOOKUP(P5,A:D,4,FALSE)</f>
        <v>20</v>
      </c>
      <c r="T5" s="90">
        <f>IFERROR(R5/Q5,0)</f>
        <v>0.6428571428571429</v>
      </c>
      <c r="U5" s="151">
        <f>IF((IF($Q$3&gt;Q5,((MAX($R$3,R5)-R5)+(S5-MIN($S$3,S5)))/2,((MIN($Q$3,Q5)-MAX($Q$3,Q5))/2)+(S5-MIN($S$3,S5)))) = 0, "-", (IF($Q$3&gt;Q5,((MAX($R$3,R5)-R5)+(S5-MIN($S$3,S5)))/2,((MIN($Q$3,Q5)-MAX($Q$3,Q5))/2)+(S5-MIN($S$3,S5)))))</f>
        <v>10.5</v>
      </c>
      <c r="V5" s="264">
        <f>VLOOKUP(Table21[[#This Row],[Team]],A:K,11,FALSE)</f>
        <v>90</v>
      </c>
      <c r="W5" s="162" t="str">
        <f>IF(VLOOKUP(Table21[[#This Row],[Team]],A:N,14,FALSE)=0,"",VLOOKUP(Table21[[#This Row],[Team]],A:N,14,FALSE))</f>
        <v>xw2</v>
      </c>
    </row>
    <row r="6" spans="1:26" ht="15" customHeight="1">
      <c r="A6" s="155" t="s">
        <v>1464</v>
      </c>
      <c r="B6" s="105">
        <f>SUM(C6:D6)</f>
        <v>56</v>
      </c>
      <c r="C6" s="105">
        <v>27</v>
      </c>
      <c r="D6" s="70">
        <v>29</v>
      </c>
      <c r="E6" s="106">
        <f>IFERROR(C6/B6,0)</f>
        <v>0.48214285714285715</v>
      </c>
      <c r="F6" s="105">
        <f>56-D6</f>
        <v>27</v>
      </c>
      <c r="G6" s="107">
        <f>IFERROR(B6/56,0)</f>
        <v>1</v>
      </c>
      <c r="H6" s="149">
        <f>IF((IF($B$3&gt;B6,((MAX($C$3,C6)-C6)+(D6-MIN($D$3,D6)))/2,((MIN($B$3,B6)-MAX($B$3,B6))/2)+(D6-MIN($D$3,D6)))) = 0, "-", IF($B$3&gt;B6,((MAX($C$3,C6)-C6)+(D6-MIN($D$3,D6)))/2,((MIN($B$3,B6)-MAX($B$3,B6))/2)+(D6-MIN($D$3,D6))))</f>
        <v>19.5</v>
      </c>
      <c r="I6" s="235">
        <f>SUM('WCBL Run Diff 2025'!Q3:Q57)</f>
        <v>450</v>
      </c>
      <c r="J6" s="235">
        <f>SUM('WCBL Run Diff 2025'!R3:R57)</f>
        <v>462</v>
      </c>
      <c r="K6" s="259">
        <f>Table19[[#This Row],[RF]]-Table19[[#This Row],[RA]]</f>
        <v>-12</v>
      </c>
      <c r="L6" s="108" t="str">
        <f>_xlfn.CONCAT(ROUND(((Table19[[#This Row],[RF]]^1.83)/((Table19[[#This Row],[RF]]^1.83)+(Table19[[#This Row],[RA]]^1.83))*B6),0),"-",Table19[[#This Row],[GP]]-ROUND(((Table19[[#This Row],[RF]]^1.83)/((Table19[[#This Row],[RF]]^1.83)+(Table19[[#This Row],[RA]]^1.83))*B6),0))</f>
        <v>27-29</v>
      </c>
      <c r="M6" s="108" t="str">
        <f>_xlfn.CONCAT(ROUND(56*Table19[[#This Row],[PCT.]],0),"-",56-ROUND(56*Table19[[#This Row],[PCT.]],0))</f>
        <v>27-29</v>
      </c>
      <c r="N6" s="209" t="s">
        <v>1016</v>
      </c>
      <c r="P6" s="226" t="s">
        <v>1463</v>
      </c>
      <c r="Q6" s="30">
        <f>SUM(R6:S6)</f>
        <v>55</v>
      </c>
      <c r="R6" s="30">
        <f>VLOOKUP(P6,A:C,3,FALSE)</f>
        <v>34</v>
      </c>
      <c r="S6" s="67">
        <f>VLOOKUP(P6,A:D,4,FALSE)</f>
        <v>21</v>
      </c>
      <c r="T6" s="90">
        <f>IFERROR(R6/Q6,0)</f>
        <v>0.61818181818181817</v>
      </c>
      <c r="U6" s="151">
        <f>IF((IF($Q$3&gt;Q6,((MAX($R$3,R6)-R6)+(S6-MIN($S$3,S6)))/2,((MIN($Q$3,Q6)-MAX($Q$3,Q6))/2)+(S6-MIN($S$3,S6)))) = 0, "-", (IF($Q$3&gt;Q6,((MAX($R$3,R6)-R6)+(S6-MIN($S$3,S6)))/2,((MIN($Q$3,Q6)-MAX($Q$3,Q6))/2)+(S6-MIN($S$3,S6)))))</f>
        <v>12</v>
      </c>
      <c r="V6" s="264">
        <f>VLOOKUP(Table21[[#This Row],[Team]],A:K,11,FALSE)</f>
        <v>41</v>
      </c>
      <c r="W6" s="162" t="str">
        <f>IF(VLOOKUP(Table21[[#This Row],[Team]],A:N,14,FALSE)=0,"",VLOOKUP(Table21[[#This Row],[Team]],A:N,14,FALSE))</f>
        <v>xe2</v>
      </c>
      <c r="Y6" s="277" t="s">
        <v>1480</v>
      </c>
      <c r="Z6" s="301"/>
    </row>
    <row r="7" spans="1:26" ht="15" customHeight="1">
      <c r="A7" s="156" t="s">
        <v>1469</v>
      </c>
      <c r="B7" s="109">
        <f>SUM(C7:D7)</f>
        <v>56</v>
      </c>
      <c r="C7" s="109">
        <v>16</v>
      </c>
      <c r="D7" s="71">
        <v>40</v>
      </c>
      <c r="E7" s="110">
        <f>IFERROR(C7/B7,0)</f>
        <v>0.2857142857142857</v>
      </c>
      <c r="F7" s="109">
        <f>56-D7</f>
        <v>16</v>
      </c>
      <c r="G7" s="111">
        <f>IFERROR(B7/56,0)</f>
        <v>1</v>
      </c>
      <c r="H7" s="269">
        <f>IF((IF($B$3&gt;B7,((MAX($C$3,C7)-C7)+(D7-MIN($D$3,D7)))/2,((MIN($B$3,B7)-MAX($B$3,B7))/2)+(D7-MIN($D$3,D7)))) = 0, "-", IF($B$3&gt;B7,((MAX($C$3,C7)-C7)+(D7-MIN($D$3,D7)))/2,((MIN($B$3,B7)-MAX($B$3,B7))/2)+(D7-MIN($D$3,D7))))</f>
        <v>30.5</v>
      </c>
      <c r="I7" s="236">
        <f>SUM('WCBL Run Diff 2025'!AF3:AF57)</f>
        <v>281</v>
      </c>
      <c r="J7" s="236">
        <f>SUM('WCBL Run Diff 2025'!AG3:AG57)</f>
        <v>399</v>
      </c>
      <c r="K7" s="260">
        <f>Table19[[#This Row],[RF]]-Table19[[#This Row],[RA]]</f>
        <v>-118</v>
      </c>
      <c r="L7" s="112" t="str">
        <f>_xlfn.CONCAT(ROUND(((Table19[[#This Row],[RF]]^1.83)/((Table19[[#This Row],[RF]]^1.83)+(Table19[[#This Row],[RA]]^1.83))*B7),0),"-",Table19[[#This Row],[GP]]-ROUND(((Table19[[#This Row],[RF]]^1.83)/((Table19[[#This Row],[RF]]^1.83)+(Table19[[#This Row],[RA]]^1.83))*B7),0))</f>
        <v>19-37</v>
      </c>
      <c r="M7" s="112" t="str">
        <f>_xlfn.CONCAT(ROUND(56*Table19[[#This Row],[PCT.]],0),"-",56-ROUND(56*Table19[[#This Row],[PCT.]],0))</f>
        <v>16-40</v>
      </c>
      <c r="N7" s="164" t="s">
        <v>963</v>
      </c>
      <c r="P7" s="226" t="s">
        <v>1462</v>
      </c>
      <c r="Q7" s="30">
        <f>SUM(R7:S7)</f>
        <v>55</v>
      </c>
      <c r="R7" s="30">
        <f>VLOOKUP(P7,A:C,3,FALSE)</f>
        <v>33</v>
      </c>
      <c r="S7" s="30">
        <f>VLOOKUP(P7,A:D,4,FALSE)</f>
        <v>22</v>
      </c>
      <c r="T7" s="90">
        <f>IFERROR(R7/Q7,0)</f>
        <v>0.6</v>
      </c>
      <c r="U7" s="151">
        <f>IF((IF($Q$3&gt;Q7,((MAX($R$3,R7)-R7)+(S7-MIN($S$3,S7)))/2,((MIN($Q$3,Q7)-MAX($Q$3,Q7))/2)+(S7-MIN($S$3,S7)))) = 0, "-", (IF($Q$3&gt;Q7,((MAX($R$3,R7)-R7)+(S7-MIN($S$3,S7)))/2,((MIN($Q$3,Q7)-MAX($Q$3,Q7))/2)+(S7-MIN($S$3,S7)))))</f>
        <v>13</v>
      </c>
      <c r="V7" s="264">
        <f>VLOOKUP(Table21[[#This Row],[Team]],A:K,11,FALSE)</f>
        <v>22</v>
      </c>
      <c r="W7" s="162" t="str">
        <f>IF(VLOOKUP(Table21[[#This Row],[Team]],A:N,14,FALSE)=0,"",VLOOKUP(Table21[[#This Row],[Team]],A:N,14,FALSE))</f>
        <v>xw3</v>
      </c>
      <c r="Y7" s="144" t="s">
        <v>924</v>
      </c>
      <c r="Z7" s="301" t="s">
        <v>925</v>
      </c>
    </row>
    <row r="8" spans="1:26" ht="15" customHeight="1">
      <c r="A8" s="210" t="s">
        <v>1481</v>
      </c>
      <c r="B8" s="211">
        <f>SUM(C8:D8)</f>
        <v>55</v>
      </c>
      <c r="C8" s="211">
        <v>10</v>
      </c>
      <c r="D8" s="212">
        <v>45</v>
      </c>
      <c r="E8" s="213">
        <f>IFERROR(C8/B8,0)</f>
        <v>0.18181818181818182</v>
      </c>
      <c r="F8" s="211">
        <f>55-D8</f>
        <v>10</v>
      </c>
      <c r="G8" s="214">
        <f>IFERROR(B8/55,0)</f>
        <v>1</v>
      </c>
      <c r="H8" s="69">
        <f>IF((IF($B$3&gt;B8,((MAX($C$3,C8)-C8)+(D8-MIN($D$3,D8)))/2,((MIN($B$3,B8)-MAX($B$3,B8))/2)+(D8-MIN($D$3,D8)))) = 0, "-", IF($B$3&gt;B8,((MAX($C$3,C8)-C8)+(D8-MIN($D$3,D8)))/2,((MIN($B$3,B8)-MAX($B$3,B8))/2)+(D8-MIN($D$3,D8))))</f>
        <v>36</v>
      </c>
      <c r="I8" s="237" t="str" cm="1">
        <f t="array" ref="I8">LOOKUP(2,1/('57s 2025'!G2:G57&lt;&gt;""),'57s 2025'!G2:G57)</f>
        <v>249</v>
      </c>
      <c r="J8" s="237" t="str" cm="1">
        <f t="array" ref="J8">LOOKUP(2,1/('57s 2025'!H2:H57&lt;&gt;""),'57s 2025'!H2:H57)</f>
        <v>518</v>
      </c>
      <c r="K8" s="266">
        <f>Table19[[#This Row],[RF]]-Table19[[#This Row],[RA]]</f>
        <v>-269</v>
      </c>
      <c r="L8" s="215" t="str">
        <f>_xlfn.CONCAT(ROUND(((Table19[[#This Row],[RF]]^1.83)/((Table19[[#This Row],[RF]]^1.83)+(Table19[[#This Row],[RA]]^1.83))*B8),0),"-",Table19[[#This Row],[GP]]-ROUND(((Table19[[#This Row],[RF]]^1.83)/((Table19[[#This Row],[RF]]^1.83)+(Table19[[#This Row],[RA]]^1.83))*B8),0))</f>
        <v>11-44</v>
      </c>
      <c r="M8" s="215" t="str">
        <f>_xlfn.CONCAT(ROUND(55*Table19[[#This Row],[PCT.]],0),"-",55-ROUND(55*Table19[[#This Row],[PCT.]],0))</f>
        <v>10-45</v>
      </c>
      <c r="N8" s="216" t="s">
        <v>963</v>
      </c>
      <c r="P8" s="226" t="s">
        <v>1466</v>
      </c>
      <c r="Q8" s="30">
        <f>SUM(R8:S8)</f>
        <v>56</v>
      </c>
      <c r="R8" s="30">
        <f>VLOOKUP(P8,A:C,3,FALSE)</f>
        <v>29</v>
      </c>
      <c r="S8" s="67">
        <f>VLOOKUP(P8,A:D,4,FALSE)</f>
        <v>27</v>
      </c>
      <c r="T8" s="90">
        <f>IFERROR(R8/Q8,0)</f>
        <v>0.5178571428571429</v>
      </c>
      <c r="U8" s="151">
        <f>IF((IF($Q$3&gt;Q8,((MAX($R$3,R8)-R8)+(S8-MIN($S$3,S8)))/2,((MIN($Q$3,Q8)-MAX($Q$3,Q8))/2)+(S8-MIN($S$3,S8)))) = 0, "-", (IF($Q$3&gt;Q8,((MAX($R$3,R8)-R8)+(S8-MIN($S$3,S8)))/2,((MIN($Q$3,Q8)-MAX($Q$3,Q8))/2)+(S8-MIN($S$3,S8)))))</f>
        <v>17.5</v>
      </c>
      <c r="V8" s="264">
        <f>VLOOKUP(Table21[[#This Row],[Team]],A:K,11,FALSE)</f>
        <v>76</v>
      </c>
      <c r="W8" s="162" t="str">
        <f>IF(VLOOKUP(Table21[[#This Row],[Team]],A:N,14,FALSE)=0,"",VLOOKUP(Table21[[#This Row],[Team]],A:N,14,FALSE))</f>
        <v>xe3</v>
      </c>
      <c r="Y8" s="219" t="s">
        <v>1482</v>
      </c>
      <c r="Z8" s="344" t="s">
        <v>1483</v>
      </c>
    </row>
    <row r="9" spans="1:26" ht="15" customHeight="1">
      <c r="P9" s="226" t="s">
        <v>1464</v>
      </c>
      <c r="Q9" s="30">
        <f>SUM(R9:S9)</f>
        <v>56</v>
      </c>
      <c r="R9" s="30">
        <f>VLOOKUP(P9,A:C,3,FALSE)</f>
        <v>27</v>
      </c>
      <c r="S9" s="67">
        <f>VLOOKUP(P9,A:D,4,FALSE)</f>
        <v>29</v>
      </c>
      <c r="T9" s="90">
        <f>IFERROR(R9/Q9,0)</f>
        <v>0.48214285714285715</v>
      </c>
      <c r="U9" s="151">
        <f>IF((IF($Q$3&gt;Q9,((MAX($R$3,R9)-R9)+(S9-MIN($S$3,S9)))/2,((MIN($Q$3,Q9)-MAX($Q$3,Q9))/2)+(S9-MIN($S$3,S9)))) = 0, "-", (IF($Q$3&gt;Q9,((MAX($R$3,R9)-R9)+(S9-MIN($S$3,S9)))/2,((MIN($Q$3,Q9)-MAX($Q$3,Q9))/2)+(S9-MIN($S$3,S9)))))</f>
        <v>19.5</v>
      </c>
      <c r="V9" s="264">
        <f>VLOOKUP(Table21[[#This Row],[Team]],A:K,11,FALSE)</f>
        <v>-12</v>
      </c>
      <c r="W9" s="162" t="str">
        <f>IF(VLOOKUP(Table21[[#This Row],[Team]],A:N,14,FALSE)=0,"",VLOOKUP(Table21[[#This Row],[Team]],A:N,14,FALSE))</f>
        <v>xe4</v>
      </c>
      <c r="Y9" s="219" t="s">
        <v>1484</v>
      </c>
      <c r="Z9" s="344" t="s">
        <v>1485</v>
      </c>
    </row>
    <row r="10" spans="1:26" ht="15" customHeight="1">
      <c r="A10" s="34" t="s">
        <v>1025</v>
      </c>
      <c r="B10" s="39"/>
      <c r="C10" s="39"/>
      <c r="D10" s="39"/>
      <c r="E10" s="39"/>
      <c r="F10" s="39"/>
      <c r="G10" s="39"/>
      <c r="H10" s="40"/>
      <c r="I10" s="40"/>
      <c r="J10" s="247"/>
      <c r="K10" s="238"/>
      <c r="L10" s="125"/>
      <c r="M10" s="125"/>
      <c r="N10" s="43"/>
      <c r="P10" s="226" t="s">
        <v>1459</v>
      </c>
      <c r="Q10" s="30">
        <f>SUM(R10:S10)</f>
        <v>56</v>
      </c>
      <c r="R10" s="30">
        <f>VLOOKUP(P10,A:C,3,FALSE)</f>
        <v>22</v>
      </c>
      <c r="S10" s="30">
        <f>VLOOKUP(P10,A:D,4,FALSE)</f>
        <v>34</v>
      </c>
      <c r="T10" s="90">
        <f>IFERROR(R10/Q10,0)</f>
        <v>0.39285714285714285</v>
      </c>
      <c r="U10" s="151">
        <f>IF((IF($Q$3&gt;Q10,((MAX($R$3,R10)-R10)+(S10-MIN($S$3,S10)))/2,((MIN($Q$3,Q10)-MAX($Q$3,Q10))/2)+(S10-MIN($S$3,S10)))) = 0, "-", (IF($Q$3&gt;Q10,((MAX($R$3,R10)-R10)+(S10-MIN($S$3,S10)))/2,((MIN($Q$3,Q10)-MAX($Q$3,Q10))/2)+(S10-MIN($S$3,S10)))))</f>
        <v>24.5</v>
      </c>
      <c r="V10" s="264">
        <f>VLOOKUP(Table21[[#This Row],[Team]],A:K,11,FALSE)</f>
        <v>-91</v>
      </c>
      <c r="W10" s="162" t="str">
        <f>IF(VLOOKUP(Table21[[#This Row],[Team]],A:N,14,FALSE)=0,"",VLOOKUP(Table21[[#This Row],[Team]],A:N,14,FALSE))</f>
        <v>xw4</v>
      </c>
    </row>
    <row r="11" spans="1:26" ht="15" customHeight="1">
      <c r="A11" s="138" t="s">
        <v>914</v>
      </c>
      <c r="B11" s="114" t="s">
        <v>915</v>
      </c>
      <c r="C11" s="114" t="s">
        <v>28</v>
      </c>
      <c r="D11" s="114" t="s">
        <v>17</v>
      </c>
      <c r="E11" s="114" t="s">
        <v>916</v>
      </c>
      <c r="F11" s="114" t="s">
        <v>917</v>
      </c>
      <c r="G11" s="126" t="s">
        <v>922</v>
      </c>
      <c r="H11" s="153" t="s">
        <v>1001</v>
      </c>
      <c r="I11" s="229" t="s">
        <v>5</v>
      </c>
      <c r="J11" s="229" t="s">
        <v>6</v>
      </c>
      <c r="K11" s="257" t="s">
        <v>7</v>
      </c>
      <c r="L11" s="115" t="s">
        <v>920</v>
      </c>
      <c r="M11" s="115" t="s">
        <v>921</v>
      </c>
      <c r="N11" s="153" t="s">
        <v>923</v>
      </c>
      <c r="P11" s="226" t="s">
        <v>1460</v>
      </c>
      <c r="Q11" s="30">
        <f>SUM(R11:S11)</f>
        <v>55</v>
      </c>
      <c r="R11" s="30">
        <f>VLOOKUP(P11,A:C,3,FALSE)</f>
        <v>20</v>
      </c>
      <c r="S11" s="67">
        <f>VLOOKUP(P11,A:D,4,FALSE)</f>
        <v>35</v>
      </c>
      <c r="T11" s="90">
        <f>IFERROR(R11/Q11,0)</f>
        <v>0.36363636363636365</v>
      </c>
      <c r="U11" s="151">
        <f>IF((IF($Q$3&gt;Q11,((MAX($R$3,R11)-R11)+(S11-MIN($S$3,S11)))/2,((MIN($Q$3,Q11)-MAX($Q$3,Q11))/2)+(S11-MIN($S$3,S11)))) = 0, "-", (IF($Q$3&gt;Q11,((MAX($R$3,R11)-R11)+(S11-MIN($S$3,S11)))/2,((MIN($Q$3,Q11)-MAX($Q$3,Q11))/2)+(S11-MIN($S$3,S11)))))</f>
        <v>26</v>
      </c>
      <c r="V11" s="264">
        <f>VLOOKUP(Table21[[#This Row],[Team]],A:K,11,FALSE)</f>
        <v>-66</v>
      </c>
      <c r="W11" s="162" t="str">
        <f>IF(VLOOKUP(Table21[[#This Row],[Team]],A:N,14,FALSE)=0,"",VLOOKUP(Table21[[#This Row],[Team]],A:N,14,FALSE))</f>
        <v>o</v>
      </c>
      <c r="Y11" s="277" t="s">
        <v>1486</v>
      </c>
      <c r="Z11" s="301"/>
    </row>
    <row r="12" spans="1:26" ht="15" customHeight="1">
      <c r="A12" s="137" t="s">
        <v>1465</v>
      </c>
      <c r="B12" s="30">
        <f>SUM(C12:D12)</f>
        <v>56</v>
      </c>
      <c r="C12" s="30">
        <v>40</v>
      </c>
      <c r="D12" s="30">
        <v>16</v>
      </c>
      <c r="E12" s="31">
        <f>IFERROR(C12/B12,0)</f>
        <v>0.7142857142857143</v>
      </c>
      <c r="F12" s="30">
        <f>56-D12</f>
        <v>40</v>
      </c>
      <c r="G12" s="97">
        <f>IFERROR(B12/56,0)</f>
        <v>1</v>
      </c>
      <c r="H12" s="133" t="str">
        <f>IF((IF($B$12&gt;B12,((MAX($C$12,C12)-C12)+(D12-MIN($D$12,D12)))/2,((MIN($B$12,B12)-MAX($B$12,B12))/2)+(D12-MIN($D$12,D12)))) = 0, "-", IF($B$12&gt;B12,((MAX($C$12,C12)-C12)+(D12-MIN($D$12,D12)))/2,((MIN($B$12,B12)-MAX($B$12,B12))/2)+(D12-MIN($D$12,D12))))</f>
        <v>-</v>
      </c>
      <c r="I12" s="230">
        <f>SUM('WCBL Run Diff 2025'!T3:T57)</f>
        <v>435</v>
      </c>
      <c r="J12" s="230">
        <f>SUM('WCBL Run Diff 2025'!U3:U57)</f>
        <v>245</v>
      </c>
      <c r="K12" s="258">
        <f>Table20[[#This Row],[RF]]-Table20[[#This Row],[RA]]</f>
        <v>190</v>
      </c>
      <c r="L12" s="60" t="str">
        <f>_xlfn.CONCAT(ROUND(((Table20[[#This Row],[RF]]^1.83)/((Table20[[#This Row],[RF]]^1.83)+(Table20[[#This Row],[RA]]^1.83))*B12),0),"-",Table20[[#This Row],[GP]]-ROUND(((Table20[[#This Row],[RF]]^1.83)/((Table20[[#This Row],[RF]]^1.83)+(Table20[[#This Row],[RA]]^1.83))*B12),0))</f>
        <v>41-15</v>
      </c>
      <c r="M12" s="60" t="str">
        <f>_xlfn.CONCAT(ROUND(56*Table20[[#This Row],[PCT.]],0),"-",56-ROUND(56*Table20[[#This Row],[PCT.]],0))</f>
        <v>40-16</v>
      </c>
      <c r="N12" s="162" t="s">
        <v>1487</v>
      </c>
      <c r="P12" s="226" t="s">
        <v>1461</v>
      </c>
      <c r="Q12" s="30">
        <f>SUM(R12:S12)</f>
        <v>55</v>
      </c>
      <c r="R12" s="30">
        <f>VLOOKUP(P12,A:C,3,FALSE)</f>
        <v>20</v>
      </c>
      <c r="S12" s="30">
        <f>VLOOKUP(P12,A:D,4,FALSE)</f>
        <v>35</v>
      </c>
      <c r="T12" s="90">
        <f>IFERROR(R12/Q12,0)</f>
        <v>0.36363636363636365</v>
      </c>
      <c r="U12" s="151">
        <f>IF((IF($Q$3&gt;Q12,((MAX($R$3,R12)-R12)+(S12-MIN($S$3,S12)))/2,((MIN($Q$3,Q12)-MAX($Q$3,Q12))/2)+(S12-MIN($S$3,S12)))) = 0, "-", (IF($Q$3&gt;Q12,((MAX($R$3,R12)-R12)+(S12-MIN($S$3,S12)))/2,((MIN($Q$3,Q12)-MAX($Q$3,Q12))/2)+(S12-MIN($S$3,S12)))))</f>
        <v>26</v>
      </c>
      <c r="V12" s="264">
        <f>VLOOKUP(Table21[[#This Row],[Team]],A:K,11,FALSE)</f>
        <v>-110</v>
      </c>
      <c r="W12" s="162" t="str">
        <f>IF(VLOOKUP(Table21[[#This Row],[Team]],A:N,14,FALSE)=0,"",VLOOKUP(Table21[[#This Row],[Team]],A:N,14,FALSE))</f>
        <v>o</v>
      </c>
      <c r="Y12" s="144" t="s">
        <v>924</v>
      </c>
      <c r="Z12" s="301" t="s">
        <v>925</v>
      </c>
    </row>
    <row r="13" spans="1:26" ht="15" customHeight="1">
      <c r="A13" s="137" t="s">
        <v>1468</v>
      </c>
      <c r="B13" s="30">
        <f>SUM(C13:D13)</f>
        <v>56</v>
      </c>
      <c r="C13" s="30">
        <v>36</v>
      </c>
      <c r="D13" s="30">
        <v>20</v>
      </c>
      <c r="E13" s="31">
        <f>IFERROR(C13/B13,0)</f>
        <v>0.6428571428571429</v>
      </c>
      <c r="F13" s="30">
        <f>56-D13</f>
        <v>36</v>
      </c>
      <c r="G13" s="97">
        <f>IFERROR(B13/56,0)</f>
        <v>1</v>
      </c>
      <c r="H13" s="154">
        <f>IF((IF($B$12&gt;B13,((MAX($C$12,C13)-C13)+(D13-MIN($D$12,D13)))/2,((MIN($B$12,B13)-MAX($B$12,B13))/2)+(D13-MIN($D$12,D13)))) = 0, "-", IF($B$12&gt;B13,((MAX($C$12,C13)-C13)+(D13-MIN($D$12,D13)))/2,((MIN($B$12,B13)-MAX($B$12,B13))/2)+(D13-MIN($D$12,D13))))</f>
        <v>4</v>
      </c>
      <c r="I13" s="230">
        <f>SUM('WCBL Run Diff 2025'!AC3:AC57)</f>
        <v>340</v>
      </c>
      <c r="J13" s="230">
        <f>SUM('WCBL Run Diff 2025'!AD3:AD57)</f>
        <v>250</v>
      </c>
      <c r="K13" s="258">
        <f>Table20[[#This Row],[RF]]-Table20[[#This Row],[RA]]</f>
        <v>90</v>
      </c>
      <c r="L13" s="268" t="str">
        <f>_xlfn.CONCAT(ROUND(((Table20[[#This Row],[RF]]^1.83)/((Table20[[#This Row],[RF]]^1.83)+(Table20[[#This Row],[RA]]^1.83))*B13),0),"-",Table20[[#This Row],[GP]]-ROUND(((Table20[[#This Row],[RF]]^1.83)/((Table20[[#This Row],[RF]]^1.83)+(Table20[[#This Row],[RA]]^1.83))*B13),0))</f>
        <v>36-20</v>
      </c>
      <c r="M13" s="268" t="str">
        <f>_xlfn.CONCAT(ROUND(56*Table20[[#This Row],[PCT.]],0),"-",56-ROUND(56*Table20[[#This Row],[PCT.]],0))</f>
        <v>36-20</v>
      </c>
      <c r="N13" s="162" t="s">
        <v>1030</v>
      </c>
      <c r="P13" s="226" t="s">
        <v>1469</v>
      </c>
      <c r="Q13" s="30">
        <f>SUM(R13:S13)</f>
        <v>56</v>
      </c>
      <c r="R13" s="30">
        <f>VLOOKUP(P13,A:C,3,FALSE)</f>
        <v>16</v>
      </c>
      <c r="S13" s="67">
        <f>VLOOKUP(P13,A:D,4,FALSE)</f>
        <v>40</v>
      </c>
      <c r="T13" s="90">
        <f>IFERROR(R13/Q13,0)</f>
        <v>0.2857142857142857</v>
      </c>
      <c r="U13" s="151">
        <f>IF((IF($Q$3&gt;Q13,((MAX($R$3,R13)-R13)+(S13-MIN($S$3,S13)))/2,((MIN($Q$3,Q13)-MAX($Q$3,Q13))/2)+(S13-MIN($S$3,S13)))) = 0, "-", (IF($Q$3&gt;Q13,((MAX($R$3,R13)-R13)+(S13-MIN($S$3,S13)))/2,((MIN($Q$3,Q13)-MAX($Q$3,Q13))/2)+(S13-MIN($S$3,S13)))))</f>
        <v>30.5</v>
      </c>
      <c r="V13" s="264">
        <f>VLOOKUP(Table21[[#This Row],[Team]],A:K,11,FALSE)</f>
        <v>-118</v>
      </c>
      <c r="W13" s="162" t="str">
        <f>IF(VLOOKUP(Table21[[#This Row],[Team]],A:N,14,FALSE)=0,"",VLOOKUP(Table21[[#This Row],[Team]],A:N,14,FALSE))</f>
        <v>o</v>
      </c>
      <c r="Y13" s="219" t="s">
        <v>1488</v>
      </c>
      <c r="Z13" s="344" t="s">
        <v>1489</v>
      </c>
    </row>
    <row r="14" spans="1:26" ht="15" customHeight="1">
      <c r="A14" s="137" t="s">
        <v>1462</v>
      </c>
      <c r="B14" s="30">
        <f>SUM(C14:D14)</f>
        <v>55</v>
      </c>
      <c r="C14" s="30">
        <v>33</v>
      </c>
      <c r="D14" s="30">
        <v>22</v>
      </c>
      <c r="E14" s="31">
        <f>IFERROR(C14/B14,0)</f>
        <v>0.6</v>
      </c>
      <c r="F14" s="30">
        <f>55-D14</f>
        <v>33</v>
      </c>
      <c r="G14" s="97">
        <f>IFERROR(B14/55,0)</f>
        <v>1</v>
      </c>
      <c r="H14" s="274">
        <f>IF((IF($B$12&gt;B14,((MAX($C$12,C14)-C14)+(D14-MIN($D$12,D14)))/2,((MIN($B$12,B14)-MAX($B$12,B14))/2)+(D14-MIN($D$12,D14)))) = 0, "-", IF($B$12&gt;B14,((MAX($C$12,C14)-C14)+(D14-MIN($D$12,D14)))/2,((MIN($B$12,B14)-MAX($B$12,B14))/2)+(D14-MIN($D$12,D14))))</f>
        <v>6.5</v>
      </c>
      <c r="I14" s="230">
        <f>SUM('WCBL Run Diff 2025'!K3:K57)</f>
        <v>363</v>
      </c>
      <c r="J14" s="230">
        <f>SUM('WCBL Run Diff 2025'!L3:L57)</f>
        <v>341</v>
      </c>
      <c r="K14" s="258">
        <f>Table20[[#This Row],[RF]]-Table20[[#This Row],[RA]]</f>
        <v>22</v>
      </c>
      <c r="L14" s="98" t="str">
        <f>_xlfn.CONCAT(ROUND(((Table20[[#This Row],[RF]]^1.83)/((Table20[[#This Row],[RF]]^1.83)+(Table20[[#This Row],[RA]]^1.83))*B14),0),"-",Table20[[#This Row],[GP]]-ROUND(((Table20[[#This Row],[RF]]^1.83)/((Table20[[#This Row],[RF]]^1.83)+(Table20[[#This Row],[RA]]^1.83))*B14),0))</f>
        <v>29-26</v>
      </c>
      <c r="M14" s="98" t="str">
        <f>_xlfn.CONCAT(ROUND(55*Table20[[#This Row],[PCT.]],0),"-",55-ROUND(55*Table20[[#This Row],[PCT.]],0))</f>
        <v>33-22</v>
      </c>
      <c r="N14" s="162" t="s">
        <v>1034</v>
      </c>
      <c r="P14" s="234" t="s">
        <v>1481</v>
      </c>
      <c r="Q14" s="211">
        <f>SUM(R14:S14)</f>
        <v>55</v>
      </c>
      <c r="R14" s="211">
        <f>VLOOKUP(P14,A:C,3,FALSE)</f>
        <v>10</v>
      </c>
      <c r="S14" s="212">
        <f>VLOOKUP(P14,A:D,4,FALSE)</f>
        <v>45</v>
      </c>
      <c r="T14" s="73">
        <f>IFERROR(R14/Q14,0)</f>
        <v>0.18181818181818182</v>
      </c>
      <c r="U14" s="220">
        <f>IF((IF($Q$3&gt;Q14,((MAX($R$3,R14)-R14)+(S14-MIN($S$3,S14)))/2,((MIN($Q$3,Q14)-MAX($Q$3,Q14))/2)+(S14-MIN($S$3,S14)))) = 0, "-", (IF($Q$3&gt;Q14,((MAX($R$3,R14)-R14)+(S14-MIN($S$3,S14)))/2,((MIN($Q$3,Q14)-MAX($Q$3,Q14))/2)+(S14-MIN($S$3,S14)))))</f>
        <v>36</v>
      </c>
      <c r="V14" s="248">
        <f>VLOOKUP(Table21[[#This Row],[Team]],A:K,11,FALSE)</f>
        <v>-269</v>
      </c>
      <c r="W14" s="221" t="str">
        <f>IF(VLOOKUP(Table21[[#This Row],[Team]],A:N,14,FALSE)=0,"",VLOOKUP(Table21[[#This Row],[Team]],A:N,14,FALSE))</f>
        <v>o</v>
      </c>
    </row>
    <row r="15" spans="1:26" ht="15" customHeight="1">
      <c r="A15" s="155" t="s">
        <v>1459</v>
      </c>
      <c r="B15" s="105">
        <f>SUM(C15:D15)</f>
        <v>56</v>
      </c>
      <c r="C15" s="105">
        <v>22</v>
      </c>
      <c r="D15" s="105">
        <v>34</v>
      </c>
      <c r="E15" s="106">
        <f>IFERROR(C15/B15,0)</f>
        <v>0.39285714285714285</v>
      </c>
      <c r="F15" s="105">
        <f>56-D15</f>
        <v>22</v>
      </c>
      <c r="G15" s="107">
        <f>IFERROR(B15/56,0)</f>
        <v>1</v>
      </c>
      <c r="H15" s="299">
        <f>IF((IF($B$12&gt;B15,((MAX($C$12,C15)-C15)+(D15-MIN($D$12,D15)))/2,((MIN($B$12,B15)-MAX($B$12,B15))/2)+(D15-MIN($D$12,D15)))) = 0, "-", IF($B$12&gt;B15,((MAX($C$12,C15)-C15)+(D15-MIN($D$12,D15)))/2,((MIN($B$12,B15)-MAX($B$12,B15))/2)+(D15-MIN($D$12,D15))))</f>
        <v>18</v>
      </c>
      <c r="I15" s="235">
        <f>SUM('WCBL Run Diff 2025'!B3:B57)</f>
        <v>340</v>
      </c>
      <c r="J15" s="235">
        <f>SUM('WCBL Run Diff 2025'!C3:C57)</f>
        <v>431</v>
      </c>
      <c r="K15" s="259">
        <f>Table20[[#This Row],[RF]]-Table20[[#This Row],[RA]]</f>
        <v>-91</v>
      </c>
      <c r="L15" s="108" t="str">
        <f>_xlfn.CONCAT(ROUND(((Table20[[#This Row],[RF]]^1.83)/((Table20[[#This Row],[RF]]^1.83)+(Table20[[#This Row],[RA]]^1.83))*B15),0),"-",Table20[[#This Row],[GP]]-ROUND(((Table20[[#This Row],[RF]]^1.83)/((Table20[[#This Row],[RF]]^1.83)+(Table20[[#This Row],[RA]]^1.83))*B15),0))</f>
        <v>22-34</v>
      </c>
      <c r="M15" s="108" t="str">
        <f>_xlfn.CONCAT(ROUND(56*Table20[[#This Row],[PCT.]],0),"-",56-ROUND(56*Table20[[#This Row],[PCT.]],0))</f>
        <v>22-34</v>
      </c>
      <c r="N15" s="209" t="s">
        <v>1035</v>
      </c>
      <c r="S15" s="5"/>
      <c r="W15" s="66"/>
      <c r="Y15" s="277" t="s">
        <v>1490</v>
      </c>
      <c r="Z15" s="301"/>
    </row>
    <row r="16" spans="1:26" ht="15" customHeight="1">
      <c r="A16" s="156" t="s">
        <v>1460</v>
      </c>
      <c r="B16" s="109">
        <f>SUM(C16:D16)</f>
        <v>55</v>
      </c>
      <c r="C16" s="109">
        <v>20</v>
      </c>
      <c r="D16" s="109">
        <v>35</v>
      </c>
      <c r="E16" s="110">
        <f>IFERROR(C16/B16,0)</f>
        <v>0.36363636363636365</v>
      </c>
      <c r="F16" s="109">
        <f>56-D16</f>
        <v>21</v>
      </c>
      <c r="G16" s="97">
        <f>IFERROR(B16/55,0)</f>
        <v>1</v>
      </c>
      <c r="H16" s="269">
        <f>IF((IF($B$12&gt;B16,((MAX($C$12,C16)-C16)+(D16-MIN($D$12,D16)))/2,((MIN($B$12,B16)-MAX($B$12,B16))/2)+(D16-MIN($D$12,D16)))) = 0, "-", IF($B$12&gt;B16,((MAX($C$12,C16)-C16)+(D16-MIN($D$12,D16)))/2,((MIN($B$12,B16)-MAX($B$12,B16))/2)+(D16-MIN($D$12,D16))))</f>
        <v>19.5</v>
      </c>
      <c r="I16" s="236">
        <f>SUM('WCBL Run Diff 2025'!E3:E57)</f>
        <v>319</v>
      </c>
      <c r="J16" s="236">
        <f>SUM('WCBL Run Diff 2025'!F3:F57)</f>
        <v>385</v>
      </c>
      <c r="K16" s="260">
        <f>Table20[[#This Row],[RF]]-Table20[[#This Row],[RA]]</f>
        <v>-66</v>
      </c>
      <c r="L16" s="112" t="str">
        <f>_xlfn.CONCAT(ROUND(((Table20[[#This Row],[RF]]^1.83)/((Table20[[#This Row],[RF]]^1.83)+(Table20[[#This Row],[RA]]^1.83))*B16),0),"-",Table20[[#This Row],[GP]]-ROUND(((Table20[[#This Row],[RF]]^1.83)/((Table20[[#This Row],[RF]]^1.83)+(Table20[[#This Row],[RA]]^1.83))*B16),0))</f>
        <v>23-32</v>
      </c>
      <c r="M16" s="98" t="str">
        <f>_xlfn.CONCAT(ROUND(55*Table20[[#This Row],[PCT.]],0),"-",55-ROUND(55*Table20[[#This Row],[PCT.]],0))</f>
        <v>20-35</v>
      </c>
      <c r="N16" s="164" t="s">
        <v>963</v>
      </c>
      <c r="S16" s="5"/>
      <c r="W16" s="66"/>
      <c r="Y16" s="144" t="s">
        <v>924</v>
      </c>
      <c r="Z16" s="301" t="s">
        <v>925</v>
      </c>
    </row>
    <row r="17" spans="1:26" ht="15" customHeight="1">
      <c r="A17" s="141" t="s">
        <v>1461</v>
      </c>
      <c r="B17" s="91">
        <f>SUM(C17:D17)</f>
        <v>55</v>
      </c>
      <c r="C17" s="91">
        <v>20</v>
      </c>
      <c r="D17" s="91">
        <v>35</v>
      </c>
      <c r="E17" s="94">
        <f>IFERROR(C17/B17,0)</f>
        <v>0.36363636363636365</v>
      </c>
      <c r="F17" s="91">
        <f>56-D17</f>
        <v>21</v>
      </c>
      <c r="G17" s="159">
        <f>IFERROR(B17/55,0)</f>
        <v>1</v>
      </c>
      <c r="H17" s="300">
        <f>IF((IF($B$12&gt;B17,((MAX($C$12,C17)-C17)+(D17-MIN($D$12,D17)))/2,((MIN($B$12,B17)-MAX($B$12,B17))/2)+(D17-MIN($D$12,D17)))) = 0, "-", IF($B$12&gt;B17,((MAX($C$12,C17)-C17)+(D17-MIN($D$12,D17)))/2,((MIN($B$12,B17)-MAX($B$12,B17))/2)+(D17-MIN($D$12,D17))))</f>
        <v>19.5</v>
      </c>
      <c r="I17" s="231">
        <f>SUM('WCBL Run Diff 2025'!H3:H57)</f>
        <v>224</v>
      </c>
      <c r="J17" s="231">
        <f>SUM('WCBL Run Diff 2025'!I3:I57)</f>
        <v>334</v>
      </c>
      <c r="K17" s="261">
        <f>Table20[[#This Row],[RF]]-Table20[[#This Row],[RA]]</f>
        <v>-110</v>
      </c>
      <c r="L17" s="160" t="str">
        <f>_xlfn.CONCAT(ROUND(((Table20[[#This Row],[RF]]^1.83)/((Table20[[#This Row],[RF]]^1.83)+(Table20[[#This Row],[RA]]^1.83))*B17),0),"-",Table20[[#This Row],[GP]]-ROUND(((Table20[[#This Row],[RF]]^1.83)/((Table20[[#This Row],[RF]]^1.83)+(Table20[[#This Row],[RA]]^1.83))*B17),0))</f>
        <v>18-37</v>
      </c>
      <c r="M17" s="160" t="str">
        <f>_xlfn.CONCAT(ROUND(55*Table20[[#This Row],[PCT.]],0),"-",55-ROUND(55*Table20[[#This Row],[PCT.]],0))</f>
        <v>20-35</v>
      </c>
      <c r="N17" s="216" t="s">
        <v>963</v>
      </c>
      <c r="S17" s="5"/>
      <c r="W17" s="66"/>
      <c r="Y17" s="219" t="s">
        <v>1491</v>
      </c>
      <c r="Z17" s="344" t="s">
        <v>1492</v>
      </c>
    </row>
    <row r="18" spans="1:26" ht="15" customHeight="1"/>
    <row r="19" spans="1:26" ht="15" customHeight="1">
      <c r="P19" s="276"/>
      <c r="Y19" s="277" t="s">
        <v>1493</v>
      </c>
      <c r="Z19" s="301"/>
    </row>
    <row r="20" spans="1:26" ht="15" customHeight="1">
      <c r="Y20" s="144" t="s">
        <v>924</v>
      </c>
      <c r="Z20" s="301" t="s">
        <v>925</v>
      </c>
    </row>
    <row r="21" spans="1:26" ht="15" customHeight="1">
      <c r="Y21" s="219" t="s">
        <v>1494</v>
      </c>
      <c r="Z21" s="344" t="s">
        <v>1489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B40A-3E18-406C-9FE5-835DC316748F}">
  <sheetPr>
    <outlinePr summaryBelow="0" summaryRight="0"/>
  </sheetPr>
  <dimension ref="A1:O101"/>
  <sheetViews>
    <sheetView workbookViewId="0">
      <pane ySplit="1" topLeftCell="A68" activePane="bottomLeft" state="frozen"/>
      <selection pane="bottomLeft" activeCell="C1" sqref="C1"/>
      <selection activeCell="C1" sqref="C1"/>
    </sheetView>
  </sheetViews>
  <sheetFormatPr defaultColWidth="14.42578125" defaultRowHeight="12.75" customHeight="1"/>
  <cols>
    <col min="1" max="1" width="44.28515625" style="5" bestFit="1" customWidth="1"/>
    <col min="2" max="2" width="6.42578125" style="24" bestFit="1" customWidth="1"/>
    <col min="3" max="3" width="7.7109375" style="5" customWidth="1"/>
    <col min="4" max="4" width="10.140625" style="5" customWidth="1"/>
    <col min="5" max="5" width="7.42578125" style="5" customWidth="1"/>
    <col min="6" max="6" width="6.42578125" style="5" customWidth="1"/>
    <col min="7" max="9" width="5.7109375" style="246" customWidth="1"/>
    <col min="10" max="10" width="6.5703125" style="5" bestFit="1" customWidth="1"/>
    <col min="11" max="13" width="16.140625" style="5" bestFit="1" customWidth="1"/>
    <col min="14" max="14" width="11" style="33" bestFit="1" customWidth="1"/>
    <col min="15" max="15" width="7.7109375" style="5" customWidth="1"/>
    <col min="16" max="16384" width="14.42578125" style="5"/>
  </cols>
  <sheetData>
    <row r="1" spans="1:15" s="120" customFormat="1" ht="15" customHeight="1">
      <c r="A1" s="116" t="s">
        <v>0</v>
      </c>
      <c r="B1" s="117" t="s">
        <v>0</v>
      </c>
      <c r="C1" s="118" t="s">
        <v>1</v>
      </c>
      <c r="D1" s="118" t="s">
        <v>2</v>
      </c>
      <c r="E1" s="118" t="s">
        <v>3</v>
      </c>
      <c r="F1" s="118" t="s">
        <v>4</v>
      </c>
      <c r="G1" s="273" t="s">
        <v>5</v>
      </c>
      <c r="H1" s="273" t="s">
        <v>6</v>
      </c>
      <c r="I1" s="273" t="s">
        <v>7</v>
      </c>
      <c r="J1" s="118" t="s">
        <v>8</v>
      </c>
      <c r="K1" s="118" t="s">
        <v>9</v>
      </c>
      <c r="L1" s="118" t="s">
        <v>10</v>
      </c>
      <c r="M1" s="118" t="s">
        <v>11</v>
      </c>
      <c r="N1" s="119" t="s">
        <v>12</v>
      </c>
      <c r="O1" s="118" t="s">
        <v>13</v>
      </c>
    </row>
    <row r="2" spans="1:15" ht="15" customHeight="1">
      <c r="A2" s="121" t="s">
        <v>1495</v>
      </c>
      <c r="B2" s="122">
        <v>1</v>
      </c>
      <c r="C2" s="8" t="s">
        <v>272</v>
      </c>
      <c r="D2" s="8" t="s">
        <v>1496</v>
      </c>
      <c r="E2" s="8" t="s">
        <v>535</v>
      </c>
      <c r="F2" s="8" t="s">
        <v>145</v>
      </c>
      <c r="G2" s="271" t="s">
        <v>1241</v>
      </c>
      <c r="H2" s="271" t="s">
        <v>1071</v>
      </c>
      <c r="I2" s="271">
        <f t="shared" ref="I2:I24" si="0">IF(E2="","",G2-H2)</f>
        <v>-1</v>
      </c>
      <c r="J2" s="8" t="s">
        <v>142</v>
      </c>
      <c r="K2" s="8" t="s">
        <v>1497</v>
      </c>
      <c r="L2" s="8" t="s">
        <v>1498</v>
      </c>
      <c r="M2" s="8" t="s">
        <v>24</v>
      </c>
      <c r="N2" s="9" t="str">
        <f>IF(E2="","",IFERROR(_xlfn.CONCAT(ROUNDDOWN((I2/10)+(B2*0.5),0),"-",B2-ROUNDDOWN((I2/10)+(B2*0.5),0)),0))</f>
        <v>0-1</v>
      </c>
      <c r="O2" s="8" t="s">
        <v>25</v>
      </c>
    </row>
    <row r="3" spans="1:15" ht="15" customHeight="1">
      <c r="A3" s="121" t="s">
        <v>1495</v>
      </c>
      <c r="B3" s="122">
        <v>2</v>
      </c>
      <c r="C3" s="8" t="s">
        <v>279</v>
      </c>
      <c r="D3" s="8" t="s">
        <v>1496</v>
      </c>
      <c r="E3" s="8" t="s">
        <v>28</v>
      </c>
      <c r="F3" s="8" t="s">
        <v>112</v>
      </c>
      <c r="G3" s="271" t="s">
        <v>1078</v>
      </c>
      <c r="H3" s="271" t="s">
        <v>1244</v>
      </c>
      <c r="I3" s="271">
        <f t="shared" si="0"/>
        <v>1</v>
      </c>
      <c r="J3" s="8" t="s">
        <v>1134</v>
      </c>
      <c r="K3" s="8" t="s">
        <v>1499</v>
      </c>
      <c r="L3" s="8" t="s">
        <v>1500</v>
      </c>
      <c r="M3" s="8" t="s">
        <v>1501</v>
      </c>
      <c r="N3" s="9" t="str">
        <f t="shared" ref="N3:N66" si="1">IF(E3="","",IFERROR(_xlfn.CONCAT(ROUNDDOWN((I3/10)+(B3*0.5),0),"-",B3-ROUNDDOWN((I3/10)+(B3*0.5),0)),0))</f>
        <v>1-1</v>
      </c>
      <c r="O3" s="8" t="s">
        <v>33</v>
      </c>
    </row>
    <row r="4" spans="1:15" ht="15" customHeight="1">
      <c r="A4" s="121" t="s">
        <v>1495</v>
      </c>
      <c r="B4" s="122">
        <v>3</v>
      </c>
      <c r="C4" s="8" t="s">
        <v>285</v>
      </c>
      <c r="D4" s="8" t="s">
        <v>1496</v>
      </c>
      <c r="E4" s="8" t="s">
        <v>17</v>
      </c>
      <c r="F4" s="8" t="s">
        <v>795</v>
      </c>
      <c r="G4" s="271" t="s">
        <v>1086</v>
      </c>
      <c r="H4" s="271" t="s">
        <v>1502</v>
      </c>
      <c r="I4" s="271">
        <f t="shared" si="0"/>
        <v>-2</v>
      </c>
      <c r="J4" s="8" t="s">
        <v>504</v>
      </c>
      <c r="K4" s="8" t="s">
        <v>1503</v>
      </c>
      <c r="L4" s="8" t="s">
        <v>1504</v>
      </c>
      <c r="M4" s="8" t="s">
        <v>1497</v>
      </c>
      <c r="N4" s="9" t="str">
        <f t="shared" si="1"/>
        <v>1-2</v>
      </c>
      <c r="O4" s="8" t="s">
        <v>39</v>
      </c>
    </row>
    <row r="5" spans="1:15" ht="15" customHeight="1">
      <c r="A5" s="121" t="s">
        <v>1495</v>
      </c>
      <c r="B5" s="122">
        <v>4</v>
      </c>
      <c r="C5" s="8" t="s">
        <v>291</v>
      </c>
      <c r="D5" s="8" t="s">
        <v>1505</v>
      </c>
      <c r="E5" s="8" t="s">
        <v>17</v>
      </c>
      <c r="F5" s="8" t="s">
        <v>145</v>
      </c>
      <c r="G5" s="271" t="s">
        <v>1257</v>
      </c>
      <c r="H5" s="271" t="s">
        <v>1242</v>
      </c>
      <c r="I5" s="271">
        <f t="shared" si="0"/>
        <v>-3</v>
      </c>
      <c r="J5" s="8" t="s">
        <v>1122</v>
      </c>
      <c r="K5" s="8" t="s">
        <v>1506</v>
      </c>
      <c r="L5" s="8" t="s">
        <v>1501</v>
      </c>
      <c r="M5" s="8" t="s">
        <v>1507</v>
      </c>
      <c r="N5" s="9" t="str">
        <f t="shared" si="1"/>
        <v>1-3</v>
      </c>
      <c r="O5" s="8" t="s">
        <v>194</v>
      </c>
    </row>
    <row r="6" spans="1:15" ht="15" customHeight="1">
      <c r="A6" s="121" t="s">
        <v>1508</v>
      </c>
      <c r="B6" s="122">
        <v>5</v>
      </c>
      <c r="C6" s="8" t="s">
        <v>300</v>
      </c>
      <c r="D6" s="8" t="s">
        <v>892</v>
      </c>
      <c r="E6" s="8" t="s">
        <v>17</v>
      </c>
      <c r="F6" s="8" t="s">
        <v>125</v>
      </c>
      <c r="G6" s="271" t="s">
        <v>1091</v>
      </c>
      <c r="H6" s="271" t="s">
        <v>1509</v>
      </c>
      <c r="I6" s="271">
        <f t="shared" si="0"/>
        <v>-4</v>
      </c>
      <c r="J6" s="8" t="s">
        <v>1134</v>
      </c>
      <c r="K6" s="8" t="s">
        <v>1510</v>
      </c>
      <c r="L6" s="8" t="s">
        <v>1511</v>
      </c>
      <c r="M6" s="8" t="s">
        <v>1512</v>
      </c>
      <c r="N6" s="9" t="str">
        <f t="shared" si="1"/>
        <v>2-3</v>
      </c>
      <c r="O6" s="8" t="s">
        <v>772</v>
      </c>
    </row>
    <row r="7" spans="1:15" ht="15" customHeight="1">
      <c r="A7" s="121" t="s">
        <v>1508</v>
      </c>
      <c r="B7" s="122">
        <v>6</v>
      </c>
      <c r="C7" s="8" t="s">
        <v>308</v>
      </c>
      <c r="D7" s="8" t="s">
        <v>892</v>
      </c>
      <c r="E7" s="8" t="s">
        <v>17</v>
      </c>
      <c r="F7" s="8" t="s">
        <v>1134</v>
      </c>
      <c r="G7" s="271" t="s">
        <v>59</v>
      </c>
      <c r="H7" s="271" t="s">
        <v>79</v>
      </c>
      <c r="I7" s="271">
        <f t="shared" si="0"/>
        <v>-5</v>
      </c>
      <c r="J7" s="8" t="s">
        <v>487</v>
      </c>
      <c r="K7" s="8" t="s">
        <v>1513</v>
      </c>
      <c r="L7" s="8" t="s">
        <v>1514</v>
      </c>
      <c r="M7" s="8" t="s">
        <v>24</v>
      </c>
      <c r="N7" s="9" t="str">
        <f t="shared" si="1"/>
        <v>2-4</v>
      </c>
      <c r="O7" s="8" t="s">
        <v>187</v>
      </c>
    </row>
    <row r="8" spans="1:15" ht="15" customHeight="1">
      <c r="A8" s="121" t="s">
        <v>1508</v>
      </c>
      <c r="B8" s="122">
        <v>7</v>
      </c>
      <c r="C8" s="8" t="s">
        <v>313</v>
      </c>
      <c r="D8" s="8" t="s">
        <v>892</v>
      </c>
      <c r="E8" s="8" t="s">
        <v>28</v>
      </c>
      <c r="F8" s="8" t="s">
        <v>880</v>
      </c>
      <c r="G8" s="271" t="s">
        <v>80</v>
      </c>
      <c r="H8" s="271" t="s">
        <v>1515</v>
      </c>
      <c r="I8" s="271">
        <f t="shared" si="0"/>
        <v>2</v>
      </c>
      <c r="J8" s="8" t="s">
        <v>206</v>
      </c>
      <c r="K8" s="8" t="s">
        <v>1516</v>
      </c>
      <c r="L8" s="8" t="s">
        <v>1517</v>
      </c>
      <c r="M8" s="8" t="s">
        <v>24</v>
      </c>
      <c r="N8" s="9" t="str">
        <f t="shared" si="1"/>
        <v>3-4</v>
      </c>
      <c r="O8" s="8" t="s">
        <v>795</v>
      </c>
    </row>
    <row r="9" spans="1:15" ht="15" customHeight="1">
      <c r="A9" s="121" t="s">
        <v>1518</v>
      </c>
      <c r="B9" s="122">
        <v>8</v>
      </c>
      <c r="C9" s="8" t="s">
        <v>319</v>
      </c>
      <c r="D9" s="8" t="s">
        <v>375</v>
      </c>
      <c r="E9" s="8" t="s">
        <v>28</v>
      </c>
      <c r="F9" s="8" t="s">
        <v>139</v>
      </c>
      <c r="G9" s="271" t="s">
        <v>1519</v>
      </c>
      <c r="H9" s="271" t="s">
        <v>103</v>
      </c>
      <c r="I9" s="271">
        <f t="shared" si="0"/>
        <v>4</v>
      </c>
      <c r="J9" s="8" t="s">
        <v>222</v>
      </c>
      <c r="K9" s="8" t="s">
        <v>1520</v>
      </c>
      <c r="L9" s="8" t="s">
        <v>1521</v>
      </c>
      <c r="M9" s="8" t="s">
        <v>24</v>
      </c>
      <c r="N9" s="9" t="str">
        <f t="shared" si="1"/>
        <v>4-4</v>
      </c>
      <c r="O9" s="8" t="s">
        <v>247</v>
      </c>
    </row>
    <row r="10" spans="1:15" ht="15" customHeight="1">
      <c r="A10" s="121" t="s">
        <v>1518</v>
      </c>
      <c r="B10" s="122">
        <v>9</v>
      </c>
      <c r="C10" s="8" t="s">
        <v>325</v>
      </c>
      <c r="D10" s="8" t="s">
        <v>203</v>
      </c>
      <c r="E10" s="8" t="s">
        <v>1522</v>
      </c>
      <c r="F10" s="8" t="s">
        <v>78</v>
      </c>
      <c r="G10" s="271" t="s">
        <v>1111</v>
      </c>
      <c r="H10" s="271" t="s">
        <v>102</v>
      </c>
      <c r="I10" s="271">
        <f t="shared" si="0"/>
        <v>3</v>
      </c>
      <c r="J10" s="8" t="s">
        <v>89</v>
      </c>
      <c r="K10" s="8" t="s">
        <v>1521</v>
      </c>
      <c r="L10" s="8" t="s">
        <v>1501</v>
      </c>
      <c r="M10" s="8" t="s">
        <v>24</v>
      </c>
      <c r="N10" s="9" t="str">
        <f t="shared" si="1"/>
        <v>4-5</v>
      </c>
      <c r="O10" s="8" t="s">
        <v>442</v>
      </c>
    </row>
    <row r="11" spans="1:15" ht="15" customHeight="1">
      <c r="A11" s="121" t="s">
        <v>1518</v>
      </c>
      <c r="B11" s="122">
        <v>10</v>
      </c>
      <c r="C11" s="8" t="s">
        <v>329</v>
      </c>
      <c r="D11" s="8" t="s">
        <v>1523</v>
      </c>
      <c r="E11" s="8" t="s">
        <v>28</v>
      </c>
      <c r="F11" s="8" t="s">
        <v>1142</v>
      </c>
      <c r="G11" s="271" t="s">
        <v>1258</v>
      </c>
      <c r="H11" s="271" t="s">
        <v>102</v>
      </c>
      <c r="I11" s="271">
        <f t="shared" si="0"/>
        <v>8</v>
      </c>
      <c r="J11" s="8" t="s">
        <v>345</v>
      </c>
      <c r="K11" s="8" t="s">
        <v>1511</v>
      </c>
      <c r="L11" s="8" t="s">
        <v>1524</v>
      </c>
      <c r="M11" s="8" t="s">
        <v>24</v>
      </c>
      <c r="N11" s="9" t="str">
        <f t="shared" si="1"/>
        <v>5-5</v>
      </c>
      <c r="O11" s="8" t="s">
        <v>378</v>
      </c>
    </row>
    <row r="12" spans="1:15" ht="15" customHeight="1">
      <c r="A12" s="13" t="s">
        <v>1525</v>
      </c>
      <c r="B12" s="122">
        <v>11</v>
      </c>
      <c r="C12" s="8" t="s">
        <v>337</v>
      </c>
      <c r="D12" s="8" t="s">
        <v>1526</v>
      </c>
      <c r="E12" s="8" t="s">
        <v>28</v>
      </c>
      <c r="F12" s="8" t="s">
        <v>42</v>
      </c>
      <c r="G12" s="271" t="s">
        <v>1264</v>
      </c>
      <c r="H12" s="271" t="s">
        <v>1519</v>
      </c>
      <c r="I12" s="271">
        <f t="shared" si="0"/>
        <v>10</v>
      </c>
      <c r="J12" s="8" t="s">
        <v>378</v>
      </c>
      <c r="K12" s="8" t="s">
        <v>1501</v>
      </c>
      <c r="L12" s="8" t="s">
        <v>1527</v>
      </c>
      <c r="M12" s="8" t="s">
        <v>1498</v>
      </c>
      <c r="N12" s="9" t="str">
        <f t="shared" si="1"/>
        <v>6-5</v>
      </c>
      <c r="O12" s="8" t="s">
        <v>145</v>
      </c>
    </row>
    <row r="13" spans="1:15" ht="15" customHeight="1">
      <c r="A13" s="13" t="s">
        <v>1525</v>
      </c>
      <c r="B13" s="122">
        <v>12</v>
      </c>
      <c r="C13" s="8" t="s">
        <v>342</v>
      </c>
      <c r="D13" s="8" t="s">
        <v>1526</v>
      </c>
      <c r="E13" s="8" t="s">
        <v>28</v>
      </c>
      <c r="F13" s="8" t="s">
        <v>662</v>
      </c>
      <c r="G13" s="271" t="s">
        <v>1123</v>
      </c>
      <c r="H13" s="271" t="s">
        <v>127</v>
      </c>
      <c r="I13" s="271">
        <f t="shared" si="0"/>
        <v>15</v>
      </c>
      <c r="J13" s="8" t="s">
        <v>185</v>
      </c>
      <c r="K13" s="8" t="s">
        <v>1516</v>
      </c>
      <c r="L13" s="8" t="s">
        <v>697</v>
      </c>
      <c r="M13" s="8" t="s">
        <v>24</v>
      </c>
      <c r="N13" s="9" t="str">
        <f t="shared" si="1"/>
        <v>7-5</v>
      </c>
      <c r="O13" s="8" t="s">
        <v>796</v>
      </c>
    </row>
    <row r="14" spans="1:15" ht="15" customHeight="1">
      <c r="A14" s="13" t="s">
        <v>1525</v>
      </c>
      <c r="B14" s="122">
        <v>13</v>
      </c>
      <c r="C14" s="8" t="s">
        <v>348</v>
      </c>
      <c r="D14" s="8" t="s">
        <v>1528</v>
      </c>
      <c r="E14" s="8" t="s">
        <v>17</v>
      </c>
      <c r="F14" s="8" t="s">
        <v>89</v>
      </c>
      <c r="G14" s="271" t="s">
        <v>149</v>
      </c>
      <c r="H14" s="271" t="s">
        <v>1124</v>
      </c>
      <c r="I14" s="271">
        <f t="shared" si="0"/>
        <v>12</v>
      </c>
      <c r="J14" s="8" t="s">
        <v>1529</v>
      </c>
      <c r="K14" s="8" t="s">
        <v>1530</v>
      </c>
      <c r="L14" s="8" t="s">
        <v>1531</v>
      </c>
      <c r="M14" s="8" t="s">
        <v>1532</v>
      </c>
      <c r="N14" s="9" t="str">
        <f t="shared" si="1"/>
        <v>7-6</v>
      </c>
      <c r="O14" s="8" t="s">
        <v>1122</v>
      </c>
    </row>
    <row r="15" spans="1:15" ht="15" customHeight="1">
      <c r="A15" s="13" t="s">
        <v>1533</v>
      </c>
      <c r="B15" s="122">
        <v>14</v>
      </c>
      <c r="C15" s="8" t="s">
        <v>354</v>
      </c>
      <c r="D15" s="8" t="s">
        <v>1373</v>
      </c>
      <c r="E15" s="8" t="s">
        <v>17</v>
      </c>
      <c r="F15" s="8" t="s">
        <v>795</v>
      </c>
      <c r="G15" s="271" t="s">
        <v>1534</v>
      </c>
      <c r="H15" s="271" t="s">
        <v>1535</v>
      </c>
      <c r="I15" s="271">
        <f t="shared" si="0"/>
        <v>9</v>
      </c>
      <c r="J15" s="8" t="s">
        <v>119</v>
      </c>
      <c r="K15" s="8" t="s">
        <v>1536</v>
      </c>
      <c r="L15" s="8" t="s">
        <v>1537</v>
      </c>
      <c r="M15" s="8" t="s">
        <v>512</v>
      </c>
      <c r="N15" s="9" t="str">
        <f t="shared" si="1"/>
        <v>7-7</v>
      </c>
      <c r="O15" s="8" t="s">
        <v>151</v>
      </c>
    </row>
    <row r="16" spans="1:15" ht="15" customHeight="1">
      <c r="A16" s="13" t="s">
        <v>1533</v>
      </c>
      <c r="B16" s="122">
        <v>15</v>
      </c>
      <c r="C16" s="8" t="s">
        <v>359</v>
      </c>
      <c r="D16" s="8" t="s">
        <v>1538</v>
      </c>
      <c r="E16" s="8" t="s">
        <v>28</v>
      </c>
      <c r="F16" s="8" t="s">
        <v>55</v>
      </c>
      <c r="G16" s="271" t="s">
        <v>1138</v>
      </c>
      <c r="H16" s="271" t="s">
        <v>144</v>
      </c>
      <c r="I16" s="271">
        <f t="shared" si="0"/>
        <v>10</v>
      </c>
      <c r="J16" s="8" t="s">
        <v>576</v>
      </c>
      <c r="K16" s="8" t="s">
        <v>1511</v>
      </c>
      <c r="L16" s="8" t="s">
        <v>1539</v>
      </c>
      <c r="M16" s="8" t="s">
        <v>1540</v>
      </c>
      <c r="N16" s="9" t="str">
        <f t="shared" si="1"/>
        <v>8-7</v>
      </c>
      <c r="O16" s="8" t="s">
        <v>1134</v>
      </c>
    </row>
    <row r="17" spans="1:15" ht="15" customHeight="1">
      <c r="A17" s="13" t="s">
        <v>1533</v>
      </c>
      <c r="B17" s="122">
        <v>16</v>
      </c>
      <c r="C17" s="8" t="s">
        <v>364</v>
      </c>
      <c r="D17" s="8" t="s">
        <v>1541</v>
      </c>
      <c r="E17" s="8" t="s">
        <v>17</v>
      </c>
      <c r="F17" s="8" t="s">
        <v>1542</v>
      </c>
      <c r="G17" s="271" t="s">
        <v>167</v>
      </c>
      <c r="H17" s="271" t="s">
        <v>1534</v>
      </c>
      <c r="I17" s="271">
        <f t="shared" si="0"/>
        <v>6</v>
      </c>
      <c r="J17" s="8" t="s">
        <v>257</v>
      </c>
      <c r="K17" s="8" t="s">
        <v>1543</v>
      </c>
      <c r="L17" s="8" t="s">
        <v>1499</v>
      </c>
      <c r="M17" s="8" t="s">
        <v>24</v>
      </c>
      <c r="N17" s="9" t="str">
        <f t="shared" si="1"/>
        <v>8-8</v>
      </c>
      <c r="O17" s="8" t="s">
        <v>43</v>
      </c>
    </row>
    <row r="18" spans="1:15" ht="15" customHeight="1">
      <c r="A18" s="123" t="s">
        <v>1544</v>
      </c>
      <c r="B18" s="122">
        <v>17</v>
      </c>
      <c r="C18" s="8" t="s">
        <v>382</v>
      </c>
      <c r="D18" s="8" t="s">
        <v>1545</v>
      </c>
      <c r="E18" s="8" t="s">
        <v>609</v>
      </c>
      <c r="F18" s="8" t="s">
        <v>55</v>
      </c>
      <c r="G18" s="271" t="s">
        <v>1546</v>
      </c>
      <c r="H18" s="271" t="s">
        <v>1547</v>
      </c>
      <c r="I18" s="271">
        <f t="shared" si="0"/>
        <v>7</v>
      </c>
      <c r="J18" s="8" t="s">
        <v>74</v>
      </c>
      <c r="K18" s="8" t="s">
        <v>1516</v>
      </c>
      <c r="L18" s="8" t="s">
        <v>1548</v>
      </c>
      <c r="M18" s="8" t="s">
        <v>1537</v>
      </c>
      <c r="N18" s="9" t="str">
        <f t="shared" si="1"/>
        <v>9-8</v>
      </c>
      <c r="O18" s="8" t="s">
        <v>573</v>
      </c>
    </row>
    <row r="19" spans="1:15" ht="15" customHeight="1">
      <c r="A19" s="123" t="s">
        <v>1544</v>
      </c>
      <c r="B19" s="122">
        <v>18</v>
      </c>
      <c r="C19" s="8" t="s">
        <v>382</v>
      </c>
      <c r="D19" s="8" t="s">
        <v>1526</v>
      </c>
      <c r="E19" s="8" t="s">
        <v>1389</v>
      </c>
      <c r="F19" s="8" t="s">
        <v>1327</v>
      </c>
      <c r="G19" s="271" t="s">
        <v>175</v>
      </c>
      <c r="H19" s="271" t="s">
        <v>1549</v>
      </c>
      <c r="I19" s="271">
        <f t="shared" si="0"/>
        <v>4</v>
      </c>
      <c r="J19" s="8" t="s">
        <v>1550</v>
      </c>
      <c r="K19" s="8" t="s">
        <v>1551</v>
      </c>
      <c r="L19" s="8" t="s">
        <v>1552</v>
      </c>
      <c r="M19" s="8" t="s">
        <v>1553</v>
      </c>
      <c r="N19" s="9" t="str">
        <f t="shared" si="1"/>
        <v>9-9</v>
      </c>
      <c r="O19" s="8" t="s">
        <v>1529</v>
      </c>
    </row>
    <row r="20" spans="1:15" ht="15" customHeight="1">
      <c r="A20" s="123" t="s">
        <v>1544</v>
      </c>
      <c r="B20" s="122">
        <v>19</v>
      </c>
      <c r="C20" s="8" t="s">
        <v>389</v>
      </c>
      <c r="D20" s="8" t="s">
        <v>1526</v>
      </c>
      <c r="E20" s="8" t="s">
        <v>535</v>
      </c>
      <c r="F20" s="8" t="s">
        <v>39</v>
      </c>
      <c r="G20" s="271" t="s">
        <v>1152</v>
      </c>
      <c r="H20" s="271" t="s">
        <v>188</v>
      </c>
      <c r="I20" s="271">
        <f t="shared" si="0"/>
        <v>3</v>
      </c>
      <c r="J20" s="8" t="s">
        <v>504</v>
      </c>
      <c r="K20" s="8" t="s">
        <v>1554</v>
      </c>
      <c r="L20" s="8" t="s">
        <v>1498</v>
      </c>
      <c r="M20" s="8" t="s">
        <v>24</v>
      </c>
      <c r="N20" s="9" t="str">
        <f t="shared" si="1"/>
        <v>9-10</v>
      </c>
      <c r="O20" s="8" t="s">
        <v>845</v>
      </c>
    </row>
    <row r="21" spans="1:15" ht="15" customHeight="1">
      <c r="A21" s="121" t="s">
        <v>1555</v>
      </c>
      <c r="B21" s="122">
        <v>20</v>
      </c>
      <c r="C21" s="8" t="s">
        <v>395</v>
      </c>
      <c r="D21" s="8" t="s">
        <v>892</v>
      </c>
      <c r="E21" s="8" t="s">
        <v>17</v>
      </c>
      <c r="F21" s="8" t="s">
        <v>187</v>
      </c>
      <c r="G21" s="271" t="s">
        <v>1556</v>
      </c>
      <c r="H21" s="271" t="s">
        <v>204</v>
      </c>
      <c r="I21" s="271">
        <f t="shared" si="0"/>
        <v>-1</v>
      </c>
      <c r="J21" s="8" t="s">
        <v>139</v>
      </c>
      <c r="K21" s="8" t="s">
        <v>1557</v>
      </c>
      <c r="L21" s="8" t="s">
        <v>1511</v>
      </c>
      <c r="M21" s="8" t="s">
        <v>24</v>
      </c>
      <c r="N21" s="9" t="str">
        <f t="shared" si="1"/>
        <v>9-11</v>
      </c>
      <c r="O21" s="8" t="s">
        <v>36</v>
      </c>
    </row>
    <row r="22" spans="1:15" ht="15" customHeight="1">
      <c r="A22" s="121" t="s">
        <v>1555</v>
      </c>
      <c r="B22" s="122">
        <v>21</v>
      </c>
      <c r="C22" s="8" t="s">
        <v>401</v>
      </c>
      <c r="D22" s="8" t="s">
        <v>693</v>
      </c>
      <c r="E22" s="8" t="s">
        <v>28</v>
      </c>
      <c r="F22" s="8" t="s">
        <v>1558</v>
      </c>
      <c r="G22" s="271" t="s">
        <v>1559</v>
      </c>
      <c r="H22" s="271" t="s">
        <v>1560</v>
      </c>
      <c r="I22" s="271">
        <f t="shared" si="0"/>
        <v>4</v>
      </c>
      <c r="J22" s="8" t="s">
        <v>134</v>
      </c>
      <c r="K22" s="8" t="s">
        <v>1561</v>
      </c>
      <c r="L22" s="8" t="s">
        <v>1562</v>
      </c>
      <c r="M22" s="8" t="s">
        <v>24</v>
      </c>
      <c r="N22" s="9" t="str">
        <f t="shared" si="1"/>
        <v>10-11</v>
      </c>
      <c r="O22" s="8" t="s">
        <v>650</v>
      </c>
    </row>
    <row r="23" spans="1:15" ht="15" customHeight="1">
      <c r="A23" s="121" t="s">
        <v>1555</v>
      </c>
      <c r="B23" s="122">
        <v>22</v>
      </c>
      <c r="C23" s="8" t="s">
        <v>407</v>
      </c>
      <c r="D23" s="8" t="s">
        <v>1523</v>
      </c>
      <c r="E23" s="8" t="s">
        <v>28</v>
      </c>
      <c r="F23" s="8" t="s">
        <v>587</v>
      </c>
      <c r="G23" s="271" t="s">
        <v>1163</v>
      </c>
      <c r="H23" s="271" t="s">
        <v>225</v>
      </c>
      <c r="I23" s="271">
        <f t="shared" si="0"/>
        <v>5</v>
      </c>
      <c r="J23" s="8" t="s">
        <v>301</v>
      </c>
      <c r="K23" s="8" t="s">
        <v>1498</v>
      </c>
      <c r="L23" s="8" t="s">
        <v>1563</v>
      </c>
      <c r="M23" s="8" t="s">
        <v>24</v>
      </c>
      <c r="N23" s="9" t="str">
        <f t="shared" si="1"/>
        <v>11-11</v>
      </c>
      <c r="O23" s="8" t="s">
        <v>1550</v>
      </c>
    </row>
    <row r="24" spans="1:15" ht="15" customHeight="1">
      <c r="A24" s="13" t="s">
        <v>1564</v>
      </c>
      <c r="B24" s="122">
        <v>23</v>
      </c>
      <c r="C24" s="8" t="s">
        <v>415</v>
      </c>
      <c r="D24" s="8" t="s">
        <v>1526</v>
      </c>
      <c r="E24" s="8" t="s">
        <v>17</v>
      </c>
      <c r="F24" s="8" t="s">
        <v>72</v>
      </c>
      <c r="G24" s="271" t="s">
        <v>1163</v>
      </c>
      <c r="H24" s="271" t="s">
        <v>1163</v>
      </c>
      <c r="I24" s="271">
        <f t="shared" si="0"/>
        <v>0</v>
      </c>
      <c r="J24" s="8" t="s">
        <v>125</v>
      </c>
      <c r="K24" s="8" t="s">
        <v>1565</v>
      </c>
      <c r="L24" s="8" t="s">
        <v>1552</v>
      </c>
      <c r="M24" s="8" t="s">
        <v>24</v>
      </c>
      <c r="N24" s="9" t="str">
        <f t="shared" si="1"/>
        <v>11-12</v>
      </c>
      <c r="O24" s="8" t="s">
        <v>1245</v>
      </c>
    </row>
    <row r="25" spans="1:15" ht="15" customHeight="1">
      <c r="A25" s="13" t="s">
        <v>1564</v>
      </c>
      <c r="B25" s="122">
        <v>24</v>
      </c>
      <c r="C25" s="8" t="s">
        <v>421</v>
      </c>
      <c r="D25" s="8" t="s">
        <v>1528</v>
      </c>
      <c r="E25" s="8" t="s">
        <v>28</v>
      </c>
      <c r="F25" s="8" t="s">
        <v>1558</v>
      </c>
      <c r="G25" s="271" t="s">
        <v>1566</v>
      </c>
      <c r="H25" s="271" t="s">
        <v>196</v>
      </c>
      <c r="I25" s="271">
        <f>IF(E25="","",G25-H25)</f>
        <v>5</v>
      </c>
      <c r="J25" s="8" t="s">
        <v>1567</v>
      </c>
      <c r="K25" s="8" t="s">
        <v>1531</v>
      </c>
      <c r="L25" s="8" t="s">
        <v>1568</v>
      </c>
      <c r="M25" s="8" t="s">
        <v>24</v>
      </c>
      <c r="N25" s="9" t="str">
        <f t="shared" si="1"/>
        <v>12-12</v>
      </c>
      <c r="O25" s="8" t="s">
        <v>1569</v>
      </c>
    </row>
    <row r="26" spans="1:15" ht="15" customHeight="1">
      <c r="A26" s="13" t="s">
        <v>1564</v>
      </c>
      <c r="B26" s="122">
        <v>25</v>
      </c>
      <c r="C26" s="8" t="s">
        <v>425</v>
      </c>
      <c r="D26" s="8" t="s">
        <v>1526</v>
      </c>
      <c r="E26" s="8" t="s">
        <v>17</v>
      </c>
      <c r="F26" s="8" t="s">
        <v>39</v>
      </c>
      <c r="G26" s="271" t="s">
        <v>1286</v>
      </c>
      <c r="H26" s="271" t="s">
        <v>205</v>
      </c>
      <c r="I26" s="271">
        <f t="shared" ref="I26:I89" si="2">IF(E26="","",G26-H26)</f>
        <v>4</v>
      </c>
      <c r="J26" s="8" t="s">
        <v>99</v>
      </c>
      <c r="K26" s="8" t="s">
        <v>1570</v>
      </c>
      <c r="L26" s="8" t="s">
        <v>1511</v>
      </c>
      <c r="M26" s="8" t="s">
        <v>1571</v>
      </c>
      <c r="N26" s="9" t="str">
        <f t="shared" si="1"/>
        <v>12-13</v>
      </c>
      <c r="O26" s="8" t="s">
        <v>1572</v>
      </c>
    </row>
    <row r="27" spans="1:15" ht="15" customHeight="1">
      <c r="A27" s="13" t="s">
        <v>1573</v>
      </c>
      <c r="B27" s="122">
        <v>26</v>
      </c>
      <c r="C27" s="8" t="s">
        <v>430</v>
      </c>
      <c r="D27" s="8" t="s">
        <v>1373</v>
      </c>
      <c r="E27" s="8" t="s">
        <v>17</v>
      </c>
      <c r="F27" s="8" t="s">
        <v>773</v>
      </c>
      <c r="G27" s="271" t="s">
        <v>1574</v>
      </c>
      <c r="H27" s="271" t="s">
        <v>1574</v>
      </c>
      <c r="I27" s="271">
        <f t="shared" si="2"/>
        <v>0</v>
      </c>
      <c r="J27" s="8" t="s">
        <v>1575</v>
      </c>
      <c r="K27" s="8" t="s">
        <v>856</v>
      </c>
      <c r="L27" s="8" t="s">
        <v>1561</v>
      </c>
      <c r="M27" s="8" t="s">
        <v>1576</v>
      </c>
      <c r="N27" s="9" t="str">
        <f t="shared" si="1"/>
        <v>13-13</v>
      </c>
      <c r="O27" s="8" t="s">
        <v>1577</v>
      </c>
    </row>
    <row r="28" spans="1:15" ht="15" customHeight="1">
      <c r="A28" s="13" t="s">
        <v>1573</v>
      </c>
      <c r="B28" s="122">
        <v>27</v>
      </c>
      <c r="C28" s="8" t="s">
        <v>435</v>
      </c>
      <c r="D28" s="8" t="s">
        <v>1538</v>
      </c>
      <c r="E28" s="8" t="s">
        <v>17</v>
      </c>
      <c r="F28" s="8" t="s">
        <v>1277</v>
      </c>
      <c r="G28" s="271" t="s">
        <v>1574</v>
      </c>
      <c r="H28" s="271" t="s">
        <v>1578</v>
      </c>
      <c r="I28" s="271">
        <f t="shared" si="2"/>
        <v>-9</v>
      </c>
      <c r="J28" s="8" t="s">
        <v>1579</v>
      </c>
      <c r="K28" s="8" t="s">
        <v>1513</v>
      </c>
      <c r="L28" s="8" t="s">
        <v>1516</v>
      </c>
      <c r="M28" s="8" t="s">
        <v>24</v>
      </c>
      <c r="N28" s="9" t="str">
        <f t="shared" si="1"/>
        <v>12-15</v>
      </c>
      <c r="O28" s="8" t="s">
        <v>696</v>
      </c>
    </row>
    <row r="29" spans="1:15" ht="15" customHeight="1">
      <c r="A29" s="121" t="s">
        <v>1580</v>
      </c>
      <c r="B29" s="122">
        <v>28</v>
      </c>
      <c r="C29" s="8" t="s">
        <v>457</v>
      </c>
      <c r="D29" s="8" t="s">
        <v>1526</v>
      </c>
      <c r="E29" s="8" t="s">
        <v>28</v>
      </c>
      <c r="F29" s="8" t="s">
        <v>866</v>
      </c>
      <c r="G29" s="271" t="s">
        <v>255</v>
      </c>
      <c r="H29" s="271" t="s">
        <v>1581</v>
      </c>
      <c r="I29" s="271">
        <f t="shared" si="2"/>
        <v>-4</v>
      </c>
      <c r="J29" s="8" t="s">
        <v>396</v>
      </c>
      <c r="K29" s="8" t="s">
        <v>1531</v>
      </c>
      <c r="L29" s="8" t="s">
        <v>1582</v>
      </c>
      <c r="M29" s="8" t="s">
        <v>24</v>
      </c>
      <c r="N29" s="9" t="str">
        <f t="shared" si="1"/>
        <v>13-15</v>
      </c>
      <c r="O29" s="8" t="s">
        <v>1583</v>
      </c>
    </row>
    <row r="30" spans="1:15" ht="15" customHeight="1">
      <c r="A30" s="121" t="s">
        <v>1580</v>
      </c>
      <c r="B30" s="122">
        <v>29</v>
      </c>
      <c r="C30" s="8" t="s">
        <v>463</v>
      </c>
      <c r="D30" s="8" t="s">
        <v>1526</v>
      </c>
      <c r="E30" s="8" t="s">
        <v>28</v>
      </c>
      <c r="F30" s="8" t="s">
        <v>887</v>
      </c>
      <c r="G30" s="271" t="s">
        <v>1189</v>
      </c>
      <c r="H30" s="271" t="s">
        <v>1290</v>
      </c>
      <c r="I30" s="271">
        <f t="shared" si="2"/>
        <v>5</v>
      </c>
      <c r="J30" s="8" t="s">
        <v>884</v>
      </c>
      <c r="K30" s="8" t="s">
        <v>1511</v>
      </c>
      <c r="L30" s="8" t="s">
        <v>128</v>
      </c>
      <c r="M30" s="8" t="s">
        <v>24</v>
      </c>
      <c r="N30" s="9" t="str">
        <f t="shared" si="1"/>
        <v>15-14</v>
      </c>
      <c r="O30" s="8" t="s">
        <v>227</v>
      </c>
    </row>
    <row r="31" spans="1:15" ht="15" customHeight="1">
      <c r="A31" s="121" t="s">
        <v>1580</v>
      </c>
      <c r="B31" s="122">
        <v>30</v>
      </c>
      <c r="C31" s="8" t="s">
        <v>1284</v>
      </c>
      <c r="D31" s="8" t="s">
        <v>1526</v>
      </c>
      <c r="E31" s="8" t="s">
        <v>17</v>
      </c>
      <c r="F31" s="8" t="s">
        <v>1248</v>
      </c>
      <c r="G31" s="271" t="s">
        <v>1189</v>
      </c>
      <c r="H31" s="271" t="s">
        <v>1584</v>
      </c>
      <c r="I31" s="271">
        <f t="shared" si="2"/>
        <v>2</v>
      </c>
      <c r="J31" s="8" t="s">
        <v>125</v>
      </c>
      <c r="K31" s="8" t="s">
        <v>1585</v>
      </c>
      <c r="L31" s="8" t="s">
        <v>1561</v>
      </c>
      <c r="M31" s="8" t="s">
        <v>1586</v>
      </c>
      <c r="N31" s="9" t="str">
        <f t="shared" si="1"/>
        <v>15-15</v>
      </c>
      <c r="O31" s="8" t="s">
        <v>1587</v>
      </c>
    </row>
    <row r="32" spans="1:15" ht="15" customHeight="1">
      <c r="A32" s="121" t="s">
        <v>1588</v>
      </c>
      <c r="B32" s="122">
        <v>31</v>
      </c>
      <c r="C32" s="8" t="s">
        <v>471</v>
      </c>
      <c r="D32" s="8" t="s">
        <v>451</v>
      </c>
      <c r="E32" s="8" t="s">
        <v>28</v>
      </c>
      <c r="F32" s="8" t="s">
        <v>101</v>
      </c>
      <c r="G32" s="271" t="s">
        <v>1589</v>
      </c>
      <c r="H32" s="271" t="s">
        <v>1185</v>
      </c>
      <c r="I32" s="271">
        <f t="shared" si="2"/>
        <v>7</v>
      </c>
      <c r="J32" s="8" t="s">
        <v>139</v>
      </c>
      <c r="K32" s="8" t="s">
        <v>1516</v>
      </c>
      <c r="L32" s="8" t="s">
        <v>1590</v>
      </c>
      <c r="M32" s="8" t="s">
        <v>24</v>
      </c>
      <c r="N32" s="9" t="str">
        <f t="shared" si="1"/>
        <v>16-15</v>
      </c>
      <c r="O32" s="8" t="s">
        <v>1591</v>
      </c>
    </row>
    <row r="33" spans="1:15" ht="15" customHeight="1">
      <c r="A33" s="121" t="s">
        <v>1588</v>
      </c>
      <c r="B33" s="122">
        <v>32</v>
      </c>
      <c r="C33" s="8" t="s">
        <v>477</v>
      </c>
      <c r="D33" s="8" t="s">
        <v>1592</v>
      </c>
      <c r="E33" s="8" t="s">
        <v>28</v>
      </c>
      <c r="F33" s="8" t="s">
        <v>654</v>
      </c>
      <c r="G33" s="271" t="s">
        <v>281</v>
      </c>
      <c r="H33" s="271" t="s">
        <v>226</v>
      </c>
      <c r="I33" s="271">
        <f t="shared" si="2"/>
        <v>9</v>
      </c>
      <c r="J33" s="8" t="s">
        <v>288</v>
      </c>
      <c r="K33" s="8" t="s">
        <v>1552</v>
      </c>
      <c r="L33" s="8" t="s">
        <v>1593</v>
      </c>
      <c r="M33" s="8" t="s">
        <v>24</v>
      </c>
      <c r="N33" s="9" t="str">
        <f t="shared" si="1"/>
        <v>16-16</v>
      </c>
      <c r="O33" s="8" t="s">
        <v>1594</v>
      </c>
    </row>
    <row r="34" spans="1:15" ht="15" customHeight="1">
      <c r="A34" s="121" t="s">
        <v>1588</v>
      </c>
      <c r="B34" s="122">
        <v>33</v>
      </c>
      <c r="C34" s="8" t="s">
        <v>483</v>
      </c>
      <c r="D34" s="8" t="s">
        <v>1377</v>
      </c>
      <c r="E34" s="8" t="s">
        <v>17</v>
      </c>
      <c r="F34" s="8" t="s">
        <v>760</v>
      </c>
      <c r="G34" s="271" t="s">
        <v>1325</v>
      </c>
      <c r="H34" s="271" t="s">
        <v>281</v>
      </c>
      <c r="I34" s="271">
        <f t="shared" si="2"/>
        <v>1</v>
      </c>
      <c r="J34" s="8" t="s">
        <v>1101</v>
      </c>
      <c r="K34" s="8" t="s">
        <v>1539</v>
      </c>
      <c r="L34" s="8" t="s">
        <v>1531</v>
      </c>
      <c r="M34" s="8" t="s">
        <v>24</v>
      </c>
      <c r="N34" s="9" t="str">
        <f t="shared" si="1"/>
        <v>16-17</v>
      </c>
      <c r="O34" s="8" t="s">
        <v>1595</v>
      </c>
    </row>
    <row r="35" spans="1:15" ht="15" customHeight="1">
      <c r="A35" s="13" t="s">
        <v>1596</v>
      </c>
      <c r="B35" s="122">
        <v>34</v>
      </c>
      <c r="C35" s="8" t="s">
        <v>491</v>
      </c>
      <c r="D35" s="8" t="s">
        <v>1526</v>
      </c>
      <c r="E35" s="8" t="s">
        <v>28</v>
      </c>
      <c r="F35" s="8" t="s">
        <v>1597</v>
      </c>
      <c r="G35" s="271" t="s">
        <v>1598</v>
      </c>
      <c r="H35" s="271" t="s">
        <v>1599</v>
      </c>
      <c r="I35" s="271">
        <f t="shared" si="2"/>
        <v>7</v>
      </c>
      <c r="J35" s="8" t="s">
        <v>81</v>
      </c>
      <c r="K35" s="8" t="s">
        <v>1511</v>
      </c>
      <c r="L35" s="8" t="s">
        <v>1600</v>
      </c>
      <c r="M35" s="8" t="s">
        <v>24</v>
      </c>
      <c r="N35" s="9" t="str">
        <f t="shared" si="1"/>
        <v>17-17</v>
      </c>
      <c r="O35" s="8" t="s">
        <v>259</v>
      </c>
    </row>
    <row r="36" spans="1:15" ht="15" customHeight="1">
      <c r="A36" s="13" t="s">
        <v>1596</v>
      </c>
      <c r="B36" s="122">
        <v>35</v>
      </c>
      <c r="C36" s="8" t="s">
        <v>495</v>
      </c>
      <c r="D36" s="8" t="s">
        <v>1526</v>
      </c>
      <c r="E36" s="8" t="s">
        <v>17</v>
      </c>
      <c r="F36" s="8" t="s">
        <v>1444</v>
      </c>
      <c r="G36" s="271" t="s">
        <v>256</v>
      </c>
      <c r="H36" s="271" t="s">
        <v>1601</v>
      </c>
      <c r="I36" s="271">
        <f t="shared" si="2"/>
        <v>-6</v>
      </c>
      <c r="J36" s="8" t="s">
        <v>487</v>
      </c>
      <c r="K36" s="8" t="s">
        <v>297</v>
      </c>
      <c r="L36" s="8" t="s">
        <v>1561</v>
      </c>
      <c r="M36" s="8" t="s">
        <v>24</v>
      </c>
      <c r="N36" s="9" t="str">
        <f t="shared" si="1"/>
        <v>16-19</v>
      </c>
      <c r="O36" s="8" t="s">
        <v>266</v>
      </c>
    </row>
    <row r="37" spans="1:15" ht="15" customHeight="1">
      <c r="A37" s="13" t="s">
        <v>1596</v>
      </c>
      <c r="B37" s="122">
        <v>36</v>
      </c>
      <c r="C37" s="8" t="s">
        <v>501</v>
      </c>
      <c r="D37" s="8" t="s">
        <v>1526</v>
      </c>
      <c r="E37" s="8" t="s">
        <v>28</v>
      </c>
      <c r="F37" s="8" t="s">
        <v>130</v>
      </c>
      <c r="G37" s="271" t="s">
        <v>264</v>
      </c>
      <c r="H37" s="271" t="s">
        <v>269</v>
      </c>
      <c r="I37" s="271">
        <f t="shared" si="2"/>
        <v>-5</v>
      </c>
      <c r="J37" s="8" t="s">
        <v>191</v>
      </c>
      <c r="K37" s="8" t="s">
        <v>1540</v>
      </c>
      <c r="L37" s="8" t="s">
        <v>1602</v>
      </c>
      <c r="M37" s="8" t="s">
        <v>1498</v>
      </c>
      <c r="N37" s="9" t="str">
        <f t="shared" si="1"/>
        <v>17-19</v>
      </c>
      <c r="O37" s="8" t="s">
        <v>1603</v>
      </c>
    </row>
    <row r="38" spans="1:15" ht="15" customHeight="1">
      <c r="A38" s="13" t="s">
        <v>1604</v>
      </c>
      <c r="B38" s="122">
        <v>37</v>
      </c>
      <c r="C38" s="8" t="s">
        <v>508</v>
      </c>
      <c r="D38" s="8" t="s">
        <v>1373</v>
      </c>
      <c r="E38" s="8" t="s">
        <v>17</v>
      </c>
      <c r="F38" s="8" t="s">
        <v>472</v>
      </c>
      <c r="G38" s="271" t="s">
        <v>264</v>
      </c>
      <c r="H38" s="271" t="s">
        <v>282</v>
      </c>
      <c r="I38" s="271">
        <f t="shared" si="2"/>
        <v>-13</v>
      </c>
      <c r="J38" s="8" t="s">
        <v>1542</v>
      </c>
      <c r="K38" s="8" t="s">
        <v>1605</v>
      </c>
      <c r="L38" s="8" t="s">
        <v>1552</v>
      </c>
      <c r="M38" s="8" t="s">
        <v>24</v>
      </c>
      <c r="N38" s="9" t="str">
        <f t="shared" si="1"/>
        <v>17-20</v>
      </c>
      <c r="O38" s="8" t="s">
        <v>277</v>
      </c>
    </row>
    <row r="39" spans="1:15" ht="15" customHeight="1">
      <c r="A39" s="13" t="s">
        <v>1604</v>
      </c>
      <c r="B39" s="122">
        <v>38</v>
      </c>
      <c r="C39" s="8" t="s">
        <v>514</v>
      </c>
      <c r="D39" s="8" t="s">
        <v>1538</v>
      </c>
      <c r="E39" s="8" t="s">
        <v>133</v>
      </c>
      <c r="F39" s="8" t="s">
        <v>587</v>
      </c>
      <c r="G39" s="271" t="s">
        <v>302</v>
      </c>
      <c r="H39" s="271" t="s">
        <v>287</v>
      </c>
      <c r="I39" s="271">
        <f t="shared" si="2"/>
        <v>-12</v>
      </c>
      <c r="J39" s="8" t="s">
        <v>796</v>
      </c>
      <c r="K39" s="8" t="s">
        <v>1498</v>
      </c>
      <c r="L39" s="8" t="s">
        <v>1606</v>
      </c>
      <c r="M39" s="8" t="s">
        <v>24</v>
      </c>
      <c r="N39" s="9" t="str">
        <f t="shared" si="1"/>
        <v>17-21</v>
      </c>
      <c r="O39" s="8" t="s">
        <v>284</v>
      </c>
    </row>
    <row r="40" spans="1:15" ht="15" customHeight="1">
      <c r="A40" s="13" t="s">
        <v>1604</v>
      </c>
      <c r="B40" s="122">
        <v>39</v>
      </c>
      <c r="C40" s="8" t="s">
        <v>520</v>
      </c>
      <c r="D40" s="8" t="s">
        <v>1541</v>
      </c>
      <c r="E40" s="8" t="s">
        <v>28</v>
      </c>
      <c r="F40" s="8" t="s">
        <v>611</v>
      </c>
      <c r="G40" s="271" t="s">
        <v>287</v>
      </c>
      <c r="H40" s="271" t="s">
        <v>1607</v>
      </c>
      <c r="I40" s="271">
        <f t="shared" si="2"/>
        <v>-4</v>
      </c>
      <c r="J40" s="8" t="s">
        <v>662</v>
      </c>
      <c r="K40" s="8" t="s">
        <v>1511</v>
      </c>
      <c r="L40" s="8" t="s">
        <v>1608</v>
      </c>
      <c r="M40" s="8" t="s">
        <v>24</v>
      </c>
      <c r="N40" s="9" t="str">
        <f t="shared" si="1"/>
        <v>19-20</v>
      </c>
      <c r="O40" s="8" t="s">
        <v>290</v>
      </c>
    </row>
    <row r="41" spans="1:15" ht="15" customHeight="1">
      <c r="A41" s="121" t="s">
        <v>1609</v>
      </c>
      <c r="B41" s="122">
        <v>40</v>
      </c>
      <c r="C41" s="8" t="s">
        <v>528</v>
      </c>
      <c r="D41" s="8" t="s">
        <v>375</v>
      </c>
      <c r="E41" s="8" t="s">
        <v>535</v>
      </c>
      <c r="F41" s="8" t="s">
        <v>1122</v>
      </c>
      <c r="G41" s="271" t="s">
        <v>1390</v>
      </c>
      <c r="H41" s="271" t="s">
        <v>1610</v>
      </c>
      <c r="I41" s="271">
        <f t="shared" si="2"/>
        <v>-5</v>
      </c>
      <c r="J41" s="8" t="s">
        <v>573</v>
      </c>
      <c r="K41" s="8" t="s">
        <v>1611</v>
      </c>
      <c r="L41" s="8" t="s">
        <v>1540</v>
      </c>
      <c r="M41" s="8" t="s">
        <v>24</v>
      </c>
      <c r="N41" s="9" t="str">
        <f t="shared" si="1"/>
        <v>19-21</v>
      </c>
      <c r="O41" s="8" t="s">
        <v>1612</v>
      </c>
    </row>
    <row r="42" spans="1:15" ht="15" customHeight="1">
      <c r="A42" s="121" t="s">
        <v>1609</v>
      </c>
      <c r="B42" s="122">
        <v>41</v>
      </c>
      <c r="C42" s="8" t="s">
        <v>540</v>
      </c>
      <c r="D42" s="8" t="s">
        <v>1183</v>
      </c>
      <c r="E42" s="8" t="s">
        <v>609</v>
      </c>
      <c r="F42" s="8" t="s">
        <v>84</v>
      </c>
      <c r="G42" s="271" t="s">
        <v>1610</v>
      </c>
      <c r="H42" s="271" t="s">
        <v>1613</v>
      </c>
      <c r="I42" s="271">
        <f t="shared" si="2"/>
        <v>-4</v>
      </c>
      <c r="J42" s="8" t="s">
        <v>887</v>
      </c>
      <c r="K42" s="8" t="s">
        <v>1516</v>
      </c>
      <c r="L42" s="8" t="s">
        <v>1614</v>
      </c>
      <c r="M42" s="8" t="s">
        <v>24</v>
      </c>
      <c r="N42" s="9" t="str">
        <f t="shared" si="1"/>
        <v>20-21</v>
      </c>
      <c r="O42" s="8" t="s">
        <v>307</v>
      </c>
    </row>
    <row r="43" spans="1:15" ht="15" customHeight="1">
      <c r="A43" s="121" t="s">
        <v>1609</v>
      </c>
      <c r="B43" s="122">
        <v>42</v>
      </c>
      <c r="C43" s="8" t="s">
        <v>540</v>
      </c>
      <c r="D43" s="8" t="s">
        <v>1615</v>
      </c>
      <c r="E43" s="8" t="s">
        <v>1389</v>
      </c>
      <c r="F43" s="8" t="s">
        <v>25</v>
      </c>
      <c r="G43" s="271" t="s">
        <v>1610</v>
      </c>
      <c r="H43" s="271" t="s">
        <v>1616</v>
      </c>
      <c r="I43" s="271">
        <f t="shared" si="2"/>
        <v>-5</v>
      </c>
      <c r="J43" s="8" t="s">
        <v>773</v>
      </c>
      <c r="K43" s="8" t="s">
        <v>1617</v>
      </c>
      <c r="L43" s="8" t="s">
        <v>1552</v>
      </c>
      <c r="M43" s="8" t="s">
        <v>1611</v>
      </c>
      <c r="N43" s="9" t="str">
        <f t="shared" si="1"/>
        <v>20-22</v>
      </c>
      <c r="O43" s="8" t="s">
        <v>1618</v>
      </c>
    </row>
    <row r="44" spans="1:15" ht="15" customHeight="1">
      <c r="A44" s="13" t="s">
        <v>1525</v>
      </c>
      <c r="B44" s="122">
        <v>43</v>
      </c>
      <c r="C44" s="8" t="s">
        <v>545</v>
      </c>
      <c r="D44" s="8" t="s">
        <v>1373</v>
      </c>
      <c r="E44" s="8" t="s">
        <v>28</v>
      </c>
      <c r="F44" s="8" t="s">
        <v>1128</v>
      </c>
      <c r="G44" s="271" t="s">
        <v>1401</v>
      </c>
      <c r="H44" s="271" t="s">
        <v>1619</v>
      </c>
      <c r="I44" s="271">
        <f t="shared" si="2"/>
        <v>-2</v>
      </c>
      <c r="J44" s="8" t="s">
        <v>130</v>
      </c>
      <c r="K44" s="8" t="s">
        <v>1537</v>
      </c>
      <c r="L44" s="8" t="s">
        <v>1620</v>
      </c>
      <c r="M44" s="8" t="s">
        <v>24</v>
      </c>
      <c r="N44" s="9" t="str">
        <f t="shared" si="1"/>
        <v>21-22</v>
      </c>
      <c r="O44" s="8" t="s">
        <v>317</v>
      </c>
    </row>
    <row r="45" spans="1:15" ht="15" customHeight="1">
      <c r="A45" s="13" t="s">
        <v>1525</v>
      </c>
      <c r="B45" s="122">
        <v>44</v>
      </c>
      <c r="C45" s="8" t="s">
        <v>551</v>
      </c>
      <c r="D45" s="8" t="s">
        <v>1538</v>
      </c>
      <c r="E45" s="8" t="s">
        <v>17</v>
      </c>
      <c r="F45" s="8" t="s">
        <v>151</v>
      </c>
      <c r="G45" s="271" t="s">
        <v>1621</v>
      </c>
      <c r="H45" s="271" t="s">
        <v>360</v>
      </c>
      <c r="I45" s="271">
        <f t="shared" si="2"/>
        <v>-4</v>
      </c>
      <c r="J45" s="8" t="s">
        <v>206</v>
      </c>
      <c r="K45" s="8" t="s">
        <v>1622</v>
      </c>
      <c r="L45" s="8" t="s">
        <v>1511</v>
      </c>
      <c r="M45" s="8" t="s">
        <v>1623</v>
      </c>
      <c r="N45" s="9" t="str">
        <f t="shared" si="1"/>
        <v>21-23</v>
      </c>
      <c r="O45" s="8" t="s">
        <v>324</v>
      </c>
    </row>
    <row r="46" spans="1:15" ht="15" customHeight="1">
      <c r="A46" s="13" t="s">
        <v>1525</v>
      </c>
      <c r="B46" s="122">
        <v>45</v>
      </c>
      <c r="C46" s="8" t="s">
        <v>558</v>
      </c>
      <c r="D46" s="8" t="s">
        <v>1541</v>
      </c>
      <c r="E46" s="8" t="s">
        <v>28</v>
      </c>
      <c r="F46" s="8" t="s">
        <v>1597</v>
      </c>
      <c r="G46" s="271" t="s">
        <v>1624</v>
      </c>
      <c r="H46" s="271" t="s">
        <v>1625</v>
      </c>
      <c r="I46" s="271">
        <f t="shared" si="2"/>
        <v>2</v>
      </c>
      <c r="J46" s="8" t="s">
        <v>121</v>
      </c>
      <c r="K46" s="8" t="s">
        <v>1561</v>
      </c>
      <c r="L46" s="8" t="s">
        <v>1626</v>
      </c>
      <c r="M46" s="8" t="s">
        <v>24</v>
      </c>
      <c r="N46" s="9" t="str">
        <f t="shared" si="1"/>
        <v>22-23</v>
      </c>
      <c r="O46" s="8" t="s">
        <v>328</v>
      </c>
    </row>
    <row r="47" spans="1:15" ht="15" customHeight="1">
      <c r="A47" s="13" t="s">
        <v>1627</v>
      </c>
      <c r="B47" s="122">
        <v>46</v>
      </c>
      <c r="C47" s="8" t="s">
        <v>569</v>
      </c>
      <c r="D47" s="8" t="s">
        <v>1592</v>
      </c>
      <c r="E47" s="8" t="s">
        <v>28</v>
      </c>
      <c r="F47" s="8" t="s">
        <v>114</v>
      </c>
      <c r="G47" s="271" t="s">
        <v>1628</v>
      </c>
      <c r="H47" s="271" t="s">
        <v>349</v>
      </c>
      <c r="I47" s="271">
        <f t="shared" si="2"/>
        <v>5</v>
      </c>
      <c r="J47" s="8" t="s">
        <v>230</v>
      </c>
      <c r="K47" s="8" t="s">
        <v>1516</v>
      </c>
      <c r="L47" s="8" t="s">
        <v>1629</v>
      </c>
      <c r="M47" s="8" t="s">
        <v>24</v>
      </c>
      <c r="N47" s="9" t="str">
        <f t="shared" si="1"/>
        <v>23-23</v>
      </c>
      <c r="O47" s="8" t="s">
        <v>1630</v>
      </c>
    </row>
    <row r="48" spans="1:15" ht="15" customHeight="1">
      <c r="A48" s="13" t="s">
        <v>1627</v>
      </c>
      <c r="B48" s="122">
        <v>47</v>
      </c>
      <c r="C48" s="8" t="s">
        <v>575</v>
      </c>
      <c r="D48" s="8" t="s">
        <v>1526</v>
      </c>
      <c r="E48" s="8" t="s">
        <v>17</v>
      </c>
      <c r="F48" s="8" t="s">
        <v>1122</v>
      </c>
      <c r="G48" s="271" t="s">
        <v>1631</v>
      </c>
      <c r="H48" s="271" t="s">
        <v>1425</v>
      </c>
      <c r="I48" s="271">
        <f t="shared" si="2"/>
        <v>4</v>
      </c>
      <c r="J48" s="8" t="s">
        <v>1632</v>
      </c>
      <c r="K48" s="8" t="s">
        <v>1633</v>
      </c>
      <c r="L48" s="8" t="s">
        <v>1552</v>
      </c>
      <c r="M48" s="8" t="s">
        <v>512</v>
      </c>
      <c r="N48" s="9" t="str">
        <f t="shared" si="1"/>
        <v>23-24</v>
      </c>
      <c r="O48" s="8" t="s">
        <v>341</v>
      </c>
    </row>
    <row r="49" spans="1:15" ht="15" customHeight="1">
      <c r="A49" s="13" t="s">
        <v>1627</v>
      </c>
      <c r="B49" s="122">
        <v>48</v>
      </c>
      <c r="C49" s="8" t="s">
        <v>580</v>
      </c>
      <c r="D49" s="8" t="s">
        <v>1526</v>
      </c>
      <c r="E49" s="8" t="s">
        <v>17</v>
      </c>
      <c r="F49" s="8" t="s">
        <v>117</v>
      </c>
      <c r="G49" s="271" t="s">
        <v>1431</v>
      </c>
      <c r="H49" s="271" t="s">
        <v>1631</v>
      </c>
      <c r="I49" s="271">
        <f t="shared" si="2"/>
        <v>3</v>
      </c>
      <c r="J49" s="8" t="s">
        <v>304</v>
      </c>
      <c r="K49" s="8" t="s">
        <v>1634</v>
      </c>
      <c r="L49" s="8" t="s">
        <v>1537</v>
      </c>
      <c r="M49" s="8" t="s">
        <v>512</v>
      </c>
      <c r="N49" s="9" t="str">
        <f t="shared" si="1"/>
        <v>24-24</v>
      </c>
      <c r="O49" s="8" t="s">
        <v>1635</v>
      </c>
    </row>
    <row r="50" spans="1:15" ht="15" customHeight="1">
      <c r="A50" s="121" t="s">
        <v>1636</v>
      </c>
      <c r="B50" s="122">
        <v>49</v>
      </c>
      <c r="C50" s="8" t="s">
        <v>586</v>
      </c>
      <c r="D50" s="8" t="s">
        <v>1637</v>
      </c>
      <c r="E50" s="8" t="s">
        <v>17</v>
      </c>
      <c r="F50" s="8" t="s">
        <v>509</v>
      </c>
      <c r="G50" s="271" t="s">
        <v>1436</v>
      </c>
      <c r="H50" s="271" t="s">
        <v>1638</v>
      </c>
      <c r="I50" s="271">
        <f t="shared" si="2"/>
        <v>-3</v>
      </c>
      <c r="J50" s="8" t="s">
        <v>36</v>
      </c>
      <c r="K50" s="8" t="s">
        <v>1639</v>
      </c>
      <c r="L50" s="8" t="s">
        <v>1561</v>
      </c>
      <c r="M50" s="8" t="s">
        <v>24</v>
      </c>
      <c r="N50" s="9" t="str">
        <f t="shared" si="1"/>
        <v>24-25</v>
      </c>
      <c r="O50" s="8" t="s">
        <v>1640</v>
      </c>
    </row>
    <row r="51" spans="1:15" ht="15" customHeight="1">
      <c r="A51" s="121" t="s">
        <v>1636</v>
      </c>
      <c r="B51" s="122">
        <v>50</v>
      </c>
      <c r="C51" s="8" t="s">
        <v>592</v>
      </c>
      <c r="D51" s="8" t="s">
        <v>1377</v>
      </c>
      <c r="E51" s="8" t="s">
        <v>28</v>
      </c>
      <c r="F51" s="8" t="s">
        <v>654</v>
      </c>
      <c r="G51" s="271" t="s">
        <v>366</v>
      </c>
      <c r="H51" s="271" t="s">
        <v>366</v>
      </c>
      <c r="I51" s="271">
        <f t="shared" si="2"/>
        <v>0</v>
      </c>
      <c r="J51" s="8" t="s">
        <v>112</v>
      </c>
      <c r="K51" s="8" t="s">
        <v>1499</v>
      </c>
      <c r="L51" s="8" t="s">
        <v>1641</v>
      </c>
      <c r="M51" s="8" t="s">
        <v>1537</v>
      </c>
      <c r="N51" s="9" t="str">
        <f t="shared" si="1"/>
        <v>25-25</v>
      </c>
      <c r="O51" s="8" t="s">
        <v>1642</v>
      </c>
    </row>
    <row r="52" spans="1:15" ht="15" customHeight="1">
      <c r="A52" s="121" t="s">
        <v>1636</v>
      </c>
      <c r="B52" s="122">
        <v>51</v>
      </c>
      <c r="C52" s="8" t="s">
        <v>597</v>
      </c>
      <c r="D52" s="8" t="s">
        <v>1541</v>
      </c>
      <c r="E52" s="8" t="s">
        <v>1522</v>
      </c>
      <c r="F52" s="8" t="s">
        <v>39</v>
      </c>
      <c r="G52" s="271" t="s">
        <v>371</v>
      </c>
      <c r="H52" s="271" t="s">
        <v>1643</v>
      </c>
      <c r="I52" s="271">
        <f t="shared" si="2"/>
        <v>-1</v>
      </c>
      <c r="J52" s="8" t="s">
        <v>130</v>
      </c>
      <c r="K52" s="8" t="s">
        <v>1634</v>
      </c>
      <c r="L52" s="8" t="s">
        <v>1540</v>
      </c>
      <c r="M52" s="8" t="s">
        <v>24</v>
      </c>
      <c r="N52" s="9" t="str">
        <f t="shared" si="1"/>
        <v>25-26</v>
      </c>
      <c r="O52" s="8" t="s">
        <v>1644</v>
      </c>
    </row>
    <row r="53" spans="1:15" ht="15" customHeight="1">
      <c r="A53" s="13" t="s">
        <v>1596</v>
      </c>
      <c r="B53" s="122">
        <v>52</v>
      </c>
      <c r="C53" s="8" t="s">
        <v>608</v>
      </c>
      <c r="D53" s="8" t="s">
        <v>1526</v>
      </c>
      <c r="E53" s="8" t="s">
        <v>17</v>
      </c>
      <c r="F53" s="8" t="s">
        <v>445</v>
      </c>
      <c r="G53" s="271" t="s">
        <v>1645</v>
      </c>
      <c r="H53" s="271" t="s">
        <v>1646</v>
      </c>
      <c r="I53" s="271">
        <f t="shared" si="2"/>
        <v>-8</v>
      </c>
      <c r="J53" s="8" t="s">
        <v>1647</v>
      </c>
      <c r="K53" s="8" t="s">
        <v>1648</v>
      </c>
      <c r="L53" s="8" t="s">
        <v>1649</v>
      </c>
      <c r="M53" s="8" t="s">
        <v>24</v>
      </c>
      <c r="N53" s="9" t="str">
        <f t="shared" si="1"/>
        <v>25-27</v>
      </c>
      <c r="O53" s="8" t="s">
        <v>1650</v>
      </c>
    </row>
    <row r="54" spans="1:15" ht="15" customHeight="1">
      <c r="A54" s="13" t="s">
        <v>1596</v>
      </c>
      <c r="B54" s="122">
        <v>53</v>
      </c>
      <c r="C54" s="8" t="s">
        <v>613</v>
      </c>
      <c r="D54" s="8" t="s">
        <v>1526</v>
      </c>
      <c r="E54" s="8" t="s">
        <v>133</v>
      </c>
      <c r="F54" s="8" t="s">
        <v>134</v>
      </c>
      <c r="G54" s="271" t="s">
        <v>1651</v>
      </c>
      <c r="H54" s="271" t="s">
        <v>1334</v>
      </c>
      <c r="I54" s="271">
        <f t="shared" si="2"/>
        <v>-7</v>
      </c>
      <c r="J54" s="8" t="s">
        <v>168</v>
      </c>
      <c r="K54" s="8" t="s">
        <v>1537</v>
      </c>
      <c r="L54" s="8" t="s">
        <v>1652</v>
      </c>
      <c r="M54" s="8" t="s">
        <v>24</v>
      </c>
      <c r="N54" s="9" t="str">
        <f t="shared" si="1"/>
        <v>25-28</v>
      </c>
      <c r="O54" s="8" t="s">
        <v>1653</v>
      </c>
    </row>
    <row r="55" spans="1:15" ht="14.25" customHeight="1">
      <c r="A55" s="13" t="s">
        <v>1596</v>
      </c>
      <c r="B55" s="122">
        <v>54</v>
      </c>
      <c r="C55" s="8" t="s">
        <v>1654</v>
      </c>
      <c r="D55" s="8" t="s">
        <v>1526</v>
      </c>
      <c r="E55" s="8" t="s">
        <v>17</v>
      </c>
      <c r="F55" s="8" t="s">
        <v>1655</v>
      </c>
      <c r="G55" s="271" t="s">
        <v>1334</v>
      </c>
      <c r="H55" s="271" t="s">
        <v>1656</v>
      </c>
      <c r="I55" s="271">
        <f t="shared" si="2"/>
        <v>-12</v>
      </c>
      <c r="J55" s="8" t="s">
        <v>304</v>
      </c>
      <c r="K55" s="8" t="s">
        <v>1657</v>
      </c>
      <c r="L55" s="8" t="s">
        <v>1531</v>
      </c>
      <c r="M55" s="8" t="s">
        <v>24</v>
      </c>
      <c r="N55" s="9" t="str">
        <f t="shared" si="1"/>
        <v>25-29</v>
      </c>
      <c r="O55" s="8" t="s">
        <v>1658</v>
      </c>
    </row>
    <row r="56" spans="1:15" ht="15" customHeight="1">
      <c r="A56" s="13" t="s">
        <v>1573</v>
      </c>
      <c r="B56" s="122">
        <v>55</v>
      </c>
      <c r="C56" s="8" t="s">
        <v>620</v>
      </c>
      <c r="D56" s="8" t="s">
        <v>1659</v>
      </c>
      <c r="E56" s="8" t="s">
        <v>17</v>
      </c>
      <c r="F56" s="8" t="s">
        <v>247</v>
      </c>
      <c r="G56" s="271" t="s">
        <v>1660</v>
      </c>
      <c r="H56" s="271" t="s">
        <v>1346</v>
      </c>
      <c r="I56" s="271">
        <f>IF(E56="","",G56-H56)</f>
        <v>-14</v>
      </c>
      <c r="J56" s="8" t="s">
        <v>845</v>
      </c>
      <c r="K56" s="8" t="s">
        <v>1661</v>
      </c>
      <c r="L56" s="8" t="s">
        <v>1552</v>
      </c>
      <c r="M56" s="8" t="s">
        <v>1576</v>
      </c>
      <c r="N56" s="9" t="str">
        <f>IF(E56="","",IFERROR(_xlfn.CONCAT(ROUNDDOWN((I56/10)+(B56*0.5),0),"-",B56-ROUNDDOWN((I56/10)+(B56*0.5),0)),0))</f>
        <v>26-29</v>
      </c>
      <c r="O56" s="8" t="s">
        <v>1662</v>
      </c>
    </row>
    <row r="57" spans="1:15" ht="15" customHeight="1">
      <c r="A57" s="13" t="s">
        <v>1573</v>
      </c>
      <c r="B57" s="122">
        <v>56</v>
      </c>
      <c r="C57" s="8" t="s">
        <v>620</v>
      </c>
      <c r="D57" s="8" t="s">
        <v>1373</v>
      </c>
      <c r="E57" s="8" t="s">
        <v>1389</v>
      </c>
      <c r="F57" s="8" t="s">
        <v>25</v>
      </c>
      <c r="G57" s="271" t="s">
        <v>1660</v>
      </c>
      <c r="H57" s="271" t="s">
        <v>1663</v>
      </c>
      <c r="I57" s="271">
        <f t="shared" si="2"/>
        <v>-15</v>
      </c>
      <c r="J57" s="8" t="s">
        <v>125</v>
      </c>
      <c r="K57" s="8" t="s">
        <v>1513</v>
      </c>
      <c r="L57" s="8" t="s">
        <v>1516</v>
      </c>
      <c r="M57" s="8" t="s">
        <v>1576</v>
      </c>
      <c r="N57" s="9" t="str">
        <f t="shared" si="1"/>
        <v>26-30</v>
      </c>
      <c r="O57" s="8" t="s">
        <v>1664</v>
      </c>
    </row>
    <row r="58" spans="1:15" ht="15" customHeight="1">
      <c r="A58" s="13" t="s">
        <v>1573</v>
      </c>
      <c r="B58" s="122">
        <v>57</v>
      </c>
      <c r="C58" s="8" t="s">
        <v>627</v>
      </c>
      <c r="D58" s="8" t="s">
        <v>1538</v>
      </c>
      <c r="E58" s="8" t="s">
        <v>17</v>
      </c>
      <c r="F58" s="8" t="s">
        <v>795</v>
      </c>
      <c r="G58" s="271" t="s">
        <v>1665</v>
      </c>
      <c r="H58" s="271" t="s">
        <v>1666</v>
      </c>
      <c r="I58" s="271">
        <f t="shared" si="2"/>
        <v>-18</v>
      </c>
      <c r="J58" s="8" t="s">
        <v>474</v>
      </c>
      <c r="K58" s="8" t="s">
        <v>380</v>
      </c>
      <c r="L58" s="8" t="s">
        <v>1561</v>
      </c>
      <c r="M58" s="8" t="s">
        <v>1667</v>
      </c>
      <c r="N58" s="9" t="str">
        <f t="shared" si="1"/>
        <v>26-31</v>
      </c>
      <c r="O58" s="8" t="s">
        <v>1668</v>
      </c>
    </row>
    <row r="59" spans="1:15" ht="15" customHeight="1">
      <c r="A59" s="13" t="s">
        <v>1573</v>
      </c>
      <c r="B59" s="122">
        <v>58</v>
      </c>
      <c r="C59" s="8" t="s">
        <v>631</v>
      </c>
      <c r="D59" s="8" t="s">
        <v>1541</v>
      </c>
      <c r="E59" s="8" t="s">
        <v>17</v>
      </c>
      <c r="F59" s="8" t="s">
        <v>125</v>
      </c>
      <c r="G59" s="271" t="s">
        <v>417</v>
      </c>
      <c r="H59" s="271" t="s">
        <v>1669</v>
      </c>
      <c r="I59" s="271">
        <f t="shared" si="2"/>
        <v>-19</v>
      </c>
      <c r="J59" s="8" t="s">
        <v>845</v>
      </c>
      <c r="K59" s="8" t="s">
        <v>856</v>
      </c>
      <c r="L59" s="8" t="s">
        <v>1649</v>
      </c>
      <c r="M59" s="8" t="s">
        <v>1576</v>
      </c>
      <c r="N59" s="9" t="str">
        <f t="shared" si="1"/>
        <v>27-31</v>
      </c>
      <c r="O59" s="8" t="s">
        <v>1670</v>
      </c>
    </row>
    <row r="60" spans="1:15" ht="15" customHeight="1">
      <c r="A60" s="124" t="s">
        <v>1671</v>
      </c>
      <c r="B60" s="122">
        <v>59</v>
      </c>
      <c r="C60" s="8" t="s">
        <v>1672</v>
      </c>
      <c r="D60" s="8" t="s">
        <v>892</v>
      </c>
      <c r="E60" s="8" t="s">
        <v>1360</v>
      </c>
      <c r="F60" s="8" t="s">
        <v>376</v>
      </c>
      <c r="G60" s="271" t="s">
        <v>417</v>
      </c>
      <c r="H60" s="271" t="s">
        <v>1673</v>
      </c>
      <c r="I60" s="271">
        <f t="shared" si="2"/>
        <v>-21</v>
      </c>
      <c r="J60" s="8" t="s">
        <v>509</v>
      </c>
      <c r="K60" s="8" t="s">
        <v>1674</v>
      </c>
      <c r="L60" s="8" t="s">
        <v>1552</v>
      </c>
      <c r="M60" s="8" t="s">
        <v>24</v>
      </c>
      <c r="N60" s="9" t="str">
        <f t="shared" si="1"/>
        <v>27-32</v>
      </c>
      <c r="O60" s="8" t="s">
        <v>1675</v>
      </c>
    </row>
    <row r="61" spans="1:15" ht="15" customHeight="1">
      <c r="A61" s="124" t="s">
        <v>1671</v>
      </c>
      <c r="B61" s="122">
        <v>60</v>
      </c>
      <c r="C61" s="8" t="s">
        <v>1385</v>
      </c>
      <c r="D61" s="8" t="s">
        <v>892</v>
      </c>
      <c r="E61" s="8" t="s">
        <v>17</v>
      </c>
      <c r="F61" s="8" t="s">
        <v>78</v>
      </c>
      <c r="G61" s="271" t="s">
        <v>426</v>
      </c>
      <c r="H61" s="271" t="s">
        <v>1361</v>
      </c>
      <c r="I61" s="271">
        <f t="shared" si="2"/>
        <v>-22</v>
      </c>
      <c r="J61" s="8" t="s">
        <v>130</v>
      </c>
      <c r="K61" s="8" t="s">
        <v>1657</v>
      </c>
      <c r="L61" s="8" t="s">
        <v>1531</v>
      </c>
      <c r="M61" s="8" t="s">
        <v>1676</v>
      </c>
      <c r="N61" s="9" t="str">
        <f t="shared" si="1"/>
        <v>27-33</v>
      </c>
      <c r="O61" s="8" t="s">
        <v>1677</v>
      </c>
    </row>
    <row r="62" spans="1:15" ht="15" customHeight="1">
      <c r="A62" s="124" t="s">
        <v>1671</v>
      </c>
      <c r="B62" s="122">
        <v>61</v>
      </c>
      <c r="C62" s="8" t="s">
        <v>1393</v>
      </c>
      <c r="D62" s="8" t="s">
        <v>892</v>
      </c>
      <c r="E62" s="8" t="s">
        <v>17</v>
      </c>
      <c r="F62" s="8" t="s">
        <v>117</v>
      </c>
      <c r="G62" s="271" t="s">
        <v>1678</v>
      </c>
      <c r="H62" s="271" t="s">
        <v>1679</v>
      </c>
      <c r="I62" s="271">
        <f t="shared" si="2"/>
        <v>-23</v>
      </c>
      <c r="J62" s="8" t="s">
        <v>1122</v>
      </c>
      <c r="K62" s="8" t="s">
        <v>297</v>
      </c>
      <c r="L62" s="8" t="s">
        <v>1516</v>
      </c>
      <c r="M62" s="8" t="s">
        <v>1676</v>
      </c>
      <c r="N62" s="9" t="str">
        <f t="shared" si="1"/>
        <v>28-33</v>
      </c>
      <c r="O62" s="8" t="s">
        <v>1680</v>
      </c>
    </row>
    <row r="63" spans="1:15" ht="15" customHeight="1">
      <c r="A63" s="121" t="s">
        <v>1518</v>
      </c>
      <c r="B63" s="122">
        <v>62</v>
      </c>
      <c r="C63" s="8" t="s">
        <v>637</v>
      </c>
      <c r="D63" s="8" t="s">
        <v>375</v>
      </c>
      <c r="E63" s="8" t="s">
        <v>1522</v>
      </c>
      <c r="F63" s="8" t="s">
        <v>145</v>
      </c>
      <c r="G63" s="271" t="s">
        <v>438</v>
      </c>
      <c r="H63" s="271" t="s">
        <v>1681</v>
      </c>
      <c r="I63" s="271">
        <f t="shared" si="2"/>
        <v>-24</v>
      </c>
      <c r="J63" s="8" t="s">
        <v>1567</v>
      </c>
      <c r="K63" s="8" t="s">
        <v>1682</v>
      </c>
      <c r="L63" s="8" t="s">
        <v>1501</v>
      </c>
      <c r="M63" s="8" t="s">
        <v>24</v>
      </c>
      <c r="N63" s="9" t="str">
        <f t="shared" si="1"/>
        <v>28-34</v>
      </c>
      <c r="O63" s="8" t="s">
        <v>1683</v>
      </c>
    </row>
    <row r="64" spans="1:15" ht="15" customHeight="1">
      <c r="A64" s="121" t="s">
        <v>1518</v>
      </c>
      <c r="B64" s="122">
        <v>63</v>
      </c>
      <c r="C64" s="8" t="s">
        <v>642</v>
      </c>
      <c r="D64" s="8" t="s">
        <v>203</v>
      </c>
      <c r="E64" s="8" t="s">
        <v>17</v>
      </c>
      <c r="F64" s="8" t="s">
        <v>145</v>
      </c>
      <c r="G64" s="271" t="s">
        <v>443</v>
      </c>
      <c r="H64" s="271" t="s">
        <v>1684</v>
      </c>
      <c r="I64" s="271">
        <f t="shared" si="2"/>
        <v>-25</v>
      </c>
      <c r="J64" s="8" t="s">
        <v>671</v>
      </c>
      <c r="K64" s="8" t="s">
        <v>1685</v>
      </c>
      <c r="L64" s="8" t="s">
        <v>1686</v>
      </c>
      <c r="M64" s="8" t="s">
        <v>1687</v>
      </c>
      <c r="N64" s="9" t="str">
        <f t="shared" si="1"/>
        <v>29-34</v>
      </c>
      <c r="O64" s="8" t="s">
        <v>1688</v>
      </c>
    </row>
    <row r="65" spans="1:15" ht="15" customHeight="1">
      <c r="A65" s="121" t="s">
        <v>1518</v>
      </c>
      <c r="B65" s="122">
        <v>64</v>
      </c>
      <c r="C65" s="8" t="s">
        <v>646</v>
      </c>
      <c r="D65" s="8" t="s">
        <v>1523</v>
      </c>
      <c r="E65" s="8" t="s">
        <v>28</v>
      </c>
      <c r="F65" s="8" t="s">
        <v>1597</v>
      </c>
      <c r="G65" s="271" t="s">
        <v>1361</v>
      </c>
      <c r="H65" s="271" t="s">
        <v>1689</v>
      </c>
      <c r="I65" s="271">
        <f t="shared" si="2"/>
        <v>-19</v>
      </c>
      <c r="J65" s="8" t="s">
        <v>60</v>
      </c>
      <c r="K65" s="8" t="s">
        <v>1552</v>
      </c>
      <c r="L65" s="8" t="s">
        <v>1524</v>
      </c>
      <c r="M65" s="8" t="s">
        <v>24</v>
      </c>
      <c r="N65" s="9" t="str">
        <f t="shared" si="1"/>
        <v>30-34</v>
      </c>
      <c r="O65" s="8" t="s">
        <v>1690</v>
      </c>
    </row>
    <row r="66" spans="1:15" ht="15" customHeight="1">
      <c r="A66" s="13" t="s">
        <v>1691</v>
      </c>
      <c r="B66" s="122">
        <v>65</v>
      </c>
      <c r="C66" s="8" t="s">
        <v>670</v>
      </c>
      <c r="D66" s="8" t="s">
        <v>1526</v>
      </c>
      <c r="E66" s="8" t="s">
        <v>28</v>
      </c>
      <c r="F66" s="8" t="s">
        <v>99</v>
      </c>
      <c r="G66" s="271" t="s">
        <v>458</v>
      </c>
      <c r="H66" s="271" t="s">
        <v>1692</v>
      </c>
      <c r="I66" s="271">
        <f t="shared" si="2"/>
        <v>-18</v>
      </c>
      <c r="J66" s="8" t="s">
        <v>191</v>
      </c>
      <c r="K66" s="8" t="s">
        <v>1516</v>
      </c>
      <c r="L66" s="8" t="s">
        <v>1693</v>
      </c>
      <c r="M66" s="8" t="s">
        <v>1537</v>
      </c>
      <c r="N66" s="9" t="str">
        <f t="shared" si="1"/>
        <v>30-35</v>
      </c>
      <c r="O66" s="8" t="s">
        <v>1694</v>
      </c>
    </row>
    <row r="67" spans="1:15" ht="15" customHeight="1">
      <c r="A67" s="13" t="s">
        <v>1691</v>
      </c>
      <c r="B67" s="122">
        <v>66</v>
      </c>
      <c r="C67" s="8" t="s">
        <v>677</v>
      </c>
      <c r="D67" s="8" t="s">
        <v>1373</v>
      </c>
      <c r="E67" s="8" t="s">
        <v>17</v>
      </c>
      <c r="F67" s="8" t="s">
        <v>1304</v>
      </c>
      <c r="G67" s="271" t="s">
        <v>1695</v>
      </c>
      <c r="H67" s="271" t="s">
        <v>1696</v>
      </c>
      <c r="I67" s="271">
        <f t="shared" si="2"/>
        <v>-28</v>
      </c>
      <c r="J67" s="8" t="s">
        <v>1289</v>
      </c>
      <c r="K67" s="8" t="s">
        <v>1697</v>
      </c>
      <c r="L67" s="8" t="s">
        <v>1561</v>
      </c>
      <c r="M67" s="8" t="s">
        <v>24</v>
      </c>
      <c r="N67" s="9" t="str">
        <f t="shared" ref="N67:N101" si="3">IF(E67="","",IFERROR(_xlfn.CONCAT(ROUNDDOWN((I67/10)+(B67*0.5),0),"-",B67-ROUNDDOWN((I67/10)+(B67*0.5),0)),0))</f>
        <v>30-36</v>
      </c>
      <c r="O67" s="8" t="s">
        <v>1698</v>
      </c>
    </row>
    <row r="68" spans="1:15" ht="15" customHeight="1">
      <c r="A68" s="13" t="s">
        <v>1691</v>
      </c>
      <c r="B68" s="122">
        <v>67</v>
      </c>
      <c r="C68" s="8" t="s">
        <v>682</v>
      </c>
      <c r="D68" s="8" t="s">
        <v>1538</v>
      </c>
      <c r="E68" s="8" t="s">
        <v>535</v>
      </c>
      <c r="F68" s="8" t="s">
        <v>39</v>
      </c>
      <c r="G68" s="271" t="s">
        <v>1681</v>
      </c>
      <c r="H68" s="271" t="s">
        <v>1699</v>
      </c>
      <c r="I68" s="271">
        <f t="shared" si="2"/>
        <v>-29</v>
      </c>
      <c r="J68" s="8" t="s">
        <v>230</v>
      </c>
      <c r="K68" s="8" t="s">
        <v>1586</v>
      </c>
      <c r="L68" s="8" t="s">
        <v>1537</v>
      </c>
      <c r="M68" s="8" t="s">
        <v>1700</v>
      </c>
      <c r="N68" s="9" t="str">
        <f t="shared" si="3"/>
        <v>30-37</v>
      </c>
      <c r="O68" s="8" t="s">
        <v>1701</v>
      </c>
    </row>
    <row r="69" spans="1:15" ht="15" customHeight="1">
      <c r="A69" s="13" t="s">
        <v>1691</v>
      </c>
      <c r="B69" s="122">
        <v>68</v>
      </c>
      <c r="C69" s="8" t="s">
        <v>687</v>
      </c>
      <c r="D69" s="8" t="s">
        <v>1541</v>
      </c>
      <c r="E69" s="8" t="s">
        <v>24</v>
      </c>
      <c r="F69" s="8" t="s">
        <v>24</v>
      </c>
      <c r="G69" s="271" t="s">
        <v>1681</v>
      </c>
      <c r="H69" s="271" t="s">
        <v>1699</v>
      </c>
      <c r="I69" s="271" t="s">
        <v>24</v>
      </c>
      <c r="J69" s="8" t="s">
        <v>24</v>
      </c>
      <c r="K69" s="8" t="s">
        <v>1384</v>
      </c>
      <c r="L69" s="8" t="s">
        <v>24</v>
      </c>
      <c r="M69" s="8" t="s">
        <v>24</v>
      </c>
      <c r="N69" s="9">
        <f t="shared" si="3"/>
        <v>0</v>
      </c>
      <c r="O69" s="8" t="s">
        <v>24</v>
      </c>
    </row>
    <row r="70" spans="1:15" ht="15" customHeight="1">
      <c r="A70" s="13" t="s">
        <v>1627</v>
      </c>
      <c r="B70" s="122">
        <v>68</v>
      </c>
      <c r="C70" s="8" t="s">
        <v>692</v>
      </c>
      <c r="D70" s="8" t="s">
        <v>1526</v>
      </c>
      <c r="E70" s="8" t="s">
        <v>17</v>
      </c>
      <c r="F70" s="8" t="s">
        <v>125</v>
      </c>
      <c r="G70" s="271" t="s">
        <v>1702</v>
      </c>
      <c r="H70" s="271" t="s">
        <v>1703</v>
      </c>
      <c r="I70" s="271">
        <f t="shared" si="2"/>
        <v>-30</v>
      </c>
      <c r="J70" s="8" t="s">
        <v>130</v>
      </c>
      <c r="K70" s="8" t="s">
        <v>1704</v>
      </c>
      <c r="L70" s="8" t="s">
        <v>1552</v>
      </c>
      <c r="M70" s="8" t="s">
        <v>512</v>
      </c>
      <c r="N70" s="9" t="str">
        <f t="shared" si="3"/>
        <v>31-37</v>
      </c>
      <c r="O70" s="8" t="s">
        <v>1705</v>
      </c>
    </row>
    <row r="71" spans="1:15" ht="15" customHeight="1">
      <c r="A71" s="13" t="s">
        <v>1627</v>
      </c>
      <c r="B71" s="122">
        <v>69</v>
      </c>
      <c r="C71" s="8" t="s">
        <v>699</v>
      </c>
      <c r="D71" s="8" t="s">
        <v>1526</v>
      </c>
      <c r="E71" s="8" t="s">
        <v>17</v>
      </c>
      <c r="F71" s="8" t="s">
        <v>521</v>
      </c>
      <c r="G71" s="271" t="s">
        <v>1684</v>
      </c>
      <c r="H71" s="271" t="s">
        <v>1706</v>
      </c>
      <c r="I71" s="271">
        <f t="shared" si="2"/>
        <v>-32</v>
      </c>
      <c r="J71" s="8" t="s">
        <v>130</v>
      </c>
      <c r="K71" s="8" t="s">
        <v>1641</v>
      </c>
      <c r="L71" s="8" t="s">
        <v>1531</v>
      </c>
      <c r="M71" s="8" t="s">
        <v>512</v>
      </c>
      <c r="N71" s="9" t="str">
        <f t="shared" si="3"/>
        <v>31-38</v>
      </c>
      <c r="O71" s="8" t="s">
        <v>1707</v>
      </c>
    </row>
    <row r="72" spans="1:15" ht="15" customHeight="1">
      <c r="A72" s="13" t="s">
        <v>1627</v>
      </c>
      <c r="B72" s="122">
        <v>70</v>
      </c>
      <c r="C72" s="8" t="s">
        <v>710</v>
      </c>
      <c r="D72" s="8" t="s">
        <v>1526</v>
      </c>
      <c r="E72" s="8" t="s">
        <v>17</v>
      </c>
      <c r="F72" s="8" t="s">
        <v>688</v>
      </c>
      <c r="G72" s="271" t="s">
        <v>1708</v>
      </c>
      <c r="H72" s="271" t="s">
        <v>1709</v>
      </c>
      <c r="I72" s="271">
        <f t="shared" si="2"/>
        <v>-38</v>
      </c>
      <c r="J72" s="8" t="s">
        <v>1572</v>
      </c>
      <c r="K72" s="8" t="s">
        <v>1629</v>
      </c>
      <c r="L72" s="8" t="s">
        <v>1516</v>
      </c>
      <c r="M72" s="8" t="s">
        <v>24</v>
      </c>
      <c r="N72" s="9" t="str">
        <f t="shared" si="3"/>
        <v>31-39</v>
      </c>
      <c r="O72" s="8" t="s">
        <v>1710</v>
      </c>
    </row>
    <row r="73" spans="1:15" ht="15" customHeight="1">
      <c r="A73" s="121" t="s">
        <v>1711</v>
      </c>
      <c r="B73" s="122">
        <v>71</v>
      </c>
      <c r="C73" s="8" t="s">
        <v>716</v>
      </c>
      <c r="D73" s="8" t="s">
        <v>892</v>
      </c>
      <c r="E73" s="8" t="s">
        <v>28</v>
      </c>
      <c r="F73" s="8" t="s">
        <v>546</v>
      </c>
      <c r="G73" s="271" t="s">
        <v>486</v>
      </c>
      <c r="H73" s="271" t="s">
        <v>1709</v>
      </c>
      <c r="I73" s="271">
        <f t="shared" si="2"/>
        <v>-29</v>
      </c>
      <c r="J73" s="8" t="s">
        <v>1712</v>
      </c>
      <c r="K73" s="8" t="s">
        <v>1713</v>
      </c>
      <c r="L73" s="8" t="s">
        <v>1626</v>
      </c>
      <c r="M73" s="8" t="s">
        <v>24</v>
      </c>
      <c r="N73" s="9" t="str">
        <f t="shared" si="3"/>
        <v>32-39</v>
      </c>
      <c r="O73" s="8" t="s">
        <v>1714</v>
      </c>
    </row>
    <row r="74" spans="1:15" ht="15" customHeight="1">
      <c r="A74" s="121" t="s">
        <v>1711</v>
      </c>
      <c r="B74" s="122">
        <v>72</v>
      </c>
      <c r="C74" s="8" t="s">
        <v>721</v>
      </c>
      <c r="D74" s="8" t="s">
        <v>1538</v>
      </c>
      <c r="E74" s="8" t="s">
        <v>28</v>
      </c>
      <c r="F74" s="8" t="s">
        <v>515</v>
      </c>
      <c r="G74" s="271" t="s">
        <v>510</v>
      </c>
      <c r="H74" s="271" t="s">
        <v>536</v>
      </c>
      <c r="I74" s="271">
        <f t="shared" si="2"/>
        <v>-23</v>
      </c>
      <c r="J74" s="8" t="s">
        <v>121</v>
      </c>
      <c r="K74" s="8" t="s">
        <v>1649</v>
      </c>
      <c r="L74" s="8" t="s">
        <v>1715</v>
      </c>
      <c r="M74" s="8" t="s">
        <v>24</v>
      </c>
      <c r="N74" s="9" t="str">
        <f t="shared" si="3"/>
        <v>33-39</v>
      </c>
      <c r="O74" s="8" t="s">
        <v>1716</v>
      </c>
    </row>
    <row r="75" spans="1:15" ht="15" customHeight="1">
      <c r="A75" s="121" t="s">
        <v>1711</v>
      </c>
      <c r="B75" s="122">
        <v>73</v>
      </c>
      <c r="C75" s="8" t="s">
        <v>726</v>
      </c>
      <c r="D75" s="8" t="s">
        <v>1541</v>
      </c>
      <c r="E75" s="8" t="s">
        <v>28</v>
      </c>
      <c r="F75" s="8" t="s">
        <v>338</v>
      </c>
      <c r="G75" s="271" t="s">
        <v>1699</v>
      </c>
      <c r="H75" s="271" t="s">
        <v>536</v>
      </c>
      <c r="I75" s="271">
        <f t="shared" si="2"/>
        <v>-20</v>
      </c>
      <c r="J75" s="8" t="s">
        <v>139</v>
      </c>
      <c r="K75" s="8" t="s">
        <v>1552</v>
      </c>
      <c r="L75" s="8" t="s">
        <v>1139</v>
      </c>
      <c r="M75" s="8" t="s">
        <v>1537</v>
      </c>
      <c r="N75" s="9" t="str">
        <f t="shared" si="3"/>
        <v>34-39</v>
      </c>
      <c r="O75" s="8" t="s">
        <v>1717</v>
      </c>
    </row>
    <row r="76" spans="1:15" ht="15" customHeight="1">
      <c r="A76" s="121" t="s">
        <v>1671</v>
      </c>
      <c r="B76" s="122">
        <v>74</v>
      </c>
      <c r="C76" s="8" t="s">
        <v>733</v>
      </c>
      <c r="D76" s="8" t="s">
        <v>647</v>
      </c>
      <c r="E76" s="8" t="s">
        <v>28</v>
      </c>
      <c r="F76" s="8" t="s">
        <v>1712</v>
      </c>
      <c r="G76" s="271" t="s">
        <v>1718</v>
      </c>
      <c r="H76" s="271" t="s">
        <v>1719</v>
      </c>
      <c r="I76" s="271">
        <f t="shared" si="2"/>
        <v>-11</v>
      </c>
      <c r="J76" s="8" t="s">
        <v>1720</v>
      </c>
      <c r="K76" s="8" t="s">
        <v>1561</v>
      </c>
      <c r="L76" s="8" t="s">
        <v>1657</v>
      </c>
      <c r="M76" s="8" t="s">
        <v>24</v>
      </c>
      <c r="N76" s="9" t="str">
        <f t="shared" si="3"/>
        <v>35-39</v>
      </c>
      <c r="O76" s="8" t="s">
        <v>1721</v>
      </c>
    </row>
    <row r="77" spans="1:15" ht="15" customHeight="1">
      <c r="A77" s="121" t="s">
        <v>1671</v>
      </c>
      <c r="B77" s="122">
        <v>75</v>
      </c>
      <c r="C77" s="8" t="s">
        <v>741</v>
      </c>
      <c r="D77" s="8" t="s">
        <v>892</v>
      </c>
      <c r="E77" s="8" t="s">
        <v>17</v>
      </c>
      <c r="F77" s="8" t="s">
        <v>125</v>
      </c>
      <c r="G77" s="271" t="s">
        <v>1722</v>
      </c>
      <c r="H77" s="271" t="s">
        <v>1723</v>
      </c>
      <c r="I77" s="271">
        <f t="shared" si="2"/>
        <v>-12</v>
      </c>
      <c r="J77" s="8" t="s">
        <v>1655</v>
      </c>
      <c r="K77" s="8" t="s">
        <v>1676</v>
      </c>
      <c r="L77" s="8" t="s">
        <v>1498</v>
      </c>
      <c r="M77" s="8" t="s">
        <v>24</v>
      </c>
      <c r="N77" s="9" t="str">
        <f t="shared" si="3"/>
        <v>36-39</v>
      </c>
      <c r="O77" s="8" t="s">
        <v>1724</v>
      </c>
    </row>
    <row r="78" spans="1:15" ht="15" customHeight="1">
      <c r="A78" s="121" t="s">
        <v>1671</v>
      </c>
      <c r="B78" s="122">
        <v>76</v>
      </c>
      <c r="C78" s="8" t="s">
        <v>746</v>
      </c>
      <c r="D78" s="8" t="s">
        <v>892</v>
      </c>
      <c r="E78" s="8" t="s">
        <v>28</v>
      </c>
      <c r="F78" s="8" t="s">
        <v>638</v>
      </c>
      <c r="G78" s="271" t="s">
        <v>1725</v>
      </c>
      <c r="H78" s="271" t="s">
        <v>1723</v>
      </c>
      <c r="I78" s="271">
        <f t="shared" si="2"/>
        <v>-8</v>
      </c>
      <c r="J78" s="8" t="s">
        <v>250</v>
      </c>
      <c r="K78" s="8" t="s">
        <v>1501</v>
      </c>
      <c r="L78" s="8" t="s">
        <v>184</v>
      </c>
      <c r="M78" s="8" t="s">
        <v>24</v>
      </c>
      <c r="N78" s="9" t="str">
        <f t="shared" si="3"/>
        <v>37-39</v>
      </c>
      <c r="O78" s="8" t="s">
        <v>1726</v>
      </c>
    </row>
    <row r="79" spans="1:15" ht="15" customHeight="1">
      <c r="A79" s="121" t="s">
        <v>1671</v>
      </c>
      <c r="B79" s="122">
        <v>77</v>
      </c>
      <c r="C79" s="8" t="s">
        <v>1727</v>
      </c>
      <c r="D79" s="8" t="s">
        <v>892</v>
      </c>
      <c r="E79" s="8" t="s">
        <v>1522</v>
      </c>
      <c r="F79" s="8" t="s">
        <v>194</v>
      </c>
      <c r="G79" s="271" t="s">
        <v>530</v>
      </c>
      <c r="H79" s="271" t="s">
        <v>1398</v>
      </c>
      <c r="I79" s="271">
        <f t="shared" si="2"/>
        <v>-10</v>
      </c>
      <c r="J79" s="8" t="s">
        <v>385</v>
      </c>
      <c r="K79" s="8" t="s">
        <v>1728</v>
      </c>
      <c r="L79" s="8" t="s">
        <v>1537</v>
      </c>
      <c r="M79" s="8" t="s">
        <v>24</v>
      </c>
      <c r="N79" s="9" t="str">
        <f t="shared" si="3"/>
        <v>37-40</v>
      </c>
      <c r="O79" s="8" t="s">
        <v>1729</v>
      </c>
    </row>
    <row r="80" spans="1:15" ht="15" customHeight="1">
      <c r="A80" s="13" t="s">
        <v>1730</v>
      </c>
      <c r="B80" s="122">
        <v>78</v>
      </c>
      <c r="C80" s="8" t="s">
        <v>754</v>
      </c>
      <c r="D80" s="8" t="s">
        <v>1373</v>
      </c>
      <c r="E80" s="8" t="s">
        <v>17</v>
      </c>
      <c r="F80" s="8" t="s">
        <v>504</v>
      </c>
      <c r="G80" s="271">
        <f>G79+6</f>
        <v>352</v>
      </c>
      <c r="H80" s="271">
        <f>H79+9</f>
        <v>365</v>
      </c>
      <c r="I80" s="271">
        <f t="shared" si="2"/>
        <v>-13</v>
      </c>
      <c r="J80" s="8" t="s">
        <v>1550</v>
      </c>
      <c r="K80" s="8" t="s">
        <v>1682</v>
      </c>
      <c r="L80" s="8" t="s">
        <v>1498</v>
      </c>
      <c r="M80" s="8" t="s">
        <v>24</v>
      </c>
      <c r="N80" s="9" t="str">
        <f t="shared" si="3"/>
        <v>37-41</v>
      </c>
      <c r="O80" s="8" t="s">
        <v>1731</v>
      </c>
    </row>
    <row r="81" spans="1:15" ht="15" customHeight="1">
      <c r="A81" s="13" t="s">
        <v>1730</v>
      </c>
      <c r="B81" s="122">
        <v>79</v>
      </c>
      <c r="C81" s="8" t="s">
        <v>758</v>
      </c>
      <c r="D81" s="8" t="s">
        <v>1538</v>
      </c>
      <c r="E81" s="8" t="s">
        <v>28</v>
      </c>
      <c r="F81" s="8" t="s">
        <v>130</v>
      </c>
      <c r="G81" s="271">
        <f>G80+8</f>
        <v>360</v>
      </c>
      <c r="H81" s="271">
        <f>H80+7</f>
        <v>372</v>
      </c>
      <c r="I81" s="271">
        <f t="shared" si="2"/>
        <v>-12</v>
      </c>
      <c r="J81" s="8" t="s">
        <v>301</v>
      </c>
      <c r="K81" s="8" t="s">
        <v>1561</v>
      </c>
      <c r="L81" s="8" t="s">
        <v>1524</v>
      </c>
      <c r="M81" s="8" t="s">
        <v>1537</v>
      </c>
      <c r="N81" s="9" t="str">
        <f t="shared" si="3"/>
        <v>38-41</v>
      </c>
      <c r="O81" s="8" t="s">
        <v>1732</v>
      </c>
    </row>
    <row r="82" spans="1:15" ht="15" customHeight="1">
      <c r="A82" s="13" t="s">
        <v>1730</v>
      </c>
      <c r="B82" s="122">
        <v>80</v>
      </c>
      <c r="C82" s="8" t="s">
        <v>763</v>
      </c>
      <c r="D82" s="8" t="s">
        <v>1541</v>
      </c>
      <c r="E82" s="8" t="s">
        <v>28</v>
      </c>
      <c r="F82" s="8" t="s">
        <v>1558</v>
      </c>
      <c r="G82" s="271">
        <f>G81+7</f>
        <v>367</v>
      </c>
      <c r="H82" s="271">
        <f>H81+2</f>
        <v>374</v>
      </c>
      <c r="I82" s="271">
        <f t="shared" si="2"/>
        <v>-7</v>
      </c>
      <c r="J82" s="8" t="s">
        <v>1733</v>
      </c>
      <c r="K82" s="8" t="s">
        <v>1516</v>
      </c>
      <c r="L82" s="8" t="s">
        <v>1734</v>
      </c>
      <c r="M82" s="8" t="s">
        <v>24</v>
      </c>
      <c r="N82" s="9" t="str">
        <f t="shared" si="3"/>
        <v>39-41</v>
      </c>
      <c r="O82" s="8" t="s">
        <v>1735</v>
      </c>
    </row>
    <row r="83" spans="1:15" ht="15" customHeight="1">
      <c r="A83" s="13" t="s">
        <v>1736</v>
      </c>
      <c r="B83" s="122">
        <v>81</v>
      </c>
      <c r="C83" s="8" t="s">
        <v>767</v>
      </c>
      <c r="D83" s="8" t="s">
        <v>1526</v>
      </c>
      <c r="E83" s="8" t="s">
        <v>28</v>
      </c>
      <c r="F83" s="8" t="s">
        <v>383</v>
      </c>
      <c r="G83" s="271">
        <f>G82+2</f>
        <v>369</v>
      </c>
      <c r="H83" s="271">
        <f>H82+0</f>
        <v>374</v>
      </c>
      <c r="I83" s="271">
        <f t="shared" si="2"/>
        <v>-5</v>
      </c>
      <c r="J83" s="8" t="s">
        <v>616</v>
      </c>
      <c r="K83" s="8" t="s">
        <v>1501</v>
      </c>
      <c r="L83" s="8" t="s">
        <v>1737</v>
      </c>
      <c r="M83" s="8" t="s">
        <v>1537</v>
      </c>
      <c r="N83" s="9" t="str">
        <f t="shared" si="3"/>
        <v>40-41</v>
      </c>
      <c r="O83" s="8" t="s">
        <v>1738</v>
      </c>
    </row>
    <row r="84" spans="1:15" ht="15" customHeight="1">
      <c r="A84" s="13" t="s">
        <v>1736</v>
      </c>
      <c r="B84" s="122">
        <v>82</v>
      </c>
      <c r="C84" s="8" t="s">
        <v>771</v>
      </c>
      <c r="D84" s="8" t="s">
        <v>1526</v>
      </c>
      <c r="E84" s="8" t="s">
        <v>17</v>
      </c>
      <c r="F84" s="8" t="s">
        <v>1529</v>
      </c>
      <c r="G84" s="271">
        <f>G83+8</f>
        <v>377</v>
      </c>
      <c r="H84" s="271">
        <f>H83+10</f>
        <v>384</v>
      </c>
      <c r="I84" s="271">
        <f t="shared" si="2"/>
        <v>-7</v>
      </c>
      <c r="J84" s="8" t="s">
        <v>1092</v>
      </c>
      <c r="K84" s="8" t="s">
        <v>1739</v>
      </c>
      <c r="L84" s="8" t="s">
        <v>1649</v>
      </c>
      <c r="M84" s="8" t="s">
        <v>1497</v>
      </c>
      <c r="N84" s="9" t="str">
        <f t="shared" si="3"/>
        <v>40-42</v>
      </c>
      <c r="O84" s="8" t="s">
        <v>1740</v>
      </c>
    </row>
    <row r="85" spans="1:15" ht="15" customHeight="1">
      <c r="A85" s="13" t="s">
        <v>1736</v>
      </c>
      <c r="B85" s="122">
        <v>83</v>
      </c>
      <c r="C85" s="8" t="s">
        <v>777</v>
      </c>
      <c r="D85" s="8" t="s">
        <v>1526</v>
      </c>
      <c r="E85" s="8" t="s">
        <v>28</v>
      </c>
      <c r="F85" s="8" t="s">
        <v>134</v>
      </c>
      <c r="G85" s="271">
        <f>G84+7</f>
        <v>384</v>
      </c>
      <c r="H85" s="271">
        <f>H84+6</f>
        <v>390</v>
      </c>
      <c r="I85" s="271">
        <f t="shared" si="2"/>
        <v>-6</v>
      </c>
      <c r="J85" s="8" t="s">
        <v>304</v>
      </c>
      <c r="K85" s="8" t="s">
        <v>1552</v>
      </c>
      <c r="L85" s="8" t="s">
        <v>1500</v>
      </c>
      <c r="M85" s="8" t="s">
        <v>1537</v>
      </c>
      <c r="N85" s="9" t="str">
        <f t="shared" si="3"/>
        <v>40-43</v>
      </c>
      <c r="O85" s="8" t="s">
        <v>1741</v>
      </c>
    </row>
    <row r="86" spans="1:15" ht="15" customHeight="1">
      <c r="A86" s="121" t="s">
        <v>1609</v>
      </c>
      <c r="B86" s="122">
        <v>84</v>
      </c>
      <c r="C86" s="8" t="s">
        <v>781</v>
      </c>
      <c r="D86" s="8" t="s">
        <v>375</v>
      </c>
      <c r="E86" s="8" t="s">
        <v>28</v>
      </c>
      <c r="F86" s="8" t="s">
        <v>866</v>
      </c>
      <c r="G86" s="271">
        <f>G85+8</f>
        <v>392</v>
      </c>
      <c r="H86" s="271">
        <f>H85+3</f>
        <v>393</v>
      </c>
      <c r="I86" s="271">
        <f t="shared" si="2"/>
        <v>-1</v>
      </c>
      <c r="J86" s="8" t="s">
        <v>168</v>
      </c>
      <c r="K86" s="8" t="s">
        <v>1520</v>
      </c>
      <c r="L86" s="8" t="s">
        <v>1608</v>
      </c>
      <c r="M86" s="8" t="s">
        <v>24</v>
      </c>
      <c r="N86" s="9" t="str">
        <f t="shared" si="3"/>
        <v>41-43</v>
      </c>
      <c r="O86" s="8" t="s">
        <v>1742</v>
      </c>
    </row>
    <row r="87" spans="1:15" ht="15" customHeight="1">
      <c r="A87" s="121" t="s">
        <v>1609</v>
      </c>
      <c r="B87" s="122">
        <v>85</v>
      </c>
      <c r="C87" s="8" t="s">
        <v>783</v>
      </c>
      <c r="D87" s="8" t="s">
        <v>203</v>
      </c>
      <c r="E87" s="8" t="s">
        <v>17</v>
      </c>
      <c r="F87" s="8" t="s">
        <v>145</v>
      </c>
      <c r="G87" s="271">
        <f>G86+5</f>
        <v>397</v>
      </c>
      <c r="H87" s="271">
        <f>H86+6</f>
        <v>399</v>
      </c>
      <c r="I87" s="271">
        <f t="shared" si="2"/>
        <v>-2</v>
      </c>
      <c r="J87" s="8" t="s">
        <v>304</v>
      </c>
      <c r="K87" s="8" t="s">
        <v>1606</v>
      </c>
      <c r="L87" s="8" t="s">
        <v>1537</v>
      </c>
      <c r="M87" s="8" t="s">
        <v>1611</v>
      </c>
      <c r="N87" s="9" t="str">
        <f t="shared" si="3"/>
        <v>42-43</v>
      </c>
      <c r="O87" s="8" t="s">
        <v>1743</v>
      </c>
    </row>
    <row r="88" spans="1:15" ht="15" customHeight="1">
      <c r="A88" s="121" t="s">
        <v>1609</v>
      </c>
      <c r="B88" s="122">
        <v>86</v>
      </c>
      <c r="C88" s="8" t="s">
        <v>788</v>
      </c>
      <c r="D88" s="8" t="s">
        <v>1744</v>
      </c>
      <c r="E88" s="8" t="s">
        <v>17</v>
      </c>
      <c r="F88" s="8" t="s">
        <v>214</v>
      </c>
      <c r="G88" s="271">
        <f>G87+3</f>
        <v>400</v>
      </c>
      <c r="H88" s="271">
        <f>H87+9</f>
        <v>408</v>
      </c>
      <c r="I88" s="271">
        <f t="shared" si="2"/>
        <v>-8</v>
      </c>
      <c r="J88" s="8" t="s">
        <v>1259</v>
      </c>
      <c r="K88" s="8" t="s">
        <v>1745</v>
      </c>
      <c r="L88" s="8" t="s">
        <v>1511</v>
      </c>
      <c r="M88" s="8" t="s">
        <v>24</v>
      </c>
      <c r="N88" s="9" t="str">
        <f t="shared" si="3"/>
        <v>42-44</v>
      </c>
      <c r="O88" s="8" t="s">
        <v>1746</v>
      </c>
    </row>
    <row r="89" spans="1:15" ht="15" customHeight="1">
      <c r="A89" s="121" t="s">
        <v>1508</v>
      </c>
      <c r="B89" s="122">
        <v>87</v>
      </c>
      <c r="C89" s="8" t="s">
        <v>794</v>
      </c>
      <c r="D89" s="8" t="s">
        <v>892</v>
      </c>
      <c r="E89" s="8" t="s">
        <v>17</v>
      </c>
      <c r="F89" s="8" t="s">
        <v>772</v>
      </c>
      <c r="G89" s="271">
        <f>G88+1</f>
        <v>401</v>
      </c>
      <c r="H89" s="271">
        <f>H88+4</f>
        <v>412</v>
      </c>
      <c r="I89" s="271">
        <f t="shared" si="2"/>
        <v>-11</v>
      </c>
      <c r="J89" s="8" t="s">
        <v>145</v>
      </c>
      <c r="K89" s="8" t="s">
        <v>1661</v>
      </c>
      <c r="L89" s="8" t="s">
        <v>1501</v>
      </c>
      <c r="M89" s="8" t="s">
        <v>1576</v>
      </c>
      <c r="N89" s="9" t="str">
        <f t="shared" si="3"/>
        <v>42-45</v>
      </c>
      <c r="O89" s="8" t="s">
        <v>1747</v>
      </c>
    </row>
    <row r="90" spans="1:15" ht="15" customHeight="1">
      <c r="A90" s="121" t="s">
        <v>1508</v>
      </c>
      <c r="B90" s="122">
        <v>88</v>
      </c>
      <c r="C90" s="8" t="s">
        <v>800</v>
      </c>
      <c r="D90" s="8" t="s">
        <v>892</v>
      </c>
      <c r="E90" s="8" t="s">
        <v>17</v>
      </c>
      <c r="F90" s="8" t="s">
        <v>1412</v>
      </c>
      <c r="G90" s="271">
        <f>G89+0</f>
        <v>401</v>
      </c>
      <c r="H90" s="271">
        <f>H89+11</f>
        <v>423</v>
      </c>
      <c r="I90" s="271">
        <f t="shared" ref="I90:I101" si="4">IF(E90="","",G90-H90)</f>
        <v>-22</v>
      </c>
      <c r="J90" s="8" t="s">
        <v>1304</v>
      </c>
      <c r="K90" s="8" t="s">
        <v>1748</v>
      </c>
      <c r="L90" s="8" t="s">
        <v>1552</v>
      </c>
      <c r="M90" s="8" t="s">
        <v>24</v>
      </c>
      <c r="N90" s="9" t="str">
        <f t="shared" si="3"/>
        <v>41-47</v>
      </c>
      <c r="O90" s="8" t="s">
        <v>1749</v>
      </c>
    </row>
    <row r="91" spans="1:15" ht="15" customHeight="1">
      <c r="A91" s="121" t="s">
        <v>1508</v>
      </c>
      <c r="B91" s="122">
        <v>89</v>
      </c>
      <c r="C91" s="8" t="s">
        <v>804</v>
      </c>
      <c r="D91" s="8" t="s">
        <v>892</v>
      </c>
      <c r="E91" s="8" t="s">
        <v>1750</v>
      </c>
      <c r="F91" s="8" t="s">
        <v>117</v>
      </c>
      <c r="G91" s="271">
        <f>G90+3</f>
        <v>404</v>
      </c>
      <c r="H91" s="271">
        <f>H90+4</f>
        <v>427</v>
      </c>
      <c r="I91" s="271">
        <f t="shared" si="4"/>
        <v>-23</v>
      </c>
      <c r="J91" s="8" t="s">
        <v>130</v>
      </c>
      <c r="K91" s="8" t="s">
        <v>1751</v>
      </c>
      <c r="L91" s="8" t="s">
        <v>1498</v>
      </c>
      <c r="M91" s="8" t="s">
        <v>24</v>
      </c>
      <c r="N91" s="9" t="str">
        <f t="shared" si="3"/>
        <v>42-47</v>
      </c>
      <c r="O91" s="8" t="s">
        <v>1752</v>
      </c>
    </row>
    <row r="92" spans="1:15" ht="15" customHeight="1">
      <c r="A92" s="13" t="s">
        <v>1730</v>
      </c>
      <c r="B92" s="122">
        <v>90</v>
      </c>
      <c r="C92" s="8" t="s">
        <v>808</v>
      </c>
      <c r="D92" s="8" t="s">
        <v>1373</v>
      </c>
      <c r="E92" s="8" t="s">
        <v>17</v>
      </c>
      <c r="F92" s="8" t="s">
        <v>474</v>
      </c>
      <c r="G92" s="271">
        <f>G91+5</f>
        <v>409</v>
      </c>
      <c r="H92" s="271">
        <f>H91+10</f>
        <v>437</v>
      </c>
      <c r="I92" s="271">
        <f t="shared" si="4"/>
        <v>-28</v>
      </c>
      <c r="J92" s="8" t="s">
        <v>1753</v>
      </c>
      <c r="K92" s="8" t="s">
        <v>1734</v>
      </c>
      <c r="L92" s="8" t="s">
        <v>1516</v>
      </c>
      <c r="M92" s="8" t="s">
        <v>24</v>
      </c>
      <c r="N92" s="9" t="str">
        <f t="shared" si="3"/>
        <v>42-48</v>
      </c>
      <c r="O92" s="8" t="s">
        <v>1754</v>
      </c>
    </row>
    <row r="93" spans="1:15" ht="15" customHeight="1">
      <c r="A93" s="13" t="s">
        <v>1730</v>
      </c>
      <c r="B93" s="122">
        <v>91</v>
      </c>
      <c r="C93" s="8" t="s">
        <v>811</v>
      </c>
      <c r="D93" s="8" t="s">
        <v>1538</v>
      </c>
      <c r="E93" s="8" t="s">
        <v>17</v>
      </c>
      <c r="F93" s="8" t="s">
        <v>773</v>
      </c>
      <c r="G93" s="271">
        <f>G92+2</f>
        <v>411</v>
      </c>
      <c r="H93" s="271">
        <f>H92+11</f>
        <v>448</v>
      </c>
      <c r="I93" s="271">
        <f t="shared" si="4"/>
        <v>-37</v>
      </c>
      <c r="J93" s="8" t="s">
        <v>1251</v>
      </c>
      <c r="K93" s="8" t="s">
        <v>289</v>
      </c>
      <c r="L93" s="8" t="s">
        <v>1501</v>
      </c>
      <c r="M93" s="8" t="s">
        <v>24</v>
      </c>
      <c r="N93" s="9" t="str">
        <f t="shared" si="3"/>
        <v>41-50</v>
      </c>
      <c r="O93" s="8" t="s">
        <v>1755</v>
      </c>
    </row>
    <row r="94" spans="1:15" ht="15" customHeight="1">
      <c r="A94" s="13" t="s">
        <v>1730</v>
      </c>
      <c r="B94" s="122">
        <v>92</v>
      </c>
      <c r="C94" s="8" t="s">
        <v>817</v>
      </c>
      <c r="D94" s="8" t="s">
        <v>1541</v>
      </c>
      <c r="E94" s="8" t="s">
        <v>28</v>
      </c>
      <c r="F94" s="8" t="s">
        <v>546</v>
      </c>
      <c r="G94" s="271">
        <f>G93+9</f>
        <v>420</v>
      </c>
      <c r="H94" s="271">
        <f>H93+0</f>
        <v>448</v>
      </c>
      <c r="I94" s="271">
        <f t="shared" si="4"/>
        <v>-28</v>
      </c>
      <c r="J94" s="8" t="s">
        <v>1756</v>
      </c>
      <c r="K94" s="8" t="s">
        <v>1552</v>
      </c>
      <c r="L94" s="8" t="s">
        <v>1757</v>
      </c>
      <c r="M94" s="8" t="s">
        <v>24</v>
      </c>
      <c r="N94" s="9" t="str">
        <f t="shared" si="3"/>
        <v>43-49</v>
      </c>
      <c r="O94" s="8" t="s">
        <v>1758</v>
      </c>
    </row>
    <row r="95" spans="1:15" ht="15" customHeight="1">
      <c r="A95" s="121" t="s">
        <v>1636</v>
      </c>
      <c r="B95" s="122">
        <v>93</v>
      </c>
      <c r="C95" s="8" t="s">
        <v>824</v>
      </c>
      <c r="D95" s="8" t="s">
        <v>1637</v>
      </c>
      <c r="E95" s="8" t="s">
        <v>28</v>
      </c>
      <c r="F95" s="8" t="s">
        <v>801</v>
      </c>
      <c r="G95" s="271">
        <f>G94+7</f>
        <v>427</v>
      </c>
      <c r="H95" s="271">
        <f>H94+3</f>
        <v>451</v>
      </c>
      <c r="I95" s="271">
        <f t="shared" si="4"/>
        <v>-24</v>
      </c>
      <c r="J95" s="8" t="s">
        <v>453</v>
      </c>
      <c r="K95" s="8" t="s">
        <v>1511</v>
      </c>
      <c r="L95" s="8" t="s">
        <v>1641</v>
      </c>
      <c r="M95" s="8" t="s">
        <v>24</v>
      </c>
      <c r="N95" s="9" t="str">
        <f t="shared" si="3"/>
        <v>44-49</v>
      </c>
      <c r="O95" s="8" t="s">
        <v>1759</v>
      </c>
    </row>
    <row r="96" spans="1:15" ht="15" customHeight="1">
      <c r="A96" s="121" t="s">
        <v>1636</v>
      </c>
      <c r="B96" s="122">
        <v>94</v>
      </c>
      <c r="C96" s="8" t="s">
        <v>829</v>
      </c>
      <c r="D96" s="8" t="s">
        <v>1637</v>
      </c>
      <c r="E96" s="8" t="s">
        <v>28</v>
      </c>
      <c r="F96" s="8" t="s">
        <v>42</v>
      </c>
      <c r="G96" s="271">
        <f>G95+3</f>
        <v>430</v>
      </c>
      <c r="H96" s="271">
        <f>H95+1</f>
        <v>452</v>
      </c>
      <c r="I96" s="271">
        <f t="shared" si="4"/>
        <v>-22</v>
      </c>
      <c r="J96" s="8" t="s">
        <v>151</v>
      </c>
      <c r="K96" s="8" t="s">
        <v>1520</v>
      </c>
      <c r="L96" s="8" t="s">
        <v>1629</v>
      </c>
      <c r="M96" s="8" t="s">
        <v>1537</v>
      </c>
      <c r="N96" s="9" t="str">
        <f t="shared" si="3"/>
        <v>44-50</v>
      </c>
      <c r="O96" s="8" t="s">
        <v>1760</v>
      </c>
    </row>
    <row r="97" spans="1:15" ht="15" customHeight="1">
      <c r="A97" s="121" t="s">
        <v>1636</v>
      </c>
      <c r="B97" s="122">
        <v>95</v>
      </c>
      <c r="C97" s="8" t="s">
        <v>1761</v>
      </c>
      <c r="D97" s="8" t="s">
        <v>1637</v>
      </c>
      <c r="E97" s="8" t="s">
        <v>17</v>
      </c>
      <c r="F97" s="8" t="s">
        <v>125</v>
      </c>
      <c r="G97" s="271">
        <f>G96+4</f>
        <v>434</v>
      </c>
      <c r="H97" s="271">
        <f>H96+5</f>
        <v>457</v>
      </c>
      <c r="I97" s="271">
        <f t="shared" si="4"/>
        <v>-23</v>
      </c>
      <c r="J97" s="8" t="s">
        <v>1542</v>
      </c>
      <c r="K97" s="8" t="s">
        <v>1639</v>
      </c>
      <c r="L97" s="8" t="s">
        <v>1516</v>
      </c>
      <c r="M97" s="8" t="s">
        <v>512</v>
      </c>
      <c r="N97" s="9" t="str">
        <f t="shared" si="3"/>
        <v>45-50</v>
      </c>
      <c r="O97" s="8" t="s">
        <v>1762</v>
      </c>
    </row>
    <row r="98" spans="1:15" ht="15" customHeight="1">
      <c r="A98" s="13" t="s">
        <v>1604</v>
      </c>
      <c r="B98" s="122">
        <v>96</v>
      </c>
      <c r="C98" s="8" t="s">
        <v>832</v>
      </c>
      <c r="D98" s="8" t="s">
        <v>1373</v>
      </c>
      <c r="E98" s="8" t="s">
        <v>28</v>
      </c>
      <c r="F98" s="8" t="s">
        <v>1558</v>
      </c>
      <c r="G98" s="271">
        <f>G97+7</f>
        <v>441</v>
      </c>
      <c r="H98" s="271">
        <f>H97+2</f>
        <v>459</v>
      </c>
      <c r="I98" s="271">
        <f t="shared" si="4"/>
        <v>-18</v>
      </c>
      <c r="J98" s="8" t="s">
        <v>378</v>
      </c>
      <c r="K98" s="8" t="s">
        <v>1499</v>
      </c>
      <c r="L98" s="8" t="s">
        <v>1745</v>
      </c>
      <c r="M98" s="8" t="s">
        <v>24</v>
      </c>
      <c r="N98" s="9" t="str">
        <f t="shared" si="3"/>
        <v>46-50</v>
      </c>
      <c r="O98" s="8" t="s">
        <v>1763</v>
      </c>
    </row>
    <row r="99" spans="1:15" ht="15" customHeight="1">
      <c r="A99" s="13" t="s">
        <v>1604</v>
      </c>
      <c r="B99" s="122">
        <v>97</v>
      </c>
      <c r="C99" s="8" t="s">
        <v>836</v>
      </c>
      <c r="D99" s="8" t="s">
        <v>1538</v>
      </c>
      <c r="E99" s="8" t="s">
        <v>17</v>
      </c>
      <c r="F99" s="8" t="s">
        <v>1542</v>
      </c>
      <c r="G99" s="271">
        <f>G98+3</f>
        <v>444</v>
      </c>
      <c r="H99" s="271">
        <f>H98+7</f>
        <v>466</v>
      </c>
      <c r="I99" s="271">
        <f t="shared" si="4"/>
        <v>-22</v>
      </c>
      <c r="J99" s="8" t="s">
        <v>315</v>
      </c>
      <c r="K99" s="8" t="s">
        <v>1764</v>
      </c>
      <c r="L99" s="8" t="s">
        <v>1552</v>
      </c>
      <c r="M99" s="8" t="s">
        <v>379</v>
      </c>
      <c r="N99" s="9" t="str">
        <f t="shared" si="3"/>
        <v>46-51</v>
      </c>
      <c r="O99" s="8" t="s">
        <v>1765</v>
      </c>
    </row>
    <row r="100" spans="1:15" ht="15" customHeight="1">
      <c r="A100" s="13" t="s">
        <v>1604</v>
      </c>
      <c r="B100" s="122">
        <v>98</v>
      </c>
      <c r="C100" s="8" t="s">
        <v>840</v>
      </c>
      <c r="D100" s="8" t="s">
        <v>1541</v>
      </c>
      <c r="E100" s="8" t="s">
        <v>17</v>
      </c>
      <c r="F100" s="8" t="s">
        <v>1345</v>
      </c>
      <c r="G100" s="271">
        <f>G99+1</f>
        <v>445</v>
      </c>
      <c r="H100" s="271">
        <f>H99+6</f>
        <v>472</v>
      </c>
      <c r="I100" s="271">
        <f t="shared" si="4"/>
        <v>-27</v>
      </c>
      <c r="J100" s="8" t="s">
        <v>845</v>
      </c>
      <c r="K100" s="8" t="s">
        <v>1617</v>
      </c>
      <c r="L100" s="8" t="s">
        <v>1511</v>
      </c>
      <c r="M100" s="8" t="s">
        <v>24</v>
      </c>
      <c r="N100" s="9" t="str">
        <f t="shared" si="3"/>
        <v>46-52</v>
      </c>
      <c r="O100" s="8" t="s">
        <v>1766</v>
      </c>
    </row>
    <row r="101" spans="1:15" ht="15" customHeight="1">
      <c r="A101" s="13" t="s">
        <v>1604</v>
      </c>
      <c r="B101" s="122">
        <v>99</v>
      </c>
      <c r="C101" s="8" t="s">
        <v>844</v>
      </c>
      <c r="D101" s="8" t="s">
        <v>1541</v>
      </c>
      <c r="E101" s="8" t="s">
        <v>17</v>
      </c>
      <c r="F101" s="8" t="s">
        <v>36</v>
      </c>
      <c r="G101" s="271">
        <f>G100+8</f>
        <v>453</v>
      </c>
      <c r="H101" s="271">
        <f>H100+12</f>
        <v>484</v>
      </c>
      <c r="I101" s="271">
        <f t="shared" si="4"/>
        <v>-31</v>
      </c>
      <c r="J101" s="8" t="s">
        <v>849</v>
      </c>
      <c r="K101" s="8" t="s">
        <v>1767</v>
      </c>
      <c r="L101" s="8" t="s">
        <v>1520</v>
      </c>
      <c r="M101" s="8" t="s">
        <v>24</v>
      </c>
      <c r="N101" s="9" t="str">
        <f t="shared" si="3"/>
        <v>46-53</v>
      </c>
      <c r="O101" s="8" t="s">
        <v>1768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F2A4-B251-4757-82D0-0CED57F64D12}">
  <dimension ref="A1:AK106"/>
  <sheetViews>
    <sheetView workbookViewId="0">
      <pane xSplit="1" ySplit="2" topLeftCell="F74" activePane="bottomRight" state="frozen"/>
      <selection pane="bottomRight" activeCell="AJ103" sqref="AJ103"/>
      <selection pane="bottomLeft"/>
      <selection pane="topRight"/>
    </sheetView>
  </sheetViews>
  <sheetFormatPr defaultRowHeight="15"/>
  <cols>
    <col min="2" max="3" width="6.7109375" style="152" customWidth="1"/>
    <col min="4" max="4" width="2.7109375" customWidth="1"/>
    <col min="5" max="6" width="10.28515625" style="152" customWidth="1"/>
    <col min="7" max="7" width="2.7109375" customWidth="1"/>
    <col min="8" max="9" width="12.140625" style="152" customWidth="1"/>
    <col min="10" max="10" width="2.7109375" customWidth="1"/>
    <col min="11" max="12" width="11.5703125" style="152" customWidth="1"/>
    <col min="13" max="13" width="2.7109375" customWidth="1"/>
    <col min="14" max="15" width="10" style="152" customWidth="1"/>
    <col min="16" max="16" width="2.7109375" customWidth="1"/>
    <col min="17" max="18" width="10.140625" style="152" customWidth="1"/>
    <col min="19" max="19" width="2.7109375" customWidth="1"/>
    <col min="20" max="21" width="11.28515625" style="152" customWidth="1"/>
    <col min="22" max="22" width="2.7109375" customWidth="1"/>
    <col min="23" max="24" width="7.28515625" style="152" customWidth="1"/>
    <col min="25" max="25" width="2.7109375" customWidth="1"/>
    <col min="26" max="27" width="9.140625" style="152"/>
    <col min="28" max="28" width="2.7109375" customWidth="1"/>
    <col min="29" max="30" width="9.140625" style="152"/>
    <col min="31" max="31" width="2.7109375" customWidth="1"/>
    <col min="32" max="33" width="9.140625" style="152"/>
    <col min="34" max="34" width="2.7109375" customWidth="1"/>
  </cols>
  <sheetData>
    <row r="1" spans="1:36">
      <c r="B1" s="346" t="s">
        <v>1007</v>
      </c>
      <c r="C1" s="346"/>
      <c r="E1" s="346" t="s">
        <v>1019</v>
      </c>
      <c r="F1" s="346"/>
      <c r="H1" s="346" t="s">
        <v>1017</v>
      </c>
      <c r="I1" s="346"/>
      <c r="K1" s="346" t="s">
        <v>1020</v>
      </c>
      <c r="L1" s="346"/>
      <c r="N1" s="346" t="s">
        <v>1012</v>
      </c>
      <c r="O1" s="346"/>
      <c r="Q1" s="346" t="s">
        <v>1009</v>
      </c>
      <c r="R1" s="346"/>
      <c r="T1" s="346" t="s">
        <v>1002</v>
      </c>
      <c r="U1" s="346"/>
      <c r="W1" s="346" t="s">
        <v>1029</v>
      </c>
      <c r="X1" s="346"/>
      <c r="Z1" s="346" t="s">
        <v>1015</v>
      </c>
      <c r="AA1" s="346"/>
      <c r="AC1" s="346" t="s">
        <v>1004</v>
      </c>
      <c r="AD1" s="346"/>
      <c r="AF1" s="346" t="s">
        <v>1014</v>
      </c>
      <c r="AG1" s="346"/>
      <c r="AI1" s="346" t="s">
        <v>1031</v>
      </c>
      <c r="AJ1" s="346"/>
    </row>
    <row r="2" spans="1:36">
      <c r="A2" s="278" t="s">
        <v>1470</v>
      </c>
      <c r="B2" s="344" t="s">
        <v>5</v>
      </c>
      <c r="C2" s="344" t="s">
        <v>6</v>
      </c>
      <c r="E2" s="344" t="s">
        <v>5</v>
      </c>
      <c r="F2" s="344" t="s">
        <v>6</v>
      </c>
      <c r="H2" s="344" t="s">
        <v>5</v>
      </c>
      <c r="I2" s="344" t="s">
        <v>6</v>
      </c>
      <c r="K2" s="344" t="s">
        <v>5</v>
      </c>
      <c r="L2" s="344" t="s">
        <v>6</v>
      </c>
      <c r="N2" s="344" t="s">
        <v>5</v>
      </c>
      <c r="O2" s="344" t="s">
        <v>6</v>
      </c>
      <c r="Q2" s="344" t="s">
        <v>5</v>
      </c>
      <c r="R2" s="344" t="s">
        <v>6</v>
      </c>
      <c r="T2" s="344" t="s">
        <v>5</v>
      </c>
      <c r="U2" s="344" t="s">
        <v>6</v>
      </c>
      <c r="W2" s="344" t="s">
        <v>5</v>
      </c>
      <c r="X2" s="344" t="s">
        <v>6</v>
      </c>
      <c r="Z2" s="344" t="s">
        <v>5</v>
      </c>
      <c r="AA2" s="344" t="s">
        <v>6</v>
      </c>
      <c r="AC2" s="344" t="s">
        <v>5</v>
      </c>
      <c r="AD2" s="344" t="s">
        <v>6</v>
      </c>
      <c r="AF2" s="344" t="s">
        <v>5</v>
      </c>
      <c r="AG2" s="344" t="s">
        <v>6</v>
      </c>
      <c r="AI2" s="344" t="s">
        <v>5</v>
      </c>
      <c r="AJ2" s="344" t="s">
        <v>6</v>
      </c>
    </row>
    <row r="3" spans="1:36">
      <c r="A3" s="278">
        <v>1</v>
      </c>
      <c r="B3" s="344">
        <v>4</v>
      </c>
      <c r="C3" s="344">
        <v>5</v>
      </c>
      <c r="E3" s="344">
        <v>6</v>
      </c>
      <c r="F3" s="344">
        <v>5</v>
      </c>
      <c r="H3" s="344">
        <v>2</v>
      </c>
      <c r="I3" s="344">
        <v>0</v>
      </c>
      <c r="K3" s="344">
        <v>4</v>
      </c>
      <c r="L3" s="344">
        <v>5</v>
      </c>
      <c r="N3" s="344">
        <v>1</v>
      </c>
      <c r="O3" s="344">
        <v>2</v>
      </c>
      <c r="Q3" s="344">
        <v>8</v>
      </c>
      <c r="R3" s="344">
        <v>1</v>
      </c>
      <c r="T3" s="344">
        <v>5</v>
      </c>
      <c r="U3" s="344">
        <v>4</v>
      </c>
      <c r="W3" s="344">
        <v>1</v>
      </c>
      <c r="X3" s="344">
        <v>8</v>
      </c>
      <c r="Z3" s="344">
        <v>5</v>
      </c>
      <c r="AA3" s="344">
        <v>4</v>
      </c>
      <c r="AC3" s="344">
        <v>2</v>
      </c>
      <c r="AD3" s="344">
        <v>1</v>
      </c>
      <c r="AF3" s="344">
        <v>0</v>
      </c>
      <c r="AG3" s="344">
        <v>2</v>
      </c>
      <c r="AI3" s="344" t="s">
        <v>1241</v>
      </c>
      <c r="AJ3" s="344" t="s">
        <v>1071</v>
      </c>
    </row>
    <row r="4" spans="1:36">
      <c r="A4" s="278">
        <v>2</v>
      </c>
      <c r="B4" s="344">
        <v>1</v>
      </c>
      <c r="C4" s="344">
        <v>10</v>
      </c>
      <c r="E4" s="344">
        <v>4</v>
      </c>
      <c r="F4" s="344">
        <v>6</v>
      </c>
      <c r="H4" s="344">
        <v>9</v>
      </c>
      <c r="I4" s="344">
        <v>14</v>
      </c>
      <c r="K4" s="344">
        <v>1</v>
      </c>
      <c r="L4" s="344">
        <v>3</v>
      </c>
      <c r="N4" s="344">
        <v>3</v>
      </c>
      <c r="O4" s="344">
        <v>4</v>
      </c>
      <c r="Q4" s="344">
        <v>9</v>
      </c>
      <c r="R4" s="344">
        <v>3</v>
      </c>
      <c r="T4" s="344">
        <v>10</v>
      </c>
      <c r="U4" s="344">
        <v>1</v>
      </c>
      <c r="W4" s="344">
        <v>3</v>
      </c>
      <c r="X4" s="344">
        <v>9</v>
      </c>
      <c r="Z4" s="344">
        <v>3</v>
      </c>
      <c r="AA4" s="344">
        <v>1</v>
      </c>
      <c r="AC4" s="344">
        <v>4</v>
      </c>
      <c r="AD4" s="344">
        <v>3</v>
      </c>
      <c r="AF4" s="344">
        <v>14</v>
      </c>
      <c r="AG4" s="344">
        <v>9</v>
      </c>
      <c r="AI4" s="344">
        <v>6</v>
      </c>
      <c r="AJ4" s="344">
        <v>4</v>
      </c>
    </row>
    <row r="5" spans="1:36">
      <c r="A5" s="278">
        <v>3</v>
      </c>
      <c r="B5" s="344">
        <v>6</v>
      </c>
      <c r="C5" s="344">
        <v>3</v>
      </c>
      <c r="E5" s="344">
        <v>5</v>
      </c>
      <c r="F5" s="344">
        <v>2</v>
      </c>
      <c r="H5" s="344">
        <v>9</v>
      </c>
      <c r="I5" s="344">
        <v>5</v>
      </c>
      <c r="K5" s="344">
        <v>0</v>
      </c>
      <c r="L5" s="344">
        <v>4</v>
      </c>
      <c r="N5" s="344">
        <v>2</v>
      </c>
      <c r="O5" s="344">
        <v>0</v>
      </c>
      <c r="Q5" s="344">
        <v>4</v>
      </c>
      <c r="R5" s="344">
        <v>3</v>
      </c>
      <c r="T5" s="344">
        <v>3</v>
      </c>
      <c r="U5" s="344">
        <v>6</v>
      </c>
      <c r="W5" s="344">
        <v>3</v>
      </c>
      <c r="X5" s="344">
        <v>4</v>
      </c>
      <c r="Z5" s="344">
        <v>4</v>
      </c>
      <c r="AA5" s="344">
        <v>0</v>
      </c>
      <c r="AC5" s="344">
        <v>0</v>
      </c>
      <c r="AD5" s="344">
        <v>2</v>
      </c>
      <c r="AF5" s="344">
        <v>5</v>
      </c>
      <c r="AG5" s="344">
        <v>9</v>
      </c>
      <c r="AI5" s="344">
        <v>2</v>
      </c>
      <c r="AJ5" s="344">
        <v>5</v>
      </c>
    </row>
    <row r="6" spans="1:36">
      <c r="A6" s="278">
        <v>4</v>
      </c>
      <c r="B6" s="344">
        <v>3</v>
      </c>
      <c r="C6" s="344">
        <v>2</v>
      </c>
      <c r="E6" s="344">
        <v>6</v>
      </c>
      <c r="F6" s="344">
        <v>5</v>
      </c>
      <c r="H6" s="344">
        <v>5</v>
      </c>
      <c r="I6" s="344">
        <v>2</v>
      </c>
      <c r="K6" s="344">
        <v>5</v>
      </c>
      <c r="L6" s="344">
        <v>8</v>
      </c>
      <c r="N6" s="344">
        <v>2</v>
      </c>
      <c r="O6" s="344">
        <v>5</v>
      </c>
      <c r="Q6" s="344">
        <v>5</v>
      </c>
      <c r="R6" s="344">
        <v>4</v>
      </c>
      <c r="T6" s="344">
        <v>3</v>
      </c>
      <c r="U6" s="344">
        <v>1</v>
      </c>
      <c r="W6" s="344">
        <v>3</v>
      </c>
      <c r="X6" s="344">
        <v>6</v>
      </c>
      <c r="Z6" s="344">
        <v>1</v>
      </c>
      <c r="AA6" s="344">
        <v>3</v>
      </c>
      <c r="AC6" s="344">
        <v>2</v>
      </c>
      <c r="AD6" s="344">
        <v>3</v>
      </c>
      <c r="AF6" s="344">
        <v>6</v>
      </c>
      <c r="AG6" s="344">
        <v>3</v>
      </c>
      <c r="AI6" s="344">
        <v>5</v>
      </c>
      <c r="AJ6" s="344">
        <v>6</v>
      </c>
    </row>
    <row r="7" spans="1:36">
      <c r="A7" s="278">
        <v>5</v>
      </c>
      <c r="B7" s="344">
        <v>2</v>
      </c>
      <c r="C7" s="344">
        <v>10</v>
      </c>
      <c r="E7" s="344">
        <v>8</v>
      </c>
      <c r="F7" s="344">
        <v>5</v>
      </c>
      <c r="H7" s="344">
        <v>4</v>
      </c>
      <c r="I7" s="344">
        <v>0</v>
      </c>
      <c r="K7" s="344">
        <v>4</v>
      </c>
      <c r="L7" s="344">
        <v>5</v>
      </c>
      <c r="N7" s="344">
        <v>0</v>
      </c>
      <c r="O7" s="344">
        <v>4</v>
      </c>
      <c r="Q7" s="344">
        <v>8</v>
      </c>
      <c r="R7" s="344">
        <v>7</v>
      </c>
      <c r="T7" s="344">
        <v>7</v>
      </c>
      <c r="U7" s="344">
        <v>4</v>
      </c>
      <c r="W7" s="344">
        <v>12</v>
      </c>
      <c r="X7" s="344">
        <v>4</v>
      </c>
      <c r="Z7" s="344">
        <v>4</v>
      </c>
      <c r="AA7" s="344">
        <v>7</v>
      </c>
      <c r="AC7" s="344">
        <v>10</v>
      </c>
      <c r="AD7" s="344">
        <v>2</v>
      </c>
      <c r="AF7" s="344">
        <v>4</v>
      </c>
      <c r="AG7" s="344">
        <v>12</v>
      </c>
      <c r="AI7" s="344">
        <v>4</v>
      </c>
      <c r="AJ7" s="344">
        <v>5</v>
      </c>
    </row>
    <row r="8" spans="1:36">
      <c r="A8" s="278">
        <v>6</v>
      </c>
      <c r="B8" s="344">
        <v>1</v>
      </c>
      <c r="C8" s="344">
        <v>3</v>
      </c>
      <c r="E8" s="344">
        <v>5</v>
      </c>
      <c r="F8" s="344">
        <v>4</v>
      </c>
      <c r="H8" s="344">
        <v>5</v>
      </c>
      <c r="I8" s="344">
        <v>4</v>
      </c>
      <c r="K8" s="344">
        <v>4</v>
      </c>
      <c r="L8" s="344">
        <v>3</v>
      </c>
      <c r="N8" s="344">
        <v>4</v>
      </c>
      <c r="O8" s="344">
        <v>5</v>
      </c>
      <c r="Q8" s="344">
        <v>3</v>
      </c>
      <c r="R8" s="344">
        <v>10</v>
      </c>
      <c r="T8" s="344">
        <v>4</v>
      </c>
      <c r="U8" s="344">
        <v>3</v>
      </c>
      <c r="W8" s="344">
        <v>2</v>
      </c>
      <c r="X8" s="344">
        <v>10</v>
      </c>
      <c r="Z8" s="344">
        <v>11</v>
      </c>
      <c r="AA8" s="344">
        <v>4</v>
      </c>
      <c r="AC8" s="344">
        <v>3</v>
      </c>
      <c r="AD8" s="344">
        <v>1</v>
      </c>
      <c r="AF8" s="344">
        <v>10</v>
      </c>
      <c r="AG8" s="344">
        <v>2</v>
      </c>
      <c r="AI8" s="344">
        <v>7</v>
      </c>
      <c r="AJ8" s="344">
        <v>8</v>
      </c>
    </row>
    <row r="9" spans="1:36">
      <c r="A9" s="278">
        <v>7</v>
      </c>
      <c r="B9" s="344">
        <v>6</v>
      </c>
      <c r="C9" s="344">
        <v>9</v>
      </c>
      <c r="E9" s="344">
        <v>3</v>
      </c>
      <c r="F9" s="344">
        <v>4</v>
      </c>
      <c r="H9" s="344">
        <v>3</v>
      </c>
      <c r="I9" s="344">
        <v>4</v>
      </c>
      <c r="K9" s="344">
        <v>7</v>
      </c>
      <c r="L9" s="344">
        <v>20</v>
      </c>
      <c r="N9" s="344">
        <v>4</v>
      </c>
      <c r="O9" s="344">
        <v>11</v>
      </c>
      <c r="Q9" s="344">
        <v>3</v>
      </c>
      <c r="R9" s="344">
        <v>2</v>
      </c>
      <c r="T9" s="344">
        <v>0</v>
      </c>
      <c r="U9" s="344">
        <v>2</v>
      </c>
      <c r="W9" s="344">
        <v>7</v>
      </c>
      <c r="X9" s="344">
        <v>9</v>
      </c>
      <c r="Z9" s="344">
        <v>1</v>
      </c>
      <c r="AA9" s="344">
        <v>12</v>
      </c>
      <c r="AC9" s="344">
        <v>9</v>
      </c>
      <c r="AD9" s="344">
        <v>6</v>
      </c>
      <c r="AF9" s="344">
        <v>22</v>
      </c>
      <c r="AG9" s="344">
        <v>0</v>
      </c>
      <c r="AI9" s="344">
        <v>10</v>
      </c>
      <c r="AJ9" s="344">
        <v>3</v>
      </c>
    </row>
    <row r="10" spans="1:36">
      <c r="A10" s="278">
        <v>8</v>
      </c>
      <c r="B10" s="344">
        <v>0</v>
      </c>
      <c r="C10" s="344">
        <v>22</v>
      </c>
      <c r="E10" s="344">
        <v>20</v>
      </c>
      <c r="F10" s="344">
        <v>7</v>
      </c>
      <c r="H10" s="344">
        <v>2</v>
      </c>
      <c r="I10" s="344">
        <v>0</v>
      </c>
      <c r="K10" s="344">
        <v>6</v>
      </c>
      <c r="L10" s="344">
        <v>10</v>
      </c>
      <c r="N10" s="344">
        <v>12</v>
      </c>
      <c r="O10" s="344">
        <v>1</v>
      </c>
      <c r="Q10" s="344">
        <v>0</v>
      </c>
      <c r="R10" s="344">
        <v>1</v>
      </c>
      <c r="T10" s="344">
        <v>3</v>
      </c>
      <c r="U10" s="344">
        <v>2</v>
      </c>
      <c r="W10" s="344">
        <v>3</v>
      </c>
      <c r="X10" s="344">
        <v>2</v>
      </c>
      <c r="Z10" s="344">
        <v>1</v>
      </c>
      <c r="AA10" s="344">
        <v>5</v>
      </c>
      <c r="AC10" s="344">
        <v>2</v>
      </c>
      <c r="AD10" s="344">
        <v>3</v>
      </c>
      <c r="AF10" s="344">
        <v>8</v>
      </c>
      <c r="AG10" s="344">
        <v>9</v>
      </c>
      <c r="AI10" s="344">
        <v>9</v>
      </c>
      <c r="AJ10" s="344">
        <v>7</v>
      </c>
    </row>
    <row r="11" spans="1:36">
      <c r="A11" s="278">
        <v>9</v>
      </c>
      <c r="B11" s="344">
        <v>9</v>
      </c>
      <c r="C11" s="344">
        <v>8</v>
      </c>
      <c r="E11" s="344">
        <v>10</v>
      </c>
      <c r="F11" s="344">
        <v>6</v>
      </c>
      <c r="H11" s="344">
        <v>2</v>
      </c>
      <c r="I11" s="344">
        <v>3</v>
      </c>
      <c r="K11" s="344">
        <v>7</v>
      </c>
      <c r="L11" s="344">
        <v>5</v>
      </c>
      <c r="N11" s="344">
        <v>5</v>
      </c>
      <c r="O11" s="344">
        <v>1</v>
      </c>
      <c r="Q11" s="344">
        <v>7</v>
      </c>
      <c r="R11" s="344">
        <v>3</v>
      </c>
      <c r="T11" s="344">
        <v>3</v>
      </c>
      <c r="U11" s="344">
        <v>2</v>
      </c>
      <c r="W11" s="344">
        <v>0</v>
      </c>
      <c r="X11" s="344">
        <v>5</v>
      </c>
      <c r="Z11" s="344">
        <v>1</v>
      </c>
      <c r="AA11" s="344">
        <v>3</v>
      </c>
      <c r="AC11" s="344">
        <v>1</v>
      </c>
      <c r="AD11" s="344">
        <v>0</v>
      </c>
      <c r="AF11" s="344">
        <v>11</v>
      </c>
      <c r="AG11" s="344">
        <v>4</v>
      </c>
      <c r="AI11" s="344">
        <v>2</v>
      </c>
      <c r="AJ11" s="344">
        <v>3</v>
      </c>
    </row>
    <row r="12" spans="1:36">
      <c r="A12" s="278">
        <v>10</v>
      </c>
      <c r="B12" s="344">
        <v>4</v>
      </c>
      <c r="C12" s="344">
        <v>11</v>
      </c>
      <c r="E12" s="344">
        <v>5</v>
      </c>
      <c r="F12" s="344">
        <v>7</v>
      </c>
      <c r="H12" s="344">
        <v>0</v>
      </c>
      <c r="I12" s="344">
        <v>4</v>
      </c>
      <c r="K12" s="344">
        <v>1</v>
      </c>
      <c r="L12" s="344">
        <v>3</v>
      </c>
      <c r="N12" s="344">
        <v>1</v>
      </c>
      <c r="O12" s="344">
        <v>3</v>
      </c>
      <c r="Q12" s="344">
        <v>16</v>
      </c>
      <c r="R12" s="344">
        <v>12</v>
      </c>
      <c r="T12" s="344">
        <v>1</v>
      </c>
      <c r="U12" s="344">
        <v>0</v>
      </c>
      <c r="W12" s="344">
        <v>12</v>
      </c>
      <c r="X12" s="344">
        <v>16</v>
      </c>
      <c r="Z12" s="344">
        <v>6</v>
      </c>
      <c r="AA12" s="344">
        <v>11</v>
      </c>
      <c r="AC12" s="344">
        <v>3</v>
      </c>
      <c r="AD12" s="344">
        <v>7</v>
      </c>
      <c r="AF12" s="344">
        <v>2</v>
      </c>
      <c r="AG12" s="344">
        <v>3</v>
      </c>
      <c r="AI12" s="344">
        <v>5</v>
      </c>
      <c r="AJ12" s="344">
        <v>0</v>
      </c>
    </row>
    <row r="13" spans="1:36">
      <c r="A13" s="278">
        <v>11</v>
      </c>
      <c r="B13" s="344">
        <v>4</v>
      </c>
      <c r="C13" s="344">
        <v>0</v>
      </c>
      <c r="E13" s="344">
        <v>3</v>
      </c>
      <c r="F13" s="344">
        <v>1</v>
      </c>
      <c r="H13" s="344">
        <v>4</v>
      </c>
      <c r="I13" s="344">
        <v>1</v>
      </c>
      <c r="K13" s="344">
        <v>7</v>
      </c>
      <c r="L13" s="344">
        <v>11</v>
      </c>
      <c r="N13" s="344">
        <v>2</v>
      </c>
      <c r="O13" s="344">
        <v>3</v>
      </c>
      <c r="Q13" s="344">
        <v>3</v>
      </c>
      <c r="R13" s="344">
        <v>7</v>
      </c>
      <c r="T13" s="344">
        <v>0</v>
      </c>
      <c r="U13" s="344">
        <v>2</v>
      </c>
      <c r="W13" s="344">
        <v>7</v>
      </c>
      <c r="X13" s="344">
        <v>3</v>
      </c>
      <c r="Z13" s="344">
        <v>7</v>
      </c>
      <c r="AA13" s="344">
        <v>4</v>
      </c>
      <c r="AC13" s="344">
        <v>3</v>
      </c>
      <c r="AD13" s="344">
        <v>1</v>
      </c>
      <c r="AF13" s="344">
        <v>0</v>
      </c>
      <c r="AG13" s="344">
        <v>1</v>
      </c>
      <c r="AI13" s="344">
        <v>3</v>
      </c>
      <c r="AJ13" s="344">
        <v>1</v>
      </c>
    </row>
    <row r="14" spans="1:36">
      <c r="A14" s="278">
        <v>12</v>
      </c>
      <c r="B14" s="344">
        <v>1</v>
      </c>
      <c r="C14" s="344">
        <v>4</v>
      </c>
      <c r="E14" s="344">
        <v>3</v>
      </c>
      <c r="F14" s="344">
        <v>2</v>
      </c>
      <c r="H14" s="344">
        <v>0</v>
      </c>
      <c r="I14" s="344">
        <v>4</v>
      </c>
      <c r="K14" s="344">
        <v>5</v>
      </c>
      <c r="L14" s="344">
        <v>6</v>
      </c>
      <c r="N14" s="344">
        <v>0</v>
      </c>
      <c r="O14" s="344">
        <v>1</v>
      </c>
      <c r="Q14" s="344">
        <v>3</v>
      </c>
      <c r="R14" s="344">
        <v>1</v>
      </c>
      <c r="T14" s="344">
        <v>3</v>
      </c>
      <c r="U14" s="344">
        <v>9</v>
      </c>
      <c r="W14" s="344">
        <v>1</v>
      </c>
      <c r="X14" s="344">
        <v>3</v>
      </c>
      <c r="Z14" s="344">
        <v>9</v>
      </c>
      <c r="AA14" s="344">
        <v>4</v>
      </c>
      <c r="AC14" s="344">
        <v>11</v>
      </c>
      <c r="AD14" s="344">
        <v>7</v>
      </c>
      <c r="AF14" s="344">
        <v>2</v>
      </c>
      <c r="AG14" s="344">
        <v>0</v>
      </c>
      <c r="AI14" s="344">
        <v>11</v>
      </c>
      <c r="AJ14" s="344">
        <v>6</v>
      </c>
    </row>
    <row r="15" spans="1:36">
      <c r="A15" s="278">
        <v>13</v>
      </c>
      <c r="B15" s="344">
        <v>4</v>
      </c>
      <c r="C15" s="344">
        <v>0</v>
      </c>
      <c r="E15" s="344">
        <v>1</v>
      </c>
      <c r="F15" s="344">
        <v>0</v>
      </c>
      <c r="H15" s="344">
        <v>0</v>
      </c>
      <c r="I15" s="344">
        <v>2</v>
      </c>
      <c r="K15" s="344">
        <v>5</v>
      </c>
      <c r="L15" s="344">
        <v>2</v>
      </c>
      <c r="N15" s="344">
        <v>3</v>
      </c>
      <c r="O15" s="344">
        <v>4</v>
      </c>
      <c r="Q15" s="344">
        <v>9</v>
      </c>
      <c r="R15" s="344">
        <v>3</v>
      </c>
      <c r="T15" s="344">
        <v>2</v>
      </c>
      <c r="U15" s="344">
        <v>3</v>
      </c>
      <c r="W15" s="344">
        <v>1</v>
      </c>
      <c r="X15" s="344">
        <v>6</v>
      </c>
      <c r="Z15" s="344">
        <v>2</v>
      </c>
      <c r="AA15" s="344">
        <v>3</v>
      </c>
      <c r="AC15" s="344">
        <v>6</v>
      </c>
      <c r="AD15" s="344">
        <v>5</v>
      </c>
      <c r="AF15" s="344">
        <v>4</v>
      </c>
      <c r="AG15" s="344">
        <v>9</v>
      </c>
      <c r="AI15" s="344">
        <v>4</v>
      </c>
      <c r="AJ15" s="344">
        <v>7</v>
      </c>
    </row>
    <row r="16" spans="1:36">
      <c r="A16" s="278">
        <v>14</v>
      </c>
      <c r="B16" s="344">
        <v>6</v>
      </c>
      <c r="C16" s="344">
        <v>1</v>
      </c>
      <c r="E16" s="344">
        <v>4</v>
      </c>
      <c r="F16" s="344">
        <v>3</v>
      </c>
      <c r="H16" s="344">
        <v>4</v>
      </c>
      <c r="I16" s="344">
        <v>1</v>
      </c>
      <c r="K16" s="344">
        <v>2</v>
      </c>
      <c r="L16" s="344">
        <v>3</v>
      </c>
      <c r="N16" s="344">
        <v>9</v>
      </c>
      <c r="O16" s="344">
        <v>1</v>
      </c>
      <c r="Q16" s="344">
        <v>3</v>
      </c>
      <c r="R16" s="344">
        <v>2</v>
      </c>
      <c r="T16" s="344">
        <v>8</v>
      </c>
      <c r="U16" s="344">
        <v>3</v>
      </c>
      <c r="W16" s="344">
        <v>1</v>
      </c>
      <c r="X16" s="344">
        <v>8</v>
      </c>
      <c r="Z16" s="344">
        <v>4</v>
      </c>
      <c r="AA16" s="344">
        <v>3</v>
      </c>
      <c r="AC16" s="344">
        <v>2</v>
      </c>
      <c r="AD16" s="344">
        <v>0</v>
      </c>
      <c r="AF16" s="344">
        <v>3</v>
      </c>
      <c r="AG16" s="344">
        <v>2</v>
      </c>
      <c r="AI16" s="344">
        <v>2</v>
      </c>
      <c r="AJ16" s="344">
        <v>5</v>
      </c>
    </row>
    <row r="17" spans="1:36">
      <c r="A17" s="278">
        <v>15</v>
      </c>
      <c r="B17" s="344">
        <v>8</v>
      </c>
      <c r="C17" s="344">
        <v>1</v>
      </c>
      <c r="E17" s="344">
        <v>1</v>
      </c>
      <c r="F17" s="344">
        <v>9</v>
      </c>
      <c r="H17" s="344">
        <v>6</v>
      </c>
      <c r="I17" s="344">
        <v>3</v>
      </c>
      <c r="K17" s="344">
        <v>7</v>
      </c>
      <c r="L17" s="344">
        <v>3</v>
      </c>
      <c r="N17" s="344">
        <v>14</v>
      </c>
      <c r="O17" s="344">
        <v>8</v>
      </c>
      <c r="Q17" s="344">
        <v>3</v>
      </c>
      <c r="R17" s="344">
        <v>8</v>
      </c>
      <c r="T17" s="344">
        <v>9</v>
      </c>
      <c r="U17" s="344">
        <v>7</v>
      </c>
      <c r="W17" s="344">
        <v>4</v>
      </c>
      <c r="X17" s="344">
        <v>2</v>
      </c>
      <c r="Z17" s="344">
        <v>7</v>
      </c>
      <c r="AA17" s="344">
        <v>3</v>
      </c>
      <c r="AC17" s="344">
        <v>1</v>
      </c>
      <c r="AD17" s="344">
        <v>4</v>
      </c>
      <c r="AF17" s="344">
        <v>3</v>
      </c>
      <c r="AG17" s="344">
        <v>4</v>
      </c>
      <c r="AI17" s="344">
        <v>3</v>
      </c>
      <c r="AJ17" s="344">
        <v>2</v>
      </c>
    </row>
    <row r="18" spans="1:36">
      <c r="A18" s="278">
        <v>16</v>
      </c>
      <c r="B18" s="344">
        <v>2</v>
      </c>
      <c r="C18" s="344">
        <v>4</v>
      </c>
      <c r="E18" s="344">
        <v>8</v>
      </c>
      <c r="F18" s="344">
        <v>14</v>
      </c>
      <c r="H18" s="344">
        <v>3</v>
      </c>
      <c r="I18" s="344">
        <v>1</v>
      </c>
      <c r="K18" s="344">
        <v>1</v>
      </c>
      <c r="L18" s="344">
        <v>3</v>
      </c>
      <c r="N18" s="344">
        <v>2</v>
      </c>
      <c r="O18" s="344">
        <v>3</v>
      </c>
      <c r="Q18" s="344">
        <v>3</v>
      </c>
      <c r="R18" s="344">
        <v>0</v>
      </c>
      <c r="T18" s="344">
        <v>0</v>
      </c>
      <c r="U18" s="344">
        <v>1</v>
      </c>
      <c r="W18" s="344">
        <v>7</v>
      </c>
      <c r="X18" s="344">
        <v>9</v>
      </c>
      <c r="Z18" s="344">
        <v>3</v>
      </c>
      <c r="AA18" s="344">
        <v>12</v>
      </c>
      <c r="AC18" s="344">
        <v>3</v>
      </c>
      <c r="AD18" s="344">
        <v>6</v>
      </c>
      <c r="AF18" s="344">
        <v>3</v>
      </c>
      <c r="AG18" s="344">
        <v>7</v>
      </c>
      <c r="AI18" s="344">
        <v>3</v>
      </c>
      <c r="AJ18" s="344">
        <v>7</v>
      </c>
    </row>
    <row r="19" spans="1:36">
      <c r="A19" s="278">
        <v>17</v>
      </c>
      <c r="B19" s="344">
        <v>12</v>
      </c>
      <c r="C19" s="344">
        <v>3</v>
      </c>
      <c r="E19" s="344">
        <v>4</v>
      </c>
      <c r="F19" s="344">
        <v>5</v>
      </c>
      <c r="H19" s="344">
        <v>2</v>
      </c>
      <c r="I19" s="344">
        <v>0</v>
      </c>
      <c r="K19" s="344">
        <v>0</v>
      </c>
      <c r="L19" s="344">
        <v>2</v>
      </c>
      <c r="N19" s="344">
        <v>8</v>
      </c>
      <c r="O19" s="344">
        <v>5</v>
      </c>
      <c r="Q19" s="344">
        <v>8</v>
      </c>
      <c r="R19" s="344">
        <v>11</v>
      </c>
      <c r="T19" s="344">
        <v>1</v>
      </c>
      <c r="U19" s="344">
        <v>6</v>
      </c>
      <c r="W19" s="344">
        <v>1</v>
      </c>
      <c r="X19" s="344">
        <v>0</v>
      </c>
      <c r="Z19" s="344">
        <v>3</v>
      </c>
      <c r="AA19" s="344">
        <v>8</v>
      </c>
      <c r="AC19" s="344">
        <v>0</v>
      </c>
      <c r="AD19" s="344">
        <v>3</v>
      </c>
      <c r="AF19" s="344">
        <v>5</v>
      </c>
      <c r="AG19" s="344">
        <v>4</v>
      </c>
      <c r="AI19" s="344">
        <v>3</v>
      </c>
      <c r="AJ19" s="344">
        <v>2</v>
      </c>
    </row>
    <row r="20" spans="1:36">
      <c r="A20" s="278">
        <v>18</v>
      </c>
      <c r="B20" s="344">
        <v>8</v>
      </c>
      <c r="C20" s="344">
        <v>3</v>
      </c>
      <c r="E20" s="344">
        <v>4</v>
      </c>
      <c r="F20" s="344">
        <v>6</v>
      </c>
      <c r="H20" s="344">
        <v>4</v>
      </c>
      <c r="I20" s="344">
        <v>9</v>
      </c>
      <c r="K20" s="344">
        <v>9</v>
      </c>
      <c r="L20" s="344">
        <v>4</v>
      </c>
      <c r="N20" s="344">
        <v>2</v>
      </c>
      <c r="O20" s="344">
        <v>1</v>
      </c>
      <c r="Q20" s="344">
        <v>3</v>
      </c>
      <c r="R20" s="344">
        <v>4</v>
      </c>
      <c r="T20" s="344">
        <v>5</v>
      </c>
      <c r="U20" s="344">
        <v>1</v>
      </c>
      <c r="W20" s="344">
        <v>6</v>
      </c>
      <c r="X20" s="344">
        <v>1</v>
      </c>
      <c r="Z20" s="344">
        <v>8</v>
      </c>
      <c r="AA20" s="344">
        <v>11</v>
      </c>
      <c r="AC20" s="344">
        <v>11</v>
      </c>
      <c r="AD20" s="344">
        <v>8</v>
      </c>
      <c r="AF20" s="344">
        <v>6</v>
      </c>
      <c r="AG20" s="344">
        <v>4</v>
      </c>
      <c r="AI20" s="344">
        <v>5</v>
      </c>
      <c r="AJ20" s="344">
        <v>8</v>
      </c>
    </row>
    <row r="21" spans="1:36">
      <c r="A21" s="278">
        <v>19</v>
      </c>
      <c r="B21" s="344">
        <v>11</v>
      </c>
      <c r="C21" s="344">
        <v>8</v>
      </c>
      <c r="E21" s="344">
        <v>13</v>
      </c>
      <c r="F21" s="344">
        <v>5</v>
      </c>
      <c r="H21" s="344">
        <v>7</v>
      </c>
      <c r="I21" s="344">
        <v>8</v>
      </c>
      <c r="K21" s="344">
        <v>0</v>
      </c>
      <c r="L21" s="344">
        <v>2</v>
      </c>
      <c r="N21" s="344">
        <v>3</v>
      </c>
      <c r="O21" s="344">
        <v>1</v>
      </c>
      <c r="Q21" s="344">
        <v>6</v>
      </c>
      <c r="R21" s="344">
        <v>2</v>
      </c>
      <c r="T21" s="344">
        <v>2</v>
      </c>
      <c r="U21" s="344">
        <v>7</v>
      </c>
      <c r="W21" s="344">
        <v>1</v>
      </c>
      <c r="X21" s="344">
        <v>3</v>
      </c>
      <c r="Z21" s="344">
        <v>8</v>
      </c>
      <c r="AA21" s="344">
        <v>7</v>
      </c>
      <c r="AC21" s="344">
        <v>4</v>
      </c>
      <c r="AD21" s="344">
        <v>3</v>
      </c>
      <c r="AF21" s="344">
        <v>5</v>
      </c>
      <c r="AG21" s="344">
        <v>13</v>
      </c>
      <c r="AI21" s="344">
        <v>1</v>
      </c>
      <c r="AJ21" s="344">
        <v>2</v>
      </c>
    </row>
    <row r="22" spans="1:36">
      <c r="A22" s="278">
        <v>20</v>
      </c>
      <c r="B22" s="344">
        <v>2</v>
      </c>
      <c r="C22" s="344">
        <v>0</v>
      </c>
      <c r="E22" s="344">
        <v>9</v>
      </c>
      <c r="F22" s="344">
        <v>10</v>
      </c>
      <c r="H22" s="344">
        <v>6</v>
      </c>
      <c r="I22" s="344">
        <v>4</v>
      </c>
      <c r="K22" s="344">
        <v>3</v>
      </c>
      <c r="L22" s="344">
        <v>2</v>
      </c>
      <c r="N22" s="344">
        <v>3</v>
      </c>
      <c r="O22" s="344">
        <v>5</v>
      </c>
      <c r="Q22" s="344">
        <v>5</v>
      </c>
      <c r="R22" s="344">
        <v>3</v>
      </c>
      <c r="T22" s="344">
        <v>3</v>
      </c>
      <c r="U22" s="344">
        <v>4</v>
      </c>
      <c r="W22" s="344">
        <v>5</v>
      </c>
      <c r="X22" s="344">
        <v>3</v>
      </c>
      <c r="Z22" s="344">
        <v>4</v>
      </c>
      <c r="AA22" s="344">
        <v>6</v>
      </c>
      <c r="AC22" s="344">
        <v>10</v>
      </c>
      <c r="AD22" s="344">
        <v>9</v>
      </c>
      <c r="AF22" s="344">
        <v>2</v>
      </c>
      <c r="AG22" s="344">
        <v>6</v>
      </c>
      <c r="AI22" s="344">
        <v>1</v>
      </c>
      <c r="AJ22" s="344">
        <v>5</v>
      </c>
    </row>
    <row r="23" spans="1:36">
      <c r="A23" s="278">
        <v>21</v>
      </c>
      <c r="B23" s="344">
        <v>2</v>
      </c>
      <c r="C23" s="344">
        <v>3</v>
      </c>
      <c r="E23" s="344">
        <v>7</v>
      </c>
      <c r="F23" s="344">
        <v>3</v>
      </c>
      <c r="H23" s="344">
        <v>3</v>
      </c>
      <c r="I23" s="344">
        <v>1</v>
      </c>
      <c r="K23" s="344">
        <v>3</v>
      </c>
      <c r="L23" s="344">
        <v>12</v>
      </c>
      <c r="N23" s="344">
        <v>9</v>
      </c>
      <c r="O23" s="344">
        <v>0</v>
      </c>
      <c r="Q23" s="344">
        <v>8</v>
      </c>
      <c r="R23" s="344">
        <v>6</v>
      </c>
      <c r="T23" s="344">
        <v>4</v>
      </c>
      <c r="U23" s="344">
        <v>3</v>
      </c>
      <c r="W23" s="344">
        <v>0</v>
      </c>
      <c r="X23" s="344">
        <v>9</v>
      </c>
      <c r="Z23" s="344">
        <v>1</v>
      </c>
      <c r="AA23" s="344">
        <v>3</v>
      </c>
      <c r="AC23" s="344">
        <v>3</v>
      </c>
      <c r="AD23" s="344">
        <v>7</v>
      </c>
      <c r="AF23" s="344">
        <v>3</v>
      </c>
      <c r="AG23" s="344">
        <v>5</v>
      </c>
      <c r="AI23" s="344">
        <v>7</v>
      </c>
      <c r="AJ23" s="344">
        <v>2</v>
      </c>
    </row>
    <row r="24" spans="1:36">
      <c r="A24" s="278">
        <v>22</v>
      </c>
      <c r="B24" s="344">
        <v>12</v>
      </c>
      <c r="C24" s="344">
        <v>3</v>
      </c>
      <c r="E24" s="344">
        <v>7</v>
      </c>
      <c r="F24" s="344">
        <v>8</v>
      </c>
      <c r="H24" s="344">
        <v>14</v>
      </c>
      <c r="I24" s="344">
        <v>8</v>
      </c>
      <c r="K24" s="344">
        <v>3</v>
      </c>
      <c r="L24" s="344">
        <v>4</v>
      </c>
      <c r="N24" s="344">
        <v>5</v>
      </c>
      <c r="O24" s="344">
        <v>0</v>
      </c>
      <c r="Q24" s="344">
        <v>8</v>
      </c>
      <c r="R24" s="344">
        <v>14</v>
      </c>
      <c r="T24" s="344">
        <v>3</v>
      </c>
      <c r="U24" s="344">
        <v>6</v>
      </c>
      <c r="W24" s="344">
        <v>4</v>
      </c>
      <c r="X24" s="344">
        <v>8</v>
      </c>
      <c r="Z24" s="344">
        <v>8</v>
      </c>
      <c r="AA24" s="344">
        <v>4</v>
      </c>
      <c r="AC24" s="344">
        <v>8</v>
      </c>
      <c r="AD24" s="344">
        <v>7</v>
      </c>
      <c r="AF24" s="344">
        <v>6</v>
      </c>
      <c r="AG24" s="344">
        <v>8</v>
      </c>
      <c r="AI24" s="344">
        <v>4</v>
      </c>
      <c r="AJ24" s="344">
        <v>3</v>
      </c>
    </row>
    <row r="25" spans="1:36">
      <c r="A25" s="278">
        <v>23</v>
      </c>
      <c r="B25" s="344">
        <v>7</v>
      </c>
      <c r="C25" s="344">
        <v>0</v>
      </c>
      <c r="E25" s="344">
        <v>0</v>
      </c>
      <c r="F25" s="344">
        <v>7</v>
      </c>
      <c r="H25" s="344">
        <v>4</v>
      </c>
      <c r="I25" s="344">
        <v>7</v>
      </c>
      <c r="K25" s="344">
        <v>6</v>
      </c>
      <c r="L25" s="344">
        <v>3</v>
      </c>
      <c r="N25" s="344">
        <v>2</v>
      </c>
      <c r="O25" s="344">
        <v>7</v>
      </c>
      <c r="Q25" s="344">
        <v>7</v>
      </c>
      <c r="R25" s="344">
        <v>4</v>
      </c>
      <c r="T25" s="344">
        <v>4</v>
      </c>
      <c r="U25" s="344">
        <v>3</v>
      </c>
      <c r="W25" s="344">
        <v>3</v>
      </c>
      <c r="X25" s="344">
        <v>1</v>
      </c>
      <c r="Z25" s="344">
        <v>1</v>
      </c>
      <c r="AA25" s="344">
        <v>3</v>
      </c>
      <c r="AC25" s="344">
        <v>3</v>
      </c>
      <c r="AD25" s="344">
        <v>6</v>
      </c>
      <c r="AF25" s="344">
        <v>6</v>
      </c>
      <c r="AG25" s="344">
        <v>3</v>
      </c>
      <c r="AI25" s="344">
        <v>0</v>
      </c>
      <c r="AJ25" s="344">
        <v>5</v>
      </c>
    </row>
    <row r="26" spans="1:36">
      <c r="A26" s="278">
        <v>24</v>
      </c>
      <c r="B26" s="344">
        <v>0</v>
      </c>
      <c r="C26" s="344">
        <v>4</v>
      </c>
      <c r="E26" s="344">
        <v>4</v>
      </c>
      <c r="F26" s="344">
        <v>0</v>
      </c>
      <c r="H26" s="344">
        <v>2</v>
      </c>
      <c r="I26" s="344">
        <v>3</v>
      </c>
      <c r="K26" s="344">
        <v>3</v>
      </c>
      <c r="L26" s="344">
        <v>4</v>
      </c>
      <c r="N26" s="344">
        <v>2</v>
      </c>
      <c r="O26" s="344">
        <v>1</v>
      </c>
      <c r="Q26" s="344">
        <v>3</v>
      </c>
      <c r="R26" s="344">
        <v>2</v>
      </c>
      <c r="T26" s="344">
        <v>7</v>
      </c>
      <c r="U26" s="344">
        <v>2</v>
      </c>
      <c r="W26" s="344">
        <v>9</v>
      </c>
      <c r="X26" s="344">
        <v>0</v>
      </c>
      <c r="Z26" s="344">
        <v>0</v>
      </c>
      <c r="AA26" s="344">
        <v>9</v>
      </c>
      <c r="AC26" s="344">
        <v>4</v>
      </c>
      <c r="AD26" s="344">
        <v>2</v>
      </c>
      <c r="AF26" s="344">
        <v>2</v>
      </c>
      <c r="AG26" s="344">
        <v>4</v>
      </c>
      <c r="AI26" s="344">
        <v>7</v>
      </c>
      <c r="AJ26" s="344">
        <v>2</v>
      </c>
    </row>
    <row r="27" spans="1:36">
      <c r="A27" s="278">
        <v>25</v>
      </c>
      <c r="B27" s="344">
        <v>6</v>
      </c>
      <c r="C27" s="344">
        <v>8</v>
      </c>
      <c r="E27" s="344">
        <v>8</v>
      </c>
      <c r="F27" s="344">
        <v>6</v>
      </c>
      <c r="H27" s="344">
        <v>4</v>
      </c>
      <c r="I27" s="344">
        <v>7</v>
      </c>
      <c r="K27" s="344">
        <v>4</v>
      </c>
      <c r="L27" s="344">
        <v>15</v>
      </c>
      <c r="N27" s="344">
        <v>3</v>
      </c>
      <c r="O27" s="344">
        <v>4</v>
      </c>
      <c r="Q27" s="344">
        <v>6</v>
      </c>
      <c r="R27" s="344">
        <v>2</v>
      </c>
      <c r="T27" s="344">
        <v>3</v>
      </c>
      <c r="U27" s="344">
        <v>6</v>
      </c>
      <c r="W27" s="344">
        <v>7</v>
      </c>
      <c r="X27" s="344">
        <v>4</v>
      </c>
      <c r="Z27" s="344">
        <v>15</v>
      </c>
      <c r="AA27" s="344">
        <v>4</v>
      </c>
      <c r="AC27" s="344">
        <v>4</v>
      </c>
      <c r="AD27" s="344">
        <v>15</v>
      </c>
      <c r="AF27" s="344">
        <v>15</v>
      </c>
      <c r="AG27" s="344">
        <v>4</v>
      </c>
      <c r="AI27" s="344">
        <v>1</v>
      </c>
      <c r="AJ27" s="344">
        <v>2</v>
      </c>
    </row>
    <row r="28" spans="1:36">
      <c r="A28" s="278">
        <v>26</v>
      </c>
      <c r="B28" s="344">
        <v>2</v>
      </c>
      <c r="C28" s="344">
        <v>7</v>
      </c>
      <c r="E28" s="344">
        <v>7</v>
      </c>
      <c r="F28" s="344">
        <v>2</v>
      </c>
      <c r="H28" s="344">
        <v>1</v>
      </c>
      <c r="I28" s="344">
        <v>10</v>
      </c>
      <c r="K28" s="344">
        <v>7</v>
      </c>
      <c r="L28" s="344">
        <v>2</v>
      </c>
      <c r="N28" s="344">
        <v>2</v>
      </c>
      <c r="O28" s="344">
        <v>5</v>
      </c>
      <c r="Q28" s="344">
        <v>9</v>
      </c>
      <c r="R28" s="344">
        <v>0</v>
      </c>
      <c r="T28" s="344">
        <v>1</v>
      </c>
      <c r="U28" s="344">
        <v>7</v>
      </c>
      <c r="W28" s="344">
        <v>10</v>
      </c>
      <c r="X28" s="344">
        <v>1</v>
      </c>
      <c r="Z28" s="344">
        <v>2</v>
      </c>
      <c r="AA28" s="344">
        <v>7</v>
      </c>
      <c r="AC28" s="344">
        <v>2</v>
      </c>
      <c r="AD28" s="344">
        <v>7</v>
      </c>
      <c r="AF28" s="344">
        <v>4</v>
      </c>
      <c r="AG28" s="344">
        <v>3</v>
      </c>
      <c r="AI28" s="344">
        <v>2</v>
      </c>
      <c r="AJ28" s="344">
        <v>6</v>
      </c>
    </row>
    <row r="29" spans="1:36">
      <c r="A29" s="278">
        <v>27</v>
      </c>
      <c r="B29" s="344">
        <v>2</v>
      </c>
      <c r="C29" s="344">
        <v>5</v>
      </c>
      <c r="E29" s="344">
        <v>5</v>
      </c>
      <c r="F29" s="344">
        <v>2</v>
      </c>
      <c r="H29" s="344">
        <v>8</v>
      </c>
      <c r="I29" s="344">
        <v>3</v>
      </c>
      <c r="K29" s="344">
        <v>2</v>
      </c>
      <c r="L29" s="344">
        <v>6</v>
      </c>
      <c r="N29" s="344">
        <v>9</v>
      </c>
      <c r="O29" s="344">
        <v>8</v>
      </c>
      <c r="Q29" s="344">
        <v>5</v>
      </c>
      <c r="R29" s="344">
        <v>3</v>
      </c>
      <c r="T29" s="344">
        <v>3</v>
      </c>
      <c r="U29" s="344">
        <v>5</v>
      </c>
      <c r="W29" s="344">
        <v>3</v>
      </c>
      <c r="X29" s="344">
        <v>8</v>
      </c>
      <c r="Z29" s="344">
        <v>6</v>
      </c>
      <c r="AA29" s="344">
        <v>2</v>
      </c>
      <c r="AC29" s="344">
        <v>6</v>
      </c>
      <c r="AD29" s="344">
        <v>3</v>
      </c>
      <c r="AF29" s="344">
        <v>5</v>
      </c>
      <c r="AG29" s="344">
        <v>2</v>
      </c>
      <c r="AI29" s="344">
        <v>0</v>
      </c>
      <c r="AJ29" s="344">
        <v>9</v>
      </c>
    </row>
    <row r="30" spans="1:36">
      <c r="A30" s="278">
        <v>28</v>
      </c>
      <c r="B30" s="344">
        <v>17</v>
      </c>
      <c r="C30" s="344">
        <v>7</v>
      </c>
      <c r="E30" s="344">
        <v>7</v>
      </c>
      <c r="F30" s="344">
        <v>17</v>
      </c>
      <c r="H30" s="344">
        <v>2</v>
      </c>
      <c r="I30" s="344">
        <v>4</v>
      </c>
      <c r="K30" s="344">
        <v>5</v>
      </c>
      <c r="L30" s="344">
        <v>6</v>
      </c>
      <c r="N30" s="344">
        <v>10</v>
      </c>
      <c r="O30" s="344">
        <v>8</v>
      </c>
      <c r="Q30" s="344">
        <v>3</v>
      </c>
      <c r="R30" s="344">
        <v>8</v>
      </c>
      <c r="T30" s="344">
        <v>1</v>
      </c>
      <c r="U30" s="344">
        <v>0</v>
      </c>
      <c r="W30" s="344">
        <v>4</v>
      </c>
      <c r="X30" s="344">
        <v>2</v>
      </c>
      <c r="Z30" s="344">
        <v>17</v>
      </c>
      <c r="AA30" s="344">
        <v>8</v>
      </c>
      <c r="AC30" s="344">
        <v>7</v>
      </c>
      <c r="AD30" s="344">
        <v>1</v>
      </c>
      <c r="AF30" s="344">
        <v>8</v>
      </c>
      <c r="AG30" s="344">
        <v>9</v>
      </c>
      <c r="AI30" s="344">
        <v>3</v>
      </c>
      <c r="AJ30" s="344">
        <v>5</v>
      </c>
    </row>
    <row r="31" spans="1:36">
      <c r="A31" s="278">
        <v>29</v>
      </c>
      <c r="B31" s="344">
        <v>3</v>
      </c>
      <c r="C31" s="344">
        <v>8</v>
      </c>
      <c r="E31" s="344">
        <v>8</v>
      </c>
      <c r="F31" s="344">
        <v>10</v>
      </c>
      <c r="H31" s="344">
        <v>8</v>
      </c>
      <c r="I31" s="344">
        <v>3</v>
      </c>
      <c r="K31" s="344">
        <v>2</v>
      </c>
      <c r="L31" s="344">
        <v>10</v>
      </c>
      <c r="N31" s="344">
        <v>9</v>
      </c>
      <c r="O31" s="344">
        <v>15</v>
      </c>
      <c r="Q31" s="344">
        <v>5</v>
      </c>
      <c r="R31" s="344">
        <v>4</v>
      </c>
      <c r="T31" s="344">
        <v>5</v>
      </c>
      <c r="U31" s="344">
        <v>3</v>
      </c>
      <c r="W31" s="344">
        <v>8</v>
      </c>
      <c r="X31" s="344">
        <v>17</v>
      </c>
      <c r="Z31" s="344">
        <v>4</v>
      </c>
      <c r="AA31" s="344">
        <v>9</v>
      </c>
      <c r="AC31" s="344">
        <v>5</v>
      </c>
      <c r="AD31" s="344">
        <v>3</v>
      </c>
      <c r="AF31" s="344">
        <v>6</v>
      </c>
      <c r="AG31" s="344">
        <v>5</v>
      </c>
      <c r="AI31" s="344">
        <v>8</v>
      </c>
      <c r="AJ31" s="344">
        <v>3</v>
      </c>
    </row>
    <row r="32" spans="1:36">
      <c r="A32" s="278">
        <v>30</v>
      </c>
      <c r="B32" s="344">
        <v>2</v>
      </c>
      <c r="C32" s="344">
        <v>11</v>
      </c>
      <c r="E32" s="344">
        <v>15</v>
      </c>
      <c r="F32" s="344">
        <v>9</v>
      </c>
      <c r="H32" s="344">
        <v>4</v>
      </c>
      <c r="I32" s="344">
        <v>5</v>
      </c>
      <c r="K32" s="344">
        <v>4</v>
      </c>
      <c r="L32" s="344">
        <v>5</v>
      </c>
      <c r="N32" s="344">
        <v>5</v>
      </c>
      <c r="O32" s="344">
        <v>2</v>
      </c>
      <c r="Q32" s="344">
        <v>6</v>
      </c>
      <c r="R32" s="344">
        <v>9</v>
      </c>
      <c r="T32" s="344">
        <v>2</v>
      </c>
      <c r="U32" s="344">
        <v>1</v>
      </c>
      <c r="W32" s="344">
        <v>9</v>
      </c>
      <c r="X32" s="344">
        <v>4</v>
      </c>
      <c r="Z32" s="344">
        <v>2</v>
      </c>
      <c r="AA32" s="344">
        <v>3</v>
      </c>
      <c r="AC32" s="344">
        <v>0</v>
      </c>
      <c r="AD32" s="344">
        <v>1</v>
      </c>
      <c r="AF32" s="344">
        <v>10</v>
      </c>
      <c r="AG32" s="344">
        <v>2</v>
      </c>
      <c r="AI32" s="344">
        <v>11</v>
      </c>
      <c r="AJ32" s="344">
        <v>2</v>
      </c>
    </row>
    <row r="33" spans="1:36">
      <c r="A33" s="278">
        <v>31</v>
      </c>
      <c r="B33" s="344">
        <v>3</v>
      </c>
      <c r="C33" s="344">
        <v>0</v>
      </c>
      <c r="E33" s="344">
        <v>2</v>
      </c>
      <c r="F33" s="344">
        <v>5</v>
      </c>
      <c r="H33" s="344">
        <v>9</v>
      </c>
      <c r="I33" s="344">
        <v>6</v>
      </c>
      <c r="K33" s="344">
        <v>1</v>
      </c>
      <c r="L33" s="344">
        <v>6</v>
      </c>
      <c r="N33" s="344">
        <v>4</v>
      </c>
      <c r="O33" s="344">
        <v>7</v>
      </c>
      <c r="Q33" s="344">
        <v>11</v>
      </c>
      <c r="R33" s="344">
        <v>3</v>
      </c>
      <c r="T33" s="344">
        <v>2</v>
      </c>
      <c r="U33" s="344">
        <v>5</v>
      </c>
      <c r="W33" s="344">
        <v>3</v>
      </c>
      <c r="X33" s="344">
        <v>2</v>
      </c>
      <c r="Z33" s="344">
        <v>3</v>
      </c>
      <c r="AA33" s="344">
        <v>11</v>
      </c>
      <c r="AC33" s="344">
        <v>3</v>
      </c>
      <c r="AD33" s="344">
        <v>5</v>
      </c>
      <c r="AF33" s="344">
        <v>5</v>
      </c>
      <c r="AG33" s="344">
        <v>4</v>
      </c>
      <c r="AI33" s="344">
        <v>0</v>
      </c>
      <c r="AJ33" s="344">
        <v>3</v>
      </c>
    </row>
    <row r="34" spans="1:36">
      <c r="A34" s="278">
        <v>32</v>
      </c>
      <c r="B34" s="344">
        <v>7</v>
      </c>
      <c r="C34" s="344">
        <v>4</v>
      </c>
      <c r="E34" s="344">
        <v>4</v>
      </c>
      <c r="F34" s="344">
        <v>7</v>
      </c>
      <c r="H34" s="344">
        <v>1</v>
      </c>
      <c r="I34" s="344">
        <v>2</v>
      </c>
      <c r="K34" s="344">
        <v>1</v>
      </c>
      <c r="L34" s="344">
        <v>4</v>
      </c>
      <c r="N34" s="344">
        <v>1</v>
      </c>
      <c r="O34" s="344">
        <v>13</v>
      </c>
      <c r="Q34" s="344">
        <v>3</v>
      </c>
      <c r="R34" s="344">
        <v>2</v>
      </c>
      <c r="T34" s="344">
        <v>8</v>
      </c>
      <c r="U34" s="344">
        <v>3</v>
      </c>
      <c r="W34" s="344">
        <v>0</v>
      </c>
      <c r="X34" s="344">
        <v>3</v>
      </c>
      <c r="Z34" s="344">
        <v>2</v>
      </c>
      <c r="AA34" s="344">
        <v>3</v>
      </c>
      <c r="AC34" s="344">
        <v>3</v>
      </c>
      <c r="AD34" s="344">
        <v>0</v>
      </c>
      <c r="AF34" s="344">
        <v>7</v>
      </c>
      <c r="AG34" s="344">
        <v>4</v>
      </c>
      <c r="AI34" s="344">
        <v>6</v>
      </c>
      <c r="AJ34" s="344">
        <v>1</v>
      </c>
    </row>
    <row r="35" spans="1:36">
      <c r="A35" s="278">
        <v>33</v>
      </c>
      <c r="B35" s="344">
        <v>6</v>
      </c>
      <c r="C35" s="344">
        <v>5</v>
      </c>
      <c r="E35" s="344">
        <v>5</v>
      </c>
      <c r="F35" s="344">
        <v>6</v>
      </c>
      <c r="H35" s="344">
        <v>5</v>
      </c>
      <c r="I35" s="344">
        <v>2</v>
      </c>
      <c r="K35" s="344">
        <v>9</v>
      </c>
      <c r="L35" s="344">
        <v>1</v>
      </c>
      <c r="N35" s="344">
        <v>6</v>
      </c>
      <c r="O35" s="344">
        <v>10</v>
      </c>
      <c r="Q35" s="344">
        <v>6</v>
      </c>
      <c r="R35" s="344">
        <v>7</v>
      </c>
      <c r="T35" s="344">
        <v>3</v>
      </c>
      <c r="U35" s="344">
        <v>7</v>
      </c>
      <c r="W35" s="344">
        <v>1</v>
      </c>
      <c r="X35" s="344">
        <v>2</v>
      </c>
      <c r="Z35" s="344">
        <v>7</v>
      </c>
      <c r="AA35" s="344">
        <v>6</v>
      </c>
      <c r="AC35" s="344">
        <v>2</v>
      </c>
      <c r="AD35" s="344">
        <v>1</v>
      </c>
      <c r="AF35" s="344">
        <v>13</v>
      </c>
      <c r="AG35" s="344">
        <v>1</v>
      </c>
      <c r="AI35" s="344">
        <v>4</v>
      </c>
      <c r="AJ35" s="344">
        <v>1</v>
      </c>
    </row>
    <row r="36" spans="1:36">
      <c r="A36" s="278">
        <v>34</v>
      </c>
      <c r="B36" s="344">
        <v>11</v>
      </c>
      <c r="C36" s="344">
        <v>2</v>
      </c>
      <c r="E36" s="344">
        <v>2</v>
      </c>
      <c r="F36" s="344">
        <v>11</v>
      </c>
      <c r="H36" s="344">
        <v>3</v>
      </c>
      <c r="I36" s="344">
        <v>8</v>
      </c>
      <c r="K36" s="344">
        <v>1</v>
      </c>
      <c r="L36" s="344">
        <v>3</v>
      </c>
      <c r="N36" s="344">
        <v>3</v>
      </c>
      <c r="O36" s="344">
        <v>1</v>
      </c>
      <c r="Q36" s="344">
        <v>6</v>
      </c>
      <c r="R36" s="344">
        <v>10</v>
      </c>
      <c r="T36" s="344">
        <v>0</v>
      </c>
      <c r="U36" s="344">
        <v>4</v>
      </c>
      <c r="W36" s="344">
        <v>5</v>
      </c>
      <c r="X36" s="344">
        <v>7</v>
      </c>
      <c r="Z36" s="344">
        <v>3</v>
      </c>
      <c r="AA36" s="344">
        <v>5</v>
      </c>
      <c r="AC36" s="344">
        <v>7</v>
      </c>
      <c r="AD36" s="344">
        <v>5</v>
      </c>
      <c r="AF36" s="344">
        <v>10</v>
      </c>
      <c r="AG36" s="344">
        <v>6</v>
      </c>
      <c r="AI36" s="344">
        <v>1</v>
      </c>
      <c r="AJ36" s="344">
        <v>9</v>
      </c>
    </row>
    <row r="37" spans="1:36">
      <c r="A37" s="278">
        <v>35</v>
      </c>
      <c r="B37" s="344">
        <v>5</v>
      </c>
      <c r="C37" s="344">
        <v>3</v>
      </c>
      <c r="E37" s="344">
        <v>10</v>
      </c>
      <c r="F37" s="344">
        <v>6</v>
      </c>
      <c r="H37" s="344">
        <v>5</v>
      </c>
      <c r="I37" s="344">
        <v>7</v>
      </c>
      <c r="K37" s="344">
        <v>10</v>
      </c>
      <c r="L37" s="344">
        <v>4</v>
      </c>
      <c r="N37" s="344">
        <v>4</v>
      </c>
      <c r="O37" s="344">
        <v>10</v>
      </c>
      <c r="Q37" s="344">
        <v>10</v>
      </c>
      <c r="R37" s="344">
        <v>14</v>
      </c>
      <c r="T37" s="344">
        <v>6</v>
      </c>
      <c r="U37" s="344">
        <v>4</v>
      </c>
      <c r="W37" s="344">
        <v>3</v>
      </c>
      <c r="X37" s="344">
        <v>4</v>
      </c>
      <c r="Z37" s="344">
        <v>4</v>
      </c>
      <c r="AA37" s="344">
        <v>1</v>
      </c>
      <c r="AC37" s="344">
        <v>4</v>
      </c>
      <c r="AD37" s="344">
        <v>3</v>
      </c>
      <c r="AF37" s="344">
        <v>3</v>
      </c>
      <c r="AG37" s="344">
        <v>9</v>
      </c>
      <c r="AI37" s="344">
        <v>9</v>
      </c>
      <c r="AJ37" s="344">
        <v>3</v>
      </c>
    </row>
    <row r="38" spans="1:36">
      <c r="A38" s="278">
        <v>36</v>
      </c>
      <c r="B38" s="344">
        <v>1</v>
      </c>
      <c r="C38" s="344">
        <v>4</v>
      </c>
      <c r="E38" s="344">
        <v>14</v>
      </c>
      <c r="F38" s="344">
        <v>10</v>
      </c>
      <c r="H38" s="344">
        <v>2</v>
      </c>
      <c r="I38" s="344">
        <v>3</v>
      </c>
      <c r="K38" s="344">
        <v>4</v>
      </c>
      <c r="L38" s="344">
        <v>11</v>
      </c>
      <c r="N38" s="344">
        <v>11</v>
      </c>
      <c r="O38" s="344">
        <v>4</v>
      </c>
      <c r="Q38" s="344">
        <v>2</v>
      </c>
      <c r="R38" s="344">
        <v>3</v>
      </c>
      <c r="T38" s="344">
        <v>12</v>
      </c>
      <c r="U38" s="344">
        <v>6</v>
      </c>
      <c r="W38" s="344">
        <v>7</v>
      </c>
      <c r="X38" s="344">
        <v>3</v>
      </c>
      <c r="Z38" s="344">
        <v>1</v>
      </c>
      <c r="AA38" s="344">
        <v>6</v>
      </c>
      <c r="AC38" s="344">
        <v>7</v>
      </c>
      <c r="AD38" s="344">
        <v>5</v>
      </c>
      <c r="AF38" s="344">
        <v>15</v>
      </c>
      <c r="AG38" s="344">
        <v>2</v>
      </c>
      <c r="AI38" s="344">
        <v>2</v>
      </c>
      <c r="AJ38" s="344">
        <v>15</v>
      </c>
    </row>
    <row r="39" spans="1:36">
      <c r="A39" s="278">
        <v>37</v>
      </c>
      <c r="B39" s="344">
        <v>6</v>
      </c>
      <c r="C39" s="344">
        <v>1</v>
      </c>
      <c r="E39" s="344">
        <v>3</v>
      </c>
      <c r="F39" s="344">
        <v>2</v>
      </c>
      <c r="H39" s="344">
        <v>5</v>
      </c>
      <c r="I39" s="344">
        <v>3</v>
      </c>
      <c r="K39" s="344">
        <v>2</v>
      </c>
      <c r="L39" s="344">
        <v>7</v>
      </c>
      <c r="N39" s="344">
        <v>7</v>
      </c>
      <c r="O39" s="344">
        <v>17</v>
      </c>
      <c r="Q39" s="344">
        <v>10</v>
      </c>
      <c r="R39" s="344">
        <v>5</v>
      </c>
      <c r="T39" s="344">
        <v>6</v>
      </c>
      <c r="U39" s="344">
        <v>8</v>
      </c>
      <c r="W39" s="344">
        <v>4</v>
      </c>
      <c r="X39" s="344">
        <v>0</v>
      </c>
      <c r="Z39" s="344">
        <v>6</v>
      </c>
      <c r="AA39" s="344">
        <v>12</v>
      </c>
      <c r="AC39" s="344">
        <v>3</v>
      </c>
      <c r="AD39" s="344">
        <v>2</v>
      </c>
      <c r="AF39" s="344">
        <v>7</v>
      </c>
      <c r="AG39" s="344">
        <v>8</v>
      </c>
      <c r="AI39" s="344">
        <v>8</v>
      </c>
      <c r="AJ39" s="344">
        <v>7</v>
      </c>
    </row>
    <row r="40" spans="1:36">
      <c r="A40" s="278">
        <v>38</v>
      </c>
      <c r="B40" s="344">
        <v>7</v>
      </c>
      <c r="C40" s="344">
        <v>2</v>
      </c>
      <c r="E40" s="344">
        <v>5</v>
      </c>
      <c r="F40" s="344">
        <v>10</v>
      </c>
      <c r="H40" s="344">
        <v>1</v>
      </c>
      <c r="I40" s="344">
        <v>6</v>
      </c>
      <c r="K40" s="344">
        <v>4</v>
      </c>
      <c r="L40" s="344">
        <v>7</v>
      </c>
      <c r="N40" s="344">
        <v>2</v>
      </c>
      <c r="O40" s="344">
        <v>4</v>
      </c>
      <c r="Q40" s="344">
        <v>6</v>
      </c>
      <c r="R40" s="344">
        <v>5</v>
      </c>
      <c r="T40" s="344">
        <v>9</v>
      </c>
      <c r="U40" s="344">
        <v>7</v>
      </c>
      <c r="W40" s="344">
        <v>4</v>
      </c>
      <c r="X40" s="344">
        <v>6</v>
      </c>
      <c r="Z40" s="344">
        <v>8</v>
      </c>
      <c r="AA40" s="344">
        <v>6</v>
      </c>
      <c r="AC40" s="344">
        <v>3</v>
      </c>
      <c r="AD40" s="344">
        <v>5</v>
      </c>
      <c r="AF40" s="344">
        <v>6</v>
      </c>
      <c r="AG40" s="344">
        <v>1</v>
      </c>
      <c r="AI40" s="344">
        <v>0</v>
      </c>
      <c r="AJ40" s="344">
        <v>8</v>
      </c>
    </row>
    <row r="41" spans="1:36">
      <c r="A41" s="278">
        <v>39</v>
      </c>
      <c r="B41" s="344">
        <v>7</v>
      </c>
      <c r="C41" s="344">
        <v>4</v>
      </c>
      <c r="E41" s="344">
        <v>5</v>
      </c>
      <c r="F41" s="344">
        <v>6</v>
      </c>
      <c r="H41" s="344">
        <v>6</v>
      </c>
      <c r="I41" s="344">
        <v>8</v>
      </c>
      <c r="K41" s="344">
        <v>1</v>
      </c>
      <c r="L41" s="344">
        <v>5</v>
      </c>
      <c r="N41" s="344">
        <v>5</v>
      </c>
      <c r="O41" s="344">
        <v>6</v>
      </c>
      <c r="Q41" s="344">
        <v>3</v>
      </c>
      <c r="R41" s="344">
        <v>2</v>
      </c>
      <c r="T41" s="344">
        <v>8</v>
      </c>
      <c r="U41" s="344">
        <v>2</v>
      </c>
      <c r="W41" s="344">
        <v>17</v>
      </c>
      <c r="X41" s="344">
        <v>7</v>
      </c>
      <c r="Z41" s="344">
        <v>7</v>
      </c>
      <c r="AA41" s="344">
        <v>9</v>
      </c>
      <c r="AC41" s="344">
        <v>8</v>
      </c>
      <c r="AD41" s="344">
        <v>0</v>
      </c>
      <c r="AF41" s="344">
        <v>8</v>
      </c>
      <c r="AG41" s="344">
        <v>6</v>
      </c>
      <c r="AI41" s="344">
        <v>4</v>
      </c>
      <c r="AJ41" s="344">
        <v>3</v>
      </c>
    </row>
    <row r="42" spans="1:36">
      <c r="A42" s="278">
        <v>40</v>
      </c>
      <c r="B42" s="344">
        <v>5</v>
      </c>
      <c r="C42" s="344">
        <v>1</v>
      </c>
      <c r="E42" s="344">
        <v>2</v>
      </c>
      <c r="F42" s="344">
        <v>3</v>
      </c>
      <c r="H42" s="344">
        <v>0</v>
      </c>
      <c r="I42" s="344">
        <v>3</v>
      </c>
      <c r="K42" s="344">
        <v>2</v>
      </c>
      <c r="L42" s="344">
        <v>5</v>
      </c>
      <c r="N42" s="344">
        <v>5</v>
      </c>
      <c r="O42" s="344">
        <v>2</v>
      </c>
      <c r="Q42" s="344">
        <v>5</v>
      </c>
      <c r="R42" s="344">
        <v>6</v>
      </c>
      <c r="T42" s="344">
        <v>10</v>
      </c>
      <c r="U42" s="344">
        <v>6</v>
      </c>
      <c r="W42" s="344">
        <v>4</v>
      </c>
      <c r="X42" s="344">
        <v>2</v>
      </c>
      <c r="Z42" s="344">
        <v>6</v>
      </c>
      <c r="AA42" s="344">
        <v>7</v>
      </c>
      <c r="AC42" s="344">
        <v>3</v>
      </c>
      <c r="AD42" s="344">
        <v>4</v>
      </c>
      <c r="AF42" s="344">
        <v>3</v>
      </c>
      <c r="AG42" s="344">
        <v>0</v>
      </c>
      <c r="AI42" s="344">
        <v>12</v>
      </c>
      <c r="AJ42" s="344">
        <v>4</v>
      </c>
    </row>
    <row r="43" spans="1:36">
      <c r="A43" s="278">
        <v>41</v>
      </c>
      <c r="B43" s="344">
        <v>6</v>
      </c>
      <c r="C43" s="344">
        <v>4</v>
      </c>
      <c r="E43" s="344">
        <v>2</v>
      </c>
      <c r="F43" s="344">
        <v>8</v>
      </c>
      <c r="H43" s="344">
        <v>7</v>
      </c>
      <c r="I43" s="344">
        <v>6</v>
      </c>
      <c r="K43" s="344">
        <v>6</v>
      </c>
      <c r="L43" s="344">
        <v>9</v>
      </c>
      <c r="N43" s="344">
        <v>9</v>
      </c>
      <c r="O43" s="344">
        <v>6</v>
      </c>
      <c r="Q43" s="344">
        <v>1</v>
      </c>
      <c r="R43" s="344">
        <v>12</v>
      </c>
      <c r="T43" s="344">
        <v>3</v>
      </c>
      <c r="U43" s="344">
        <v>16</v>
      </c>
      <c r="W43" s="344">
        <v>6</v>
      </c>
      <c r="X43" s="344">
        <v>5</v>
      </c>
      <c r="Z43" s="344">
        <v>6</v>
      </c>
      <c r="AA43" s="344">
        <v>2</v>
      </c>
      <c r="AC43" s="344">
        <v>4</v>
      </c>
      <c r="AD43" s="344">
        <v>12</v>
      </c>
      <c r="AF43" s="344">
        <v>4</v>
      </c>
      <c r="AG43" s="344">
        <v>6</v>
      </c>
      <c r="AI43" s="344">
        <v>6</v>
      </c>
      <c r="AJ43" s="344">
        <v>7</v>
      </c>
    </row>
    <row r="44" spans="1:36">
      <c r="A44" s="278">
        <v>42</v>
      </c>
      <c r="B44" s="344">
        <v>1</v>
      </c>
      <c r="C44" s="344">
        <v>8</v>
      </c>
      <c r="E44" s="344">
        <v>6</v>
      </c>
      <c r="F44" s="344">
        <v>10</v>
      </c>
      <c r="H44" s="344">
        <v>2</v>
      </c>
      <c r="I44" s="344">
        <v>6</v>
      </c>
      <c r="K44" s="344">
        <v>1</v>
      </c>
      <c r="L44" s="344">
        <v>2</v>
      </c>
      <c r="N44" s="344">
        <v>2</v>
      </c>
      <c r="O44" s="344">
        <v>1</v>
      </c>
      <c r="Q44" s="344">
        <v>7</v>
      </c>
      <c r="R44" s="344">
        <v>5</v>
      </c>
      <c r="T44" s="344">
        <v>4</v>
      </c>
      <c r="U44" s="344">
        <v>0</v>
      </c>
      <c r="W44" s="344">
        <v>6</v>
      </c>
      <c r="X44" s="344">
        <v>5</v>
      </c>
      <c r="Z44" s="344">
        <v>1</v>
      </c>
      <c r="AA44" s="344">
        <v>6</v>
      </c>
      <c r="AC44" s="344">
        <v>7</v>
      </c>
      <c r="AD44" s="344">
        <v>6</v>
      </c>
      <c r="AF44" s="344">
        <v>8</v>
      </c>
      <c r="AG44" s="344">
        <v>1</v>
      </c>
      <c r="AI44" s="344">
        <v>5</v>
      </c>
      <c r="AJ44" s="344">
        <v>4</v>
      </c>
    </row>
    <row r="45" spans="1:36">
      <c r="A45" s="278">
        <v>43</v>
      </c>
      <c r="B45" s="344">
        <v>1</v>
      </c>
      <c r="C45" s="344">
        <v>2</v>
      </c>
      <c r="E45" s="344">
        <v>16</v>
      </c>
      <c r="F45" s="344">
        <v>3</v>
      </c>
      <c r="H45" s="344">
        <v>6</v>
      </c>
      <c r="I45" s="344">
        <v>1</v>
      </c>
      <c r="K45" s="344">
        <v>8</v>
      </c>
      <c r="L45" s="344">
        <v>5</v>
      </c>
      <c r="N45" s="344">
        <v>2</v>
      </c>
      <c r="O45" s="344">
        <v>3</v>
      </c>
      <c r="Q45" s="344">
        <v>5</v>
      </c>
      <c r="R45" s="344">
        <v>8</v>
      </c>
      <c r="T45" s="344">
        <v>12</v>
      </c>
      <c r="U45" s="344">
        <v>5</v>
      </c>
      <c r="W45" s="344">
        <v>12</v>
      </c>
      <c r="X45" s="344">
        <v>1</v>
      </c>
      <c r="Z45" s="344">
        <v>1</v>
      </c>
      <c r="AA45" s="344">
        <v>0</v>
      </c>
      <c r="AC45" s="344">
        <v>4</v>
      </c>
      <c r="AD45" s="344">
        <v>5</v>
      </c>
      <c r="AF45" s="344">
        <v>2</v>
      </c>
      <c r="AG45" s="344">
        <v>1</v>
      </c>
      <c r="AI45" s="344">
        <v>0</v>
      </c>
      <c r="AJ45" s="344">
        <v>1</v>
      </c>
    </row>
    <row r="46" spans="1:36">
      <c r="A46" s="278">
        <v>44</v>
      </c>
      <c r="B46" s="344">
        <v>3</v>
      </c>
      <c r="C46" s="344">
        <v>2</v>
      </c>
      <c r="E46" s="344">
        <v>0</v>
      </c>
      <c r="F46" s="344">
        <v>4</v>
      </c>
      <c r="H46" s="344">
        <v>0</v>
      </c>
      <c r="I46" s="344">
        <v>1</v>
      </c>
      <c r="K46" s="344">
        <v>6</v>
      </c>
      <c r="L46" s="344">
        <v>7</v>
      </c>
      <c r="N46" s="344">
        <v>13</v>
      </c>
      <c r="O46" s="344">
        <v>1</v>
      </c>
      <c r="Q46" s="344">
        <v>7</v>
      </c>
      <c r="R46" s="344">
        <v>6</v>
      </c>
      <c r="T46" s="344">
        <v>11</v>
      </c>
      <c r="U46" s="344">
        <v>5</v>
      </c>
      <c r="W46" s="344">
        <v>5</v>
      </c>
      <c r="X46" s="344">
        <v>7</v>
      </c>
      <c r="Z46" s="344">
        <v>4</v>
      </c>
      <c r="AA46" s="344">
        <v>7</v>
      </c>
      <c r="AC46" s="344">
        <v>1</v>
      </c>
      <c r="AD46" s="344">
        <v>0</v>
      </c>
      <c r="AF46" s="344">
        <v>4</v>
      </c>
      <c r="AG46" s="344">
        <v>10</v>
      </c>
      <c r="AI46" s="344">
        <v>7</v>
      </c>
      <c r="AJ46" s="344">
        <v>4</v>
      </c>
    </row>
    <row r="47" spans="1:36">
      <c r="A47" s="278">
        <v>45</v>
      </c>
      <c r="B47" s="344">
        <v>1</v>
      </c>
      <c r="C47" s="344">
        <v>13</v>
      </c>
      <c r="E47" s="344">
        <v>5</v>
      </c>
      <c r="F47" s="344">
        <v>12</v>
      </c>
      <c r="H47" s="344">
        <v>7</v>
      </c>
      <c r="I47" s="344">
        <v>15</v>
      </c>
      <c r="K47" s="344">
        <v>7</v>
      </c>
      <c r="L47" s="344">
        <v>3</v>
      </c>
      <c r="N47" s="344">
        <v>8</v>
      </c>
      <c r="O47" s="344">
        <v>4</v>
      </c>
      <c r="Q47" s="344">
        <v>3</v>
      </c>
      <c r="R47" s="344">
        <v>7</v>
      </c>
      <c r="T47" s="344">
        <v>10</v>
      </c>
      <c r="U47" s="344">
        <v>5</v>
      </c>
      <c r="W47" s="344">
        <v>15</v>
      </c>
      <c r="X47" s="344">
        <v>7</v>
      </c>
      <c r="Z47" s="344">
        <v>8</v>
      </c>
      <c r="AA47" s="344">
        <v>6</v>
      </c>
      <c r="AC47" s="344">
        <v>10</v>
      </c>
      <c r="AD47" s="344">
        <v>4</v>
      </c>
      <c r="AF47" s="344">
        <v>8</v>
      </c>
      <c r="AG47" s="344">
        <v>5</v>
      </c>
      <c r="AI47" s="344">
        <v>6</v>
      </c>
      <c r="AJ47" s="344">
        <v>8</v>
      </c>
    </row>
    <row r="48" spans="1:36">
      <c r="A48" s="278">
        <v>46</v>
      </c>
      <c r="B48" s="344">
        <v>4</v>
      </c>
      <c r="C48" s="344">
        <v>8</v>
      </c>
      <c r="E48" s="344">
        <v>5</v>
      </c>
      <c r="F48" s="344">
        <v>11</v>
      </c>
      <c r="H48" s="344">
        <v>5</v>
      </c>
      <c r="I48" s="344">
        <v>0</v>
      </c>
      <c r="K48" s="344">
        <v>1</v>
      </c>
      <c r="L48" s="344">
        <v>5</v>
      </c>
      <c r="N48" s="344">
        <v>7</v>
      </c>
      <c r="O48" s="344">
        <v>9</v>
      </c>
      <c r="Q48" s="344">
        <v>5</v>
      </c>
      <c r="R48" s="344">
        <v>1</v>
      </c>
      <c r="T48" s="344">
        <v>3</v>
      </c>
      <c r="U48" s="344">
        <v>2</v>
      </c>
      <c r="W48" s="344">
        <v>0</v>
      </c>
      <c r="X48" s="344">
        <v>5</v>
      </c>
      <c r="Z48" s="344">
        <v>3</v>
      </c>
      <c r="AA48" s="344">
        <v>9</v>
      </c>
      <c r="AC48" s="344">
        <v>5</v>
      </c>
      <c r="AD48" s="344">
        <v>8</v>
      </c>
      <c r="AF48" s="344">
        <v>3</v>
      </c>
      <c r="AG48" s="344">
        <v>14</v>
      </c>
      <c r="AI48" s="344">
        <v>9</v>
      </c>
      <c r="AJ48" s="344">
        <v>3</v>
      </c>
    </row>
    <row r="49" spans="1:36">
      <c r="A49" s="278">
        <v>47</v>
      </c>
      <c r="B49" s="344">
        <v>5</v>
      </c>
      <c r="C49" s="344">
        <v>10</v>
      </c>
      <c r="E49" s="344">
        <v>2</v>
      </c>
      <c r="F49" s="344">
        <v>0</v>
      </c>
      <c r="H49" s="344">
        <v>6</v>
      </c>
      <c r="I49" s="344">
        <v>5</v>
      </c>
      <c r="K49" s="344">
        <v>5</v>
      </c>
      <c r="L49" s="344">
        <v>4</v>
      </c>
      <c r="N49" s="344">
        <v>4</v>
      </c>
      <c r="O49" s="344">
        <v>7</v>
      </c>
      <c r="Q49" s="344">
        <v>4</v>
      </c>
      <c r="R49" s="344">
        <v>5</v>
      </c>
      <c r="T49" s="344">
        <v>1</v>
      </c>
      <c r="U49" s="344">
        <v>12</v>
      </c>
      <c r="W49" s="344">
        <v>5</v>
      </c>
      <c r="X49" s="344">
        <v>6</v>
      </c>
      <c r="Z49" s="344">
        <v>0</v>
      </c>
      <c r="AA49" s="344">
        <v>2</v>
      </c>
      <c r="AC49" s="344">
        <v>14</v>
      </c>
      <c r="AD49" s="344">
        <v>3</v>
      </c>
      <c r="AF49" s="344">
        <v>4</v>
      </c>
      <c r="AG49" s="344">
        <v>2</v>
      </c>
      <c r="AI49" s="344">
        <v>8</v>
      </c>
      <c r="AJ49" s="344">
        <v>5</v>
      </c>
    </row>
    <row r="50" spans="1:36">
      <c r="A50" s="278">
        <v>48</v>
      </c>
      <c r="B50" s="344">
        <v>2</v>
      </c>
      <c r="C50" s="344">
        <v>3</v>
      </c>
      <c r="E50" s="344">
        <v>0</v>
      </c>
      <c r="F50" s="344">
        <v>2</v>
      </c>
      <c r="H50" s="344">
        <v>5</v>
      </c>
      <c r="I50" s="344">
        <v>8</v>
      </c>
      <c r="K50" s="344">
        <v>6</v>
      </c>
      <c r="L50" s="344">
        <v>0</v>
      </c>
      <c r="N50" s="344">
        <v>11</v>
      </c>
      <c r="O50" s="344">
        <v>8</v>
      </c>
      <c r="Q50" s="344">
        <v>0</v>
      </c>
      <c r="R50" s="344">
        <v>6</v>
      </c>
      <c r="T50" s="344">
        <v>8</v>
      </c>
      <c r="U50" s="344">
        <v>7</v>
      </c>
      <c r="W50" s="344">
        <v>2</v>
      </c>
      <c r="X50" s="344">
        <v>4</v>
      </c>
      <c r="Z50" s="344">
        <v>2</v>
      </c>
      <c r="AA50" s="344">
        <v>0</v>
      </c>
      <c r="AC50" s="344">
        <v>9</v>
      </c>
      <c r="AD50" s="344">
        <v>7</v>
      </c>
      <c r="AF50" s="344">
        <v>8</v>
      </c>
      <c r="AG50" s="344">
        <v>7</v>
      </c>
      <c r="AI50" s="344">
        <v>6</v>
      </c>
      <c r="AJ50" s="344">
        <v>7</v>
      </c>
    </row>
    <row r="51" spans="1:36">
      <c r="A51" s="278">
        <v>49</v>
      </c>
      <c r="B51" s="344">
        <v>12</v>
      </c>
      <c r="C51" s="344">
        <v>1</v>
      </c>
      <c r="E51" s="344">
        <v>12</v>
      </c>
      <c r="F51" s="344">
        <v>6</v>
      </c>
      <c r="H51" s="344">
        <v>7</v>
      </c>
      <c r="I51" s="344">
        <v>6</v>
      </c>
      <c r="K51" s="344">
        <v>5</v>
      </c>
      <c r="L51" s="344">
        <v>6</v>
      </c>
      <c r="N51" s="344">
        <v>3</v>
      </c>
      <c r="O51" s="344">
        <v>5</v>
      </c>
      <c r="Q51" s="344">
        <v>6</v>
      </c>
      <c r="R51" s="344">
        <v>5</v>
      </c>
      <c r="T51" s="344">
        <v>8</v>
      </c>
      <c r="U51" s="344">
        <v>14</v>
      </c>
      <c r="W51" s="344">
        <v>7</v>
      </c>
      <c r="X51" s="344">
        <v>8</v>
      </c>
      <c r="Z51" s="344">
        <v>6</v>
      </c>
      <c r="AA51" s="344">
        <v>12</v>
      </c>
      <c r="AC51" s="344">
        <v>7</v>
      </c>
      <c r="AD51" s="344">
        <v>4</v>
      </c>
      <c r="AF51" s="344">
        <v>2</v>
      </c>
      <c r="AG51" s="344">
        <v>4</v>
      </c>
      <c r="AI51" s="344">
        <v>3</v>
      </c>
      <c r="AJ51" s="344">
        <v>4</v>
      </c>
    </row>
    <row r="52" spans="1:36">
      <c r="A52" s="278">
        <v>50</v>
      </c>
      <c r="B52" s="344">
        <v>5</v>
      </c>
      <c r="C52" s="344">
        <v>3</v>
      </c>
      <c r="E52" s="344">
        <v>7</v>
      </c>
      <c r="F52" s="344">
        <v>8</v>
      </c>
      <c r="H52" s="344">
        <v>4</v>
      </c>
      <c r="I52" s="344">
        <v>3</v>
      </c>
      <c r="K52" s="344">
        <v>0</v>
      </c>
      <c r="L52" s="344">
        <v>4</v>
      </c>
      <c r="N52" s="344">
        <v>6</v>
      </c>
      <c r="O52" s="344">
        <v>5</v>
      </c>
      <c r="Q52" s="344">
        <v>13</v>
      </c>
      <c r="R52" s="344">
        <v>9</v>
      </c>
      <c r="T52" s="344">
        <v>2</v>
      </c>
      <c r="U52" s="344">
        <v>8</v>
      </c>
      <c r="W52" s="344">
        <v>4</v>
      </c>
      <c r="X52" s="344">
        <v>2</v>
      </c>
      <c r="Z52" s="344">
        <v>8</v>
      </c>
      <c r="AA52" s="344">
        <v>6</v>
      </c>
      <c r="AC52" s="344">
        <v>8</v>
      </c>
      <c r="AD52" s="344">
        <v>11</v>
      </c>
      <c r="AF52" s="344">
        <v>6</v>
      </c>
      <c r="AG52" s="344">
        <v>8</v>
      </c>
      <c r="AI52" s="344">
        <v>1</v>
      </c>
      <c r="AJ52" s="344">
        <v>7</v>
      </c>
    </row>
    <row r="53" spans="1:36">
      <c r="A53" s="278">
        <v>51</v>
      </c>
      <c r="B53" s="344">
        <v>5</v>
      </c>
      <c r="C53" s="344">
        <v>6</v>
      </c>
      <c r="E53" s="344">
        <v>14</v>
      </c>
      <c r="F53" s="344">
        <v>8</v>
      </c>
      <c r="H53" s="344">
        <v>7</v>
      </c>
      <c r="I53" s="344">
        <v>1</v>
      </c>
      <c r="K53" s="344">
        <v>1</v>
      </c>
      <c r="L53" s="344">
        <v>2</v>
      </c>
      <c r="N53" s="344">
        <v>3</v>
      </c>
      <c r="O53" s="344">
        <v>0</v>
      </c>
      <c r="Q53" s="344">
        <v>10</v>
      </c>
      <c r="R53" s="344">
        <v>5</v>
      </c>
      <c r="T53" s="344">
        <v>10</v>
      </c>
      <c r="U53" s="344">
        <v>4</v>
      </c>
      <c r="W53" s="344">
        <v>9</v>
      </c>
      <c r="X53" s="344">
        <v>13</v>
      </c>
      <c r="Z53" s="344">
        <v>9</v>
      </c>
      <c r="AA53" s="344">
        <v>10</v>
      </c>
      <c r="AC53" s="344">
        <v>4</v>
      </c>
      <c r="AD53" s="344">
        <v>0</v>
      </c>
      <c r="AF53" s="344">
        <v>10</v>
      </c>
      <c r="AG53" s="344">
        <v>9</v>
      </c>
      <c r="AI53" s="344">
        <v>4</v>
      </c>
      <c r="AJ53" s="344">
        <v>1</v>
      </c>
    </row>
    <row r="54" spans="1:36">
      <c r="A54" s="278">
        <v>52</v>
      </c>
      <c r="B54" s="344">
        <v>0</v>
      </c>
      <c r="C54" s="344">
        <v>3</v>
      </c>
      <c r="E54" s="344">
        <v>8</v>
      </c>
      <c r="F54" s="344">
        <v>2</v>
      </c>
      <c r="H54" s="344">
        <v>1</v>
      </c>
      <c r="I54" s="344">
        <v>4</v>
      </c>
      <c r="K54" s="344">
        <v>5</v>
      </c>
      <c r="L54" s="344">
        <v>4</v>
      </c>
      <c r="N54" s="344">
        <v>6</v>
      </c>
      <c r="O54" s="344">
        <v>7</v>
      </c>
      <c r="Q54" s="344">
        <v>6</v>
      </c>
      <c r="R54" s="344">
        <v>3</v>
      </c>
      <c r="T54" s="344">
        <v>7</v>
      </c>
      <c r="U54" s="344">
        <v>11</v>
      </c>
      <c r="W54" s="344">
        <v>5</v>
      </c>
      <c r="X54" s="344">
        <v>10</v>
      </c>
      <c r="Z54" s="344">
        <v>6</v>
      </c>
      <c r="AA54" s="344">
        <v>0</v>
      </c>
      <c r="AC54" s="344">
        <v>2</v>
      </c>
      <c r="AD54" s="344">
        <v>1</v>
      </c>
      <c r="AF54" s="344">
        <v>0</v>
      </c>
      <c r="AG54" s="344">
        <v>6</v>
      </c>
      <c r="AI54" s="344">
        <v>1</v>
      </c>
      <c r="AJ54" s="344">
        <v>2</v>
      </c>
    </row>
    <row r="55" spans="1:36">
      <c r="A55" s="278">
        <v>53</v>
      </c>
      <c r="B55" s="344">
        <v>7</v>
      </c>
      <c r="C55" s="344">
        <v>6</v>
      </c>
      <c r="E55" s="344">
        <v>6</v>
      </c>
      <c r="F55" s="344">
        <v>15</v>
      </c>
      <c r="H55" s="344">
        <v>2</v>
      </c>
      <c r="I55" s="344">
        <v>1</v>
      </c>
      <c r="K55" s="344">
        <v>3</v>
      </c>
      <c r="L55" s="344">
        <v>10</v>
      </c>
      <c r="N55" s="344">
        <v>4</v>
      </c>
      <c r="O55" s="344">
        <v>10</v>
      </c>
      <c r="Q55" s="344">
        <v>2</v>
      </c>
      <c r="R55" s="344">
        <v>4</v>
      </c>
      <c r="T55" s="344">
        <v>0</v>
      </c>
      <c r="U55" s="344">
        <v>4</v>
      </c>
      <c r="W55" s="344">
        <v>3</v>
      </c>
      <c r="X55" s="344">
        <v>6</v>
      </c>
      <c r="Z55" s="344">
        <v>5</v>
      </c>
      <c r="AA55" s="344">
        <v>9</v>
      </c>
      <c r="AC55" s="344">
        <v>4</v>
      </c>
      <c r="AD55" s="344">
        <v>5</v>
      </c>
      <c r="AF55" s="344">
        <v>12</v>
      </c>
      <c r="AG55" s="344">
        <v>5</v>
      </c>
      <c r="AI55" s="344">
        <v>5</v>
      </c>
      <c r="AJ55" s="344">
        <v>12</v>
      </c>
    </row>
    <row r="56" spans="1:36">
      <c r="A56" s="278">
        <v>54</v>
      </c>
      <c r="B56" s="344">
        <v>9</v>
      </c>
      <c r="C56" s="344">
        <v>5</v>
      </c>
      <c r="E56" s="344">
        <v>7</v>
      </c>
      <c r="F56" s="344">
        <v>3</v>
      </c>
      <c r="H56" s="344">
        <v>10</v>
      </c>
      <c r="I56" s="344">
        <v>3</v>
      </c>
      <c r="K56" s="344">
        <v>4</v>
      </c>
      <c r="L56" s="344">
        <v>1</v>
      </c>
      <c r="N56" s="344">
        <v>11</v>
      </c>
      <c r="O56" s="344">
        <v>7</v>
      </c>
      <c r="Q56" s="344">
        <v>6</v>
      </c>
      <c r="R56" s="344">
        <v>4</v>
      </c>
      <c r="T56" s="344">
        <v>1</v>
      </c>
      <c r="U56" s="344">
        <v>4</v>
      </c>
      <c r="W56" s="344">
        <v>15</v>
      </c>
      <c r="X56" s="344">
        <v>6</v>
      </c>
      <c r="Z56" s="344">
        <v>6</v>
      </c>
      <c r="AA56" s="344">
        <v>7</v>
      </c>
      <c r="AC56" s="344">
        <v>4</v>
      </c>
      <c r="AD56" s="344">
        <v>2</v>
      </c>
      <c r="AF56" s="344">
        <v>6</v>
      </c>
      <c r="AG56" s="344">
        <v>7</v>
      </c>
      <c r="AI56" s="344">
        <v>7</v>
      </c>
      <c r="AJ56" s="344">
        <v>6</v>
      </c>
    </row>
    <row r="57" spans="1:36">
      <c r="A57" s="278">
        <v>55</v>
      </c>
      <c r="B57" s="344">
        <v>7</v>
      </c>
      <c r="C57" s="344">
        <v>6</v>
      </c>
      <c r="E57" s="344">
        <v>14</v>
      </c>
      <c r="F57" s="344">
        <v>11</v>
      </c>
      <c r="H57" s="344">
        <v>1</v>
      </c>
      <c r="I57" s="344">
        <v>4</v>
      </c>
      <c r="K57" s="344">
        <v>2</v>
      </c>
      <c r="L57" s="344">
        <v>1</v>
      </c>
      <c r="N57" s="344">
        <v>4</v>
      </c>
      <c r="O57" s="344">
        <v>0</v>
      </c>
      <c r="Q57" s="344">
        <v>5</v>
      </c>
      <c r="R57" s="344">
        <v>7</v>
      </c>
      <c r="T57" s="344">
        <v>2</v>
      </c>
      <c r="U57" s="344">
        <v>13</v>
      </c>
      <c r="W57" s="344">
        <v>3</v>
      </c>
      <c r="X57" s="344">
        <v>7</v>
      </c>
      <c r="Z57" s="344">
        <v>6</v>
      </c>
      <c r="AA57" s="344">
        <v>9</v>
      </c>
      <c r="AC57" s="344">
        <v>4</v>
      </c>
      <c r="AD57" s="344">
        <v>6</v>
      </c>
      <c r="AF57" s="344">
        <v>12</v>
      </c>
      <c r="AG57" s="344">
        <v>7</v>
      </c>
      <c r="AI57" s="344">
        <v>7</v>
      </c>
      <c r="AJ57" s="344">
        <v>12</v>
      </c>
    </row>
    <row r="58" spans="1:36">
      <c r="A58" s="278">
        <v>56</v>
      </c>
      <c r="B58" s="344">
        <v>9</v>
      </c>
      <c r="C58" s="344">
        <v>6</v>
      </c>
      <c r="E58" s="344">
        <v>6</v>
      </c>
      <c r="F58" s="344">
        <v>7</v>
      </c>
      <c r="H58" s="344">
        <v>1</v>
      </c>
      <c r="I58" s="344">
        <v>2</v>
      </c>
      <c r="K58" s="344">
        <v>4</v>
      </c>
      <c r="L58" s="344">
        <v>1</v>
      </c>
      <c r="N58" s="344">
        <v>11</v>
      </c>
      <c r="O58" s="344">
        <v>0</v>
      </c>
      <c r="Q58" s="344">
        <v>1</v>
      </c>
      <c r="R58" s="344">
        <v>0</v>
      </c>
      <c r="T58" s="344">
        <v>4</v>
      </c>
      <c r="U58" s="344">
        <v>2</v>
      </c>
      <c r="W58" s="344">
        <v>11</v>
      </c>
      <c r="X58" s="344">
        <v>14</v>
      </c>
      <c r="Z58" s="344">
        <v>0</v>
      </c>
      <c r="AA58" s="344">
        <v>11</v>
      </c>
      <c r="AC58" s="344">
        <v>7</v>
      </c>
      <c r="AD58" s="344">
        <v>5</v>
      </c>
      <c r="AF58" s="344">
        <v>3</v>
      </c>
      <c r="AG58" s="344">
        <v>9</v>
      </c>
      <c r="AI58" s="344">
        <v>0</v>
      </c>
      <c r="AJ58" s="344">
        <v>1</v>
      </c>
    </row>
    <row r="59" spans="1:36">
      <c r="A59" s="278">
        <v>57</v>
      </c>
      <c r="B59" s="344">
        <v>11</v>
      </c>
      <c r="C59" s="344">
        <v>6</v>
      </c>
      <c r="E59" s="344">
        <v>2</v>
      </c>
      <c r="F59" s="344">
        <v>4</v>
      </c>
      <c r="H59" s="344">
        <v>9</v>
      </c>
      <c r="I59" s="344">
        <v>3</v>
      </c>
      <c r="K59" s="344">
        <v>13</v>
      </c>
      <c r="L59" s="344">
        <v>2</v>
      </c>
      <c r="N59" s="344">
        <v>2</v>
      </c>
      <c r="O59" s="344">
        <v>5</v>
      </c>
      <c r="Q59" s="344">
        <v>5</v>
      </c>
      <c r="R59" s="344">
        <v>2</v>
      </c>
      <c r="T59" s="344">
        <v>7</v>
      </c>
      <c r="U59" s="344">
        <v>3</v>
      </c>
      <c r="W59" s="344">
        <v>6</v>
      </c>
      <c r="X59" s="344">
        <v>11</v>
      </c>
      <c r="Z59" s="344">
        <v>5</v>
      </c>
      <c r="AA59" s="344">
        <v>2</v>
      </c>
      <c r="AC59" s="344">
        <v>7</v>
      </c>
      <c r="AD59" s="344">
        <v>6</v>
      </c>
      <c r="AF59" s="344">
        <v>6</v>
      </c>
      <c r="AG59" s="344">
        <v>5</v>
      </c>
      <c r="AI59" s="344">
        <v>2</v>
      </c>
      <c r="AJ59" s="344">
        <v>5</v>
      </c>
    </row>
    <row r="60" spans="1:36">
      <c r="A60" s="278">
        <v>58</v>
      </c>
      <c r="B60" s="344">
        <v>8</v>
      </c>
      <c r="C60" s="344">
        <v>5</v>
      </c>
      <c r="E60" s="344">
        <v>0</v>
      </c>
      <c r="F60" s="344">
        <v>2</v>
      </c>
      <c r="H60" s="344">
        <v>5</v>
      </c>
      <c r="I60" s="344">
        <v>6</v>
      </c>
      <c r="K60" s="344">
        <v>2</v>
      </c>
      <c r="L60" s="344">
        <v>4</v>
      </c>
      <c r="N60" s="344">
        <v>3</v>
      </c>
      <c r="O60" s="344">
        <v>12</v>
      </c>
      <c r="Q60" s="344">
        <v>5</v>
      </c>
      <c r="R60" s="344">
        <v>4</v>
      </c>
      <c r="T60" s="344">
        <v>7</v>
      </c>
      <c r="U60" s="344">
        <v>2</v>
      </c>
      <c r="W60" s="344">
        <v>5</v>
      </c>
      <c r="X60" s="344">
        <v>8</v>
      </c>
      <c r="Z60" s="344">
        <v>12</v>
      </c>
      <c r="AA60" s="344">
        <v>3</v>
      </c>
      <c r="AC60" s="344">
        <v>2</v>
      </c>
      <c r="AD60" s="344">
        <v>0</v>
      </c>
      <c r="AF60" s="344">
        <v>5</v>
      </c>
      <c r="AG60" s="344">
        <v>4</v>
      </c>
      <c r="AI60" s="344">
        <v>4</v>
      </c>
      <c r="AJ60" s="344">
        <v>5</v>
      </c>
    </row>
    <row r="61" spans="1:36">
      <c r="A61" s="278">
        <v>59</v>
      </c>
      <c r="B61" s="344">
        <v>10</v>
      </c>
      <c r="C61" s="344">
        <v>5</v>
      </c>
      <c r="E61" s="344">
        <v>1</v>
      </c>
      <c r="F61" s="344">
        <v>6</v>
      </c>
      <c r="H61" s="344">
        <v>4</v>
      </c>
      <c r="I61" s="344">
        <v>5</v>
      </c>
      <c r="K61" s="344">
        <v>3</v>
      </c>
      <c r="L61" s="344">
        <v>7</v>
      </c>
      <c r="N61" s="344">
        <v>9</v>
      </c>
      <c r="O61" s="344">
        <v>3</v>
      </c>
      <c r="Q61" s="344">
        <v>0</v>
      </c>
      <c r="R61" s="344">
        <v>5</v>
      </c>
      <c r="T61" s="344">
        <v>8</v>
      </c>
      <c r="U61" s="344">
        <v>0</v>
      </c>
      <c r="W61" s="344">
        <v>5</v>
      </c>
      <c r="X61" s="344">
        <v>10</v>
      </c>
      <c r="Z61" s="344">
        <v>5</v>
      </c>
      <c r="AA61" s="344">
        <v>4</v>
      </c>
      <c r="AC61" s="344">
        <v>6</v>
      </c>
      <c r="AD61" s="344">
        <v>1</v>
      </c>
      <c r="AF61" s="344">
        <v>2</v>
      </c>
      <c r="AG61" s="344">
        <v>0</v>
      </c>
      <c r="AI61" s="344">
        <v>0</v>
      </c>
      <c r="AJ61" s="344">
        <v>2</v>
      </c>
    </row>
    <row r="62" spans="1:36">
      <c r="A62" s="278">
        <v>60</v>
      </c>
      <c r="B62" s="344">
        <v>4</v>
      </c>
      <c r="C62" s="344">
        <v>5</v>
      </c>
      <c r="E62" s="344">
        <v>3</v>
      </c>
      <c r="F62" s="344">
        <v>9</v>
      </c>
      <c r="H62" s="344">
        <v>5</v>
      </c>
      <c r="I62" s="344">
        <v>0</v>
      </c>
      <c r="K62" s="344">
        <v>2</v>
      </c>
      <c r="L62" s="344">
        <v>7</v>
      </c>
      <c r="N62" s="344">
        <v>4</v>
      </c>
      <c r="O62" s="344">
        <v>13</v>
      </c>
      <c r="Q62" s="344">
        <v>1</v>
      </c>
      <c r="R62" s="344">
        <v>3</v>
      </c>
      <c r="T62" s="344">
        <v>3</v>
      </c>
      <c r="U62" s="344">
        <v>1</v>
      </c>
      <c r="W62" s="344">
        <v>6</v>
      </c>
      <c r="X62" s="344">
        <v>4</v>
      </c>
      <c r="Z62" s="344">
        <v>1</v>
      </c>
      <c r="AA62" s="344">
        <v>11</v>
      </c>
      <c r="AC62" s="344">
        <v>4</v>
      </c>
      <c r="AD62" s="344">
        <v>6</v>
      </c>
      <c r="AF62" s="344">
        <v>3</v>
      </c>
      <c r="AG62" s="344">
        <v>2</v>
      </c>
      <c r="AI62" s="344">
        <v>2</v>
      </c>
      <c r="AJ62" s="344">
        <v>3</v>
      </c>
    </row>
    <row r="63" spans="1:36">
      <c r="A63" s="278">
        <v>61</v>
      </c>
      <c r="B63" s="344">
        <v>11</v>
      </c>
      <c r="C63" s="344">
        <v>1</v>
      </c>
      <c r="E63" s="344">
        <v>13</v>
      </c>
      <c r="F63" s="344">
        <v>4</v>
      </c>
      <c r="H63" s="344">
        <v>3</v>
      </c>
      <c r="I63" s="344">
        <v>1</v>
      </c>
      <c r="K63" s="344">
        <v>0</v>
      </c>
      <c r="L63" s="344">
        <v>8</v>
      </c>
      <c r="N63" s="344">
        <v>0</v>
      </c>
      <c r="O63" s="344">
        <v>8</v>
      </c>
      <c r="Q63" s="344">
        <v>2</v>
      </c>
      <c r="R63" s="344">
        <v>4</v>
      </c>
      <c r="T63" s="344">
        <v>4</v>
      </c>
      <c r="U63" s="344">
        <v>1</v>
      </c>
      <c r="W63" s="344">
        <v>0</v>
      </c>
      <c r="X63" s="344">
        <v>5</v>
      </c>
      <c r="Z63" s="344">
        <v>1</v>
      </c>
      <c r="AA63" s="344">
        <v>4</v>
      </c>
      <c r="AC63" s="344">
        <v>5</v>
      </c>
      <c r="AD63" s="344">
        <v>0</v>
      </c>
      <c r="AF63" s="344">
        <v>4</v>
      </c>
      <c r="AG63" s="344">
        <v>3</v>
      </c>
      <c r="AI63" s="344">
        <v>3</v>
      </c>
      <c r="AJ63" s="344">
        <v>4</v>
      </c>
    </row>
    <row r="64" spans="1:36">
      <c r="A64" s="278">
        <v>62</v>
      </c>
      <c r="B64" s="344">
        <v>4</v>
      </c>
      <c r="C64" s="344">
        <v>1</v>
      </c>
      <c r="E64" s="344">
        <v>8</v>
      </c>
      <c r="F64" s="344">
        <v>0</v>
      </c>
      <c r="H64" s="344">
        <v>4</v>
      </c>
      <c r="I64" s="344">
        <v>2</v>
      </c>
      <c r="K64" s="344">
        <v>1</v>
      </c>
      <c r="L64" s="344">
        <v>3</v>
      </c>
      <c r="N64" s="344">
        <v>3</v>
      </c>
      <c r="O64" s="344">
        <v>2</v>
      </c>
      <c r="Q64" s="344">
        <v>2</v>
      </c>
      <c r="R64" s="344">
        <v>0</v>
      </c>
      <c r="T64" s="344">
        <v>6</v>
      </c>
      <c r="U64" s="344">
        <v>4</v>
      </c>
      <c r="W64" s="344">
        <v>4</v>
      </c>
      <c r="X64" s="344">
        <v>8</v>
      </c>
      <c r="Z64" s="344">
        <v>0</v>
      </c>
      <c r="AA64" s="344">
        <v>4</v>
      </c>
      <c r="AC64" s="344">
        <v>8</v>
      </c>
      <c r="AD64" s="344">
        <v>4</v>
      </c>
      <c r="AF64" s="344">
        <v>0</v>
      </c>
      <c r="AG64" s="344">
        <v>1</v>
      </c>
      <c r="AI64" s="344">
        <v>5</v>
      </c>
      <c r="AJ64" s="344">
        <v>6</v>
      </c>
    </row>
    <row r="65" spans="1:37">
      <c r="A65" s="278">
        <v>63</v>
      </c>
      <c r="B65" s="344">
        <v>1</v>
      </c>
      <c r="C65" s="344">
        <v>4</v>
      </c>
      <c r="E65" s="344">
        <v>4</v>
      </c>
      <c r="F65" s="344">
        <v>0</v>
      </c>
      <c r="H65" s="344">
        <v>0</v>
      </c>
      <c r="I65" s="344">
        <v>2</v>
      </c>
      <c r="K65" s="344">
        <v>2</v>
      </c>
      <c r="L65" s="344">
        <v>3</v>
      </c>
      <c r="N65" s="344">
        <v>6</v>
      </c>
      <c r="O65" s="344">
        <v>13</v>
      </c>
      <c r="Q65" s="344">
        <v>2</v>
      </c>
      <c r="R65" s="344">
        <v>4</v>
      </c>
      <c r="T65" s="344">
        <v>12</v>
      </c>
      <c r="U65" s="344">
        <v>4</v>
      </c>
      <c r="W65" s="344">
        <v>6</v>
      </c>
      <c r="X65" s="344">
        <v>5</v>
      </c>
      <c r="Z65" s="344">
        <v>4</v>
      </c>
      <c r="AA65" s="344">
        <v>8</v>
      </c>
      <c r="AC65" s="344">
        <v>1</v>
      </c>
      <c r="AD65" s="344">
        <v>0</v>
      </c>
      <c r="AF65" s="344">
        <v>8</v>
      </c>
      <c r="AG65" s="344">
        <v>4</v>
      </c>
      <c r="AI65" s="344">
        <v>5</v>
      </c>
      <c r="AJ65" s="344">
        <v>6</v>
      </c>
    </row>
    <row r="66" spans="1:37">
      <c r="A66" s="278">
        <v>64</v>
      </c>
      <c r="B66" s="344">
        <v>4</v>
      </c>
      <c r="C66" s="344">
        <v>6</v>
      </c>
      <c r="E66" s="344">
        <v>8</v>
      </c>
      <c r="F66" s="344">
        <v>4</v>
      </c>
      <c r="H66" s="344">
        <v>4</v>
      </c>
      <c r="I66" s="344">
        <v>2</v>
      </c>
      <c r="K66" s="344">
        <v>13</v>
      </c>
      <c r="L66" s="344">
        <v>6</v>
      </c>
      <c r="N66" s="344">
        <v>0</v>
      </c>
      <c r="O66" s="344">
        <v>1</v>
      </c>
      <c r="Q66" s="344">
        <v>6</v>
      </c>
      <c r="R66" s="344">
        <v>13</v>
      </c>
      <c r="T66" s="344">
        <v>1</v>
      </c>
      <c r="U66" s="344">
        <v>7</v>
      </c>
      <c r="W66" s="344">
        <v>6</v>
      </c>
      <c r="X66" s="344">
        <v>5</v>
      </c>
      <c r="Z66" s="344">
        <v>2</v>
      </c>
      <c r="AA66" s="344">
        <v>5</v>
      </c>
      <c r="AC66" s="344">
        <v>4</v>
      </c>
      <c r="AD66" s="344">
        <v>8</v>
      </c>
      <c r="AF66" s="344">
        <v>3</v>
      </c>
      <c r="AG66" s="344">
        <v>9</v>
      </c>
      <c r="AI66" s="344">
        <v>9</v>
      </c>
      <c r="AJ66" s="344">
        <v>3</v>
      </c>
    </row>
    <row r="67" spans="1:37">
      <c r="A67" s="278">
        <v>65</v>
      </c>
      <c r="B67" s="344">
        <v>4</v>
      </c>
      <c r="C67" s="344">
        <v>12</v>
      </c>
      <c r="E67" s="344">
        <v>5</v>
      </c>
      <c r="F67" s="344">
        <v>2</v>
      </c>
      <c r="H67" s="344">
        <v>13</v>
      </c>
      <c r="I67" s="344">
        <v>6</v>
      </c>
      <c r="K67" s="344">
        <v>1</v>
      </c>
      <c r="L67" s="344">
        <v>0</v>
      </c>
      <c r="N67" s="344">
        <v>13</v>
      </c>
      <c r="O67" s="344">
        <v>4</v>
      </c>
      <c r="Q67" s="344">
        <v>7</v>
      </c>
      <c r="R67" s="344">
        <v>6</v>
      </c>
      <c r="T67" s="344">
        <v>6</v>
      </c>
      <c r="U67" s="344">
        <v>8</v>
      </c>
      <c r="W67" s="344">
        <v>3</v>
      </c>
      <c r="X67" s="344">
        <v>9</v>
      </c>
      <c r="Z67" s="344">
        <v>3</v>
      </c>
      <c r="AA67" s="344">
        <v>10</v>
      </c>
      <c r="AC67" s="344">
        <v>9</v>
      </c>
      <c r="AD67" s="344">
        <v>3</v>
      </c>
      <c r="AF67" s="344">
        <v>7</v>
      </c>
      <c r="AG67" s="344">
        <v>1</v>
      </c>
      <c r="AI67" s="344">
        <v>6</v>
      </c>
      <c r="AJ67" s="344">
        <v>5</v>
      </c>
    </row>
    <row r="68" spans="1:37">
      <c r="A68" s="278">
        <v>66</v>
      </c>
      <c r="B68" s="344">
        <v>5</v>
      </c>
      <c r="C68" s="344">
        <v>6</v>
      </c>
      <c r="E68" s="344">
        <v>10</v>
      </c>
      <c r="F68" s="344">
        <v>3</v>
      </c>
      <c r="H68" s="344">
        <v>6</v>
      </c>
      <c r="I68" s="344">
        <v>7</v>
      </c>
      <c r="K68" s="344">
        <v>3</v>
      </c>
      <c r="L68" s="344">
        <v>8</v>
      </c>
      <c r="N68" s="344">
        <v>3</v>
      </c>
      <c r="O68" s="344">
        <v>2</v>
      </c>
      <c r="Q68" s="344">
        <v>4</v>
      </c>
      <c r="R68" s="344">
        <v>13</v>
      </c>
      <c r="T68" s="344">
        <v>2</v>
      </c>
      <c r="U68" s="344">
        <v>6</v>
      </c>
      <c r="W68" s="344">
        <v>2</v>
      </c>
      <c r="X68" s="344">
        <v>10</v>
      </c>
      <c r="Z68" s="344">
        <v>7</v>
      </c>
      <c r="AA68" s="344">
        <v>2</v>
      </c>
      <c r="AC68" s="344">
        <v>8</v>
      </c>
      <c r="AD68" s="344">
        <v>3</v>
      </c>
      <c r="AF68" s="344">
        <v>8</v>
      </c>
      <c r="AG68" s="344">
        <v>6</v>
      </c>
      <c r="AI68" s="344">
        <v>3</v>
      </c>
      <c r="AJ68" s="344">
        <v>13</v>
      </c>
    </row>
    <row r="69" spans="1:37">
      <c r="A69" s="278">
        <v>67</v>
      </c>
      <c r="B69" s="344">
        <v>13</v>
      </c>
      <c r="C69" s="344">
        <v>3</v>
      </c>
      <c r="E69" s="344">
        <v>2</v>
      </c>
      <c r="F69" s="344">
        <v>7</v>
      </c>
      <c r="H69" s="344">
        <v>10</v>
      </c>
      <c r="I69" s="344">
        <v>2</v>
      </c>
      <c r="K69" s="344">
        <v>8</v>
      </c>
      <c r="L69" s="344">
        <v>6</v>
      </c>
      <c r="N69" s="344">
        <v>6</v>
      </c>
      <c r="O69" s="344">
        <v>4</v>
      </c>
      <c r="Q69" s="344">
        <v>2</v>
      </c>
      <c r="R69" s="344">
        <v>3</v>
      </c>
      <c r="T69" s="344">
        <v>2</v>
      </c>
      <c r="U69" s="344">
        <v>4</v>
      </c>
      <c r="W69" s="344">
        <v>1</v>
      </c>
      <c r="X69" s="344">
        <v>10</v>
      </c>
      <c r="Z69" s="344">
        <v>24</v>
      </c>
      <c r="AA69" s="344">
        <v>8</v>
      </c>
      <c r="AC69" s="344">
        <v>6</v>
      </c>
      <c r="AD69" s="344">
        <v>8</v>
      </c>
      <c r="AF69" s="344">
        <v>6</v>
      </c>
      <c r="AG69" s="344">
        <v>2</v>
      </c>
      <c r="AI69" s="344">
        <v>1</v>
      </c>
      <c r="AJ69" s="344">
        <v>2</v>
      </c>
    </row>
    <row r="70" spans="1:37">
      <c r="A70" s="278">
        <v>68</v>
      </c>
      <c r="B70" s="344">
        <v>2</v>
      </c>
      <c r="C70" s="344">
        <v>1</v>
      </c>
      <c r="E70" s="344">
        <v>8</v>
      </c>
      <c r="F70" s="344">
        <v>24</v>
      </c>
      <c r="H70" s="344">
        <v>10</v>
      </c>
      <c r="I70" s="344">
        <v>1</v>
      </c>
      <c r="K70" s="344">
        <v>1</v>
      </c>
      <c r="L70" s="344">
        <v>2</v>
      </c>
      <c r="N70" s="344">
        <v>7</v>
      </c>
      <c r="O70" s="344">
        <v>9</v>
      </c>
      <c r="Q70" s="344">
        <v>4</v>
      </c>
      <c r="R70" s="344">
        <v>6</v>
      </c>
      <c r="T70" s="344">
        <v>6</v>
      </c>
      <c r="U70" s="344">
        <v>0</v>
      </c>
      <c r="W70" s="344">
        <v>5</v>
      </c>
      <c r="X70" s="344">
        <v>1</v>
      </c>
      <c r="Z70" s="344">
        <v>10</v>
      </c>
      <c r="AA70" s="344">
        <v>2</v>
      </c>
      <c r="AC70" s="344">
        <v>2</v>
      </c>
      <c r="AD70" s="344">
        <v>1</v>
      </c>
      <c r="AF70" s="344">
        <v>4</v>
      </c>
      <c r="AG70" s="344">
        <v>2</v>
      </c>
      <c r="AI70" s="344">
        <v>4</v>
      </c>
      <c r="AJ70" s="344">
        <v>5</v>
      </c>
    </row>
    <row r="71" spans="1:37">
      <c r="A71" s="278">
        <v>69</v>
      </c>
      <c r="B71" s="344">
        <v>2</v>
      </c>
      <c r="C71" s="344">
        <v>5</v>
      </c>
      <c r="E71" s="344">
        <v>2</v>
      </c>
      <c r="F71" s="344">
        <v>10</v>
      </c>
      <c r="H71" s="344">
        <v>5</v>
      </c>
      <c r="I71" s="344">
        <v>4</v>
      </c>
      <c r="K71" s="344">
        <v>1</v>
      </c>
      <c r="L71" s="344">
        <v>5</v>
      </c>
      <c r="N71" s="344">
        <v>5</v>
      </c>
      <c r="O71" s="344">
        <v>2</v>
      </c>
      <c r="Q71" s="344">
        <v>9</v>
      </c>
      <c r="R71" s="344">
        <v>7</v>
      </c>
      <c r="T71" s="344">
        <v>5</v>
      </c>
      <c r="U71" s="344">
        <v>1</v>
      </c>
      <c r="W71" s="344">
        <v>4</v>
      </c>
      <c r="X71" s="344">
        <v>12</v>
      </c>
      <c r="Z71" s="344">
        <v>12</v>
      </c>
      <c r="AA71" s="344">
        <v>4</v>
      </c>
      <c r="AC71" s="344">
        <v>5</v>
      </c>
      <c r="AD71" s="344">
        <v>1</v>
      </c>
      <c r="AF71" s="344">
        <v>0</v>
      </c>
      <c r="AG71" s="344">
        <v>2</v>
      </c>
      <c r="AI71" s="344">
        <v>2</v>
      </c>
      <c r="AJ71" s="344">
        <v>4</v>
      </c>
    </row>
    <row r="72" spans="1:37">
      <c r="A72" s="278">
        <v>70</v>
      </c>
      <c r="B72" s="344">
        <v>2</v>
      </c>
      <c r="C72" s="344">
        <v>8</v>
      </c>
      <c r="E72" s="344">
        <v>0</v>
      </c>
      <c r="F72" s="344">
        <v>6</v>
      </c>
      <c r="H72" s="344">
        <v>5</v>
      </c>
      <c r="I72" s="344">
        <v>4</v>
      </c>
      <c r="K72" s="344">
        <v>2</v>
      </c>
      <c r="L72" s="344">
        <v>0</v>
      </c>
      <c r="N72" s="344">
        <v>8</v>
      </c>
      <c r="O72" s="344">
        <v>2</v>
      </c>
      <c r="Q72" s="344">
        <v>2</v>
      </c>
      <c r="R72" s="344">
        <v>4</v>
      </c>
      <c r="T72" s="344">
        <v>4</v>
      </c>
      <c r="U72" s="344">
        <v>1</v>
      </c>
      <c r="W72" s="344">
        <v>2</v>
      </c>
      <c r="X72" s="344">
        <v>9</v>
      </c>
      <c r="Z72" s="344">
        <v>9</v>
      </c>
      <c r="AA72" s="344">
        <v>2</v>
      </c>
      <c r="AC72" s="344">
        <v>4</v>
      </c>
      <c r="AD72" s="344">
        <v>2</v>
      </c>
      <c r="AF72" s="344">
        <v>3</v>
      </c>
      <c r="AG72" s="344">
        <v>9</v>
      </c>
      <c r="AI72" s="344">
        <v>4</v>
      </c>
      <c r="AJ72" s="344">
        <v>10</v>
      </c>
      <c r="AK72" s="328"/>
    </row>
    <row r="73" spans="1:37">
      <c r="A73" s="278">
        <v>71</v>
      </c>
      <c r="B73" s="344">
        <v>4</v>
      </c>
      <c r="C73" s="344">
        <v>9</v>
      </c>
      <c r="E73" s="344">
        <v>1</v>
      </c>
      <c r="F73" s="344">
        <v>5</v>
      </c>
      <c r="H73" s="344">
        <v>4</v>
      </c>
      <c r="I73" s="344">
        <v>2</v>
      </c>
      <c r="K73" s="344">
        <v>9</v>
      </c>
      <c r="L73" s="344">
        <v>3</v>
      </c>
      <c r="N73" s="344">
        <v>9</v>
      </c>
      <c r="O73" s="344">
        <v>4</v>
      </c>
      <c r="Q73" s="344">
        <v>8</v>
      </c>
      <c r="R73" s="344">
        <v>9</v>
      </c>
      <c r="T73" s="344">
        <v>2</v>
      </c>
      <c r="U73" s="344">
        <v>1</v>
      </c>
      <c r="W73" s="344">
        <v>7</v>
      </c>
      <c r="X73" s="344">
        <v>1</v>
      </c>
      <c r="Z73" s="344">
        <v>1</v>
      </c>
      <c r="AA73" s="344">
        <v>7</v>
      </c>
      <c r="AC73" s="344">
        <v>9</v>
      </c>
      <c r="AD73" s="344">
        <v>8</v>
      </c>
      <c r="AF73" s="344">
        <v>0</v>
      </c>
      <c r="AG73" s="344">
        <v>10</v>
      </c>
      <c r="AI73" s="344">
        <v>9</v>
      </c>
      <c r="AJ73" s="344">
        <v>0</v>
      </c>
    </row>
    <row r="74" spans="1:37">
      <c r="A74" s="278">
        <v>72</v>
      </c>
      <c r="B74" s="344">
        <v>6</v>
      </c>
      <c r="C74" s="344">
        <v>9</v>
      </c>
      <c r="E74" s="344">
        <v>1</v>
      </c>
      <c r="F74" s="344">
        <v>4</v>
      </c>
      <c r="H74" s="344">
        <v>10</v>
      </c>
      <c r="I74" s="344">
        <v>4</v>
      </c>
      <c r="K74" s="344">
        <v>10</v>
      </c>
      <c r="L74" s="344">
        <v>0</v>
      </c>
      <c r="N74" s="344">
        <v>2</v>
      </c>
      <c r="O74" s="344">
        <v>1</v>
      </c>
      <c r="Q74" s="344">
        <v>3</v>
      </c>
      <c r="R74" s="344">
        <v>2</v>
      </c>
      <c r="T74" s="344">
        <v>12</v>
      </c>
      <c r="U74" s="344">
        <v>1</v>
      </c>
      <c r="W74" s="344">
        <v>2</v>
      </c>
      <c r="X74" s="344">
        <v>7</v>
      </c>
      <c r="Z74" s="344">
        <v>0</v>
      </c>
      <c r="AA74" s="344">
        <v>9</v>
      </c>
      <c r="AC74" s="344">
        <v>2</v>
      </c>
      <c r="AD74" s="344">
        <v>3</v>
      </c>
      <c r="AF74" s="344">
        <v>2</v>
      </c>
      <c r="AG74" s="344">
        <v>1</v>
      </c>
      <c r="AI74" s="344">
        <v>7</v>
      </c>
      <c r="AJ74" s="344">
        <v>1</v>
      </c>
    </row>
    <row r="75" spans="1:37">
      <c r="A75" s="278">
        <v>73</v>
      </c>
      <c r="B75" s="344">
        <v>4</v>
      </c>
      <c r="C75" s="344">
        <v>1</v>
      </c>
      <c r="E75" s="344">
        <v>9</v>
      </c>
      <c r="F75" s="344">
        <v>6</v>
      </c>
      <c r="H75" s="344">
        <v>1</v>
      </c>
      <c r="I75" s="344">
        <v>2</v>
      </c>
      <c r="K75" s="344">
        <v>1</v>
      </c>
      <c r="L75" s="344">
        <v>2</v>
      </c>
      <c r="N75" s="344">
        <v>1</v>
      </c>
      <c r="O75" s="344">
        <v>2</v>
      </c>
      <c r="Q75" s="344">
        <v>1</v>
      </c>
      <c r="R75" s="344">
        <v>2</v>
      </c>
      <c r="T75" s="344">
        <v>3</v>
      </c>
      <c r="U75" s="344">
        <v>6</v>
      </c>
      <c r="W75" s="344">
        <v>16</v>
      </c>
      <c r="X75" s="344">
        <v>4</v>
      </c>
      <c r="Z75" s="344">
        <v>1</v>
      </c>
      <c r="AA75" s="344">
        <v>7</v>
      </c>
      <c r="AC75" s="344">
        <v>7</v>
      </c>
      <c r="AD75" s="344">
        <v>2</v>
      </c>
      <c r="AF75" s="344">
        <v>1</v>
      </c>
      <c r="AG75" s="344">
        <v>2</v>
      </c>
      <c r="AI75" s="344">
        <v>3</v>
      </c>
      <c r="AJ75" s="344">
        <v>0</v>
      </c>
    </row>
    <row r="76" spans="1:37">
      <c r="A76" s="278">
        <v>74</v>
      </c>
      <c r="B76" s="344">
        <v>1</v>
      </c>
      <c r="C76" s="344">
        <v>4</v>
      </c>
      <c r="E76" s="344">
        <v>1</v>
      </c>
      <c r="F76" s="344">
        <v>4</v>
      </c>
      <c r="H76" s="344">
        <v>2</v>
      </c>
      <c r="I76" s="344">
        <v>1</v>
      </c>
      <c r="K76" s="344">
        <v>1</v>
      </c>
      <c r="L76" s="344">
        <v>12</v>
      </c>
      <c r="N76" s="344">
        <v>0</v>
      </c>
      <c r="O76" s="344">
        <v>3</v>
      </c>
      <c r="Q76" s="344">
        <v>2</v>
      </c>
      <c r="R76" s="344">
        <v>1</v>
      </c>
      <c r="T76" s="344">
        <v>0</v>
      </c>
      <c r="U76" s="344">
        <v>1</v>
      </c>
      <c r="W76" s="344">
        <v>11</v>
      </c>
      <c r="X76" s="344">
        <v>2</v>
      </c>
      <c r="Z76" s="344">
        <v>0</v>
      </c>
      <c r="AA76" s="344">
        <v>3</v>
      </c>
      <c r="AC76" s="344">
        <v>4</v>
      </c>
      <c r="AD76" s="344">
        <v>16</v>
      </c>
      <c r="AF76" s="344">
        <v>4</v>
      </c>
      <c r="AG76" s="344">
        <v>5</v>
      </c>
      <c r="AI76" s="344">
        <v>13</v>
      </c>
      <c r="AJ76" s="344">
        <v>4</v>
      </c>
    </row>
    <row r="77" spans="1:37">
      <c r="A77" s="278">
        <v>75</v>
      </c>
      <c r="B77" s="344">
        <v>3</v>
      </c>
      <c r="C77" s="344">
        <v>6</v>
      </c>
      <c r="E77" s="344">
        <v>4</v>
      </c>
      <c r="F77" s="344">
        <v>1</v>
      </c>
      <c r="H77" s="344">
        <v>3</v>
      </c>
      <c r="I77" s="344">
        <v>0</v>
      </c>
      <c r="K77" s="344">
        <v>6</v>
      </c>
      <c r="L77" s="344">
        <v>3</v>
      </c>
      <c r="N77" s="344">
        <v>1</v>
      </c>
      <c r="O77" s="344">
        <v>0</v>
      </c>
      <c r="Q77" s="344">
        <v>5</v>
      </c>
      <c r="R77" s="344">
        <v>4</v>
      </c>
      <c r="T77" s="344">
        <v>6</v>
      </c>
      <c r="U77" s="344">
        <v>5</v>
      </c>
      <c r="W77" s="344">
        <v>7</v>
      </c>
      <c r="X77" s="344">
        <v>8</v>
      </c>
      <c r="Z77" s="344">
        <v>9</v>
      </c>
      <c r="AA77" s="344">
        <v>10</v>
      </c>
      <c r="AC77" s="344">
        <v>2</v>
      </c>
      <c r="AD77" s="344">
        <v>11</v>
      </c>
      <c r="AF77" s="344">
        <v>4</v>
      </c>
      <c r="AG77" s="344">
        <v>13</v>
      </c>
      <c r="AI77" s="344">
        <v>4</v>
      </c>
      <c r="AJ77" s="344">
        <v>5</v>
      </c>
    </row>
    <row r="78" spans="1:37">
      <c r="A78" s="278">
        <v>76</v>
      </c>
      <c r="B78" s="344">
        <v>10</v>
      </c>
      <c r="C78" s="344">
        <v>8</v>
      </c>
      <c r="E78" s="344">
        <v>6</v>
      </c>
      <c r="F78" s="344">
        <v>5</v>
      </c>
      <c r="H78" s="344">
        <v>8</v>
      </c>
      <c r="I78" s="344">
        <v>7</v>
      </c>
      <c r="K78" s="344">
        <v>5</v>
      </c>
      <c r="L78" s="344">
        <v>6</v>
      </c>
      <c r="N78" s="344">
        <v>5</v>
      </c>
      <c r="O78" s="344">
        <v>6</v>
      </c>
      <c r="Q78" s="344">
        <v>6</v>
      </c>
      <c r="R78" s="344">
        <v>3</v>
      </c>
      <c r="T78" s="344">
        <v>8</v>
      </c>
      <c r="U78" s="344">
        <v>5</v>
      </c>
      <c r="W78" s="344">
        <v>2</v>
      </c>
      <c r="X78" s="344">
        <v>3</v>
      </c>
      <c r="Z78" s="344">
        <v>0</v>
      </c>
      <c r="AA78" s="344">
        <v>9</v>
      </c>
      <c r="AC78" s="344">
        <v>10</v>
      </c>
      <c r="AD78" s="344">
        <v>9</v>
      </c>
      <c r="AF78" s="344">
        <v>5</v>
      </c>
      <c r="AG78" s="344">
        <v>4</v>
      </c>
      <c r="AI78" s="344">
        <v>4</v>
      </c>
      <c r="AJ78" s="344">
        <v>0</v>
      </c>
    </row>
    <row r="79" spans="1:37">
      <c r="A79" s="278">
        <v>77</v>
      </c>
      <c r="B79" s="344">
        <v>3</v>
      </c>
      <c r="C79" s="344">
        <v>4</v>
      </c>
      <c r="E79" s="344">
        <v>5</v>
      </c>
      <c r="F79" s="344">
        <v>7</v>
      </c>
      <c r="H79" s="344">
        <v>3</v>
      </c>
      <c r="I79" s="344">
        <v>2</v>
      </c>
      <c r="K79" s="344">
        <v>7</v>
      </c>
      <c r="L79" s="344">
        <v>5</v>
      </c>
      <c r="N79" s="344">
        <v>5</v>
      </c>
      <c r="O79" s="344">
        <v>8</v>
      </c>
      <c r="Q79" s="344">
        <v>8</v>
      </c>
      <c r="R79" s="344">
        <v>10</v>
      </c>
      <c r="T79" s="344">
        <v>12</v>
      </c>
      <c r="U79" s="344">
        <v>3</v>
      </c>
      <c r="W79" s="344">
        <v>2</v>
      </c>
      <c r="X79" s="344">
        <v>7</v>
      </c>
      <c r="Z79" s="344">
        <v>3</v>
      </c>
      <c r="AA79" s="344">
        <v>5</v>
      </c>
      <c r="AC79" s="344">
        <v>9</v>
      </c>
      <c r="AD79" s="344">
        <v>0</v>
      </c>
      <c r="AF79" s="344">
        <v>0</v>
      </c>
      <c r="AG79" s="344">
        <v>4</v>
      </c>
      <c r="AI79" s="344">
        <v>1</v>
      </c>
      <c r="AJ79" s="344">
        <v>3</v>
      </c>
    </row>
    <row r="80" spans="1:37">
      <c r="A80" s="278">
        <v>78</v>
      </c>
      <c r="B80" s="344">
        <v>3</v>
      </c>
      <c r="C80" s="344">
        <v>11</v>
      </c>
      <c r="E80" s="344">
        <v>1</v>
      </c>
      <c r="F80" s="344">
        <v>4</v>
      </c>
      <c r="H80" s="344">
        <v>7</v>
      </c>
      <c r="I80" s="344">
        <v>2</v>
      </c>
      <c r="K80" s="344">
        <v>7</v>
      </c>
      <c r="L80" s="344">
        <v>0</v>
      </c>
      <c r="N80" s="344">
        <v>3</v>
      </c>
      <c r="O80" s="344">
        <v>12</v>
      </c>
      <c r="Q80" s="344">
        <v>4</v>
      </c>
      <c r="R80" s="344">
        <v>3</v>
      </c>
      <c r="T80" s="344">
        <v>11</v>
      </c>
      <c r="U80" s="344">
        <v>3</v>
      </c>
      <c r="W80" s="344">
        <v>9</v>
      </c>
      <c r="X80" s="344">
        <v>6</v>
      </c>
      <c r="Z80" s="344">
        <v>4</v>
      </c>
      <c r="AA80" s="344">
        <v>2</v>
      </c>
      <c r="AC80" s="344">
        <v>5</v>
      </c>
      <c r="AD80" s="344">
        <v>3</v>
      </c>
      <c r="AF80" s="344">
        <v>3</v>
      </c>
      <c r="AG80" s="344">
        <v>1</v>
      </c>
      <c r="AI80" s="344">
        <v>6</v>
      </c>
      <c r="AJ80" s="344">
        <v>9</v>
      </c>
    </row>
    <row r="81" spans="1:36">
      <c r="A81" s="278">
        <v>79</v>
      </c>
      <c r="B81" s="344">
        <v>1</v>
      </c>
      <c r="C81" s="344">
        <v>4</v>
      </c>
      <c r="E81" s="344">
        <v>3</v>
      </c>
      <c r="F81" s="344">
        <v>9</v>
      </c>
      <c r="H81" s="344">
        <v>7</v>
      </c>
      <c r="I81" s="344">
        <v>6</v>
      </c>
      <c r="K81" s="344">
        <v>4</v>
      </c>
      <c r="L81" s="344">
        <v>1</v>
      </c>
      <c r="N81" s="344">
        <v>2</v>
      </c>
      <c r="O81" s="344">
        <v>4</v>
      </c>
      <c r="Q81" s="344">
        <v>4</v>
      </c>
      <c r="R81" s="344">
        <v>2</v>
      </c>
      <c r="T81" s="344">
        <v>4</v>
      </c>
      <c r="U81" s="344">
        <v>1</v>
      </c>
      <c r="W81" s="344">
        <v>7</v>
      </c>
      <c r="X81" s="344">
        <v>8</v>
      </c>
      <c r="Z81" s="344">
        <v>4</v>
      </c>
      <c r="AA81" s="344">
        <v>0</v>
      </c>
      <c r="AC81" s="344">
        <v>6</v>
      </c>
      <c r="AD81" s="344">
        <v>7</v>
      </c>
      <c r="AF81" s="344">
        <v>2</v>
      </c>
      <c r="AG81" s="344">
        <v>4</v>
      </c>
      <c r="AI81" s="344">
        <v>8</v>
      </c>
      <c r="AJ81" s="344">
        <v>7</v>
      </c>
    </row>
    <row r="82" spans="1:36">
      <c r="A82" s="278">
        <v>80</v>
      </c>
      <c r="B82" s="344">
        <v>16</v>
      </c>
      <c r="C82" s="344">
        <v>5</v>
      </c>
      <c r="E82" s="344">
        <v>11</v>
      </c>
      <c r="F82" s="344">
        <v>5</v>
      </c>
      <c r="H82" s="344">
        <v>4</v>
      </c>
      <c r="I82" s="344">
        <v>5</v>
      </c>
      <c r="K82" s="344">
        <v>9</v>
      </c>
      <c r="L82" s="344">
        <v>3</v>
      </c>
      <c r="N82" s="344">
        <v>0</v>
      </c>
      <c r="O82" s="344">
        <v>4</v>
      </c>
      <c r="Q82" s="344">
        <v>10</v>
      </c>
      <c r="R82" s="344">
        <v>15</v>
      </c>
      <c r="T82" s="344">
        <v>5</v>
      </c>
      <c r="U82" s="344">
        <v>16</v>
      </c>
      <c r="W82" s="344">
        <v>2</v>
      </c>
      <c r="X82" s="344">
        <v>7</v>
      </c>
      <c r="Z82" s="344">
        <v>7</v>
      </c>
      <c r="AA82" s="344">
        <v>9</v>
      </c>
      <c r="AC82" s="344">
        <v>5</v>
      </c>
      <c r="AD82" s="344">
        <v>4</v>
      </c>
      <c r="AF82" s="344">
        <v>15</v>
      </c>
      <c r="AG82" s="344">
        <v>10</v>
      </c>
      <c r="AI82" s="344">
        <v>7</v>
      </c>
      <c r="AJ82" s="344">
        <v>2</v>
      </c>
    </row>
    <row r="83" spans="1:36">
      <c r="A83" s="278">
        <v>81</v>
      </c>
      <c r="B83" s="344">
        <v>6</v>
      </c>
      <c r="C83" s="344">
        <v>0</v>
      </c>
      <c r="E83" s="344">
        <v>0</v>
      </c>
      <c r="F83" s="344">
        <v>2</v>
      </c>
      <c r="H83" s="344">
        <v>4</v>
      </c>
      <c r="I83" s="344">
        <v>2</v>
      </c>
      <c r="K83" s="344">
        <v>5</v>
      </c>
      <c r="L83" s="344">
        <v>11</v>
      </c>
      <c r="N83" s="344">
        <v>9</v>
      </c>
      <c r="O83" s="344">
        <v>7</v>
      </c>
      <c r="Q83" s="344">
        <v>10</v>
      </c>
      <c r="R83" s="344">
        <v>4</v>
      </c>
      <c r="T83" s="344">
        <v>6</v>
      </c>
      <c r="U83" s="344">
        <v>7</v>
      </c>
      <c r="W83" s="344">
        <v>2</v>
      </c>
      <c r="X83" s="344">
        <v>7</v>
      </c>
      <c r="Z83" s="344">
        <v>3</v>
      </c>
      <c r="AA83" s="344">
        <v>8</v>
      </c>
      <c r="AC83" s="344">
        <v>2</v>
      </c>
      <c r="AD83" s="344">
        <v>4</v>
      </c>
      <c r="AF83" s="344">
        <v>4</v>
      </c>
      <c r="AG83" s="344">
        <v>10</v>
      </c>
      <c r="AI83" s="344">
        <v>2</v>
      </c>
      <c r="AJ83" s="344">
        <v>0</v>
      </c>
    </row>
    <row r="84" spans="1:36">
      <c r="A84" s="278">
        <v>82</v>
      </c>
      <c r="B84" s="344">
        <v>1</v>
      </c>
      <c r="C84" s="344">
        <v>7</v>
      </c>
      <c r="E84" s="344">
        <v>10</v>
      </c>
      <c r="F84" s="344">
        <v>8</v>
      </c>
      <c r="H84" s="344">
        <v>6</v>
      </c>
      <c r="I84" s="344">
        <v>7</v>
      </c>
      <c r="K84" s="344">
        <v>0</v>
      </c>
      <c r="L84" s="344">
        <v>6</v>
      </c>
      <c r="N84" s="344">
        <v>7</v>
      </c>
      <c r="O84" s="344">
        <v>6</v>
      </c>
      <c r="Q84" s="344">
        <v>8</v>
      </c>
      <c r="R84" s="344">
        <v>3</v>
      </c>
      <c r="T84" s="344">
        <v>2</v>
      </c>
      <c r="U84" s="344">
        <v>1</v>
      </c>
      <c r="W84" s="344">
        <v>9</v>
      </c>
      <c r="X84" s="344">
        <v>8</v>
      </c>
      <c r="Z84" s="344">
        <v>0</v>
      </c>
      <c r="AA84" s="344">
        <v>5</v>
      </c>
      <c r="AC84" s="344">
        <v>7</v>
      </c>
      <c r="AD84" s="344">
        <v>6</v>
      </c>
      <c r="AF84" s="344">
        <v>7</v>
      </c>
      <c r="AG84" s="344">
        <v>2</v>
      </c>
      <c r="AI84" s="344">
        <v>8</v>
      </c>
      <c r="AJ84" s="344">
        <v>10</v>
      </c>
    </row>
    <row r="85" spans="1:36">
      <c r="A85" s="278">
        <v>83</v>
      </c>
      <c r="B85" s="344">
        <v>6</v>
      </c>
      <c r="C85" s="344">
        <v>0</v>
      </c>
      <c r="E85" s="344">
        <v>6</v>
      </c>
      <c r="F85" s="344">
        <v>7</v>
      </c>
      <c r="H85" s="344">
        <v>1</v>
      </c>
      <c r="I85" s="344">
        <v>2</v>
      </c>
      <c r="K85" s="344">
        <v>7</v>
      </c>
      <c r="L85" s="344">
        <v>1</v>
      </c>
      <c r="N85" s="344">
        <v>1</v>
      </c>
      <c r="O85" s="344">
        <v>2</v>
      </c>
      <c r="Q85" s="344">
        <v>5</v>
      </c>
      <c r="R85" s="344">
        <v>0</v>
      </c>
      <c r="T85" s="344">
        <v>6</v>
      </c>
      <c r="U85" s="344">
        <v>4</v>
      </c>
      <c r="W85" s="344">
        <v>11</v>
      </c>
      <c r="X85" s="344">
        <v>13</v>
      </c>
      <c r="Z85" s="344">
        <v>0</v>
      </c>
      <c r="AA85" s="344">
        <v>2</v>
      </c>
      <c r="AC85" s="344">
        <v>2</v>
      </c>
      <c r="AD85" s="344">
        <v>1</v>
      </c>
      <c r="AF85" s="344">
        <v>8</v>
      </c>
      <c r="AG85" s="344">
        <v>9</v>
      </c>
      <c r="AI85" s="344">
        <v>7</v>
      </c>
      <c r="AJ85" s="344">
        <v>6</v>
      </c>
    </row>
    <row r="86" spans="1:36">
      <c r="A86" s="278">
        <v>84</v>
      </c>
      <c r="B86" s="344">
        <v>4</v>
      </c>
      <c r="C86" s="344">
        <v>5</v>
      </c>
      <c r="E86" s="344">
        <v>5</v>
      </c>
      <c r="F86" s="344">
        <v>6</v>
      </c>
      <c r="H86" s="344">
        <v>8</v>
      </c>
      <c r="I86" s="344">
        <v>3</v>
      </c>
      <c r="K86" s="344">
        <v>0</v>
      </c>
      <c r="L86" s="344">
        <v>6</v>
      </c>
      <c r="N86" s="344">
        <v>4</v>
      </c>
      <c r="O86" s="344">
        <v>6</v>
      </c>
      <c r="Q86" s="344">
        <v>2</v>
      </c>
      <c r="R86" s="344">
        <v>0</v>
      </c>
      <c r="T86" s="344">
        <v>4</v>
      </c>
      <c r="U86" s="344">
        <v>9</v>
      </c>
      <c r="W86" s="344">
        <v>1</v>
      </c>
      <c r="X86" s="344">
        <v>10</v>
      </c>
      <c r="Z86" s="344">
        <v>9</v>
      </c>
      <c r="AA86" s="344">
        <v>4</v>
      </c>
      <c r="AC86" s="344">
        <v>3</v>
      </c>
      <c r="AD86" s="344">
        <v>8</v>
      </c>
      <c r="AF86" s="344">
        <v>13</v>
      </c>
      <c r="AG86" s="344">
        <v>11</v>
      </c>
      <c r="AI86" s="344">
        <v>8</v>
      </c>
      <c r="AJ86" s="344">
        <v>3</v>
      </c>
    </row>
    <row r="87" spans="1:36">
      <c r="A87" s="278">
        <v>85</v>
      </c>
      <c r="B87" s="344">
        <v>2</v>
      </c>
      <c r="C87" s="344">
        <v>3</v>
      </c>
      <c r="E87" s="344">
        <v>2</v>
      </c>
      <c r="F87" s="344">
        <v>3</v>
      </c>
      <c r="H87" s="344">
        <v>6</v>
      </c>
      <c r="I87" s="344">
        <v>5</v>
      </c>
      <c r="K87" s="344">
        <v>5</v>
      </c>
      <c r="L87" s="344">
        <v>4</v>
      </c>
      <c r="N87" s="344">
        <v>2</v>
      </c>
      <c r="O87" s="344">
        <v>1</v>
      </c>
      <c r="Q87" s="344">
        <v>1</v>
      </c>
      <c r="R87" s="344">
        <v>2</v>
      </c>
      <c r="T87" s="344">
        <v>0</v>
      </c>
      <c r="U87" s="344">
        <v>1</v>
      </c>
      <c r="W87" s="344">
        <v>7</v>
      </c>
      <c r="X87" s="344">
        <v>2</v>
      </c>
      <c r="Z87" s="344">
        <v>1</v>
      </c>
      <c r="AA87" s="344">
        <v>0</v>
      </c>
      <c r="AC87" s="344">
        <v>3</v>
      </c>
      <c r="AD87" s="344">
        <v>8</v>
      </c>
      <c r="AF87" s="344">
        <v>10</v>
      </c>
      <c r="AG87" s="344">
        <v>1</v>
      </c>
      <c r="AI87" s="344">
        <v>5</v>
      </c>
      <c r="AJ87" s="344">
        <v>6</v>
      </c>
    </row>
    <row r="88" spans="1:36">
      <c r="A88" s="278">
        <v>86</v>
      </c>
      <c r="B88" s="344">
        <v>13</v>
      </c>
      <c r="C88" s="344">
        <v>2</v>
      </c>
      <c r="E88" s="344">
        <v>6</v>
      </c>
      <c r="F88" s="344">
        <v>5</v>
      </c>
      <c r="H88" s="344">
        <v>3</v>
      </c>
      <c r="I88" s="344">
        <v>2</v>
      </c>
      <c r="K88" s="344">
        <v>3</v>
      </c>
      <c r="L88" s="344">
        <v>2</v>
      </c>
      <c r="N88" s="344">
        <v>2</v>
      </c>
      <c r="O88" s="344">
        <v>9</v>
      </c>
      <c r="Q88" s="344">
        <v>9</v>
      </c>
      <c r="R88" s="344">
        <v>2</v>
      </c>
      <c r="T88" s="344">
        <v>1</v>
      </c>
      <c r="U88" s="344">
        <v>7</v>
      </c>
      <c r="W88" s="344">
        <v>6</v>
      </c>
      <c r="X88" s="344">
        <v>7</v>
      </c>
      <c r="Z88" s="344">
        <v>7</v>
      </c>
      <c r="AA88" s="344">
        <v>1</v>
      </c>
      <c r="AC88" s="344">
        <v>6</v>
      </c>
      <c r="AD88" s="344">
        <v>5</v>
      </c>
      <c r="AF88" s="344">
        <v>2</v>
      </c>
      <c r="AG88" s="344">
        <v>7</v>
      </c>
      <c r="AI88" s="344">
        <v>3</v>
      </c>
      <c r="AJ88" s="344">
        <v>9</v>
      </c>
    </row>
    <row r="89" spans="1:36">
      <c r="A89" s="278">
        <v>87</v>
      </c>
      <c r="B89" s="344">
        <v>7</v>
      </c>
      <c r="C89" s="344">
        <v>6</v>
      </c>
      <c r="E89" s="344">
        <v>3</v>
      </c>
      <c r="F89" s="344">
        <v>9</v>
      </c>
      <c r="H89" s="344">
        <v>5</v>
      </c>
      <c r="I89" s="344">
        <v>6</v>
      </c>
      <c r="K89" s="344">
        <v>2</v>
      </c>
      <c r="L89" s="344">
        <v>13</v>
      </c>
      <c r="N89" s="344">
        <v>8</v>
      </c>
      <c r="O89" s="344">
        <v>1</v>
      </c>
      <c r="Q89" s="344">
        <v>1</v>
      </c>
      <c r="R89" s="344">
        <v>8</v>
      </c>
      <c r="T89" s="344">
        <v>6</v>
      </c>
      <c r="U89" s="344">
        <v>7</v>
      </c>
      <c r="W89" s="344">
        <v>3</v>
      </c>
      <c r="X89" s="344">
        <v>7</v>
      </c>
      <c r="Z89" s="344">
        <v>2</v>
      </c>
      <c r="AA89" s="344">
        <v>1</v>
      </c>
      <c r="AC89" s="344">
        <v>9</v>
      </c>
      <c r="AD89" s="344">
        <v>3</v>
      </c>
      <c r="AF89" s="344">
        <v>7</v>
      </c>
      <c r="AG89" s="344">
        <v>6</v>
      </c>
      <c r="AI89" s="344">
        <v>1</v>
      </c>
      <c r="AJ89" s="344">
        <v>4</v>
      </c>
    </row>
    <row r="90" spans="1:36">
      <c r="A90" s="278">
        <v>88</v>
      </c>
      <c r="B90" s="344">
        <v>12</v>
      </c>
      <c r="C90" s="344">
        <v>5</v>
      </c>
      <c r="E90" s="344">
        <v>7</v>
      </c>
      <c r="F90" s="344">
        <v>9</v>
      </c>
      <c r="H90" s="344">
        <v>8</v>
      </c>
      <c r="I90" s="344">
        <v>0</v>
      </c>
      <c r="K90" s="344">
        <v>0</v>
      </c>
      <c r="L90" s="344">
        <v>8</v>
      </c>
      <c r="N90" s="344">
        <v>1</v>
      </c>
      <c r="O90" s="344">
        <v>2</v>
      </c>
      <c r="Q90" s="344">
        <v>4</v>
      </c>
      <c r="R90" s="344">
        <v>1</v>
      </c>
      <c r="T90" s="344">
        <v>5</v>
      </c>
      <c r="U90" s="344">
        <v>12</v>
      </c>
      <c r="W90" s="344">
        <v>5</v>
      </c>
      <c r="X90" s="344">
        <v>2</v>
      </c>
      <c r="Z90" s="344">
        <v>3</v>
      </c>
      <c r="AA90" s="344">
        <v>4</v>
      </c>
      <c r="AC90" s="344">
        <v>7</v>
      </c>
      <c r="AD90" s="344">
        <v>3</v>
      </c>
      <c r="AF90" s="344">
        <v>9</v>
      </c>
      <c r="AG90" s="344">
        <v>3</v>
      </c>
      <c r="AI90" s="344">
        <v>0</v>
      </c>
      <c r="AJ90" s="344">
        <v>11</v>
      </c>
    </row>
    <row r="91" spans="1:36">
      <c r="A91" s="278">
        <v>89</v>
      </c>
      <c r="B91" s="344">
        <v>4</v>
      </c>
      <c r="C91" s="344">
        <v>3</v>
      </c>
      <c r="E91" s="344">
        <v>3</v>
      </c>
      <c r="F91" s="344">
        <v>9</v>
      </c>
      <c r="H91" s="344">
        <v>3</v>
      </c>
      <c r="I91" s="344">
        <v>11</v>
      </c>
      <c r="K91" s="344">
        <v>11</v>
      </c>
      <c r="L91" s="344">
        <v>3</v>
      </c>
      <c r="N91" s="344">
        <v>4</v>
      </c>
      <c r="O91" s="344">
        <v>3</v>
      </c>
      <c r="Q91" s="344">
        <v>11</v>
      </c>
      <c r="R91" s="344">
        <v>0</v>
      </c>
      <c r="T91" s="344">
        <v>3</v>
      </c>
      <c r="U91" s="344">
        <v>4</v>
      </c>
      <c r="W91" s="344">
        <v>5</v>
      </c>
      <c r="X91" s="344">
        <v>7</v>
      </c>
      <c r="Z91" s="344">
        <v>2</v>
      </c>
      <c r="AA91" s="344">
        <v>1</v>
      </c>
      <c r="AC91" s="344">
        <v>2</v>
      </c>
      <c r="AD91" s="344">
        <v>5</v>
      </c>
      <c r="AF91" s="344">
        <v>9</v>
      </c>
      <c r="AG91" s="344">
        <v>7</v>
      </c>
      <c r="AI91" s="344">
        <v>3</v>
      </c>
      <c r="AJ91" s="344">
        <v>4</v>
      </c>
    </row>
    <row r="92" spans="1:36">
      <c r="A92" s="278">
        <v>90</v>
      </c>
      <c r="B92" s="344">
        <v>8</v>
      </c>
      <c r="C92" s="344">
        <v>4</v>
      </c>
      <c r="E92" s="344">
        <v>2</v>
      </c>
      <c r="F92" s="344">
        <v>1</v>
      </c>
      <c r="H92" s="344">
        <v>6</v>
      </c>
      <c r="I92" s="344">
        <v>0</v>
      </c>
      <c r="K92" s="344">
        <v>0</v>
      </c>
      <c r="L92" s="344">
        <v>6</v>
      </c>
      <c r="N92" s="344">
        <v>1</v>
      </c>
      <c r="O92" s="344">
        <v>2</v>
      </c>
      <c r="Q92" s="344">
        <v>4</v>
      </c>
      <c r="R92" s="344">
        <v>3</v>
      </c>
      <c r="T92" s="344">
        <v>1</v>
      </c>
      <c r="U92" s="344">
        <v>3</v>
      </c>
      <c r="W92" s="344">
        <v>10</v>
      </c>
      <c r="X92" s="344">
        <v>5</v>
      </c>
      <c r="Z92" s="344">
        <v>8</v>
      </c>
      <c r="AA92" s="344">
        <v>2</v>
      </c>
      <c r="AC92" s="344">
        <v>7</v>
      </c>
      <c r="AD92" s="344">
        <v>5</v>
      </c>
      <c r="AF92" s="344">
        <v>9</v>
      </c>
      <c r="AG92" s="344">
        <v>3</v>
      </c>
      <c r="AI92" s="344">
        <v>5</v>
      </c>
      <c r="AJ92" s="344">
        <v>10</v>
      </c>
    </row>
    <row r="93" spans="1:36">
      <c r="A93" s="278">
        <v>91</v>
      </c>
      <c r="B93" s="344">
        <v>1</v>
      </c>
      <c r="C93" s="344">
        <v>17</v>
      </c>
      <c r="E93" s="344">
        <v>0</v>
      </c>
      <c r="F93" s="344">
        <v>5</v>
      </c>
      <c r="H93" s="344">
        <v>4</v>
      </c>
      <c r="I93" s="344">
        <v>8</v>
      </c>
      <c r="K93" s="344">
        <v>2</v>
      </c>
      <c r="L93" s="344">
        <v>8</v>
      </c>
      <c r="N93" s="344">
        <v>3</v>
      </c>
      <c r="O93" s="344">
        <v>1</v>
      </c>
      <c r="Q93" s="344">
        <v>1</v>
      </c>
      <c r="R93" s="344">
        <v>2</v>
      </c>
      <c r="T93" s="344">
        <v>3</v>
      </c>
      <c r="U93" s="344">
        <v>6</v>
      </c>
      <c r="W93" s="344">
        <v>6</v>
      </c>
      <c r="X93" s="344">
        <v>2</v>
      </c>
      <c r="Z93" s="344">
        <v>6</v>
      </c>
      <c r="AA93" s="344">
        <v>5</v>
      </c>
      <c r="AC93" s="344">
        <v>7</v>
      </c>
      <c r="AD93" s="344">
        <v>4</v>
      </c>
      <c r="AF93" s="344">
        <v>4</v>
      </c>
      <c r="AG93" s="344">
        <v>7</v>
      </c>
      <c r="AI93" s="344">
        <v>2</v>
      </c>
      <c r="AJ93" s="344">
        <v>6</v>
      </c>
    </row>
    <row r="94" spans="1:36">
      <c r="A94" s="278">
        <v>92</v>
      </c>
      <c r="B94" s="344">
        <v>8</v>
      </c>
      <c r="C94" s="344">
        <v>6</v>
      </c>
      <c r="E94" s="344">
        <v>4</v>
      </c>
      <c r="F94" s="344">
        <v>8</v>
      </c>
      <c r="H94" s="344">
        <v>17</v>
      </c>
      <c r="I94" s="344">
        <v>1</v>
      </c>
      <c r="K94" s="344">
        <v>5</v>
      </c>
      <c r="L94" s="344">
        <v>6</v>
      </c>
      <c r="N94" s="344">
        <v>6</v>
      </c>
      <c r="O94" s="344">
        <v>3</v>
      </c>
      <c r="Q94" s="344">
        <v>5</v>
      </c>
      <c r="R94" s="344">
        <v>0</v>
      </c>
      <c r="T94" s="344">
        <v>1</v>
      </c>
      <c r="U94" s="344">
        <v>2</v>
      </c>
      <c r="W94" s="344">
        <v>0</v>
      </c>
      <c r="X94" s="344">
        <v>9</v>
      </c>
      <c r="Z94" s="344">
        <v>6</v>
      </c>
      <c r="AA94" s="344">
        <v>9</v>
      </c>
      <c r="AC94" s="344">
        <v>3</v>
      </c>
      <c r="AD94" s="344">
        <v>5</v>
      </c>
      <c r="AF94" s="344">
        <v>5</v>
      </c>
      <c r="AG94" s="344">
        <v>3</v>
      </c>
      <c r="AI94" s="344">
        <v>9</v>
      </c>
      <c r="AJ94" s="344">
        <v>0</v>
      </c>
    </row>
    <row r="95" spans="1:36">
      <c r="A95" s="278">
        <v>93</v>
      </c>
      <c r="B95" s="344">
        <v>0</v>
      </c>
      <c r="C95" s="344">
        <v>2</v>
      </c>
      <c r="E95" s="344">
        <v>4</v>
      </c>
      <c r="F95" s="344">
        <v>7</v>
      </c>
      <c r="H95" s="344">
        <v>6</v>
      </c>
      <c r="I95" s="344">
        <v>8</v>
      </c>
      <c r="K95" s="344">
        <v>9</v>
      </c>
      <c r="L95" s="344">
        <v>6</v>
      </c>
      <c r="N95" s="344">
        <v>2</v>
      </c>
      <c r="O95" s="344">
        <v>1</v>
      </c>
      <c r="Q95" s="344">
        <v>8</v>
      </c>
      <c r="R95" s="344">
        <v>4</v>
      </c>
      <c r="T95" s="344">
        <v>2</v>
      </c>
      <c r="U95" s="344">
        <v>0</v>
      </c>
      <c r="W95" s="344">
        <v>7</v>
      </c>
      <c r="X95" s="344">
        <v>4</v>
      </c>
      <c r="Z95" s="344">
        <v>3</v>
      </c>
      <c r="AA95" s="344">
        <v>2</v>
      </c>
      <c r="AC95" s="344">
        <v>6</v>
      </c>
      <c r="AD95" s="344">
        <v>8</v>
      </c>
      <c r="AF95" s="344">
        <v>8</v>
      </c>
      <c r="AG95" s="344">
        <v>6</v>
      </c>
      <c r="AI95" s="344">
        <v>7</v>
      </c>
      <c r="AJ95" s="344">
        <v>3</v>
      </c>
    </row>
    <row r="96" spans="1:36">
      <c r="A96" s="278">
        <v>94</v>
      </c>
      <c r="B96" s="344">
        <v>5</v>
      </c>
      <c r="C96" s="344">
        <v>6</v>
      </c>
      <c r="E96" s="344">
        <v>3</v>
      </c>
      <c r="F96" s="344">
        <v>1</v>
      </c>
      <c r="H96" s="344">
        <v>3</v>
      </c>
      <c r="I96" s="344">
        <v>7</v>
      </c>
      <c r="K96" s="344">
        <v>2</v>
      </c>
      <c r="L96" s="344">
        <v>1</v>
      </c>
      <c r="N96" s="344">
        <v>1</v>
      </c>
      <c r="O96" s="344">
        <v>2</v>
      </c>
      <c r="Q96" s="344">
        <v>2</v>
      </c>
      <c r="R96" s="344">
        <v>3</v>
      </c>
      <c r="T96" s="344">
        <v>6</v>
      </c>
      <c r="U96" s="344">
        <v>5</v>
      </c>
      <c r="W96" s="344">
        <v>1</v>
      </c>
      <c r="X96" s="344">
        <v>3</v>
      </c>
      <c r="Z96" s="344">
        <v>7</v>
      </c>
      <c r="AA96" s="344">
        <v>2</v>
      </c>
      <c r="AC96" s="344">
        <v>16</v>
      </c>
      <c r="AD96" s="344">
        <v>5</v>
      </c>
      <c r="AF96" s="344">
        <v>5</v>
      </c>
      <c r="AG96" s="344">
        <v>16</v>
      </c>
      <c r="AI96" s="344">
        <v>3</v>
      </c>
      <c r="AJ96" s="344">
        <v>1</v>
      </c>
    </row>
    <row r="97" spans="1:36">
      <c r="A97" s="278">
        <v>95</v>
      </c>
      <c r="B97" s="344">
        <v>2</v>
      </c>
      <c r="C97" s="344">
        <v>5</v>
      </c>
      <c r="E97" s="344">
        <v>0</v>
      </c>
      <c r="F97" s="344">
        <v>1</v>
      </c>
      <c r="H97" s="344">
        <v>3</v>
      </c>
      <c r="I97" s="344">
        <v>1</v>
      </c>
      <c r="K97" s="344">
        <v>14</v>
      </c>
      <c r="L97" s="344">
        <v>2</v>
      </c>
      <c r="N97" s="344">
        <v>2</v>
      </c>
      <c r="O97" s="344">
        <v>14</v>
      </c>
      <c r="Q97" s="344">
        <v>2</v>
      </c>
      <c r="R97" s="344">
        <v>7</v>
      </c>
      <c r="T97" s="344">
        <v>5</v>
      </c>
      <c r="U97" s="344">
        <v>2</v>
      </c>
      <c r="W97" s="344">
        <v>1</v>
      </c>
      <c r="X97" s="344">
        <v>0</v>
      </c>
      <c r="Z97" s="344">
        <v>3</v>
      </c>
      <c r="AA97" s="344">
        <v>2</v>
      </c>
      <c r="AC97" s="344">
        <v>9</v>
      </c>
      <c r="AD97" s="344">
        <v>4</v>
      </c>
      <c r="AF97" s="344">
        <v>4</v>
      </c>
      <c r="AG97" s="344">
        <v>9</v>
      </c>
      <c r="AI97" s="344">
        <v>4</v>
      </c>
      <c r="AJ97" s="344">
        <v>5</v>
      </c>
    </row>
    <row r="98" spans="1:36">
      <c r="A98" s="278">
        <v>96</v>
      </c>
      <c r="B98" s="344">
        <v>3</v>
      </c>
      <c r="C98" s="344">
        <v>2</v>
      </c>
      <c r="E98" s="344">
        <v>3</v>
      </c>
      <c r="F98" s="344">
        <v>9</v>
      </c>
      <c r="H98" s="344">
        <v>4</v>
      </c>
      <c r="I98" s="344">
        <v>5</v>
      </c>
      <c r="K98" s="344">
        <v>7</v>
      </c>
      <c r="L98" s="344">
        <v>8</v>
      </c>
      <c r="N98" s="344">
        <v>8</v>
      </c>
      <c r="O98" s="344">
        <v>7</v>
      </c>
      <c r="Q98" s="344">
        <v>2</v>
      </c>
      <c r="R98" s="344">
        <v>3</v>
      </c>
      <c r="T98" s="344">
        <v>2</v>
      </c>
      <c r="U98" s="344">
        <v>3</v>
      </c>
      <c r="W98" s="344">
        <v>9</v>
      </c>
      <c r="X98" s="344">
        <v>3</v>
      </c>
      <c r="Z98" s="344">
        <v>3</v>
      </c>
      <c r="AA98" s="344">
        <v>2</v>
      </c>
      <c r="AC98" s="344">
        <v>4</v>
      </c>
      <c r="AD98" s="344">
        <v>13</v>
      </c>
      <c r="AF98" s="344">
        <v>13</v>
      </c>
      <c r="AG98" s="344">
        <v>4</v>
      </c>
      <c r="AI98" s="344">
        <v>7</v>
      </c>
      <c r="AJ98" s="344">
        <v>2</v>
      </c>
    </row>
    <row r="99" spans="1:36">
      <c r="A99" s="278">
        <v>97</v>
      </c>
      <c r="B99" s="344">
        <v>2</v>
      </c>
      <c r="C99" s="344">
        <v>5</v>
      </c>
      <c r="E99" s="344">
        <v>9</v>
      </c>
      <c r="F99" s="344">
        <v>4</v>
      </c>
      <c r="H99" s="344">
        <v>5</v>
      </c>
      <c r="I99" s="344">
        <v>2</v>
      </c>
      <c r="K99" s="344">
        <v>1</v>
      </c>
      <c r="L99" s="344">
        <v>4</v>
      </c>
      <c r="N99" s="344">
        <v>2</v>
      </c>
      <c r="O99" s="344">
        <v>3</v>
      </c>
      <c r="Q99" s="344">
        <v>4</v>
      </c>
      <c r="R99" s="344">
        <v>9</v>
      </c>
      <c r="T99" s="344">
        <v>6</v>
      </c>
      <c r="U99" s="344">
        <v>7</v>
      </c>
      <c r="W99" s="344">
        <v>4</v>
      </c>
      <c r="X99" s="344">
        <v>1</v>
      </c>
      <c r="Z99" s="344">
        <v>7</v>
      </c>
      <c r="AA99" s="344">
        <v>6</v>
      </c>
      <c r="AC99" s="344">
        <v>2</v>
      </c>
      <c r="AD99" s="344">
        <v>7</v>
      </c>
      <c r="AF99" s="344">
        <v>2</v>
      </c>
      <c r="AG99" s="344">
        <v>5</v>
      </c>
      <c r="AI99" s="344">
        <v>3</v>
      </c>
      <c r="AJ99" s="344">
        <v>7</v>
      </c>
    </row>
    <row r="100" spans="1:36">
      <c r="A100" s="278">
        <v>98</v>
      </c>
      <c r="B100" s="344">
        <v>3</v>
      </c>
      <c r="C100" s="344">
        <v>5</v>
      </c>
      <c r="E100" s="344">
        <v>0</v>
      </c>
      <c r="F100" s="344">
        <v>3</v>
      </c>
      <c r="H100" s="344">
        <v>2</v>
      </c>
      <c r="I100" s="344">
        <v>4</v>
      </c>
      <c r="K100" s="344">
        <v>1</v>
      </c>
      <c r="L100" s="344">
        <v>12</v>
      </c>
      <c r="N100" s="344">
        <v>5</v>
      </c>
      <c r="O100" s="344">
        <v>2</v>
      </c>
      <c r="Q100" s="344">
        <v>3</v>
      </c>
      <c r="R100" s="344">
        <v>0</v>
      </c>
      <c r="T100" s="344">
        <v>6</v>
      </c>
      <c r="U100" s="344">
        <v>9</v>
      </c>
      <c r="W100" s="344">
        <v>12</v>
      </c>
      <c r="X100" s="344">
        <v>1</v>
      </c>
      <c r="Z100" s="344">
        <v>9</v>
      </c>
      <c r="AA100" s="344">
        <v>6</v>
      </c>
      <c r="AC100" s="344">
        <v>7</v>
      </c>
      <c r="AD100" s="344">
        <v>3</v>
      </c>
      <c r="AF100" s="344">
        <v>4</v>
      </c>
      <c r="AG100" s="344">
        <v>2</v>
      </c>
      <c r="AI100" s="344">
        <v>1</v>
      </c>
      <c r="AJ100" s="344">
        <v>6</v>
      </c>
    </row>
    <row r="101" spans="1:36">
      <c r="A101" s="278">
        <v>99</v>
      </c>
      <c r="B101" s="344">
        <v>1</v>
      </c>
      <c r="C101" s="344">
        <v>5</v>
      </c>
      <c r="E101" s="344">
        <v>3</v>
      </c>
      <c r="F101" s="344">
        <v>12</v>
      </c>
      <c r="H101" s="344">
        <v>2</v>
      </c>
      <c r="I101" s="344">
        <v>8</v>
      </c>
      <c r="K101" s="344">
        <v>0</v>
      </c>
      <c r="L101" s="344">
        <v>1</v>
      </c>
      <c r="N101" s="344">
        <v>5</v>
      </c>
      <c r="O101" s="344">
        <v>3</v>
      </c>
      <c r="Q101" s="344">
        <v>12</v>
      </c>
      <c r="R101" s="344">
        <v>3</v>
      </c>
      <c r="T101" s="344">
        <v>2</v>
      </c>
      <c r="U101" s="344">
        <v>1</v>
      </c>
      <c r="W101" s="344">
        <v>1</v>
      </c>
      <c r="X101" s="344">
        <v>0</v>
      </c>
      <c r="Z101" s="344">
        <v>1</v>
      </c>
      <c r="AA101" s="344">
        <v>2</v>
      </c>
      <c r="AC101" s="344">
        <v>6</v>
      </c>
      <c r="AD101" s="344">
        <v>1</v>
      </c>
      <c r="AF101" s="344">
        <v>8</v>
      </c>
      <c r="AG101" s="344">
        <v>2</v>
      </c>
      <c r="AI101" s="344">
        <v>8</v>
      </c>
      <c r="AJ101" s="344">
        <v>12</v>
      </c>
    </row>
    <row r="102" spans="1:36">
      <c r="A102" s="278">
        <v>100</v>
      </c>
      <c r="B102" s="344"/>
      <c r="C102" s="344"/>
      <c r="E102" s="344">
        <v>1</v>
      </c>
      <c r="F102" s="344">
        <v>3</v>
      </c>
      <c r="H102" s="344">
        <v>4</v>
      </c>
      <c r="I102" s="344">
        <v>6</v>
      </c>
      <c r="K102" s="344">
        <v>5</v>
      </c>
      <c r="L102" s="344">
        <v>2</v>
      </c>
      <c r="N102" s="344">
        <v>5</v>
      </c>
      <c r="O102" s="344">
        <v>1</v>
      </c>
      <c r="Q102" s="344">
        <v>3</v>
      </c>
      <c r="R102" s="344">
        <v>1</v>
      </c>
      <c r="T102" s="344">
        <v>3</v>
      </c>
      <c r="U102" s="344">
        <v>2</v>
      </c>
      <c r="W102" s="344">
        <v>2</v>
      </c>
      <c r="X102" s="344">
        <v>5</v>
      </c>
      <c r="Z102" s="344">
        <v>2</v>
      </c>
      <c r="AA102" s="344">
        <v>3</v>
      </c>
      <c r="AC102" s="344">
        <v>12</v>
      </c>
      <c r="AD102" s="344">
        <v>8</v>
      </c>
      <c r="AF102" s="344">
        <v>6</v>
      </c>
      <c r="AG102" s="344">
        <v>4</v>
      </c>
      <c r="AI102" s="344"/>
      <c r="AJ102" s="344"/>
    </row>
    <row r="103" spans="1:36">
      <c r="AI103" s="152"/>
      <c r="AJ103" s="152"/>
    </row>
    <row r="104" spans="1:36">
      <c r="A104" s="278" t="s">
        <v>1471</v>
      </c>
      <c r="B104" s="344">
        <f>SUM(B3:B102)</f>
        <v>502</v>
      </c>
      <c r="C104" s="344">
        <f>SUM(C3:C102)</f>
        <v>492</v>
      </c>
      <c r="E104" s="344">
        <f>SUM(E3:E102)</f>
        <v>531</v>
      </c>
      <c r="F104" s="344">
        <f>SUM(F3:F102)</f>
        <v>589</v>
      </c>
      <c r="H104" s="344">
        <f>SUM(H3:H102)</f>
        <v>467</v>
      </c>
      <c r="I104" s="344">
        <f>SUM(I3:I102)</f>
        <v>398</v>
      </c>
      <c r="K104" s="344">
        <f>SUM(K3:K102)</f>
        <v>406</v>
      </c>
      <c r="L104" s="344">
        <f>SUM(L3:L102)</f>
        <v>494</v>
      </c>
      <c r="N104" s="344">
        <f>SUM(N3:N102)</f>
        <v>463</v>
      </c>
      <c r="O104" s="344">
        <f>SUM(O3:O102)</f>
        <v>465</v>
      </c>
      <c r="Q104" s="344">
        <f>SUM(Q3:Q102)</f>
        <v>511</v>
      </c>
      <c r="R104" s="344">
        <f>SUM(R3:R102)</f>
        <v>463</v>
      </c>
      <c r="T104" s="344">
        <f>SUM(T3:T102)</f>
        <v>461</v>
      </c>
      <c r="U104" s="344">
        <f>SUM(U3:U102)</f>
        <v>444</v>
      </c>
      <c r="W104" s="344">
        <f>SUM(W3:W102)</f>
        <v>515</v>
      </c>
      <c r="X104" s="344">
        <f>SUM(X3:X102)</f>
        <v>563</v>
      </c>
      <c r="Z104" s="344">
        <f>SUM(Z3:Z102)</f>
        <v>472</v>
      </c>
      <c r="AA104" s="344">
        <f>SUM(AA3:AA102)</f>
        <v>522</v>
      </c>
      <c r="AC104" s="344">
        <f>SUM(AC3:AC102)</f>
        <v>516</v>
      </c>
      <c r="AD104" s="344">
        <f>SUM(AD3:AD102)</f>
        <v>447</v>
      </c>
      <c r="AF104" s="344">
        <f>SUM(AF3:AF102)</f>
        <v>581</v>
      </c>
      <c r="AG104" s="344">
        <f>SUM(AG3:AG102)</f>
        <v>511</v>
      </c>
      <c r="AI104" s="344">
        <f>SUM(AI3:AI102)</f>
        <v>448</v>
      </c>
      <c r="AJ104" s="344">
        <f>SUM(AJ3:AJ102)</f>
        <v>472</v>
      </c>
    </row>
    <row r="105" spans="1:36">
      <c r="A105" s="293" t="s">
        <v>1472</v>
      </c>
      <c r="B105" s="331">
        <f>AVERAGE(B3:B102)</f>
        <v>5.0707070707070709</v>
      </c>
      <c r="C105" s="331">
        <f>AVERAGE(C3:C102)</f>
        <v>4.9696969696969697</v>
      </c>
      <c r="E105" s="331">
        <f>AVERAGE(E3:E102)</f>
        <v>5.31</v>
      </c>
      <c r="F105" s="331">
        <f>AVERAGE(F3:F102)</f>
        <v>5.89</v>
      </c>
      <c r="H105" s="331">
        <f>AVERAGE(H3:H102)</f>
        <v>4.67</v>
      </c>
      <c r="I105" s="331">
        <f>AVERAGE(I3:I102)</f>
        <v>3.98</v>
      </c>
      <c r="K105" s="331">
        <f>AVERAGE(K3:K102)</f>
        <v>4.0599999999999996</v>
      </c>
      <c r="L105" s="331">
        <f>AVERAGE(L3:L102)</f>
        <v>4.9400000000000004</v>
      </c>
      <c r="N105" s="331">
        <f>AVERAGE(N3:N102)</f>
        <v>4.63</v>
      </c>
      <c r="O105" s="331">
        <f>AVERAGE(O3:O102)</f>
        <v>4.6500000000000004</v>
      </c>
      <c r="Q105" s="331">
        <f>AVERAGE(Q3:Q102)</f>
        <v>5.1100000000000003</v>
      </c>
      <c r="R105" s="331">
        <f>AVERAGE(R3:R102)</f>
        <v>4.63</v>
      </c>
      <c r="T105" s="331">
        <f>AVERAGE(T3:T102)</f>
        <v>4.6100000000000003</v>
      </c>
      <c r="U105" s="331">
        <f>AVERAGE(U3:U102)</f>
        <v>4.4400000000000004</v>
      </c>
      <c r="W105" s="331">
        <f>AVERAGE(W3:W102)</f>
        <v>5.15</v>
      </c>
      <c r="X105" s="331">
        <f>AVERAGE(X3:X102)</f>
        <v>5.63</v>
      </c>
      <c r="Z105" s="331">
        <f>AVERAGE(Z3:Z102)</f>
        <v>4.72</v>
      </c>
      <c r="AA105" s="331">
        <f>AVERAGE(AA3:AA102)</f>
        <v>5.22</v>
      </c>
      <c r="AC105" s="331">
        <f>AVERAGE(AC3:AC102)</f>
        <v>5.16</v>
      </c>
      <c r="AD105" s="331">
        <f>AVERAGE(AD3:AD102)</f>
        <v>4.47</v>
      </c>
      <c r="AF105" s="331">
        <f>AVERAGE(AF3:AF102)</f>
        <v>5.81</v>
      </c>
      <c r="AG105" s="331">
        <f>AVERAGE(AG3:AG102)</f>
        <v>5.1100000000000003</v>
      </c>
      <c r="AI105" s="331">
        <f>AVERAGE(AI3:AI102)</f>
        <v>4.5714285714285712</v>
      </c>
      <c r="AJ105" s="331">
        <f>AVERAGE(AJ3:AJ102)</f>
        <v>4.8163265306122449</v>
      </c>
    </row>
    <row r="106" spans="1:36">
      <c r="A106" s="278" t="s">
        <v>7</v>
      </c>
      <c r="B106" s="329">
        <f>B104-C104</f>
        <v>10</v>
      </c>
      <c r="C106" s="330">
        <f>B105-C105</f>
        <v>0.10101010101010122</v>
      </c>
      <c r="E106" s="329">
        <f>E104-F104</f>
        <v>-58</v>
      </c>
      <c r="F106" s="330">
        <f>E105-F105</f>
        <v>-0.58000000000000007</v>
      </c>
      <c r="H106" s="329">
        <f>H104-I104</f>
        <v>69</v>
      </c>
      <c r="I106" s="330">
        <f>H105-I105</f>
        <v>0.69</v>
      </c>
      <c r="K106" s="329">
        <f>K104-L104</f>
        <v>-88</v>
      </c>
      <c r="L106" s="330">
        <f>K105-L105</f>
        <v>-0.88000000000000078</v>
      </c>
      <c r="N106" s="329">
        <f>N104-O104</f>
        <v>-2</v>
      </c>
      <c r="O106" s="330">
        <f>N105-O105</f>
        <v>-2.0000000000000462E-2</v>
      </c>
      <c r="Q106" s="329">
        <f>Q104-R104</f>
        <v>48</v>
      </c>
      <c r="R106" s="330">
        <f>Q105-R105</f>
        <v>0.48000000000000043</v>
      </c>
      <c r="T106" s="329">
        <f>T104-U104</f>
        <v>17</v>
      </c>
      <c r="U106" s="330">
        <f>T105-U105</f>
        <v>0.16999999999999993</v>
      </c>
      <c r="W106" s="329">
        <f>W104-X104</f>
        <v>-48</v>
      </c>
      <c r="X106" s="330">
        <f>W105-X105</f>
        <v>-0.47999999999999954</v>
      </c>
      <c r="Z106" s="329">
        <f>Z104-AA104</f>
        <v>-50</v>
      </c>
      <c r="AA106" s="330">
        <f>Z105-AA105</f>
        <v>-0.5</v>
      </c>
      <c r="AC106" s="329">
        <f>AC104-AD104</f>
        <v>69</v>
      </c>
      <c r="AD106" s="330">
        <f>AC105-AD105</f>
        <v>0.69000000000000039</v>
      </c>
      <c r="AF106" s="329">
        <f>AF104-AG104</f>
        <v>70</v>
      </c>
      <c r="AG106" s="330">
        <f>AF105-AG105</f>
        <v>0.69999999999999929</v>
      </c>
      <c r="AI106" s="329">
        <f>AI104-AJ104</f>
        <v>-24</v>
      </c>
      <c r="AJ106" s="330">
        <f>AI105-AJ105</f>
        <v>-0.24489795918367374</v>
      </c>
    </row>
  </sheetData>
  <mergeCells count="12">
    <mergeCell ref="B1:C1"/>
    <mergeCell ref="H1:I1"/>
    <mergeCell ref="Q1:R1"/>
    <mergeCell ref="W1:X1"/>
    <mergeCell ref="AC1:AD1"/>
    <mergeCell ref="AI1:AJ1"/>
    <mergeCell ref="E1:F1"/>
    <mergeCell ref="K1:L1"/>
    <mergeCell ref="N1:O1"/>
    <mergeCell ref="T1:U1"/>
    <mergeCell ref="Z1:AA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Bernardin</cp:lastModifiedBy>
  <cp:revision/>
  <dcterms:created xsi:type="dcterms:W3CDTF">2024-09-24T13:22:05Z</dcterms:created>
  <dcterms:modified xsi:type="dcterms:W3CDTF">2025-09-17T15:15:15Z</dcterms:modified>
  <cp:category/>
  <cp:contentStatus/>
</cp:coreProperties>
</file>