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olybox\06_Research\"/>
    </mc:Choice>
  </mc:AlternateContent>
  <xr:revisionPtr revIDLastSave="0" documentId="8_{76CCB5A5-997A-4330-A349-3D8286713F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IMO_Properties" sheetId="2" r:id="rId1"/>
  </sheets>
  <definedNames>
    <definedName name="_xlnm.Print_Area" localSheetId="0">MIMO_Properties!$D$2:$AA$26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2" l="1"/>
  <c r="E16" i="2" l="1"/>
  <c r="K34" i="2" l="1"/>
  <c r="K35" i="2" l="1"/>
  <c r="D8" i="2" l="1"/>
  <c r="E25" i="2" l="1"/>
  <c r="G12" i="2"/>
  <c r="G13" i="2"/>
  <c r="G11" i="2"/>
  <c r="G7" i="2"/>
  <c r="G10" i="2"/>
  <c r="G9" i="2"/>
  <c r="G8" i="2"/>
  <c r="G6" i="2"/>
  <c r="G5" i="2"/>
  <c r="G4" i="2"/>
  <c r="E17" i="2"/>
  <c r="E26" i="2" s="1"/>
  <c r="N28" i="2" l="1"/>
  <c r="N27" i="2" s="1"/>
  <c r="D15" i="2"/>
  <c r="K4" i="2"/>
  <c r="K5" i="2" s="1"/>
  <c r="K13" i="2" s="1"/>
  <c r="K12" i="2"/>
  <c r="E22" i="2"/>
  <c r="N26" i="2"/>
  <c r="N25" i="2"/>
  <c r="P26" i="2"/>
  <c r="T26" i="2"/>
  <c r="M19" i="2"/>
  <c r="T25" i="2"/>
  <c r="K17" i="2"/>
  <c r="M17" i="2" s="1"/>
  <c r="E23" i="2"/>
  <c r="K6" i="2"/>
  <c r="M6" i="2" s="1"/>
  <c r="G15" i="2" l="1"/>
  <c r="K7" i="2"/>
  <c r="E24" i="2"/>
  <c r="E21" i="2" s="1"/>
  <c r="M4" i="2"/>
  <c r="M12" i="2"/>
  <c r="M13" i="2"/>
  <c r="M5" i="2"/>
  <c r="K14" i="2" l="1"/>
  <c r="M14" i="2" s="1"/>
  <c r="M7" i="2"/>
  <c r="K8" i="2"/>
  <c r="K10" i="2" s="1"/>
  <c r="K11" i="2" s="1"/>
  <c r="K9" i="2" l="1"/>
  <c r="M9" i="2" s="1"/>
  <c r="M21" i="2"/>
  <c r="M22" i="2" s="1"/>
  <c r="M10" i="2"/>
  <c r="M8" i="2"/>
  <c r="M11" i="2" l="1"/>
  <c r="G14" i="2"/>
  <c r="K15" i="2" s="1"/>
  <c r="E33" i="2" l="1"/>
  <c r="E34" i="2" s="1"/>
  <c r="E35" i="2" s="1"/>
</calcChain>
</file>

<file path=xl/sharedStrings.xml><?xml version="1.0" encoding="utf-8"?>
<sst xmlns="http://schemas.openxmlformats.org/spreadsheetml/2006/main" count="165" uniqueCount="96">
  <si>
    <t>Start Frequency</t>
  </si>
  <si>
    <t>Slope</t>
  </si>
  <si>
    <t>Idle Time</t>
  </si>
  <si>
    <t>ADC Start Time</t>
  </si>
  <si>
    <t>ADC Samples</t>
  </si>
  <si>
    <t>Sample Frequency</t>
  </si>
  <si>
    <t>Ramp End Time</t>
  </si>
  <si>
    <t>RX Gain</t>
  </si>
  <si>
    <t>ms</t>
  </si>
  <si>
    <t>-</t>
  </si>
  <si>
    <t>dB</t>
  </si>
  <si>
    <t>us</t>
  </si>
  <si>
    <t>kHz</t>
  </si>
  <si>
    <t>MHz/us</t>
  </si>
  <si>
    <t>GHz</t>
  </si>
  <si>
    <t>N Frames (Master)</t>
  </si>
  <si>
    <t>N Frames (Slave)</t>
  </si>
  <si>
    <t>RX</t>
  </si>
  <si>
    <t>TX</t>
  </si>
  <si>
    <t>Bandwidth</t>
  </si>
  <si>
    <t>Range Resolution</t>
  </si>
  <si>
    <t>cm</t>
  </si>
  <si>
    <t>MHz</t>
  </si>
  <si>
    <t>Acquisition Duration</t>
  </si>
  <si>
    <t>s</t>
  </si>
  <si>
    <t>Maximum Range</t>
  </si>
  <si>
    <t>Hz/s</t>
  </si>
  <si>
    <t>Chirp Ramp Time</t>
  </si>
  <si>
    <t>Chirp Bandwidth</t>
  </si>
  <si>
    <t>Hz</t>
  </si>
  <si>
    <t>m</t>
  </si>
  <si>
    <t>Doppler FFT Size</t>
  </si>
  <si>
    <t>Number of Chirps per Frame</t>
  </si>
  <si>
    <t>Chirp Interval</t>
  </si>
  <si>
    <t>B</t>
  </si>
  <si>
    <t>Carrier Frequency</t>
  </si>
  <si>
    <t>Wavelength</t>
  </si>
  <si>
    <t>Speed of Light</t>
  </si>
  <si>
    <t>m/s</t>
  </si>
  <si>
    <t>mm</t>
  </si>
  <si>
    <t>km/h</t>
  </si>
  <si>
    <t>Range FFT Size</t>
  </si>
  <si>
    <t>Velocity Resolution</t>
  </si>
  <si>
    <t>Velocity Bin Size</t>
  </si>
  <si>
    <t>Number of Sample per Chirp</t>
  </si>
  <si>
    <t>Number of Chirps per Virtual Antenna</t>
  </si>
  <si>
    <t>Number of Virtual RX Antenna</t>
  </si>
  <si>
    <t>Maximum Velocity</t>
  </si>
  <si>
    <t>Range Bin Size</t>
  </si>
  <si>
    <t>= Slope * ADC Samples * (1 / Sample Frequency)</t>
  </si>
  <si>
    <t>= ADC Samples * (1 / Sample Frequency)</t>
  </si>
  <si>
    <t>= Ramp End Time + Idle Time</t>
  </si>
  <si>
    <t xml:space="preserve">= Speed of Light * Sample Frequency * (1 / 2) *  (1 / Slope) </t>
  </si>
  <si>
    <t>= Speed of Light * (1 / 2) * (1 / Slope) * (1 / ADC Samples) * Sample Frequency</t>
  </si>
  <si>
    <t>= Number of Frames (Master/Slave) * Inter Frame Interval</t>
  </si>
  <si>
    <t>↗</t>
  </si>
  <si>
    <t>↘</t>
  </si>
  <si>
    <t>increasing A, increasing B</t>
  </si>
  <si>
    <t>A</t>
  </si>
  <si>
    <t>Parameter</t>
  </si>
  <si>
    <t>Properties</t>
  </si>
  <si>
    <t>decreasing A, increasing B</t>
  </si>
  <si>
    <t>decreasing A, decreasing B</t>
  </si>
  <si>
    <t>increasing A, decreasing B</t>
  </si>
  <si>
    <t>Acq/s</t>
  </si>
  <si>
    <t>= ADC Samples * (1 / 2) * (1 / Chirps per Loop) * (1 / Idle Time) * (1 / Num of TX)</t>
  </si>
  <si>
    <t>= Wavelength * (1 / 4) * (1 / Idle Time)</t>
  </si>
  <si>
    <t>Chirp per Loop</t>
  </si>
  <si>
    <t>Maximum Displacement between Acquisitions</t>
  </si>
  <si>
    <t>mm/pair</t>
  </si>
  <si>
    <t>mm/s</t>
  </si>
  <si>
    <t>Maximum Displacement Rates (1 Frameset)</t>
  </si>
  <si>
    <t>&lt;-- zu überprüfen</t>
  </si>
  <si>
    <t>Sample Frequency sufficient for selected ADC Samples:</t>
  </si>
  <si>
    <t>Validation</t>
  </si>
  <si>
    <t>Sampling Frequency within hardware requirements:</t>
  </si>
  <si>
    <t>Sample Frequency [2075,18750 kHz]</t>
  </si>
  <si>
    <t>Number of Acquisitions per Second</t>
  </si>
  <si>
    <t>Minimum Ramp End Time:</t>
  </si>
  <si>
    <t>ADC Samples ---&gt; no error message, just no connection</t>
  </si>
  <si>
    <t>Capture Time</t>
  </si>
  <si>
    <t>Inter Loop Time</t>
  </si>
  <si>
    <t>Number of Loops</t>
  </si>
  <si>
    <t>Total Acquistion Duration</t>
  </si>
  <si>
    <t>Cascade_Capture.lua</t>
  </si>
  <si>
    <t>Cascade_Configuration_MIMO.lua</t>
  </si>
  <si>
    <t>min</t>
  </si>
  <si>
    <t>GB</t>
  </si>
  <si>
    <t>Estimated Required Storage:</t>
  </si>
  <si>
    <t>End frequency:</t>
  </si>
  <si>
    <t>End frequency within capacity:</t>
  </si>
  <si>
    <t>h</t>
  </si>
  <si>
    <t>M Chirps per Loop [(2,) 8, 16,…,124]</t>
  </si>
  <si>
    <t>=(E29+E30+2000)*E31/1000</t>
  </si>
  <si>
    <t>=K15*1000</t>
  </si>
  <si>
    <t>14GB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</si>
</sst>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00"/>
    <numFmt numFmtId="166" formatCode="0.000000"/>
    <numFmt numFmtId="167" formatCode="0.000&quot; GHz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1" fillId="3" borderId="0" xfId="0" applyFont="1" applyFill="1"/>
    <xf numFmtId="0" fontId="0" fillId="3" borderId="6" xfId="0" applyFill="1" applyBorder="1"/>
    <xf numFmtId="0" fontId="1" fillId="3" borderId="7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1" fillId="4" borderId="7" xfId="0" applyFont="1" applyFill="1" applyBorder="1"/>
    <xf numFmtId="0" fontId="1" fillId="3" borderId="3" xfId="0" applyFont="1" applyFill="1" applyBorder="1"/>
    <xf numFmtId="0" fontId="1" fillId="3" borderId="5" xfId="0" applyFont="1" applyFill="1" applyBorder="1"/>
    <xf numFmtId="165" fontId="0" fillId="3" borderId="2" xfId="0" applyNumberFormat="1" applyFill="1" applyBorder="1"/>
    <xf numFmtId="2" fontId="0" fillId="3" borderId="2" xfId="0" applyNumberFormat="1" applyFill="1" applyBorder="1"/>
    <xf numFmtId="166" fontId="0" fillId="3" borderId="0" xfId="0" applyNumberFormat="1" applyFill="1"/>
    <xf numFmtId="1" fontId="0" fillId="3" borderId="0" xfId="0" applyNumberFormat="1" applyFill="1"/>
    <xf numFmtId="2" fontId="0" fillId="3" borderId="0" xfId="0" applyNumberFormat="1" applyFill="1"/>
    <xf numFmtId="0" fontId="1" fillId="3" borderId="6" xfId="0" applyFont="1" applyFill="1" applyBorder="1"/>
    <xf numFmtId="0" fontId="2" fillId="4" borderId="4" xfId="0" applyFont="1" applyFill="1" applyBorder="1"/>
    <xf numFmtId="1" fontId="2" fillId="4" borderId="0" xfId="0" applyNumberFormat="1" applyFont="1" applyFill="1"/>
    <xf numFmtId="0" fontId="2" fillId="4" borderId="0" xfId="0" applyFont="1" applyFill="1"/>
    <xf numFmtId="2" fontId="2" fillId="4" borderId="0" xfId="0" applyNumberFormat="1" applyFont="1" applyFill="1"/>
    <xf numFmtId="0" fontId="2" fillId="4" borderId="5" xfId="0" applyFont="1" applyFill="1" applyBorder="1"/>
    <xf numFmtId="0" fontId="1" fillId="4" borderId="4" xfId="0" applyFont="1" applyFill="1" applyBorder="1"/>
    <xf numFmtId="166" fontId="1" fillId="4" borderId="0" xfId="0" applyNumberFormat="1" applyFont="1" applyFill="1"/>
    <xf numFmtId="0" fontId="1" fillId="4" borderId="0" xfId="0" applyFont="1" applyFill="1"/>
    <xf numFmtId="2" fontId="1" fillId="4" borderId="0" xfId="0" applyNumberFormat="1" applyFont="1" applyFill="1"/>
    <xf numFmtId="0" fontId="1" fillId="4" borderId="5" xfId="0" applyFont="1" applyFill="1" applyBorder="1"/>
    <xf numFmtId="0" fontId="1" fillId="4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3" borderId="0" xfId="0" quotePrefix="1" applyFill="1"/>
    <xf numFmtId="0" fontId="3" fillId="3" borderId="0" xfId="0" applyFont="1" applyFill="1"/>
    <xf numFmtId="0" fontId="0" fillId="3" borderId="0" xfId="0" applyFill="1" applyAlignment="1">
      <alignment wrapText="1"/>
    </xf>
    <xf numFmtId="0" fontId="0" fillId="3" borderId="4" xfId="0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11" xfId="0" applyFill="1" applyBorder="1"/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8" xfId="0" applyFont="1" applyFill="1" applyBorder="1"/>
    <xf numFmtId="0" fontId="1" fillId="4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3" fillId="3" borderId="12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2" fontId="1" fillId="3" borderId="7" xfId="0" applyNumberFormat="1" applyFont="1" applyFill="1" applyBorder="1"/>
    <xf numFmtId="0" fontId="5" fillId="3" borderId="0" xfId="0" applyFont="1" applyFill="1"/>
    <xf numFmtId="2" fontId="5" fillId="3" borderId="0" xfId="0" applyNumberFormat="1" applyFont="1" applyFill="1"/>
    <xf numFmtId="164" fontId="0" fillId="3" borderId="10" xfId="0" applyNumberFormat="1" applyFill="1" applyBorder="1"/>
    <xf numFmtId="0" fontId="0" fillId="4" borderId="4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5" xfId="0" quotePrefix="1" applyFill="1" applyBorder="1" applyAlignment="1">
      <alignment horizontal="center"/>
    </xf>
    <xf numFmtId="0" fontId="0" fillId="3" borderId="0" xfId="0" applyFill="1" applyAlignment="1">
      <alignment horizontal="right"/>
    </xf>
    <xf numFmtId="0" fontId="0" fillId="3" borderId="0" xfId="0" quotePrefix="1" applyFill="1" applyAlignment="1">
      <alignment horizontal="center"/>
    </xf>
    <xf numFmtId="0" fontId="0" fillId="3" borderId="8" xfId="0" quotePrefix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wrapText="1"/>
    </xf>
    <xf numFmtId="0" fontId="0" fillId="4" borderId="0" xfId="0" applyFill="1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0" fillId="2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1" fontId="0" fillId="3" borderId="0" xfId="0" applyNumberFormat="1" applyFill="1" applyAlignment="1">
      <alignment horizontal="center"/>
    </xf>
    <xf numFmtId="167" fontId="0" fillId="3" borderId="8" xfId="0" applyNumberFormat="1" applyFill="1" applyBorder="1" applyAlignment="1">
      <alignment horizontal="center"/>
    </xf>
    <xf numFmtId="0" fontId="6" fillId="4" borderId="0" xfId="0" applyFont="1" applyFill="1"/>
    <xf numFmtId="0" fontId="6" fillId="4" borderId="5" xfId="0" applyFont="1" applyFill="1" applyBorder="1"/>
    <xf numFmtId="0" fontId="1" fillId="3" borderId="17" xfId="0" applyFont="1" applyFill="1" applyBorder="1" applyAlignment="1">
      <alignment horizontal="center" vertical="center" textRotation="90"/>
    </xf>
    <xf numFmtId="0" fontId="1" fillId="3" borderId="18" xfId="0" applyFont="1" applyFill="1" applyBorder="1" applyAlignment="1">
      <alignment horizontal="center" vertical="center" textRotation="90"/>
    </xf>
    <xf numFmtId="0" fontId="1" fillId="3" borderId="19" xfId="0" applyFont="1" applyFill="1" applyBorder="1" applyAlignment="1">
      <alignment horizontal="center" vertical="center" textRotation="90"/>
    </xf>
    <xf numFmtId="0" fontId="0" fillId="3" borderId="7" xfId="0" applyFill="1" applyBorder="1" applyAlignment="1">
      <alignment horizontal="left" wrapText="1"/>
    </xf>
    <xf numFmtId="0" fontId="4" fillId="3" borderId="7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3" xfId="0" applyFill="1" applyBorder="1" applyAlignment="1">
      <alignment horizontal="center" wrapText="1"/>
    </xf>
    <xf numFmtId="0" fontId="0" fillId="3" borderId="0" xfId="0" applyFill="1" applyAlignment="1">
      <alignment horizontal="left" wrapText="1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4" fillId="3" borderId="0" xfId="0" applyFont="1" applyFill="1" applyAlignment="1">
      <alignment horizontal="center" vertical="center" wrapText="1"/>
    </xf>
  </cellXfs>
  <cellStyles count="1">
    <cellStyle name="Standard" xfId="0" builtinId="0"/>
  </cellStyles>
  <dxfs count="11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V35"/>
  <sheetViews>
    <sheetView tabSelected="1" workbookViewId="0">
      <selection activeCell="K33" sqref="K33"/>
    </sheetView>
  </sheetViews>
  <sheetFormatPr baseColWidth="10" defaultColWidth="11.44140625" defaultRowHeight="14.4" x14ac:dyDescent="0.3"/>
  <cols>
    <col min="1" max="1" width="11.44140625" style="3"/>
    <col min="2" max="2" width="3.21875" style="3" bestFit="1" customWidth="1"/>
    <col min="3" max="3" width="2.21875" style="75" customWidth="1"/>
    <col min="4" max="4" width="35.21875" style="3" bestFit="1" customWidth="1"/>
    <col min="5" max="5" width="12" style="3" bestFit="1" customWidth="1"/>
    <col min="6" max="6" width="11.44140625" style="3"/>
    <col min="7" max="7" width="12" style="3" hidden="1" customWidth="1"/>
    <col min="8" max="8" width="11.44140625" style="3" hidden="1" customWidth="1"/>
    <col min="9" max="9" width="2.21875" style="3" customWidth="1"/>
    <col min="10" max="10" width="26.5546875" style="3" bestFit="1" customWidth="1"/>
    <col min="11" max="11" width="12" style="3" bestFit="1" customWidth="1"/>
    <col min="12" max="12" width="6.77734375" style="3" customWidth="1"/>
    <col min="13" max="13" width="9.109375" style="3" customWidth="1"/>
    <col min="14" max="14" width="11.77734375" style="3" bestFit="1" customWidth="1"/>
    <col min="15" max="15" width="2.5546875" style="3" customWidth="1"/>
    <col min="16" max="20" width="13.44140625" style="38" customWidth="1"/>
    <col min="21" max="21" width="1.77734375" style="3" customWidth="1"/>
    <col min="22" max="22" width="12" style="3" bestFit="1" customWidth="1"/>
    <col min="23" max="16384" width="11.44140625" style="3"/>
  </cols>
  <sheetData>
    <row r="1" spans="2:22" ht="15" thickBot="1" x14ac:dyDescent="0.35"/>
    <row r="2" spans="2:22" ht="20.399999999999999" thickBot="1" x14ac:dyDescent="0.35">
      <c r="B2" s="96" t="s">
        <v>85</v>
      </c>
      <c r="J2" s="100" t="s">
        <v>34</v>
      </c>
      <c r="K2" s="100"/>
      <c r="L2" s="100"/>
      <c r="M2" s="100"/>
      <c r="N2" s="100"/>
      <c r="P2" s="114" t="s">
        <v>58</v>
      </c>
      <c r="Q2" s="114"/>
      <c r="R2" s="114"/>
      <c r="S2" s="114"/>
      <c r="T2" s="114"/>
    </row>
    <row r="3" spans="2:22" ht="29.4" thickBot="1" x14ac:dyDescent="0.35">
      <c r="B3" s="97"/>
      <c r="D3" s="55" t="s">
        <v>59</v>
      </c>
      <c r="E3" s="57" t="s">
        <v>60</v>
      </c>
      <c r="F3" s="49"/>
      <c r="J3" s="55" t="s">
        <v>59</v>
      </c>
      <c r="K3" s="56" t="s">
        <v>60</v>
      </c>
      <c r="L3" s="50"/>
      <c r="M3" s="50"/>
      <c r="N3" s="51"/>
      <c r="P3" s="52" t="s">
        <v>1</v>
      </c>
      <c r="Q3" s="53" t="s">
        <v>4</v>
      </c>
      <c r="R3" s="53" t="s">
        <v>5</v>
      </c>
      <c r="S3" s="53" t="s">
        <v>67</v>
      </c>
      <c r="T3" s="54" t="s">
        <v>2</v>
      </c>
      <c r="U3" s="9"/>
    </row>
    <row r="4" spans="2:22" x14ac:dyDescent="0.3">
      <c r="B4" s="97"/>
      <c r="D4" s="4" t="s">
        <v>0</v>
      </c>
      <c r="E4" s="2">
        <v>77</v>
      </c>
      <c r="F4" s="6" t="s">
        <v>14</v>
      </c>
      <c r="G4" s="5">
        <f>E4*1000000000</f>
        <v>77000000000</v>
      </c>
      <c r="H4" s="6" t="s">
        <v>29</v>
      </c>
      <c r="J4" s="4" t="s">
        <v>27</v>
      </c>
      <c r="K4" s="17">
        <f>G8/(G9)</f>
        <v>3.1999999999999999E-5</v>
      </c>
      <c r="L4" s="5" t="s">
        <v>24</v>
      </c>
      <c r="M4" s="18">
        <f>K4*1000000</f>
        <v>32</v>
      </c>
      <c r="N4" s="6" t="s">
        <v>11</v>
      </c>
      <c r="P4" s="70"/>
      <c r="Q4" s="71" t="s">
        <v>55</v>
      </c>
      <c r="R4" s="71" t="s">
        <v>56</v>
      </c>
      <c r="S4" s="71"/>
      <c r="T4" s="72"/>
      <c r="U4" s="37"/>
      <c r="V4" s="36" t="s">
        <v>50</v>
      </c>
    </row>
    <row r="5" spans="2:22" x14ac:dyDescent="0.3">
      <c r="B5" s="97"/>
      <c r="D5" s="7" t="s">
        <v>1</v>
      </c>
      <c r="E5" s="1">
        <v>40</v>
      </c>
      <c r="F5" s="8" t="s">
        <v>13</v>
      </c>
      <c r="G5" s="3">
        <f>E5*1000000*1000000</f>
        <v>40000000000000</v>
      </c>
      <c r="H5" s="8" t="s">
        <v>26</v>
      </c>
      <c r="J5" s="23" t="s">
        <v>28</v>
      </c>
      <c r="K5" s="24">
        <f>G5*K4</f>
        <v>1280000000</v>
      </c>
      <c r="L5" s="25" t="s">
        <v>29</v>
      </c>
      <c r="M5" s="26">
        <f>K5/1000000</f>
        <v>1280</v>
      </c>
      <c r="N5" s="27" t="s">
        <v>22</v>
      </c>
      <c r="P5" s="40" t="s">
        <v>55</v>
      </c>
      <c r="Q5" s="41" t="s">
        <v>55</v>
      </c>
      <c r="R5" s="41" t="s">
        <v>56</v>
      </c>
      <c r="S5" s="41"/>
      <c r="T5" s="42"/>
      <c r="U5" s="37"/>
      <c r="V5" s="36" t="s">
        <v>49</v>
      </c>
    </row>
    <row r="6" spans="2:22" x14ac:dyDescent="0.3">
      <c r="B6" s="97"/>
      <c r="D6" s="7" t="s">
        <v>2</v>
      </c>
      <c r="E6" s="1">
        <v>2</v>
      </c>
      <c r="F6" s="8" t="s">
        <v>11</v>
      </c>
      <c r="G6" s="3">
        <f>E6/1000000</f>
        <v>1.9999999999999999E-6</v>
      </c>
      <c r="H6" s="8" t="s">
        <v>24</v>
      </c>
      <c r="J6" s="7" t="s">
        <v>33</v>
      </c>
      <c r="K6" s="19">
        <f>G6+G10</f>
        <v>1.0099999999999999E-4</v>
      </c>
      <c r="L6" s="3" t="s">
        <v>24</v>
      </c>
      <c r="M6" s="3">
        <f>K6*1000000</f>
        <v>100.99999999999999</v>
      </c>
      <c r="N6" s="8" t="s">
        <v>11</v>
      </c>
      <c r="P6" s="39"/>
      <c r="Q6" s="43"/>
      <c r="R6" s="43"/>
      <c r="S6" s="43"/>
      <c r="T6" s="44"/>
      <c r="V6" s="36" t="s">
        <v>51</v>
      </c>
    </row>
    <row r="7" spans="2:22" x14ac:dyDescent="0.3">
      <c r="B7" s="97"/>
      <c r="D7" s="7" t="s">
        <v>3</v>
      </c>
      <c r="E7" s="1">
        <v>2</v>
      </c>
      <c r="F7" s="8" t="s">
        <v>11</v>
      </c>
      <c r="G7" s="3">
        <f>E7/1000000</f>
        <v>1.9999999999999999E-6</v>
      </c>
      <c r="H7" s="8" t="s">
        <v>24</v>
      </c>
      <c r="J7" s="7" t="s">
        <v>35</v>
      </c>
      <c r="K7" s="20">
        <f>G4+(G7+K4/2)*G5</f>
        <v>77720000000</v>
      </c>
      <c r="L7" s="3" t="s">
        <v>29</v>
      </c>
      <c r="M7" s="21">
        <f>K7/1000000000</f>
        <v>77.72</v>
      </c>
      <c r="N7" s="8" t="s">
        <v>14</v>
      </c>
      <c r="P7" s="39"/>
      <c r="Q7" s="43"/>
      <c r="R7" s="43"/>
      <c r="S7" s="43"/>
      <c r="T7" s="44"/>
    </row>
    <row r="8" spans="2:22" x14ac:dyDescent="0.3">
      <c r="B8" s="97"/>
      <c r="D8" s="7" t="str">
        <f>"ADC Samples [64, 128, 256, 512]"</f>
        <v>ADC Samples [64, 128, 256, 512]</v>
      </c>
      <c r="E8" s="1">
        <v>512</v>
      </c>
      <c r="F8" s="8" t="s">
        <v>9</v>
      </c>
      <c r="G8" s="3">
        <f>E8</f>
        <v>512</v>
      </c>
      <c r="H8" s="8" t="s">
        <v>9</v>
      </c>
      <c r="J8" s="7" t="s">
        <v>36</v>
      </c>
      <c r="K8" s="19">
        <f>E19/K7</f>
        <v>3.8573399125064333E-3</v>
      </c>
      <c r="L8" s="3" t="s">
        <v>30</v>
      </c>
      <c r="M8" s="21">
        <f>K8*1000</f>
        <v>3.8573399125064332</v>
      </c>
      <c r="N8" s="8" t="s">
        <v>39</v>
      </c>
      <c r="P8" s="39"/>
      <c r="Q8" s="43"/>
      <c r="R8" s="43"/>
      <c r="S8" s="43"/>
      <c r="T8" s="44"/>
    </row>
    <row r="9" spans="2:22" x14ac:dyDescent="0.3">
      <c r="B9" s="97"/>
      <c r="D9" s="7" t="s">
        <v>76</v>
      </c>
      <c r="E9" s="1">
        <v>16000</v>
      </c>
      <c r="F9" s="8" t="s">
        <v>12</v>
      </c>
      <c r="G9" s="3">
        <f>E9*1000</f>
        <v>16000000</v>
      </c>
      <c r="H9" s="8" t="s">
        <v>29</v>
      </c>
      <c r="J9" s="28" t="s">
        <v>47</v>
      </c>
      <c r="K9" s="29">
        <f>K8/(4*K6)</f>
        <v>9.547871070560479</v>
      </c>
      <c r="L9" s="30" t="s">
        <v>38</v>
      </c>
      <c r="M9" s="31">
        <f>K9*3.6</f>
        <v>34.372335854017727</v>
      </c>
      <c r="N9" s="32" t="s">
        <v>40</v>
      </c>
      <c r="P9" s="69"/>
      <c r="Q9" s="45"/>
      <c r="R9" s="45"/>
      <c r="S9" s="45"/>
      <c r="T9" s="42" t="s">
        <v>56</v>
      </c>
      <c r="V9" s="36" t="s">
        <v>66</v>
      </c>
    </row>
    <row r="10" spans="2:22" x14ac:dyDescent="0.3">
      <c r="B10" s="97"/>
      <c r="D10" s="7" t="s">
        <v>6</v>
      </c>
      <c r="E10" s="1">
        <v>99</v>
      </c>
      <c r="F10" s="8" t="s">
        <v>11</v>
      </c>
      <c r="G10" s="3">
        <f>E10/1000000</f>
        <v>9.8999999999999994E-5</v>
      </c>
      <c r="H10" s="8" t="s">
        <v>24</v>
      </c>
      <c r="J10" s="28" t="s">
        <v>42</v>
      </c>
      <c r="K10" s="29">
        <f>K8/(2*G12*K6*E18)</f>
        <v>4.9728495159169162E-2</v>
      </c>
      <c r="L10" s="30" t="s">
        <v>38</v>
      </c>
      <c r="M10" s="31">
        <f>K10*3.6</f>
        <v>0.17902258257300899</v>
      </c>
      <c r="N10" s="32" t="s">
        <v>40</v>
      </c>
      <c r="P10" s="69"/>
      <c r="Q10" s="41" t="s">
        <v>55</v>
      </c>
      <c r="R10" s="45"/>
      <c r="S10" s="41" t="s">
        <v>56</v>
      </c>
      <c r="T10" s="42" t="s">
        <v>56</v>
      </c>
      <c r="V10" s="36" t="s">
        <v>65</v>
      </c>
    </row>
    <row r="11" spans="2:22" x14ac:dyDescent="0.3">
      <c r="B11" s="97"/>
      <c r="D11" s="7" t="s">
        <v>7</v>
      </c>
      <c r="E11" s="1">
        <v>48</v>
      </c>
      <c r="F11" s="8" t="s">
        <v>10</v>
      </c>
      <c r="G11" s="3">
        <f>E11</f>
        <v>48</v>
      </c>
      <c r="H11" s="8" t="s">
        <v>10</v>
      </c>
      <c r="J11" s="7" t="s">
        <v>43</v>
      </c>
      <c r="K11" s="19">
        <f>K10*E25/E22</f>
        <v>4.9728495159169162E-2</v>
      </c>
      <c r="L11" s="3" t="s">
        <v>38</v>
      </c>
      <c r="M11" s="21">
        <f>K11*3.6</f>
        <v>0.17902258257300899</v>
      </c>
      <c r="N11" s="8" t="s">
        <v>40</v>
      </c>
      <c r="P11" s="39"/>
      <c r="Q11" s="43"/>
      <c r="R11" s="43"/>
      <c r="S11" s="43"/>
      <c r="T11" s="44"/>
    </row>
    <row r="12" spans="2:22" x14ac:dyDescent="0.3">
      <c r="B12" s="97"/>
      <c r="D12" s="7" t="s">
        <v>92</v>
      </c>
      <c r="E12" s="1">
        <v>32</v>
      </c>
      <c r="F12" s="8" t="s">
        <v>9</v>
      </c>
      <c r="G12" s="3">
        <f>E12</f>
        <v>32</v>
      </c>
      <c r="H12" s="8" t="s">
        <v>9</v>
      </c>
      <c r="J12" s="28" t="s">
        <v>25</v>
      </c>
      <c r="K12" s="29">
        <f>E19*G9/(2*G5)</f>
        <v>59.958491600000002</v>
      </c>
      <c r="L12" s="30" t="s">
        <v>30</v>
      </c>
      <c r="M12" s="31">
        <f>K12</f>
        <v>59.958491600000002</v>
      </c>
      <c r="N12" s="32" t="s">
        <v>30</v>
      </c>
      <c r="P12" s="40" t="s">
        <v>56</v>
      </c>
      <c r="Q12" s="45"/>
      <c r="R12" s="41" t="s">
        <v>55</v>
      </c>
      <c r="S12" s="41"/>
      <c r="T12" s="42"/>
      <c r="U12" s="37"/>
      <c r="V12" s="36" t="s">
        <v>52</v>
      </c>
    </row>
    <row r="13" spans="2:22" x14ac:dyDescent="0.3">
      <c r="B13" s="97"/>
      <c r="D13" s="7" t="s">
        <v>15</v>
      </c>
      <c r="E13" s="1">
        <v>4</v>
      </c>
      <c r="F13" s="8" t="s">
        <v>9</v>
      </c>
      <c r="G13" s="3">
        <f>E13</f>
        <v>4</v>
      </c>
      <c r="H13" s="8" t="s">
        <v>9</v>
      </c>
      <c r="J13" s="28" t="s">
        <v>20</v>
      </c>
      <c r="K13" s="29">
        <f>E19/(2*K5)</f>
        <v>0.11710642890625</v>
      </c>
      <c r="L13" s="30" t="s">
        <v>30</v>
      </c>
      <c r="M13" s="31">
        <f>K13*100</f>
        <v>11.710642890625</v>
      </c>
      <c r="N13" s="32" t="s">
        <v>21</v>
      </c>
      <c r="P13" s="40" t="s">
        <v>56</v>
      </c>
      <c r="Q13" s="41" t="s">
        <v>56</v>
      </c>
      <c r="R13" s="41" t="s">
        <v>55</v>
      </c>
      <c r="S13" s="41"/>
      <c r="T13" s="42"/>
      <c r="U13" s="37"/>
      <c r="V13" s="36" t="s">
        <v>53</v>
      </c>
    </row>
    <row r="14" spans="2:22" x14ac:dyDescent="0.3">
      <c r="B14" s="97"/>
      <c r="D14" s="7" t="s">
        <v>16</v>
      </c>
      <c r="E14" s="1">
        <v>4</v>
      </c>
      <c r="F14" s="8" t="s">
        <v>9</v>
      </c>
      <c r="G14" s="3">
        <f>E14</f>
        <v>4</v>
      </c>
      <c r="H14" s="8" t="s">
        <v>9</v>
      </c>
      <c r="J14" s="7" t="s">
        <v>48</v>
      </c>
      <c r="K14" s="19">
        <f>K13*E24/E21</f>
        <v>0.11710642890625</v>
      </c>
      <c r="L14" s="3" t="s">
        <v>30</v>
      </c>
      <c r="M14" s="21">
        <f>K14*100</f>
        <v>11.710642890625</v>
      </c>
      <c r="N14" s="8" t="s">
        <v>21</v>
      </c>
      <c r="P14" s="39"/>
      <c r="Q14" s="43"/>
      <c r="R14" s="43"/>
      <c r="S14" s="43"/>
      <c r="T14" s="44"/>
    </row>
    <row r="15" spans="2:22" ht="15" thickBot="1" x14ac:dyDescent="0.35">
      <c r="B15" s="97"/>
      <c r="D15" s="33" t="str">
        <f>"Inter Frame Interval ["&amp;((E18)*(G6+G10)*G12)*1000&amp;"ms,…,1000]"</f>
        <v>Inter Frame Interval [38.784ms,…,1000]</v>
      </c>
      <c r="E15" s="14">
        <v>50</v>
      </c>
      <c r="F15" s="59" t="s">
        <v>8</v>
      </c>
      <c r="G15" s="12">
        <f>E15/1000</f>
        <v>0.05</v>
      </c>
      <c r="H15" s="13" t="s">
        <v>24</v>
      </c>
      <c r="J15" s="33" t="s">
        <v>23</v>
      </c>
      <c r="K15" s="14">
        <f>G14*G15</f>
        <v>0.2</v>
      </c>
      <c r="L15" s="14" t="s">
        <v>24</v>
      </c>
      <c r="M15" s="34"/>
      <c r="N15" s="35"/>
      <c r="P15" s="46"/>
      <c r="Q15" s="47"/>
      <c r="R15" s="47"/>
      <c r="S15" s="47"/>
      <c r="T15" s="48"/>
      <c r="V15" s="36" t="s">
        <v>54</v>
      </c>
    </row>
    <row r="16" spans="2:22" ht="15" thickBot="1" x14ac:dyDescent="0.35">
      <c r="B16" s="97"/>
      <c r="E16" s="3">
        <f>1/(E15/1000)</f>
        <v>20</v>
      </c>
      <c r="F16" s="3" t="s">
        <v>29</v>
      </c>
    </row>
    <row r="17" spans="2:21" ht="15.75" customHeight="1" thickBot="1" x14ac:dyDescent="0.35">
      <c r="B17" s="97"/>
      <c r="D17" s="4" t="s">
        <v>17</v>
      </c>
      <c r="E17" s="5">
        <f>16</f>
        <v>16</v>
      </c>
      <c r="F17" s="6" t="s">
        <v>9</v>
      </c>
      <c r="J17" s="60" t="s">
        <v>19</v>
      </c>
      <c r="K17" s="61">
        <f>G5*G10</f>
        <v>3960000000</v>
      </c>
      <c r="L17" s="61" t="s">
        <v>29</v>
      </c>
      <c r="M17" s="61">
        <f>K17/1000000</f>
        <v>3960</v>
      </c>
      <c r="N17" s="62" t="s">
        <v>22</v>
      </c>
      <c r="P17" s="63" t="s">
        <v>55</v>
      </c>
      <c r="Q17" s="103" t="s">
        <v>57</v>
      </c>
      <c r="R17" s="103"/>
      <c r="S17" s="108" t="s">
        <v>62</v>
      </c>
      <c r="T17" s="109"/>
      <c r="U17" s="73"/>
    </row>
    <row r="18" spans="2:21" ht="15" customHeight="1" thickBot="1" x14ac:dyDescent="0.35">
      <c r="B18" s="97"/>
      <c r="D18" s="7" t="s">
        <v>18</v>
      </c>
      <c r="E18" s="3">
        <v>12</v>
      </c>
      <c r="F18" s="8" t="s">
        <v>9</v>
      </c>
      <c r="P18" s="64" t="s">
        <v>56</v>
      </c>
      <c r="Q18" s="113" t="s">
        <v>63</v>
      </c>
      <c r="R18" s="113"/>
      <c r="S18" s="110" t="s">
        <v>61</v>
      </c>
      <c r="T18" s="111"/>
      <c r="U18" s="73"/>
    </row>
    <row r="19" spans="2:21" ht="15" thickBot="1" x14ac:dyDescent="0.35">
      <c r="B19" s="97"/>
      <c r="D19" s="10" t="s">
        <v>37</v>
      </c>
      <c r="E19" s="12">
        <v>299792458</v>
      </c>
      <c r="F19" s="13" t="s">
        <v>38</v>
      </c>
      <c r="J19" s="101" t="s">
        <v>77</v>
      </c>
      <c r="K19" s="102"/>
      <c r="L19" s="102"/>
      <c r="M19" s="68">
        <f>1000/E15</f>
        <v>20</v>
      </c>
      <c r="N19" s="49" t="s">
        <v>64</v>
      </c>
    </row>
    <row r="20" spans="2:21" ht="15" thickBot="1" x14ac:dyDescent="0.35">
      <c r="B20" s="97"/>
      <c r="D20" s="9"/>
      <c r="E20" s="9"/>
      <c r="F20" s="9"/>
      <c r="G20" s="9"/>
      <c r="H20" s="9"/>
    </row>
    <row r="21" spans="2:21" x14ac:dyDescent="0.3">
      <c r="B21" s="97"/>
      <c r="D21" s="4" t="s">
        <v>41</v>
      </c>
      <c r="E21" s="5">
        <f>2^_xlfn.CEILING.MATH(LOG(E24,2))</f>
        <v>512</v>
      </c>
      <c r="F21" s="15" t="s">
        <v>9</v>
      </c>
      <c r="G21" s="9"/>
      <c r="H21" s="9"/>
      <c r="J21" s="4" t="s">
        <v>68</v>
      </c>
      <c r="K21" s="5"/>
      <c r="L21" s="5"/>
      <c r="M21" s="18">
        <f>K8/4*1000</f>
        <v>0.96433497812660829</v>
      </c>
      <c r="N21" s="6" t="s">
        <v>69</v>
      </c>
    </row>
    <row r="22" spans="2:21" ht="15" thickBot="1" x14ac:dyDescent="0.35">
      <c r="B22" s="97"/>
      <c r="D22" s="7" t="s">
        <v>31</v>
      </c>
      <c r="E22" s="3">
        <f>2^_xlfn.CEILING.MATH(LOG(G12,2))</f>
        <v>32</v>
      </c>
      <c r="F22" s="8" t="s">
        <v>9</v>
      </c>
      <c r="J22" s="22" t="s">
        <v>71</v>
      </c>
      <c r="K22" s="11"/>
      <c r="L22" s="11"/>
      <c r="M22" s="65">
        <f>M21*M19</f>
        <v>19.286699562532167</v>
      </c>
      <c r="N22" s="58" t="s">
        <v>70</v>
      </c>
      <c r="P22" s="112" t="s">
        <v>72</v>
      </c>
      <c r="Q22" s="112"/>
      <c r="R22" s="112"/>
      <c r="S22" s="112"/>
      <c r="T22" s="112"/>
    </row>
    <row r="23" spans="2:21" ht="15" thickBot="1" x14ac:dyDescent="0.35">
      <c r="B23" s="97"/>
      <c r="D23" s="7" t="s">
        <v>32</v>
      </c>
      <c r="E23" s="3">
        <f>G12*G13</f>
        <v>128</v>
      </c>
      <c r="F23" s="16" t="s">
        <v>9</v>
      </c>
      <c r="G23" s="9"/>
      <c r="H23" s="9"/>
      <c r="J23" s="66"/>
      <c r="K23" s="66"/>
      <c r="L23" s="66"/>
      <c r="M23" s="67"/>
      <c r="N23" s="66"/>
    </row>
    <row r="24" spans="2:21" x14ac:dyDescent="0.3">
      <c r="B24" s="97"/>
      <c r="D24" s="7" t="s">
        <v>44</v>
      </c>
      <c r="E24" s="3">
        <f>ROUND(K4*G9,0)</f>
        <v>512</v>
      </c>
      <c r="F24" s="16" t="s">
        <v>9</v>
      </c>
      <c r="G24" s="9"/>
      <c r="H24" s="9"/>
      <c r="J24" s="105" t="s">
        <v>74</v>
      </c>
      <c r="K24" s="106"/>
      <c r="L24" s="106"/>
      <c r="M24" s="106"/>
      <c r="N24" s="106"/>
      <c r="O24" s="106"/>
      <c r="P24" s="106"/>
      <c r="Q24" s="106"/>
      <c r="R24" s="106"/>
      <c r="S24" s="106"/>
      <c r="T24" s="107"/>
    </row>
    <row r="25" spans="2:21" x14ac:dyDescent="0.3">
      <c r="B25" s="97"/>
      <c r="D25" s="7" t="s">
        <v>45</v>
      </c>
      <c r="E25" s="3">
        <f>E12</f>
        <v>32</v>
      </c>
      <c r="F25" s="16" t="s">
        <v>9</v>
      </c>
      <c r="G25" s="9"/>
      <c r="H25" s="9"/>
      <c r="J25" s="7" t="s">
        <v>73</v>
      </c>
      <c r="N25" s="76" t="str">
        <f>IF((G8/G9+G7)&lt;G10,"yes","no")</f>
        <v>yes</v>
      </c>
      <c r="P25" s="104" t="s">
        <v>75</v>
      </c>
      <c r="Q25" s="104"/>
      <c r="R25" s="104"/>
      <c r="S25" s="104"/>
      <c r="T25" s="74" t="str">
        <f>IF(G9&gt;18750000,"no","yes")</f>
        <v>yes</v>
      </c>
    </row>
    <row r="26" spans="2:21" ht="15" thickBot="1" x14ac:dyDescent="0.35">
      <c r="B26" s="98"/>
      <c r="D26" s="10" t="s">
        <v>46</v>
      </c>
      <c r="E26" s="12">
        <f>E17*E18</f>
        <v>192</v>
      </c>
      <c r="F26" s="13" t="s">
        <v>9</v>
      </c>
      <c r="J26" s="7" t="s">
        <v>78</v>
      </c>
      <c r="N26" s="92" t="str">
        <f>ROUND((G8/G9+G7)*1000000,2)&amp;" us"</f>
        <v>34 us</v>
      </c>
      <c r="O26" s="12"/>
      <c r="P26" s="99" t="str">
        <f>"Inter Frame Interval within requirements ("&amp;ROUND(((E18)*(G6+G10)*G12)*1000*100/E15,1)&amp;"% workload)"</f>
        <v>Inter Frame Interval within requirements (77.6% workload)</v>
      </c>
      <c r="Q26" s="99"/>
      <c r="R26" s="99"/>
      <c r="S26" s="99"/>
      <c r="T26" s="77" t="str">
        <f>IF(((E18)*(G6+G10)*G12)*1000&lt;E15,"yes","no")</f>
        <v>yes</v>
      </c>
    </row>
    <row r="27" spans="2:21" ht="15" thickBot="1" x14ac:dyDescent="0.35">
      <c r="J27" s="7" t="s">
        <v>90</v>
      </c>
      <c r="N27" s="74" t="str">
        <f>IF(N28&lt;81,"yes","no")</f>
        <v>yes</v>
      </c>
    </row>
    <row r="28" spans="2:21" ht="14.7" customHeight="1" thickBot="1" x14ac:dyDescent="0.35">
      <c r="B28" s="96" t="s">
        <v>84</v>
      </c>
      <c r="D28" s="81" t="s">
        <v>59</v>
      </c>
      <c r="E28" s="82" t="s">
        <v>60</v>
      </c>
      <c r="F28" s="6"/>
      <c r="J28" s="10" t="s">
        <v>89</v>
      </c>
      <c r="K28" s="12"/>
      <c r="L28" s="12"/>
      <c r="M28" s="12"/>
      <c r="N28" s="93">
        <f>(G4+G10*G5)/(10^9)</f>
        <v>80.959999999999994</v>
      </c>
    </row>
    <row r="29" spans="2:21" ht="14.25" customHeight="1" x14ac:dyDescent="0.3">
      <c r="B29" s="97"/>
      <c r="D29" s="84" t="s">
        <v>80</v>
      </c>
      <c r="E29" s="83">
        <v>500</v>
      </c>
      <c r="F29" s="85" t="s">
        <v>8</v>
      </c>
      <c r="J29" s="36" t="s">
        <v>94</v>
      </c>
    </row>
    <row r="30" spans="2:21" x14ac:dyDescent="0.3">
      <c r="B30" s="97"/>
      <c r="D30" s="7" t="s">
        <v>81</v>
      </c>
      <c r="E30" s="1">
        <v>1000</v>
      </c>
      <c r="F30" s="8" t="s">
        <v>8</v>
      </c>
      <c r="K30" s="78" t="s">
        <v>79</v>
      </c>
      <c r="L30" s="78"/>
      <c r="M30" s="78"/>
      <c r="N30" s="78"/>
      <c r="O30" s="78"/>
      <c r="P30" s="79"/>
    </row>
    <row r="31" spans="2:21" x14ac:dyDescent="0.3">
      <c r="B31" s="97"/>
      <c r="D31" s="7" t="s">
        <v>82</v>
      </c>
      <c r="E31" s="1">
        <v>200</v>
      </c>
      <c r="F31" s="8" t="s">
        <v>9</v>
      </c>
    </row>
    <row r="32" spans="2:21" x14ac:dyDescent="0.3">
      <c r="B32" s="97"/>
      <c r="D32" s="23" t="s">
        <v>83</v>
      </c>
      <c r="E32" s="25">
        <f>3.2*E31</f>
        <v>640</v>
      </c>
      <c r="F32" s="27" t="s">
        <v>24</v>
      </c>
      <c r="J32" s="36" t="s">
        <v>93</v>
      </c>
    </row>
    <row r="33" spans="2:13" x14ac:dyDescent="0.3">
      <c r="B33" s="97"/>
      <c r="D33" s="23"/>
      <c r="E33" s="94">
        <f>ROUNDDOWN(E32/(60*60),0)</f>
        <v>0</v>
      </c>
      <c r="F33" s="95" t="s">
        <v>91</v>
      </c>
    </row>
    <row r="34" spans="2:13" ht="15" thickBot="1" x14ac:dyDescent="0.35">
      <c r="B34" s="97"/>
      <c r="D34" s="86"/>
      <c r="E34" s="80">
        <f>ROUNDDOWN((E32/(60*60)-E33)*60,0)</f>
        <v>10</v>
      </c>
      <c r="F34" s="87" t="s">
        <v>86</v>
      </c>
      <c r="K34" s="3">
        <f>(E31*46.5*10^6)/10^9</f>
        <v>9.3000000000000007</v>
      </c>
      <c r="L34" s="3" t="s">
        <v>87</v>
      </c>
      <c r="M34" s="9" t="s">
        <v>95</v>
      </c>
    </row>
    <row r="35" spans="2:13" ht="15" thickBot="1" x14ac:dyDescent="0.35">
      <c r="B35" s="98"/>
      <c r="D35" s="88"/>
      <c r="E35" s="34">
        <f>ROUND((E32-(E33*60*60)-(E34*60)),1)</f>
        <v>40</v>
      </c>
      <c r="F35" s="35" t="s">
        <v>24</v>
      </c>
      <c r="J35" s="89" t="s">
        <v>88</v>
      </c>
      <c r="K35" s="90">
        <f>(E31*4*750000)/1000000</f>
        <v>600</v>
      </c>
      <c r="L35" s="91" t="s">
        <v>87</v>
      </c>
    </row>
  </sheetData>
  <mergeCells count="13">
    <mergeCell ref="B2:B26"/>
    <mergeCell ref="B28:B35"/>
    <mergeCell ref="P26:S26"/>
    <mergeCell ref="J2:N2"/>
    <mergeCell ref="J19:L19"/>
    <mergeCell ref="Q17:R17"/>
    <mergeCell ref="P25:S25"/>
    <mergeCell ref="J24:T24"/>
    <mergeCell ref="S17:T17"/>
    <mergeCell ref="S18:T18"/>
    <mergeCell ref="P22:T22"/>
    <mergeCell ref="Q18:R18"/>
    <mergeCell ref="P2:T2"/>
  </mergeCells>
  <conditionalFormatting sqref="D29:F29">
    <cfRule type="expression" dxfId="10" priority="3">
      <formula>$E$29/1000&lt;$K$15</formula>
    </cfRule>
  </conditionalFormatting>
  <conditionalFormatting sqref="E15">
    <cfRule type="cellIs" dxfId="9" priority="12" operator="greaterThan">
      <formula>#REF!</formula>
    </cfRule>
    <cfRule type="cellIs" dxfId="8" priority="13" operator="lessThan">
      <formula>#REF!</formula>
    </cfRule>
  </conditionalFormatting>
  <conditionalFormatting sqref="N25">
    <cfRule type="expression" dxfId="7" priority="8">
      <formula>$N$25="no"</formula>
    </cfRule>
    <cfRule type="expression" dxfId="6" priority="9">
      <formula>$N$25="yes"</formula>
    </cfRule>
  </conditionalFormatting>
  <conditionalFormatting sqref="N27">
    <cfRule type="expression" dxfId="5" priority="1">
      <formula>$N$27="no"</formula>
    </cfRule>
    <cfRule type="expression" dxfId="4" priority="2">
      <formula>$N$27="yes"</formula>
    </cfRule>
  </conditionalFormatting>
  <conditionalFormatting sqref="T25">
    <cfRule type="expression" dxfId="3" priority="6">
      <formula>$T$25="no"</formula>
    </cfRule>
    <cfRule type="expression" dxfId="2" priority="7">
      <formula>$T$25="yes"</formula>
    </cfRule>
  </conditionalFormatting>
  <conditionalFormatting sqref="T26">
    <cfRule type="expression" dxfId="1" priority="4">
      <formula>$T$26="no"</formula>
    </cfRule>
    <cfRule type="expression" dxfId="0" priority="5">
      <formula>$T$26="yes"</formula>
    </cfRule>
  </conditionalFormatting>
  <pageMargins left="0.7" right="0.7" top="0.78740157499999996" bottom="0.78740157499999996" header="0.3" footer="0.3"/>
  <pageSetup paperSize="8"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MIMO_Properties</vt:lpstr>
      <vt:lpstr>MIMO_Properties!Druckbereich</vt:lpstr>
    </vt:vector>
  </TitlesOfParts>
  <Company>ETH Zurich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Baumann</dc:creator>
  <cp:lastModifiedBy>Andreas Baumann</cp:lastModifiedBy>
  <cp:lastPrinted>2020-03-11T16:06:47Z</cp:lastPrinted>
  <dcterms:created xsi:type="dcterms:W3CDTF">2020-03-06T05:58:42Z</dcterms:created>
  <dcterms:modified xsi:type="dcterms:W3CDTF">2025-01-04T11:06:05Z</dcterms:modified>
</cp:coreProperties>
</file>