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showObjects="none" codeName="ThisWorkbook" defaultThemeVersion="124226"/>
  <bookViews>
    <workbookView xWindow="-12" yWindow="-12" windowWidth="11616" windowHeight="9660" tabRatio="486" activeTab="2"/>
  </bookViews>
  <sheets>
    <sheet name="Cover" sheetId="28" r:id="rId1"/>
    <sheet name="NAV" sheetId="19" r:id="rId2"/>
    <sheet name="P&amp;L" sheetId="22" r:id="rId3"/>
    <sheet name="Balance" sheetId="23" r:id="rId4"/>
    <sheet name="CashFlow" sheetId="24" r:id="rId5"/>
    <sheet name="Notes" sheetId="4" r:id="rId6"/>
  </sheets>
  <externalReferences>
    <externalReference r:id="rId7"/>
  </externalReferences>
  <calcPr calcId="144525"/>
</workbook>
</file>

<file path=xl/calcChain.xml><?xml version="1.0" encoding="utf-8"?>
<calcChain xmlns="http://schemas.openxmlformats.org/spreadsheetml/2006/main">
  <c r="S62" i="24" l="1"/>
  <c r="C1" i="24"/>
  <c r="C2" i="24"/>
  <c r="D2" i="24"/>
  <c r="C4" i="24"/>
  <c r="D4" i="24"/>
  <c r="E5" i="24"/>
  <c r="E4" i="24" s="1"/>
  <c r="E6" i="24"/>
  <c r="F6" i="24"/>
  <c r="G6" i="24"/>
  <c r="E7" i="24"/>
  <c r="F7" i="24"/>
  <c r="G7" i="24"/>
  <c r="E8" i="24"/>
  <c r="F8" i="24"/>
  <c r="G8" i="24"/>
  <c r="E9" i="24"/>
  <c r="F9" i="24"/>
  <c r="G9" i="24"/>
  <c r="E10" i="24"/>
  <c r="F10" i="24"/>
  <c r="G10" i="24"/>
  <c r="F11" i="24"/>
  <c r="G11" i="24"/>
  <c r="E12" i="24"/>
  <c r="F12" i="24"/>
  <c r="G12" i="24"/>
  <c r="E13" i="24"/>
  <c r="F13" i="24"/>
  <c r="G13" i="24"/>
  <c r="E14" i="24"/>
  <c r="F14" i="24"/>
  <c r="G14" i="24"/>
  <c r="E15" i="24"/>
  <c r="F15" i="24"/>
  <c r="G15" i="24"/>
  <c r="E16" i="24"/>
  <c r="F16" i="24"/>
  <c r="G16" i="24"/>
  <c r="E17" i="24"/>
  <c r="F17" i="24"/>
  <c r="G17" i="24"/>
  <c r="C18" i="24"/>
  <c r="D18" i="24"/>
  <c r="C20" i="24"/>
  <c r="D20" i="24"/>
  <c r="E21" i="24"/>
  <c r="E20" i="24" s="1"/>
  <c r="F21" i="24"/>
  <c r="G21" i="24"/>
  <c r="G20" i="24" s="1"/>
  <c r="E22" i="24"/>
  <c r="F22" i="24"/>
  <c r="F20" i="24" s="1"/>
  <c r="G22" i="24"/>
  <c r="E23" i="24"/>
  <c r="F23" i="24"/>
  <c r="G23" i="24"/>
  <c r="E24" i="24"/>
  <c r="F24" i="24"/>
  <c r="G24" i="24"/>
  <c r="E25" i="24"/>
  <c r="F25" i="24"/>
  <c r="G25" i="24"/>
  <c r="E26" i="24"/>
  <c r="F26" i="24"/>
  <c r="G26" i="24"/>
  <c r="E27" i="24"/>
  <c r="F27" i="24"/>
  <c r="G27" i="24"/>
  <c r="C28" i="24"/>
  <c r="D28" i="24"/>
  <c r="E31" i="24"/>
  <c r="F31" i="24"/>
  <c r="F38" i="24" s="1"/>
  <c r="G31" i="24"/>
  <c r="F32" i="24"/>
  <c r="G32" i="24"/>
  <c r="E33" i="24"/>
  <c r="E38" i="24" s="1"/>
  <c r="F33" i="24"/>
  <c r="G33" i="24"/>
  <c r="E34" i="24"/>
  <c r="F34" i="24"/>
  <c r="G34" i="24"/>
  <c r="E35" i="24"/>
  <c r="F35" i="24"/>
  <c r="G35" i="24"/>
  <c r="G38" i="24" s="1"/>
  <c r="E36" i="24"/>
  <c r="F36" i="24"/>
  <c r="G36" i="24"/>
  <c r="E37" i="24"/>
  <c r="F37" i="24"/>
  <c r="G37" i="24"/>
  <c r="C38" i="24"/>
  <c r="D38" i="24"/>
  <c r="C41" i="24"/>
  <c r="C42" i="24" s="1"/>
  <c r="D41" i="24"/>
  <c r="D42" i="24"/>
  <c r="E45" i="24"/>
  <c r="F45" i="24"/>
  <c r="F46" i="24"/>
  <c r="G46" i="24"/>
  <c r="E47" i="24"/>
  <c r="F47" i="24"/>
  <c r="F58" i="24" s="1"/>
  <c r="G47" i="24"/>
  <c r="E48" i="24"/>
  <c r="F48" i="24"/>
  <c r="G48" i="24"/>
  <c r="E49" i="24"/>
  <c r="F49" i="24"/>
  <c r="G49" i="24"/>
  <c r="E50" i="24"/>
  <c r="F50" i="24"/>
  <c r="G50" i="24"/>
  <c r="E51" i="24"/>
  <c r="F51" i="24"/>
  <c r="G51" i="24"/>
  <c r="E52" i="24"/>
  <c r="F52" i="24"/>
  <c r="G52" i="24"/>
  <c r="E53" i="24"/>
  <c r="F53" i="24"/>
  <c r="G53" i="24"/>
  <c r="E54" i="24"/>
  <c r="F54" i="24"/>
  <c r="G54" i="24"/>
  <c r="E55" i="24"/>
  <c r="F55" i="24"/>
  <c r="G55" i="24"/>
  <c r="E56" i="24"/>
  <c r="F56" i="24"/>
  <c r="G56" i="24"/>
  <c r="E57" i="24"/>
  <c r="F57" i="24"/>
  <c r="G57" i="24"/>
  <c r="C58" i="24"/>
  <c r="C60" i="24" s="1"/>
  <c r="C63" i="24" s="1"/>
  <c r="D62" i="24" s="1"/>
  <c r="D63" i="24" s="1"/>
  <c r="E62" i="24" s="1"/>
  <c r="D58" i="24"/>
  <c r="E58" i="24"/>
  <c r="D60" i="24"/>
  <c r="E61" i="24"/>
  <c r="F61" i="24"/>
  <c r="G61" i="24"/>
  <c r="G41" i="22"/>
  <c r="F41" i="22"/>
  <c r="E41" i="22"/>
  <c r="G39" i="22"/>
  <c r="F39" i="22"/>
  <c r="E39" i="22"/>
  <c r="S2" i="24"/>
  <c r="R2" i="24"/>
  <c r="Q2" i="24"/>
  <c r="P2" i="24"/>
  <c r="G2" i="24" s="1"/>
  <c r="G31" i="22" l="1"/>
  <c r="G28" i="22"/>
  <c r="G25" i="22"/>
  <c r="G24" i="22"/>
  <c r="G23" i="22"/>
  <c r="G22" i="22"/>
  <c r="G21" i="22"/>
  <c r="G14" i="22"/>
  <c r="G13" i="22"/>
  <c r="G12" i="22"/>
  <c r="G11" i="22"/>
  <c r="G10" i="22"/>
  <c r="G9" i="22"/>
  <c r="G3" i="22"/>
  <c r="G4" i="22" s="1"/>
  <c r="G2" i="22"/>
  <c r="F15" i="22"/>
  <c r="F4" i="22"/>
  <c r="F17" i="22"/>
  <c r="F18" i="22" s="1"/>
  <c r="F19" i="22" s="1"/>
  <c r="F44" i="22" s="1"/>
  <c r="F45" i="22" s="1"/>
  <c r="F31" i="22"/>
  <c r="F28" i="22"/>
  <c r="F25" i="22"/>
  <c r="F24" i="22"/>
  <c r="F23" i="22"/>
  <c r="F22" i="22"/>
  <c r="F21" i="22"/>
  <c r="F14" i="22"/>
  <c r="F13" i="22"/>
  <c r="F12" i="22"/>
  <c r="F11" i="22"/>
  <c r="F10" i="22"/>
  <c r="F9" i="22"/>
  <c r="F3" i="22"/>
  <c r="F2" i="22"/>
  <c r="F4" i="22"/>
  <c r="F15" i="22"/>
  <c r="F31" i="22"/>
  <c r="F28" i="22"/>
  <c r="F25" i="22"/>
  <c r="F24" i="22"/>
  <c r="F23" i="22"/>
  <c r="F22" i="22"/>
  <c r="F21" i="22"/>
  <c r="F14" i="22"/>
  <c r="F13" i="22"/>
  <c r="F12" i="22"/>
  <c r="F11" i="22"/>
  <c r="F10" i="22"/>
  <c r="F9" i="22"/>
  <c r="F3" i="22"/>
  <c r="G15" i="22" l="1"/>
  <c r="G17" i="22"/>
  <c r="G18" i="22" s="1"/>
  <c r="G19" i="22" s="1"/>
  <c r="G44" i="22" s="1"/>
  <c r="G45" i="22" s="1"/>
  <c r="F26" i="22"/>
  <c r="F29" i="22" s="1"/>
  <c r="F32" i="22" s="1"/>
  <c r="AD28" i="19"/>
  <c r="AC28" i="19"/>
  <c r="AB28" i="19"/>
  <c r="Z29" i="19"/>
  <c r="AA28" i="19"/>
  <c r="AA23" i="19"/>
  <c r="H33" i="19"/>
  <c r="G26" i="22" l="1"/>
  <c r="G29" i="22" s="1"/>
  <c r="G32" i="22" s="1"/>
  <c r="G35" i="22" s="1"/>
  <c r="F36" i="22"/>
  <c r="F35" i="22"/>
  <c r="N2" i="19"/>
  <c r="AD23" i="19"/>
  <c r="AD11" i="19" s="1"/>
  <c r="AD14" i="19"/>
  <c r="AD8" i="19"/>
  <c r="X31" i="24"/>
  <c r="X38" i="24" s="1"/>
  <c r="X20" i="24"/>
  <c r="X5" i="24"/>
  <c r="X4" i="24" s="1"/>
  <c r="S53" i="23"/>
  <c r="S23" i="23"/>
  <c r="X41" i="22"/>
  <c r="X39" i="22"/>
  <c r="X15" i="22"/>
  <c r="G36" i="22" l="1"/>
  <c r="AD10" i="19"/>
  <c r="AD32" i="19"/>
  <c r="J109" i="22" l="1"/>
  <c r="J108" i="22"/>
  <c r="J107" i="22"/>
  <c r="J106" i="22"/>
  <c r="J105" i="22"/>
  <c r="J104" i="22"/>
  <c r="J103" i="22"/>
  <c r="J102" i="22"/>
  <c r="J101" i="22"/>
  <c r="J100" i="22"/>
  <c r="J99" i="22"/>
  <c r="J98" i="22"/>
  <c r="J97" i="22"/>
  <c r="J96" i="22"/>
  <c r="J95" i="22"/>
  <c r="J94" i="22"/>
  <c r="J93" i="22"/>
  <c r="J92" i="22"/>
  <c r="J91" i="22"/>
  <c r="J90" i="22"/>
  <c r="J89" i="22"/>
  <c r="J88" i="22"/>
  <c r="J87" i="22"/>
  <c r="J86" i="22"/>
  <c r="J85" i="22"/>
  <c r="J84" i="22"/>
  <c r="J83" i="22"/>
  <c r="J82" i="22"/>
  <c r="J81" i="22"/>
  <c r="L109" i="22"/>
  <c r="L108" i="22"/>
  <c r="L107" i="22"/>
  <c r="L106" i="22"/>
  <c r="L105" i="22"/>
  <c r="L104" i="22"/>
  <c r="L103" i="22"/>
  <c r="L102" i="22"/>
  <c r="L101" i="22"/>
  <c r="L100" i="22"/>
  <c r="L99" i="22"/>
  <c r="L98" i="22"/>
  <c r="L97" i="22"/>
  <c r="L96" i="22"/>
  <c r="L95" i="22"/>
  <c r="L94" i="22"/>
  <c r="L93" i="22"/>
  <c r="L92" i="22"/>
  <c r="L91" i="22"/>
  <c r="L90" i="22"/>
  <c r="L89" i="22"/>
  <c r="L88" i="22"/>
  <c r="L87" i="22"/>
  <c r="L86" i="22"/>
  <c r="L85" i="22"/>
  <c r="L84" i="22"/>
  <c r="L83" i="22"/>
  <c r="L82" i="22"/>
  <c r="L81" i="22"/>
  <c r="M109" i="22"/>
  <c r="M108" i="22"/>
  <c r="M107" i="22"/>
  <c r="M106" i="22"/>
  <c r="M105" i="22"/>
  <c r="M104" i="22"/>
  <c r="M103" i="22"/>
  <c r="M102" i="22"/>
  <c r="M101" i="22"/>
  <c r="M100" i="22"/>
  <c r="M99" i="22"/>
  <c r="M98" i="22"/>
  <c r="M97" i="22"/>
  <c r="M96" i="22"/>
  <c r="M95" i="22"/>
  <c r="M94" i="22"/>
  <c r="M93" i="22"/>
  <c r="M92" i="22"/>
  <c r="M91" i="22"/>
  <c r="M90" i="22"/>
  <c r="M89" i="22"/>
  <c r="M88" i="22"/>
  <c r="M87" i="22"/>
  <c r="M86" i="22"/>
  <c r="M85" i="22"/>
  <c r="M84" i="22"/>
  <c r="M83" i="22"/>
  <c r="M82" i="22"/>
  <c r="M81" i="22"/>
  <c r="N109" i="22"/>
  <c r="N108" i="22"/>
  <c r="N107" i="22"/>
  <c r="N106" i="22"/>
  <c r="N105" i="22"/>
  <c r="N104" i="22"/>
  <c r="N103" i="22"/>
  <c r="N102" i="22"/>
  <c r="N101" i="22"/>
  <c r="N100" i="22"/>
  <c r="N99" i="22"/>
  <c r="N98" i="22"/>
  <c r="N97" i="22"/>
  <c r="N96" i="22"/>
  <c r="N95" i="22"/>
  <c r="N94" i="22"/>
  <c r="N93" i="22"/>
  <c r="N92" i="22"/>
  <c r="N91" i="22"/>
  <c r="N90" i="22"/>
  <c r="N89" i="22"/>
  <c r="N88" i="22"/>
  <c r="N87" i="22"/>
  <c r="N86" i="22"/>
  <c r="N85" i="22"/>
  <c r="N84" i="22"/>
  <c r="N83" i="22"/>
  <c r="N82" i="22"/>
  <c r="N81" i="22"/>
  <c r="O109" i="22"/>
  <c r="O108" i="22"/>
  <c r="O107" i="22"/>
  <c r="O106" i="22"/>
  <c r="O105" i="22"/>
  <c r="O104" i="22"/>
  <c r="O103" i="22"/>
  <c r="O102" i="22"/>
  <c r="O101" i="22"/>
  <c r="O100" i="22"/>
  <c r="O99" i="22"/>
  <c r="O98" i="22"/>
  <c r="O97" i="22"/>
  <c r="O96" i="22"/>
  <c r="O95" i="22"/>
  <c r="O94" i="22"/>
  <c r="O93" i="22"/>
  <c r="O92" i="22"/>
  <c r="O91" i="22"/>
  <c r="O90" i="22"/>
  <c r="O89" i="22"/>
  <c r="O88" i="22"/>
  <c r="O87" i="22"/>
  <c r="O86" i="22"/>
  <c r="O85" i="22"/>
  <c r="O84" i="22"/>
  <c r="O83" i="22"/>
  <c r="O82" i="22"/>
  <c r="O81" i="22"/>
  <c r="P109" i="22"/>
  <c r="P108" i="22"/>
  <c r="P107" i="22"/>
  <c r="P106" i="22"/>
  <c r="P105" i="22"/>
  <c r="P104" i="22"/>
  <c r="P103" i="22"/>
  <c r="P102" i="22"/>
  <c r="P101" i="22"/>
  <c r="P100" i="22"/>
  <c r="P99" i="22"/>
  <c r="P98" i="22"/>
  <c r="P97" i="22"/>
  <c r="P96" i="22"/>
  <c r="P95" i="22"/>
  <c r="P94" i="22"/>
  <c r="P93" i="22"/>
  <c r="P92" i="22"/>
  <c r="P91" i="22"/>
  <c r="P90" i="22"/>
  <c r="P89" i="22"/>
  <c r="P88" i="22"/>
  <c r="P87" i="22"/>
  <c r="P86" i="22"/>
  <c r="P85" i="22"/>
  <c r="P84" i="22"/>
  <c r="P83" i="22"/>
  <c r="P82" i="22"/>
  <c r="P81" i="22"/>
  <c r="Q109" i="22"/>
  <c r="Q108" i="22"/>
  <c r="Q107" i="22"/>
  <c r="Q106" i="22"/>
  <c r="Q105" i="22"/>
  <c r="Q104" i="22"/>
  <c r="Q103" i="22"/>
  <c r="Q102" i="22"/>
  <c r="Q101" i="22"/>
  <c r="Q100" i="22"/>
  <c r="Q99" i="22"/>
  <c r="Q98" i="22"/>
  <c r="Q97" i="22"/>
  <c r="Q96" i="22"/>
  <c r="Q95" i="22"/>
  <c r="Q94" i="22"/>
  <c r="Q93" i="22"/>
  <c r="Q92" i="22"/>
  <c r="Q91" i="22"/>
  <c r="Q90" i="22"/>
  <c r="Q89" i="22"/>
  <c r="Q88" i="22"/>
  <c r="Q87" i="22"/>
  <c r="Q86" i="22"/>
  <c r="Q85" i="22"/>
  <c r="Q84" i="22"/>
  <c r="Q83" i="22"/>
  <c r="Q82" i="22"/>
  <c r="Q81" i="22"/>
  <c r="R109" i="22"/>
  <c r="R108" i="22"/>
  <c r="R107" i="22"/>
  <c r="R106" i="22"/>
  <c r="R105" i="22"/>
  <c r="R104" i="22"/>
  <c r="R103" i="22"/>
  <c r="R102" i="22"/>
  <c r="R101" i="22"/>
  <c r="R100" i="22"/>
  <c r="R99" i="22"/>
  <c r="R98" i="22"/>
  <c r="R97" i="22"/>
  <c r="R96" i="22"/>
  <c r="R95" i="22"/>
  <c r="R94" i="22"/>
  <c r="R93" i="22"/>
  <c r="R92" i="22"/>
  <c r="R91" i="22"/>
  <c r="R90" i="22"/>
  <c r="R89" i="22"/>
  <c r="R88" i="22"/>
  <c r="R87" i="22"/>
  <c r="R86" i="22"/>
  <c r="R85" i="22"/>
  <c r="R84" i="22"/>
  <c r="R83" i="22"/>
  <c r="R82" i="22"/>
  <c r="R81" i="22"/>
  <c r="S109" i="22"/>
  <c r="S108" i="22"/>
  <c r="S107" i="22"/>
  <c r="S106" i="22"/>
  <c r="S105" i="22"/>
  <c r="S104" i="22"/>
  <c r="S103" i="22"/>
  <c r="S102" i="22"/>
  <c r="S101" i="22"/>
  <c r="S100" i="22"/>
  <c r="S99" i="22"/>
  <c r="S98" i="22"/>
  <c r="S97" i="22"/>
  <c r="S96" i="22"/>
  <c r="S95" i="22"/>
  <c r="S94" i="22"/>
  <c r="S93" i="22"/>
  <c r="S92" i="22"/>
  <c r="S91" i="22"/>
  <c r="S90" i="22"/>
  <c r="S89" i="22"/>
  <c r="S88" i="22"/>
  <c r="S87" i="22"/>
  <c r="S86" i="22"/>
  <c r="S85" i="22"/>
  <c r="S84" i="22"/>
  <c r="S83" i="22"/>
  <c r="S82" i="22"/>
  <c r="S81" i="22"/>
  <c r="T109" i="22"/>
  <c r="T108" i="22"/>
  <c r="T107" i="22"/>
  <c r="T106" i="22"/>
  <c r="T105" i="22"/>
  <c r="T104" i="22"/>
  <c r="T103" i="22"/>
  <c r="T102" i="22"/>
  <c r="T101" i="22"/>
  <c r="T100" i="22"/>
  <c r="T99" i="22"/>
  <c r="T98" i="22"/>
  <c r="T97" i="22"/>
  <c r="T96" i="22"/>
  <c r="T95" i="22"/>
  <c r="T94" i="22"/>
  <c r="T93" i="22"/>
  <c r="T92" i="22"/>
  <c r="T91" i="22"/>
  <c r="T90" i="22"/>
  <c r="T89" i="22"/>
  <c r="T88" i="22"/>
  <c r="T87" i="22"/>
  <c r="T86" i="22"/>
  <c r="T85" i="22"/>
  <c r="T84" i="22"/>
  <c r="T83" i="22"/>
  <c r="T82" i="22"/>
  <c r="T81" i="22"/>
  <c r="AA27" i="19"/>
  <c r="Q27" i="19"/>
  <c r="K106" i="22" s="1"/>
  <c r="Z11" i="19"/>
  <c r="AC23" i="19"/>
  <c r="AC11" i="19" s="1"/>
  <c r="AB23" i="19"/>
  <c r="AB11" i="19" s="1"/>
  <c r="AA11" i="19"/>
  <c r="H24" i="19"/>
  <c r="H21" i="19"/>
  <c r="H22" i="19"/>
  <c r="H23" i="19"/>
  <c r="U108" i="22" l="1"/>
  <c r="AB27" i="19"/>
  <c r="AC27" i="19" s="1"/>
  <c r="AD27" i="19" s="1"/>
  <c r="U89" i="22"/>
  <c r="U105" i="22"/>
  <c r="U93" i="22"/>
  <c r="U109" i="22"/>
  <c r="U81" i="22"/>
  <c r="U97" i="22"/>
  <c r="U85" i="22"/>
  <c r="U101" i="22"/>
  <c r="K83" i="22"/>
  <c r="K99" i="22"/>
  <c r="U82" i="22"/>
  <c r="U86" i="22"/>
  <c r="U90" i="22"/>
  <c r="U94" i="22"/>
  <c r="U98" i="22"/>
  <c r="U102" i="22"/>
  <c r="U106" i="22"/>
  <c r="K84" i="22"/>
  <c r="K88" i="22"/>
  <c r="K92" i="22"/>
  <c r="K96" i="22"/>
  <c r="K100" i="22"/>
  <c r="K104" i="22"/>
  <c r="K108" i="22"/>
  <c r="K91" i="22"/>
  <c r="K103" i="22"/>
  <c r="U83" i="22"/>
  <c r="U87" i="22"/>
  <c r="U91" i="22"/>
  <c r="U95" i="22"/>
  <c r="U99" i="22"/>
  <c r="U103" i="22"/>
  <c r="U107" i="22"/>
  <c r="K81" i="22"/>
  <c r="K85" i="22"/>
  <c r="K89" i="22"/>
  <c r="K93" i="22"/>
  <c r="K97" i="22"/>
  <c r="K101" i="22"/>
  <c r="K105" i="22"/>
  <c r="K109" i="22"/>
  <c r="K87" i="22"/>
  <c r="K95" i="22"/>
  <c r="K107" i="22"/>
  <c r="U84" i="22"/>
  <c r="U88" i="22"/>
  <c r="U92" i="22"/>
  <c r="U96" i="22"/>
  <c r="U100" i="22"/>
  <c r="U104" i="22"/>
  <c r="K82" i="22"/>
  <c r="K86" i="22"/>
  <c r="K90" i="22"/>
  <c r="K94" i="22"/>
  <c r="K98" i="22"/>
  <c r="K102" i="22"/>
  <c r="P31" i="23"/>
  <c r="Q31" i="23" s="1"/>
  <c r="R31" i="23" s="1"/>
  <c r="S31" i="23" s="1"/>
  <c r="U45" i="24"/>
  <c r="S45" i="23" l="1"/>
  <c r="X53" i="24"/>
  <c r="S30" i="23"/>
  <c r="S35" i="23" s="1"/>
  <c r="X96" i="22"/>
  <c r="X106" i="22"/>
  <c r="X108" i="22"/>
  <c r="X89" i="22"/>
  <c r="X86" i="22"/>
  <c r="X83" i="22"/>
  <c r="X99" i="22"/>
  <c r="X93" i="22"/>
  <c r="X92" i="22"/>
  <c r="X88" i="22"/>
  <c r="X97" i="22"/>
  <c r="X94" i="22"/>
  <c r="X87" i="22"/>
  <c r="X103" i="22"/>
  <c r="X101" i="22"/>
  <c r="X100" i="22"/>
  <c r="X104" i="22"/>
  <c r="X105" i="22"/>
  <c r="X98" i="22"/>
  <c r="X91" i="22"/>
  <c r="X107" i="22"/>
  <c r="X109" i="22"/>
  <c r="X85" i="22"/>
  <c r="X84" i="22"/>
  <c r="X82" i="22"/>
  <c r="X102" i="22"/>
  <c r="X95" i="22"/>
  <c r="X81" i="22"/>
  <c r="X90" i="22"/>
  <c r="V107" i="22"/>
  <c r="V103" i="22"/>
  <c r="V99" i="22"/>
  <c r="V95" i="22"/>
  <c r="V91" i="22"/>
  <c r="V87" i="22"/>
  <c r="V83" i="22"/>
  <c r="V106" i="22"/>
  <c r="V102" i="22"/>
  <c r="V98" i="22"/>
  <c r="V94" i="22"/>
  <c r="V90" i="22"/>
  <c r="V86" i="22"/>
  <c r="V82" i="22"/>
  <c r="V109" i="22"/>
  <c r="V105" i="22"/>
  <c r="V101" i="22"/>
  <c r="V97" i="22"/>
  <c r="V93" i="22"/>
  <c r="V89" i="22"/>
  <c r="V85" i="22"/>
  <c r="V81" i="22"/>
  <c r="V108" i="22"/>
  <c r="V104" i="22"/>
  <c r="V100" i="22"/>
  <c r="V96" i="22"/>
  <c r="V92" i="22"/>
  <c r="V88" i="22"/>
  <c r="V84" i="22"/>
  <c r="S4" i="24"/>
  <c r="AD6" i="19" l="1"/>
  <c r="X2" i="22"/>
  <c r="X4" i="22" s="1"/>
  <c r="X17" i="22" s="1"/>
  <c r="X18" i="22" s="1"/>
  <c r="X19" i="22" s="1"/>
  <c r="X44" i="22" s="1"/>
  <c r="X45" i="22" s="1"/>
  <c r="W108" i="22"/>
  <c r="W104" i="22"/>
  <c r="W100" i="22"/>
  <c r="W96" i="22"/>
  <c r="W92" i="22"/>
  <c r="W88" i="22"/>
  <c r="W84" i="22"/>
  <c r="W107" i="22"/>
  <c r="W103" i="22"/>
  <c r="W99" i="22"/>
  <c r="W95" i="22"/>
  <c r="W91" i="22"/>
  <c r="W87" i="22"/>
  <c r="W83" i="22"/>
  <c r="W106" i="22"/>
  <c r="W102" i="22"/>
  <c r="W98" i="22"/>
  <c r="W94" i="22"/>
  <c r="W90" i="22"/>
  <c r="W86" i="22"/>
  <c r="W82" i="22"/>
  <c r="W109" i="22"/>
  <c r="W105" i="22"/>
  <c r="W101" i="22"/>
  <c r="W97" i="22"/>
  <c r="W93" i="22"/>
  <c r="W89" i="22"/>
  <c r="W85" i="22"/>
  <c r="W81" i="22"/>
  <c r="AC14" i="19"/>
  <c r="AC32" i="19" s="1"/>
  <c r="AC8" i="19"/>
  <c r="AB14" i="19"/>
  <c r="AB8" i="19"/>
  <c r="AA14" i="19"/>
  <c r="AA8" i="19"/>
  <c r="Z14" i="19"/>
  <c r="Z8" i="19"/>
  <c r="W41" i="22"/>
  <c r="W39" i="22"/>
  <c r="W15" i="22"/>
  <c r="V41" i="22"/>
  <c r="V39" i="22"/>
  <c r="V15" i="22"/>
  <c r="S45" i="24"/>
  <c r="W20" i="24"/>
  <c r="V20" i="24"/>
  <c r="U20" i="24"/>
  <c r="T20" i="24"/>
  <c r="S20" i="24"/>
  <c r="R20" i="24"/>
  <c r="W31" i="24"/>
  <c r="W38" i="24" s="1"/>
  <c r="W5" i="24"/>
  <c r="W4" i="24" s="1"/>
  <c r="V31" i="24"/>
  <c r="V38" i="24" s="1"/>
  <c r="V5" i="24"/>
  <c r="V4" i="24" s="1"/>
  <c r="U31" i="24"/>
  <c r="U38" i="24" s="1"/>
  <c r="U5" i="24"/>
  <c r="U4" i="24" s="1"/>
  <c r="T38" i="24"/>
  <c r="T5" i="24"/>
  <c r="R53" i="23"/>
  <c r="R23" i="23"/>
  <c r="Q53" i="23"/>
  <c r="Q23" i="23"/>
  <c r="P53" i="23"/>
  <c r="P23" i="23"/>
  <c r="O23" i="23"/>
  <c r="O53" i="23"/>
  <c r="R13" i="22"/>
  <c r="U41" i="22"/>
  <c r="U39" i="22"/>
  <c r="U15" i="22"/>
  <c r="T41" i="22"/>
  <c r="T39" i="22"/>
  <c r="T15" i="22"/>
  <c r="AA10" i="19" l="1"/>
  <c r="AC10" i="19"/>
  <c r="Z10" i="19"/>
  <c r="AB10" i="19"/>
  <c r="X26" i="22"/>
  <c r="X29" i="22" s="1"/>
  <c r="X32" i="22" s="1"/>
  <c r="T4" i="22"/>
  <c r="T17" i="22" s="1"/>
  <c r="T18" i="22" s="1"/>
  <c r="T19" i="22" s="1"/>
  <c r="T44" i="22" l="1"/>
  <c r="T45" i="22" s="1"/>
  <c r="X2" i="24"/>
  <c r="X18" i="24" s="1"/>
  <c r="X28" i="24" s="1"/>
  <c r="X41" i="24" s="1"/>
  <c r="X42" i="24" s="1"/>
  <c r="X36" i="22"/>
  <c r="X35" i="22"/>
  <c r="U2" i="22"/>
  <c r="U4" i="22" s="1"/>
  <c r="T26" i="22"/>
  <c r="T29" i="22" s="1"/>
  <c r="V2" i="22" l="1"/>
  <c r="V4" i="22" s="1"/>
  <c r="V17" i="22" s="1"/>
  <c r="V18" i="22" s="1"/>
  <c r="V19" i="22" s="1"/>
  <c r="V44" i="22" s="1"/>
  <c r="V45" i="22" s="1"/>
  <c r="U17" i="22"/>
  <c r="U18" i="22" s="1"/>
  <c r="U19" i="22" s="1"/>
  <c r="T32" i="22"/>
  <c r="T36" i="22" s="1"/>
  <c r="T2" i="24"/>
  <c r="T18" i="24" s="1"/>
  <c r="T28" i="24" s="1"/>
  <c r="U44" i="22" l="1"/>
  <c r="U45" i="22" s="1"/>
  <c r="W45" i="24"/>
  <c r="AC17" i="19"/>
  <c r="W2" i="22"/>
  <c r="W4" i="22" s="1"/>
  <c r="W17" i="22" s="1"/>
  <c r="W18" i="22" s="1"/>
  <c r="W19" i="22" s="1"/>
  <c r="U26" i="22"/>
  <c r="U29" i="22" s="1"/>
  <c r="P38" i="23" s="1"/>
  <c r="V26" i="22"/>
  <c r="V29" i="22" s="1"/>
  <c r="T35" i="22"/>
  <c r="T41" i="24"/>
  <c r="AD35" i="19" l="1"/>
  <c r="T42" i="24"/>
  <c r="AB17" i="19"/>
  <c r="V45" i="24"/>
  <c r="Q38" i="23" s="1"/>
  <c r="W44" i="22"/>
  <c r="W45" i="22" s="1"/>
  <c r="V2" i="24"/>
  <c r="V18" i="24" s="1"/>
  <c r="V28" i="24" s="1"/>
  <c r="V41" i="24" s="1"/>
  <c r="V42" i="24" s="1"/>
  <c r="U2" i="24"/>
  <c r="U18" i="24" s="1"/>
  <c r="U28" i="24" s="1"/>
  <c r="U41" i="24" s="1"/>
  <c r="U32" i="22"/>
  <c r="U35" i="22" s="1"/>
  <c r="V32" i="22"/>
  <c r="W26" i="22"/>
  <c r="W29" i="22" s="1"/>
  <c r="AC35" i="19"/>
  <c r="AD34" i="19" l="1"/>
  <c r="AD38" i="19" s="1"/>
  <c r="AC34" i="19"/>
  <c r="AC38" i="19" s="1"/>
  <c r="AD17" i="19"/>
  <c r="AD36" i="19" s="1"/>
  <c r="AD41" i="19" s="1"/>
  <c r="X45" i="24"/>
  <c r="X58" i="24" s="1"/>
  <c r="X60" i="24" s="1"/>
  <c r="U42" i="24"/>
  <c r="R38" i="23"/>
  <c r="U36" i="22"/>
  <c r="V36" i="22"/>
  <c r="V35" i="22"/>
  <c r="W2" i="24"/>
  <c r="W18" i="24" s="1"/>
  <c r="W28" i="24" s="1"/>
  <c r="W32" i="22"/>
  <c r="Q20" i="24"/>
  <c r="Q4" i="22"/>
  <c r="R45" i="24"/>
  <c r="G45" i="24" s="1"/>
  <c r="G58" i="24" s="1"/>
  <c r="H20" i="19"/>
  <c r="S38" i="23" l="1"/>
  <c r="S40" i="23" s="1"/>
  <c r="W36" i="22"/>
  <c r="W35" i="22"/>
  <c r="W41" i="24"/>
  <c r="O30" i="23"/>
  <c r="O35" i="23" s="1"/>
  <c r="U53" i="24"/>
  <c r="U58" i="24" s="1"/>
  <c r="U60" i="24" s="1"/>
  <c r="O45" i="23"/>
  <c r="Z6" i="19" l="1"/>
  <c r="AD37" i="19"/>
  <c r="AD40" i="19" s="1"/>
  <c r="W42" i="24"/>
  <c r="AC37" i="19"/>
  <c r="AC40" i="19" s="1"/>
  <c r="P45" i="23"/>
  <c r="V53" i="24"/>
  <c r="V58" i="24" s="1"/>
  <c r="V60" i="24" s="1"/>
  <c r="P30" i="23"/>
  <c r="P35" i="23" s="1"/>
  <c r="AA6" i="19" l="1"/>
  <c r="P46" i="23"/>
  <c r="Q45" i="23"/>
  <c r="W53" i="24"/>
  <c r="W58" i="24" s="1"/>
  <c r="W60" i="24" s="1"/>
  <c r="Q30" i="23"/>
  <c r="Q35" i="23" s="1"/>
  <c r="AB6" i="19" l="1"/>
  <c r="R45" i="23"/>
  <c r="R30" i="23"/>
  <c r="R35" i="23" s="1"/>
  <c r="Q46" i="23"/>
  <c r="J2" i="23"/>
  <c r="AC6" i="19" l="1"/>
  <c r="S46" i="23"/>
  <c r="R46" i="23"/>
  <c r="Y8" i="19" l="1"/>
  <c r="X8" i="19"/>
  <c r="W8" i="19"/>
  <c r="V8" i="19"/>
  <c r="O8" i="19"/>
  <c r="P8" i="19"/>
  <c r="Q8" i="19"/>
  <c r="R8" i="19"/>
  <c r="S8" i="19"/>
  <c r="T8" i="19"/>
  <c r="U8" i="19"/>
  <c r="Y14" i="19"/>
  <c r="Y11" i="19"/>
  <c r="X14" i="19"/>
  <c r="X11" i="19"/>
  <c r="W14" i="19"/>
  <c r="W11" i="19"/>
  <c r="S38" i="24"/>
  <c r="R38" i="24"/>
  <c r="Q38" i="24"/>
  <c r="R5" i="24"/>
  <c r="R4" i="24" s="1"/>
  <c r="Q4" i="24"/>
  <c r="N53" i="23"/>
  <c r="M53" i="23"/>
  <c r="L53" i="23"/>
  <c r="N23" i="23"/>
  <c r="M23" i="23"/>
  <c r="L23" i="23"/>
  <c r="S41" i="22"/>
  <c r="S39" i="22"/>
  <c r="R41" i="22"/>
  <c r="R39" i="22"/>
  <c r="Q41" i="22"/>
  <c r="Q39" i="22"/>
  <c r="S15" i="22"/>
  <c r="R15" i="22"/>
  <c r="Q15" i="22"/>
  <c r="W10" i="19" l="1"/>
  <c r="Y10" i="19"/>
  <c r="X10" i="19"/>
  <c r="V11" i="19"/>
  <c r="V14" i="19" l="1"/>
  <c r="P38" i="24"/>
  <c r="P20" i="24"/>
  <c r="P5" i="24"/>
  <c r="K53" i="23"/>
  <c r="K23" i="23"/>
  <c r="P41" i="22"/>
  <c r="O41" i="22"/>
  <c r="P39" i="22"/>
  <c r="O39" i="22"/>
  <c r="P15" i="22"/>
  <c r="I41" i="22"/>
  <c r="J41" i="22"/>
  <c r="K41" i="22"/>
  <c r="L41" i="22"/>
  <c r="M41" i="22"/>
  <c r="I39" i="22"/>
  <c r="J39" i="22"/>
  <c r="K39" i="22"/>
  <c r="L39" i="22"/>
  <c r="M39" i="22"/>
  <c r="N41" i="22"/>
  <c r="N39" i="22"/>
  <c r="P4" i="24" l="1"/>
  <c r="G5" i="24"/>
  <c r="G4" i="24" s="1"/>
  <c r="G18" i="24" s="1"/>
  <c r="G28" i="24" s="1"/>
  <c r="G60" i="24" s="1"/>
  <c r="V10" i="19"/>
  <c r="L30" i="23"/>
  <c r="L35" i="23" s="1"/>
  <c r="L45" i="23"/>
  <c r="K45" i="23"/>
  <c r="K30" i="23"/>
  <c r="K35" i="23" s="1"/>
  <c r="V6" i="19" l="1"/>
  <c r="W6" i="19"/>
  <c r="L46" i="23"/>
  <c r="M30" i="23"/>
  <c r="M35" i="23" s="1"/>
  <c r="M45" i="23"/>
  <c r="R4" i="22"/>
  <c r="Q17" i="22"/>
  <c r="Q18" i="22" s="1"/>
  <c r="Q19" i="22" s="1"/>
  <c r="Q44" i="22" s="1"/>
  <c r="Q45" i="22" s="1"/>
  <c r="P4" i="22"/>
  <c r="U14" i="19"/>
  <c r="O38" i="24"/>
  <c r="O20" i="24"/>
  <c r="O5" i="24"/>
  <c r="O4" i="24" s="1"/>
  <c r="J53" i="23"/>
  <c r="J23" i="23"/>
  <c r="O15" i="22"/>
  <c r="U10" i="19" l="1"/>
  <c r="X6" i="19"/>
  <c r="M46" i="23"/>
  <c r="N30" i="23"/>
  <c r="N35" i="23" s="1"/>
  <c r="N45" i="23"/>
  <c r="S4" i="22"/>
  <c r="P17" i="22"/>
  <c r="Q26" i="22"/>
  <c r="Q29" i="22" s="1"/>
  <c r="R17" i="22"/>
  <c r="R18" i="22" s="1"/>
  <c r="R19" i="22" s="1"/>
  <c r="O4" i="22"/>
  <c r="M38" i="24"/>
  <c r="N38" i="24"/>
  <c r="N20" i="24"/>
  <c r="M20" i="24"/>
  <c r="N5" i="24"/>
  <c r="N4" i="24" s="1"/>
  <c r="M5" i="24"/>
  <c r="L58" i="24"/>
  <c r="L38" i="24"/>
  <c r="L20" i="24"/>
  <c r="C53" i="23"/>
  <c r="D53" i="23"/>
  <c r="E53" i="23"/>
  <c r="F53" i="23"/>
  <c r="I53" i="23"/>
  <c r="H53" i="23"/>
  <c r="G53" i="23"/>
  <c r="L4" i="24"/>
  <c r="M4" i="24" l="1"/>
  <c r="F5" i="24"/>
  <c r="F4" i="24" s="1"/>
  <c r="O46" i="23"/>
  <c r="R44" i="22"/>
  <c r="R45" i="22" s="1"/>
  <c r="P26" i="22"/>
  <c r="P29" i="22" s="1"/>
  <c r="P18" i="24" s="1"/>
  <c r="P28" i="24" s="1"/>
  <c r="P41" i="24" s="1"/>
  <c r="P42" i="24" s="1"/>
  <c r="P18" i="22"/>
  <c r="P19" i="22" s="1"/>
  <c r="S17" i="22"/>
  <c r="Y6" i="19"/>
  <c r="N46" i="23"/>
  <c r="R26" i="22"/>
  <c r="R29" i="22" s="1"/>
  <c r="O17" i="22"/>
  <c r="O18" i="22" s="1"/>
  <c r="O19" i="22" s="1"/>
  <c r="Q18" i="24"/>
  <c r="Q28" i="24" s="1"/>
  <c r="Q41" i="24" s="1"/>
  <c r="Q42" i="24" s="1"/>
  <c r="Q32" i="22"/>
  <c r="S26" i="22" l="1"/>
  <c r="S29" i="22" s="1"/>
  <c r="S18" i="22"/>
  <c r="S19" i="22" s="1"/>
  <c r="P32" i="22"/>
  <c r="P36" i="22" s="1"/>
  <c r="P44" i="22"/>
  <c r="P45" i="22" s="1"/>
  <c r="O44" i="22"/>
  <c r="O45" i="22" s="1"/>
  <c r="Q35" i="22"/>
  <c r="Q36" i="22"/>
  <c r="R18" i="24"/>
  <c r="R28" i="24" s="1"/>
  <c r="R41" i="24" s="1"/>
  <c r="R42" i="24" s="1"/>
  <c r="R32" i="22"/>
  <c r="S32" i="22" l="1"/>
  <c r="S36" i="22" s="1"/>
  <c r="P35" i="22"/>
  <c r="S44" i="22"/>
  <c r="S45" i="22" s="1"/>
  <c r="S18" i="24"/>
  <c r="S28" i="24" s="1"/>
  <c r="S41" i="24" s="1"/>
  <c r="S42" i="24" s="1"/>
  <c r="Q58" i="24"/>
  <c r="Q60" i="24" s="1"/>
  <c r="R58" i="24"/>
  <c r="R60" i="24" s="1"/>
  <c r="R36" i="22"/>
  <c r="R35" i="22"/>
  <c r="S35" i="22"/>
  <c r="T58" i="24" l="1"/>
  <c r="T60" i="24" s="1"/>
  <c r="Z17" i="19"/>
  <c r="AC36" i="19" s="1"/>
  <c r="AC41" i="19" s="1"/>
  <c r="S58" i="24"/>
  <c r="S60" i="24" s="1"/>
  <c r="I23" i="23" l="1"/>
  <c r="N15" i="22"/>
  <c r="T10" i="19"/>
  <c r="T14" i="19"/>
  <c r="N4" i="22" l="1"/>
  <c r="K20" i="24"/>
  <c r="K4" i="24"/>
  <c r="N17" i="22" l="1"/>
  <c r="N18" i="22" s="1"/>
  <c r="N19" i="22" s="1"/>
  <c r="I30" i="23"/>
  <c r="I35" i="23" s="1"/>
  <c r="I45" i="23"/>
  <c r="N44" i="22" l="1"/>
  <c r="N45" i="22" s="1"/>
  <c r="J30" i="23"/>
  <c r="J35" i="23" s="1"/>
  <c r="J45" i="23"/>
  <c r="T6" i="19"/>
  <c r="K46" i="23" l="1"/>
  <c r="U6" i="19"/>
  <c r="J46" i="23"/>
  <c r="S14" i="19" l="1"/>
  <c r="S10" i="19"/>
  <c r="H23" i="23"/>
  <c r="M15" i="22"/>
  <c r="M4" i="22" l="1"/>
  <c r="R14" i="19"/>
  <c r="R10" i="19"/>
  <c r="G23" i="23"/>
  <c r="L15" i="22"/>
  <c r="Q14" i="19"/>
  <c r="Q10" i="19"/>
  <c r="P10" i="19"/>
  <c r="O10" i="19"/>
  <c r="P7" i="19"/>
  <c r="O7" i="19"/>
  <c r="C45" i="23"/>
  <c r="C47" i="23" s="1"/>
  <c r="E45" i="23"/>
  <c r="D45" i="23"/>
  <c r="P14" i="19"/>
  <c r="O14" i="19"/>
  <c r="D47" i="23" l="1"/>
  <c r="E47" i="23"/>
  <c r="M17" i="22"/>
  <c r="M18" i="22" s="1"/>
  <c r="M19" i="22" s="1"/>
  <c r="M44" i="22" s="1"/>
  <c r="M45" i="22" s="1"/>
  <c r="G11" i="23"/>
  <c r="L4" i="22"/>
  <c r="C46" i="23"/>
  <c r="D46" i="23"/>
  <c r="E46" i="23"/>
  <c r="O6" i="19"/>
  <c r="P6" i="19"/>
  <c r="L17" i="22" l="1"/>
  <c r="L18" i="22" s="1"/>
  <c r="L19" i="22" s="1"/>
  <c r="H11" i="23"/>
  <c r="L44" i="22" l="1"/>
  <c r="L45" i="22" s="1"/>
  <c r="I11" i="23"/>
  <c r="K58" i="24"/>
  <c r="J58" i="24"/>
  <c r="I58" i="24"/>
  <c r="H58" i="24"/>
  <c r="K38" i="24"/>
  <c r="J38" i="24"/>
  <c r="I38" i="24"/>
  <c r="H38" i="24"/>
  <c r="J20" i="24"/>
  <c r="I20" i="24"/>
  <c r="H20" i="24"/>
  <c r="J4" i="24"/>
  <c r="I4" i="24"/>
  <c r="H4" i="24"/>
  <c r="E30" i="23"/>
  <c r="D30" i="23"/>
  <c r="C30" i="23"/>
  <c r="F23" i="23"/>
  <c r="E23" i="23"/>
  <c r="D23" i="23"/>
  <c r="C23" i="23"/>
  <c r="F11" i="23"/>
  <c r="E11" i="23"/>
  <c r="D11" i="23"/>
  <c r="C11" i="23"/>
  <c r="E2" i="23"/>
  <c r="D2" i="23"/>
  <c r="C2" i="23"/>
  <c r="J11" i="23" l="1"/>
  <c r="E20" i="23"/>
  <c r="D35" i="23"/>
  <c r="D40" i="23" s="1"/>
  <c r="C20" i="23"/>
  <c r="E35" i="23"/>
  <c r="E40" i="23" s="1"/>
  <c r="D20" i="23"/>
  <c r="C35" i="23"/>
  <c r="C40" i="23" s="1"/>
  <c r="O11" i="19"/>
  <c r="P11" i="19" s="1"/>
  <c r="K11" i="23" l="1"/>
  <c r="D41" i="23"/>
  <c r="E41" i="23"/>
  <c r="C41" i="23"/>
  <c r="E31" i="22"/>
  <c r="E28" i="22"/>
  <c r="E25" i="22"/>
  <c r="E24" i="22"/>
  <c r="E22" i="22"/>
  <c r="E21" i="22"/>
  <c r="E14" i="22"/>
  <c r="E13" i="22"/>
  <c r="E12" i="22"/>
  <c r="E11" i="22"/>
  <c r="E10" i="22"/>
  <c r="E9" i="22"/>
  <c r="E2" i="22"/>
  <c r="E4" i="22" s="1"/>
  <c r="K15" i="22"/>
  <c r="J15" i="22"/>
  <c r="I15" i="22"/>
  <c r="H15" i="22"/>
  <c r="D15" i="22"/>
  <c r="C15" i="22"/>
  <c r="K4" i="22"/>
  <c r="J4" i="22"/>
  <c r="I4" i="22"/>
  <c r="H4" i="22"/>
  <c r="F17" i="22" s="1"/>
  <c r="D4" i="22"/>
  <c r="C4" i="22"/>
  <c r="C1" i="22"/>
  <c r="L11" i="23" l="1"/>
  <c r="C17" i="22"/>
  <c r="C18" i="22" s="1"/>
  <c r="C19" i="22" s="1"/>
  <c r="C44" i="22" s="1"/>
  <c r="C45" i="22" s="1"/>
  <c r="E15" i="22"/>
  <c r="E17" i="22" s="1"/>
  <c r="E18" i="22" s="1"/>
  <c r="E19" i="22" s="1"/>
  <c r="E44" i="22" s="1"/>
  <c r="E45" i="22" s="1"/>
  <c r="D17" i="22"/>
  <c r="D18" i="22" s="1"/>
  <c r="D19" i="22" s="1"/>
  <c r="D44" i="22" s="1"/>
  <c r="D45" i="22" s="1"/>
  <c r="I17" i="22"/>
  <c r="I18" i="22" s="1"/>
  <c r="I19" i="22" s="1"/>
  <c r="I44" i="22" s="1"/>
  <c r="I45" i="22" s="1"/>
  <c r="H17" i="22"/>
  <c r="H18" i="22" s="1"/>
  <c r="H19" i="22" s="1"/>
  <c r="K17" i="22"/>
  <c r="K18" i="22" s="1"/>
  <c r="K19" i="22" s="1"/>
  <c r="J17" i="22"/>
  <c r="J18" i="22" s="1"/>
  <c r="J19" i="22" s="1"/>
  <c r="F18" i="22" l="1"/>
  <c r="F19" i="22" s="1"/>
  <c r="J44" i="22"/>
  <c r="J45" i="22" s="1"/>
  <c r="K44" i="22"/>
  <c r="K45" i="22" s="1"/>
  <c r="H44" i="22"/>
  <c r="H45" i="22" s="1"/>
  <c r="J26" i="22"/>
  <c r="J29" i="22" s="1"/>
  <c r="J2" i="24" s="1"/>
  <c r="J18" i="24" s="1"/>
  <c r="J28" i="24" s="1"/>
  <c r="J41" i="24" s="1"/>
  <c r="D26" i="22"/>
  <c r="D29" i="22" s="1"/>
  <c r="H26" i="22"/>
  <c r="C26" i="22"/>
  <c r="C29" i="22" s="1"/>
  <c r="I26" i="22"/>
  <c r="I29" i="22" s="1"/>
  <c r="I2" i="24" s="1"/>
  <c r="I18" i="24" s="1"/>
  <c r="I28" i="24" s="1"/>
  <c r="M11" i="23"/>
  <c r="J42" i="24" l="1"/>
  <c r="H29" i="22"/>
  <c r="H2" i="24" s="1"/>
  <c r="F29" i="22"/>
  <c r="H32" i="22"/>
  <c r="I32" i="22"/>
  <c r="J32" i="22"/>
  <c r="J35" i="22" s="1"/>
  <c r="J60" i="24"/>
  <c r="C32" i="22"/>
  <c r="D32" i="22"/>
  <c r="N11" i="23"/>
  <c r="I41" i="24"/>
  <c r="I60" i="24"/>
  <c r="H18" i="24" l="1"/>
  <c r="H28" i="24" s="1"/>
  <c r="J36" i="22"/>
  <c r="O11" i="23"/>
  <c r="P12" i="23"/>
  <c r="I42" i="24"/>
  <c r="H19" i="19"/>
  <c r="H18" i="19"/>
  <c r="H17" i="19"/>
  <c r="H16" i="19"/>
  <c r="H15" i="19"/>
  <c r="H14" i="19"/>
  <c r="H13" i="19"/>
  <c r="H12" i="19"/>
  <c r="H11" i="19"/>
  <c r="H10" i="19"/>
  <c r="H9" i="19"/>
  <c r="H8" i="19"/>
  <c r="H7" i="19"/>
  <c r="H6" i="19"/>
  <c r="H5" i="19"/>
  <c r="H4" i="19"/>
  <c r="H3" i="19"/>
  <c r="H2" i="19"/>
  <c r="H60" i="24" l="1"/>
  <c r="H63" i="24" s="1"/>
  <c r="I62" i="24" s="1"/>
  <c r="I63" i="24" s="1"/>
  <c r="J62" i="24" s="1"/>
  <c r="J63" i="24" s="1"/>
  <c r="H41" i="24"/>
  <c r="AA24" i="19"/>
  <c r="AA29" i="19" s="1"/>
  <c r="AD24" i="19"/>
  <c r="AB24" i="19"/>
  <c r="AC24" i="19"/>
  <c r="Z25" i="19"/>
  <c r="P11" i="23"/>
  <c r="Q12" i="23"/>
  <c r="K62" i="24"/>
  <c r="H42" i="24" l="1"/>
  <c r="AA25" i="19"/>
  <c r="AD25" i="19"/>
  <c r="AD29" i="19"/>
  <c r="AC25" i="19"/>
  <c r="AC29" i="19"/>
  <c r="AB25" i="19"/>
  <c r="AB29" i="19"/>
  <c r="Q11" i="23"/>
  <c r="R12" i="23"/>
  <c r="O12" i="19"/>
  <c r="O16" i="19" s="1"/>
  <c r="R11" i="23" l="1"/>
  <c r="S12" i="23"/>
  <c r="S11" i="23" s="1"/>
  <c r="P12" i="19"/>
  <c r="P16" i="19" s="1"/>
  <c r="F45" i="23" l="1"/>
  <c r="F30" i="23"/>
  <c r="F35" i="23" s="1"/>
  <c r="M26" i="22" l="1"/>
  <c r="N26" i="22"/>
  <c r="N29" i="22" s="1"/>
  <c r="O26" i="22"/>
  <c r="O29" i="22" s="1"/>
  <c r="G30" i="23"/>
  <c r="G35" i="23" s="1"/>
  <c r="G45" i="23"/>
  <c r="Q6" i="19"/>
  <c r="F46" i="23"/>
  <c r="H45" i="23"/>
  <c r="H30" i="23"/>
  <c r="H35" i="23" s="1"/>
  <c r="L26" i="22"/>
  <c r="L29" i="22" s="1"/>
  <c r="L2" i="24" s="1"/>
  <c r="E23" i="22"/>
  <c r="K26" i="22"/>
  <c r="K29" i="22" s="1"/>
  <c r="K2" i="24" s="1"/>
  <c r="K18" i="24" l="1"/>
  <c r="K28" i="24" s="1"/>
  <c r="E2" i="24"/>
  <c r="E18" i="24" s="1"/>
  <c r="E28" i="24" s="1"/>
  <c r="E60" i="24" s="1"/>
  <c r="E63" i="24" s="1"/>
  <c r="F62" i="24" s="1"/>
  <c r="L18" i="24"/>
  <c r="L28" i="24" s="1"/>
  <c r="F2" i="24"/>
  <c r="F18" i="24" s="1"/>
  <c r="F28" i="24" s="1"/>
  <c r="F60" i="24" s="1"/>
  <c r="F63" i="24" s="1"/>
  <c r="G62" i="24" s="1"/>
  <c r="G63" i="24" s="1"/>
  <c r="M29" i="22"/>
  <c r="M2" i="24" s="1"/>
  <c r="M18" i="24" s="1"/>
  <c r="M28" i="24" s="1"/>
  <c r="M41" i="24" s="1"/>
  <c r="M42" i="24" s="1"/>
  <c r="F26" i="22"/>
  <c r="I46" i="23"/>
  <c r="G46" i="23"/>
  <c r="N2" i="24"/>
  <c r="N18" i="24" s="1"/>
  <c r="N28" i="24" s="1"/>
  <c r="N41" i="24" s="1"/>
  <c r="N42" i="24" s="1"/>
  <c r="O32" i="22"/>
  <c r="O2" i="24"/>
  <c r="O18" i="24" s="1"/>
  <c r="O28" i="24" s="1"/>
  <c r="K41" i="24"/>
  <c r="K60" i="24"/>
  <c r="K63" i="24" s="1"/>
  <c r="L60" i="24"/>
  <c r="L41" i="24"/>
  <c r="L42" i="24" s="1"/>
  <c r="N32" i="22"/>
  <c r="R6" i="19"/>
  <c r="S6" i="19"/>
  <c r="H46" i="23"/>
  <c r="L32" i="22"/>
  <c r="L36" i="22" s="1"/>
  <c r="M32" i="22"/>
  <c r="K32" i="22"/>
  <c r="E26" i="22"/>
  <c r="E29" i="22" s="1"/>
  <c r="G41" i="24" l="1"/>
  <c r="G42" i="24" s="1"/>
  <c r="F41" i="24"/>
  <c r="F42" i="24" s="1"/>
  <c r="E41" i="24"/>
  <c r="E42" i="24" s="1"/>
  <c r="O41" i="24"/>
  <c r="O42" i="24" s="1"/>
  <c r="O35" i="22"/>
  <c r="O36" i="22"/>
  <c r="L62" i="24"/>
  <c r="L63" i="24" s="1"/>
  <c r="K42" i="24"/>
  <c r="N35" i="22"/>
  <c r="O58" i="24" s="1"/>
  <c r="O60" i="24" s="1"/>
  <c r="N36" i="22"/>
  <c r="L35" i="22"/>
  <c r="M35" i="22"/>
  <c r="M36" i="22"/>
  <c r="K35" i="22"/>
  <c r="K36" i="22"/>
  <c r="E36" i="22" s="1"/>
  <c r="E32" i="22"/>
  <c r="F40" i="23"/>
  <c r="V17" i="19" l="1"/>
  <c r="P58" i="24"/>
  <c r="P60" i="24" s="1"/>
  <c r="N58" i="24"/>
  <c r="N60" i="24" s="1"/>
  <c r="M62" i="24"/>
  <c r="M58" i="24"/>
  <c r="M60" i="24" s="1"/>
  <c r="E35" i="22"/>
  <c r="K40" i="23" l="1"/>
  <c r="M63" i="24"/>
  <c r="F47" i="23"/>
  <c r="F2" i="23"/>
  <c r="F20" i="23" s="1"/>
  <c r="F41" i="23" s="1"/>
  <c r="Q7" i="19"/>
  <c r="Q12" i="19" s="1"/>
  <c r="Q16" i="19" s="1"/>
  <c r="L40" i="23" l="1"/>
  <c r="N62" i="24"/>
  <c r="N63" i="24" s="1"/>
  <c r="G47" i="23"/>
  <c r="G40" i="23"/>
  <c r="M40" i="23" l="1"/>
  <c r="O62" i="24"/>
  <c r="O63" i="24" s="1"/>
  <c r="H40" i="23"/>
  <c r="R7" i="19"/>
  <c r="G2" i="23"/>
  <c r="G20" i="23" s="1"/>
  <c r="G41" i="23" s="1"/>
  <c r="N40" i="23" l="1"/>
  <c r="J47" i="23"/>
  <c r="P62" i="24"/>
  <c r="P63" i="24" s="1"/>
  <c r="I40" i="23"/>
  <c r="J40" i="23"/>
  <c r="S7" i="19"/>
  <c r="H47" i="23"/>
  <c r="H2" i="23"/>
  <c r="H20" i="23" s="1"/>
  <c r="H41" i="23" s="1"/>
  <c r="I47" i="23"/>
  <c r="T7" i="19"/>
  <c r="I2" i="23"/>
  <c r="I20" i="23" s="1"/>
  <c r="O40" i="23" l="1"/>
  <c r="U7" i="19"/>
  <c r="Q62" i="24"/>
  <c r="Q63" i="24" s="1"/>
  <c r="J20" i="23"/>
  <c r="J41" i="23" s="1"/>
  <c r="I41" i="23"/>
  <c r="P40" i="23" l="1"/>
  <c r="V7" i="19"/>
  <c r="K2" i="23"/>
  <c r="K20" i="23" s="1"/>
  <c r="K41" i="23" s="1"/>
  <c r="K47" i="23"/>
  <c r="L2" i="23"/>
  <c r="R62" i="24"/>
  <c r="R63" i="24" s="1"/>
  <c r="U12" i="19"/>
  <c r="U16" i="19" s="1"/>
  <c r="T12" i="19"/>
  <c r="T16" i="19" s="1"/>
  <c r="R12" i="19"/>
  <c r="R16" i="19" s="1"/>
  <c r="S12" i="19"/>
  <c r="S16" i="19" s="1"/>
  <c r="R40" i="23" l="1"/>
  <c r="Q40" i="23"/>
  <c r="L20" i="23"/>
  <c r="L41" i="23" s="1"/>
  <c r="W7" i="19"/>
  <c r="L47" i="23"/>
  <c r="M2" i="23"/>
  <c r="S63" i="24"/>
  <c r="V12" i="19"/>
  <c r="V16" i="19" s="1"/>
  <c r="N2" i="23" l="1"/>
  <c r="N20" i="23" s="1"/>
  <c r="N41" i="23" s="1"/>
  <c r="T62" i="24"/>
  <c r="T63" i="24" s="1"/>
  <c r="M20" i="23"/>
  <c r="M41" i="23" s="1"/>
  <c r="X7" i="19"/>
  <c r="M47" i="23"/>
  <c r="N47" i="23" l="1"/>
  <c r="Y7" i="19"/>
  <c r="Z7" i="19"/>
  <c r="U62" i="24"/>
  <c r="U63" i="24" s="1"/>
  <c r="P3" i="23" l="1"/>
  <c r="V62" i="24"/>
  <c r="V63" i="24" s="1"/>
  <c r="O2" i="23"/>
  <c r="O20" i="23" s="1"/>
  <c r="O41" i="23" s="1"/>
  <c r="O47" i="23"/>
  <c r="H42" i="19"/>
  <c r="F42" i="19"/>
  <c r="G42" i="19"/>
  <c r="C42" i="19"/>
  <c r="AA7" i="19" l="1"/>
  <c r="I24" i="19"/>
  <c r="J24" i="19" s="1"/>
  <c r="I23" i="19"/>
  <c r="J23" i="19" s="1"/>
  <c r="I22" i="19"/>
  <c r="J22" i="19" s="1"/>
  <c r="I21" i="19"/>
  <c r="J21" i="19" s="1"/>
  <c r="P2" i="23"/>
  <c r="P20" i="23" s="1"/>
  <c r="P41" i="23" s="1"/>
  <c r="P47" i="23"/>
  <c r="Q3" i="23"/>
  <c r="W62" i="24"/>
  <c r="W63" i="24" s="1"/>
  <c r="I20" i="19"/>
  <c r="J20" i="19" s="1"/>
  <c r="I16" i="19"/>
  <c r="J16" i="19" s="1"/>
  <c r="I6" i="19"/>
  <c r="J6" i="19" s="1"/>
  <c r="I2" i="19"/>
  <c r="I4" i="19"/>
  <c r="J4" i="19" s="1"/>
  <c r="I10" i="19"/>
  <c r="J10" i="19" s="1"/>
  <c r="I14" i="19"/>
  <c r="J14" i="19" s="1"/>
  <c r="I8" i="19"/>
  <c r="J8" i="19" s="1"/>
  <c r="I19" i="19"/>
  <c r="J19" i="19" s="1"/>
  <c r="I18" i="19"/>
  <c r="J18" i="19" s="1"/>
  <c r="I13" i="19"/>
  <c r="J13" i="19" s="1"/>
  <c r="I5" i="19"/>
  <c r="J5" i="19" s="1"/>
  <c r="I7" i="19"/>
  <c r="J7" i="19" s="1"/>
  <c r="I12" i="19"/>
  <c r="J12" i="19" s="1"/>
  <c r="I11" i="19"/>
  <c r="J11" i="19" s="1"/>
  <c r="I3" i="19"/>
  <c r="J3" i="19" s="1"/>
  <c r="I9" i="19"/>
  <c r="J9" i="19" s="1"/>
  <c r="I15" i="19"/>
  <c r="J15" i="19" s="1"/>
  <c r="I17" i="19"/>
  <c r="J17" i="19" s="1"/>
  <c r="R3" i="23" l="1"/>
  <c r="X62" i="24"/>
  <c r="X63" i="24" s="1"/>
  <c r="S3" i="23" s="1"/>
  <c r="AB7" i="19"/>
  <c r="J2" i="19"/>
  <c r="AD5" i="19" s="1"/>
  <c r="Z12" i="19"/>
  <c r="Z16" i="19" s="1"/>
  <c r="Z18" i="19" s="1"/>
  <c r="Q2" i="23"/>
  <c r="Q20" i="23" s="1"/>
  <c r="Q41" i="23" s="1"/>
  <c r="Q47" i="23"/>
  <c r="R2" i="23" l="1"/>
  <c r="R20" i="23" s="1"/>
  <c r="R41" i="23" s="1"/>
  <c r="R47" i="23"/>
  <c r="AD7" i="19"/>
  <c r="AD33" i="19" s="1"/>
  <c r="AD39" i="19" s="1"/>
  <c r="S47" i="23"/>
  <c r="S2" i="23"/>
  <c r="S20" i="23" s="1"/>
  <c r="S41" i="23" s="1"/>
  <c r="AC7" i="19"/>
  <c r="AC33" i="19" s="1"/>
  <c r="AC39" i="19" s="1"/>
  <c r="AC5" i="19"/>
  <c r="AA5" i="19"/>
  <c r="AA22" i="19" s="1"/>
  <c r="AB5" i="19"/>
  <c r="Z22" i="19"/>
  <c r="Y12" i="19"/>
  <c r="Y16" i="19" s="1"/>
  <c r="W12" i="19"/>
  <c r="W16" i="19" s="1"/>
  <c r="X12" i="19"/>
  <c r="X16" i="19" s="1"/>
  <c r="AD12" i="19" l="1"/>
  <c r="AD16" i="19" s="1"/>
  <c r="AD18" i="19" s="1"/>
  <c r="AC12" i="19"/>
  <c r="AC16" i="19" s="1"/>
  <c r="AC18" i="19" s="1"/>
  <c r="AD22" i="19"/>
  <c r="AB22" i="19"/>
  <c r="AC22" i="19"/>
  <c r="AB12" i="19"/>
  <c r="AB16" i="19" s="1"/>
  <c r="AB18" i="19" s="1"/>
  <c r="AA12" i="19"/>
  <c r="AA16" i="19" s="1"/>
  <c r="AA18" i="19" s="1"/>
</calcChain>
</file>

<file path=xl/comments1.xml><?xml version="1.0" encoding="utf-8"?>
<comments xmlns="http://schemas.openxmlformats.org/spreadsheetml/2006/main">
  <authors>
    <author>Full name</author>
  </authors>
  <commentList>
    <comment ref="Q13" authorId="0">
      <text>
        <r>
          <rPr>
            <b/>
            <sz val="9"/>
            <color indexed="81"/>
            <rFont val="Tahoma"/>
            <family val="2"/>
          </rPr>
          <t>DHT Peony</t>
        </r>
      </text>
    </comment>
    <comment ref="R13" authorId="0">
      <text>
        <r>
          <rPr>
            <b/>
            <sz val="9"/>
            <color indexed="81"/>
            <rFont val="Tahoma"/>
            <family val="2"/>
          </rPr>
          <t>DHT Lotus</t>
        </r>
      </text>
    </comment>
    <comment ref="T13" authorId="0">
      <text>
        <r>
          <rPr>
            <b/>
            <sz val="9"/>
            <color indexed="81"/>
            <rFont val="Tahoma"/>
            <family val="2"/>
          </rPr>
          <t>DHT China &amp; DHT Europe</t>
        </r>
      </text>
    </comment>
    <comment ref="U13" authorId="0">
      <text>
        <r>
          <rPr>
            <b/>
            <sz val="9"/>
            <color indexed="81"/>
            <rFont val="Tahoma"/>
            <family val="2"/>
          </rPr>
          <t>DHT Bauhinia</t>
        </r>
      </text>
    </comment>
  </commentList>
</comments>
</file>

<file path=xl/comments2.xml><?xml version="1.0" encoding="utf-8"?>
<comments xmlns="http://schemas.openxmlformats.org/spreadsheetml/2006/main">
  <authors>
    <author>Full name</author>
  </authors>
  <commentList>
    <comment ref="B13" authorId="0">
      <text>
        <r>
          <rPr>
            <b/>
            <sz val="9"/>
            <color indexed="81"/>
            <rFont val="Tahoma"/>
            <family val="2"/>
          </rPr>
          <t>Advances related to exhaust gas cleaning system</t>
        </r>
        <r>
          <rPr>
            <sz val="9"/>
            <color indexed="81"/>
            <rFont val="Tahoma"/>
            <family val="2"/>
          </rPr>
          <t xml:space="preserve">
</t>
        </r>
      </text>
    </comment>
    <comment ref="B14" authorId="0">
      <text>
        <r>
          <rPr>
            <b/>
            <sz val="9"/>
            <color indexed="81"/>
            <rFont val="Tahoma"/>
            <family val="2"/>
          </rPr>
          <t>Advances related to exhaust gas cleaning system</t>
        </r>
        <r>
          <rPr>
            <sz val="9"/>
            <color indexed="81"/>
            <rFont val="Tahoma"/>
            <family val="2"/>
          </rPr>
          <t xml:space="preserve">
</t>
        </r>
      </text>
    </comment>
  </commentList>
</comments>
</file>

<file path=xl/comments3.xml><?xml version="1.0" encoding="utf-8"?>
<comments xmlns="http://schemas.openxmlformats.org/spreadsheetml/2006/main">
  <authors>
    <author>Full name</author>
  </authors>
  <commentList>
    <comment ref="B26" authorId="0">
      <text>
        <r>
          <rPr>
            <b/>
            <sz val="9"/>
            <color indexed="81"/>
            <rFont val="Tahoma"/>
            <family val="2"/>
          </rPr>
          <t>Bunker inventory is stated at the lower of cost and net realizable value. Cost is determined using the first-in, first-out (“FIFO”) method and includes expenditures incurred in acquiring
the bunkers and delivery cost less discounts. Bunker expenses are recognized as part of voyage expenses in the consolidated income statement upon consumption</t>
        </r>
        <r>
          <rPr>
            <sz val="9"/>
            <color indexed="81"/>
            <rFont val="Tahoma"/>
            <family val="2"/>
          </rPr>
          <t xml:space="preserve">
</t>
        </r>
      </text>
    </comment>
  </commentList>
</comments>
</file>

<file path=xl/sharedStrings.xml><?xml version="1.0" encoding="utf-8"?>
<sst xmlns="http://schemas.openxmlformats.org/spreadsheetml/2006/main" count="557" uniqueCount="321">
  <si>
    <t>D&amp;A</t>
  </si>
  <si>
    <t>CapEx</t>
  </si>
  <si>
    <t>Levered FCF</t>
  </si>
  <si>
    <t>Check</t>
  </si>
  <si>
    <t>Growth rate YoY %</t>
  </si>
  <si>
    <t>Growth rate YoY%</t>
  </si>
  <si>
    <t>WC as % of RevenuesYoY%</t>
  </si>
  <si>
    <t>Growth WC %</t>
  </si>
  <si>
    <t>Working Capital</t>
  </si>
  <si>
    <t>Shares Outstanding</t>
  </si>
  <si>
    <t>x</t>
  </si>
  <si>
    <t>Q3 2023</t>
  </si>
  <si>
    <t>Q1 2023</t>
  </si>
  <si>
    <t>Q2 2023</t>
  </si>
  <si>
    <t>Q4 2023</t>
  </si>
  <si>
    <t>Current Assets</t>
  </si>
  <si>
    <t>Total Assets</t>
  </si>
  <si>
    <t>Equity</t>
  </si>
  <si>
    <t>Total Liabilities</t>
  </si>
  <si>
    <t>Total Equity and Liabilities</t>
  </si>
  <si>
    <t>Financial Debt</t>
  </si>
  <si>
    <t>Net Financial Debt</t>
  </si>
  <si>
    <t>Investing Cash Flow</t>
  </si>
  <si>
    <t>Financing Cash Flow</t>
  </si>
  <si>
    <t>Change in cash and cash equivalents</t>
  </si>
  <si>
    <t>Cash BoP</t>
  </si>
  <si>
    <t>Cash EoP</t>
  </si>
  <si>
    <t>VLCC</t>
  </si>
  <si>
    <t>Net Asset Value</t>
  </si>
  <si>
    <t>Q4 2024</t>
  </si>
  <si>
    <t>Fleet Value</t>
  </si>
  <si>
    <t>Cash</t>
  </si>
  <si>
    <t>Net Assets</t>
  </si>
  <si>
    <t>Net Asset Value $/sh</t>
  </si>
  <si>
    <t>P / NAV</t>
  </si>
  <si>
    <t>Other income</t>
  </si>
  <si>
    <t>Operating expenses</t>
  </si>
  <si>
    <t>Total operating expenses</t>
  </si>
  <si>
    <t>Income tax expense</t>
  </si>
  <si>
    <t>Non-Current Assets</t>
  </si>
  <si>
    <t>Cash and cash equivalents</t>
  </si>
  <si>
    <t>Goodwill</t>
  </si>
  <si>
    <t>Current liabilities</t>
  </si>
  <si>
    <t>Non-Current Liabilities</t>
  </si>
  <si>
    <t>Long-term debt</t>
  </si>
  <si>
    <t>Changes in operating assets and liabilities:</t>
  </si>
  <si>
    <t>Other current liabilities</t>
  </si>
  <si>
    <t>Proceeds from sale of vessels</t>
  </si>
  <si>
    <t>Cash dividends paid</t>
  </si>
  <si>
    <t>Q1 2024</t>
  </si>
  <si>
    <t>Q2 2024</t>
  </si>
  <si>
    <t>Q3 2024</t>
  </si>
  <si>
    <t>Vessels</t>
  </si>
  <si>
    <t>Scrubbers</t>
  </si>
  <si>
    <t>Vessel</t>
  </si>
  <si>
    <t>Built</t>
  </si>
  <si>
    <t>DWT</t>
  </si>
  <si>
    <t>Ownership</t>
  </si>
  <si>
    <t>DHT Mustang</t>
  </si>
  <si>
    <t>DHT Bronco</t>
  </si>
  <si>
    <t>Spot</t>
  </si>
  <si>
    <t>DHT Colt</t>
  </si>
  <si>
    <t>DHT Stallion</t>
  </si>
  <si>
    <t>DHT Tiger</t>
  </si>
  <si>
    <t>DHT Harrier</t>
  </si>
  <si>
    <t>DHT Osprey</t>
  </si>
  <si>
    <t>DHT Puma</t>
  </si>
  <si>
    <t>DHT Panther</t>
  </si>
  <si>
    <t>DHT Lion</t>
  </si>
  <si>
    <t>DHT Leopard</t>
  </si>
  <si>
    <t>DHT Jaguar</t>
  </si>
  <si>
    <t>DHT Opal</t>
  </si>
  <si>
    <t>DHT Sundarbans</t>
  </si>
  <si>
    <t>DHT Taiga</t>
  </si>
  <si>
    <t>DHT Peony</t>
  </si>
  <si>
    <t>DHT Lotus</t>
  </si>
  <si>
    <t>DHT Amazon</t>
  </si>
  <si>
    <t>DHT Redwood</t>
  </si>
  <si>
    <t>DHT China</t>
  </si>
  <si>
    <t>DHT Europe</t>
  </si>
  <si>
    <t>DHT Bauhinia</t>
  </si>
  <si>
    <t>DHT Scandinavia</t>
  </si>
  <si>
    <t>Scrubber</t>
  </si>
  <si>
    <t>Payments on NB</t>
  </si>
  <si>
    <t>Bunker</t>
  </si>
  <si>
    <t>TCE</t>
  </si>
  <si>
    <t>DHT Appaloosa</t>
  </si>
  <si>
    <t>WEB</t>
  </si>
  <si>
    <t>Shipping Revenues</t>
  </si>
  <si>
    <t>Other revenues</t>
  </si>
  <si>
    <t>Total Revenues</t>
  </si>
  <si>
    <t>Voyage expenses</t>
  </si>
  <si>
    <t>Vessel operating expenses</t>
  </si>
  <si>
    <t>Impairment charges</t>
  </si>
  <si>
    <t>Gain/(loss) sale of vessels</t>
  </si>
  <si>
    <t>G&amp;A</t>
  </si>
  <si>
    <t>Operating (loss)/income</t>
  </si>
  <si>
    <t>Share of profit from associated companies</t>
  </si>
  <si>
    <t>Interest income</t>
  </si>
  <si>
    <t>Interest expense</t>
  </si>
  <si>
    <t>Fair value gain/(loss) on derivative financial liabilities</t>
  </si>
  <si>
    <t>Other financial (expense)/income</t>
  </si>
  <si>
    <t>Profit/(loss) before tax</t>
  </si>
  <si>
    <t>Profit/(loss) after tax</t>
  </si>
  <si>
    <t>Attributable to the owners of parent</t>
  </si>
  <si>
    <t>Basic earnings/(loss) per share</t>
  </si>
  <si>
    <t>Diluted earnings/(loss) per share</t>
  </si>
  <si>
    <t>Weighted average number of shares (basic)</t>
  </si>
  <si>
    <t>Weighted average number of shares (diluted)</t>
  </si>
  <si>
    <t>Accounts receivable and accrued revenues</t>
  </si>
  <si>
    <t>Capitalized voyage expenses</t>
  </si>
  <si>
    <t>Prepaid expenses</t>
  </si>
  <si>
    <t>Derivative financial assets</t>
  </si>
  <si>
    <t>Bunker inventory</t>
  </si>
  <si>
    <t>Advances for vessel upgrades</t>
  </si>
  <si>
    <t>Other PPE</t>
  </si>
  <si>
    <t>Investment in associate company</t>
  </si>
  <si>
    <t>Accounts payable and accrued expenses</t>
  </si>
  <si>
    <t>Derivative financial liabilities</t>
  </si>
  <si>
    <t>Current portion long-term debt</t>
  </si>
  <si>
    <t>Deferred shipping revenues</t>
  </si>
  <si>
    <t>Other non-current liabilities</t>
  </si>
  <si>
    <t>items included in net income not affecting cash flows</t>
  </si>
  <si>
    <t>Amortization of upfront fees</t>
  </si>
  <si>
    <t>Amortization of deferred debt issuance cost</t>
  </si>
  <si>
    <t>(Gain)/loss, disposal of PPE</t>
  </si>
  <si>
    <t>(Gain)/loss, disposal of vessel</t>
  </si>
  <si>
    <t>Fair value (gain)/loss on derivative financial instruments</t>
  </si>
  <si>
    <t>Impairment of equity accounted investment</t>
  </si>
  <si>
    <t>Compensation related to options and restricted stock</t>
  </si>
  <si>
    <t>Net foreign exchange differences</t>
  </si>
  <si>
    <t>(Gain)/loss modification of debt</t>
  </si>
  <si>
    <t>Share of profit in associated companies</t>
  </si>
  <si>
    <t>Income adjusted for non-cash items</t>
  </si>
  <si>
    <t>Pension liability</t>
  </si>
  <si>
    <t>Net Cash provided by operating activities</t>
  </si>
  <si>
    <t>Investment in vessels</t>
  </si>
  <si>
    <t>Investment in subsidiaries</t>
  </si>
  <si>
    <t>Acquisition of subsidiary, net of cash paid</t>
  </si>
  <si>
    <t>Dividend received from associated company</t>
  </si>
  <si>
    <t>Investment in other PPE</t>
  </si>
  <si>
    <t>Dividends paid to non-controlling interest</t>
  </si>
  <si>
    <t>Repayment principal element of lease liability</t>
  </si>
  <si>
    <t>Issuance of long-term debt</t>
  </si>
  <si>
    <t>Purchase of treasury shares</t>
  </si>
  <si>
    <t>Issuance of convertible bonds</t>
  </si>
  <si>
    <t>Proceeds from sale of derivatives</t>
  </si>
  <si>
    <t>Scheduled repayment of long-term debt</t>
  </si>
  <si>
    <t>Prepayment of long-term debt</t>
  </si>
  <si>
    <t>Repayment of long-term debt refinancing</t>
  </si>
  <si>
    <t>Repayment of long-term debt, sale of vessels</t>
  </si>
  <si>
    <t>Repayment of convertible bonds</t>
  </si>
  <si>
    <t>Net foreign exchange difference</t>
  </si>
  <si>
    <t>DHT (Thousands $)</t>
  </si>
  <si>
    <t>Attributable to owners of non-controlling interest</t>
  </si>
  <si>
    <t>UnLevered FCF</t>
  </si>
  <si>
    <t>ECO</t>
  </si>
  <si>
    <t>Operating Days</t>
  </si>
  <si>
    <t>SCRUBBER</t>
  </si>
  <si>
    <t>Presentation Q3 2023</t>
  </si>
  <si>
    <t>17/01/24: Sacan update bajando su cash breakeven rates a $18600 y a 13800 en spot</t>
  </si>
  <si>
    <t>Interesting geneal information</t>
  </si>
  <si>
    <t>Press release 28/02/24</t>
  </si>
  <si>
    <t>20-F 2023</t>
  </si>
  <si>
    <t>Más DIVI</t>
  </si>
  <si>
    <t>Advances for vessels under construction</t>
  </si>
  <si>
    <t>Investment in vessels under construction</t>
  </si>
  <si>
    <t>Update 11/07/24</t>
  </si>
  <si>
    <t>Q1 2025</t>
  </si>
  <si>
    <t>Q2 2025</t>
  </si>
  <si>
    <t>Q3 2025</t>
  </si>
  <si>
    <t>Q4 2025</t>
  </si>
  <si>
    <t>EBITDA</t>
  </si>
  <si>
    <t>Asjusted Fleet Value</t>
  </si>
  <si>
    <t>Market Value</t>
  </si>
  <si>
    <t>EV</t>
  </si>
  <si>
    <t>Update 14/01/25</t>
  </si>
  <si>
    <t>Inventories</t>
  </si>
  <si>
    <t>Assets held for sale</t>
  </si>
  <si>
    <t>Release 15/04/25</t>
  </si>
  <si>
    <t>Update 14/04/25</t>
  </si>
  <si>
    <t>Update Q2 2025</t>
  </si>
  <si>
    <t>Adjusted EBITDA</t>
  </si>
  <si>
    <t>Acquisition of non-controlling interest</t>
  </si>
  <si>
    <t>Update 14/10/25</t>
  </si>
  <si>
    <t>Press release 14/10/25 about China new fees</t>
  </si>
  <si>
    <t>Q1 2026</t>
  </si>
  <si>
    <t>Q2 2026</t>
  </si>
  <si>
    <t>Q3 2026</t>
  </si>
  <si>
    <t>Q4 2026</t>
  </si>
  <si>
    <t>Press release 29/12/25</t>
  </si>
  <si>
    <t>Update</t>
  </si>
  <si>
    <t>Business update 15/04/26</t>
  </si>
  <si>
    <t>Capitalized interest</t>
  </si>
  <si>
    <t>Sold</t>
  </si>
  <si>
    <t>Acquired</t>
  </si>
  <si>
    <t>Fleet</t>
  </si>
  <si>
    <t>% Fleet with scrubber</t>
  </si>
  <si>
    <t>FY 2026</t>
  </si>
  <si>
    <t>Price:</t>
  </si>
  <si>
    <t>Value Growth in %</t>
  </si>
  <si>
    <t xml:space="preserve">Adjusted fleet value: </t>
  </si>
  <si>
    <t>How many scrubbers are installed in the vessels, reported by the company.</t>
  </si>
  <si>
    <t>How many vessels has the company</t>
  </si>
  <si>
    <t>As it titles says, % fleet with scrubber</t>
  </si>
  <si>
    <t>TCE:</t>
  </si>
  <si>
    <t>Time Charter Equivalent, based in data reported by the company or own assumptions</t>
  </si>
  <si>
    <t>Financial data:</t>
  </si>
  <si>
    <t>DISCLAIMER</t>
  </si>
  <si>
    <t>Fleet colours by status:</t>
  </si>
  <si>
    <t>No color:</t>
  </si>
  <si>
    <t>Orange:</t>
  </si>
  <si>
    <t>Sold vessel reported by the company</t>
  </si>
  <si>
    <t>Acquired vessel reported by the company</t>
  </si>
  <si>
    <t>In the fleet list</t>
  </si>
  <si>
    <t>Linear Estimation:</t>
  </si>
  <si>
    <t xml:space="preserve">In green: </t>
  </si>
  <si>
    <t>In blue:</t>
  </si>
  <si>
    <t>Our own assumption</t>
  </si>
  <si>
    <t>BALANCE notes</t>
  </si>
  <si>
    <t>CASH FLOW notes</t>
  </si>
  <si>
    <t>The financial models and projections provided herein are based on internal assumptions, historical data, and current market trends (such as charter rates, fuel costs, and vessel valuations) which are subject to high volatility and change without notice.</t>
  </si>
  <si>
    <t>These models are intended for illustrative and informational purposes only. They do not constitute financial, investment, or legal advice. While we strive for accuracy, we make no guarantees regarding the future performance of any asset or the realization of the projected returns.</t>
  </si>
  <si>
    <t>Data copied from last quarter or reported by company</t>
  </si>
  <si>
    <t>In black:</t>
  </si>
  <si>
    <t>Automatically filled</t>
  </si>
  <si>
    <t>P&amp;L Notes</t>
  </si>
  <si>
    <t>P&amp;L Content</t>
  </si>
  <si>
    <t>BALANCE Content</t>
  </si>
  <si>
    <t>Balance from company reports</t>
  </si>
  <si>
    <t>CASH FLOW Content</t>
  </si>
  <si>
    <t>P&amp;L from company reports</t>
  </si>
  <si>
    <t>Cash Flow from company reports</t>
  </si>
  <si>
    <t>NAV Content</t>
  </si>
  <si>
    <t xml:space="preserve">DHT </t>
  </si>
  <si>
    <t>Crude oil tanker company</t>
  </si>
  <si>
    <t>VLCC segment</t>
  </si>
  <si>
    <t>Fleet list:</t>
  </si>
  <si>
    <t>Don´t remove or change this data. It´s to automatically calculate vessels value from the Master</t>
  </si>
  <si>
    <t>Estimating revenues are from TCE and operating days. For that reason, operating expenses is in grey background. We prepare the TCE revenues looking at what the company say about it.</t>
  </si>
  <si>
    <t>In yellow</t>
  </si>
  <si>
    <t>Copyright:</t>
  </si>
  <si>
    <t>info@shippingupmore.com</t>
  </si>
  <si>
    <t>DHT Nokota</t>
  </si>
  <si>
    <t>DHT Antelope</t>
  </si>
  <si>
    <t>DHT Addax</t>
  </si>
  <si>
    <t>DHT Gazelle</t>
  </si>
  <si>
    <t>DHT Impala</t>
  </si>
  <si>
    <t>Notes</t>
  </si>
  <si>
    <t>Notes from reports or press releases</t>
  </si>
  <si>
    <t>Tankers &amp; Dry Bulks</t>
  </si>
  <si>
    <t>shippingupmore.com</t>
  </si>
  <si>
    <t>Yard</t>
  </si>
  <si>
    <t>EV/Adj. EBITDA</t>
  </si>
  <si>
    <t>Adj. EBITDA</t>
  </si>
  <si>
    <t>FCF</t>
  </si>
  <si>
    <t>P/FCF</t>
  </si>
  <si>
    <t>Adjusted Profit after tax</t>
  </si>
  <si>
    <t>Diluted Adj. EPS</t>
  </si>
  <si>
    <t>Adjusted P/E</t>
  </si>
  <si>
    <t>Hyundai</t>
  </si>
  <si>
    <t>Daewoo</t>
  </si>
  <si>
    <t>Hanwha</t>
  </si>
  <si>
    <t>Country</t>
  </si>
  <si>
    <t>S. Korea</t>
  </si>
  <si>
    <t>Value Added by Country:</t>
  </si>
  <si>
    <t>Korea</t>
  </si>
  <si>
    <t>Japan</t>
  </si>
  <si>
    <t>Neutral</t>
  </si>
  <si>
    <t>Correction factor depending on the country of construction</t>
  </si>
  <si>
    <t>Value added by country:</t>
  </si>
  <si>
    <t>% Fleet with scrubber:</t>
  </si>
  <si>
    <t>Fleet :</t>
  </si>
  <si>
    <t>Scrubbers:</t>
  </si>
  <si>
    <t>Value growth in %:</t>
  </si>
  <si>
    <t>NAV calculation:</t>
  </si>
  <si>
    <t>Net Asset Value calculation</t>
  </si>
  <si>
    <t>Price to update:</t>
  </si>
  <si>
    <t>Vessel name, type of vessel, year built, Yard, Country, scrubber, neutral value and corrected value by country coefficient</t>
  </si>
  <si>
    <t>Share price, that it´s update from Master</t>
  </si>
  <si>
    <t>Change it if you think the value is going up or down. Default we leave it in 1.</t>
  </si>
  <si>
    <t>Change in value between quarters</t>
  </si>
  <si>
    <t>Market Cap, Enterprise Value, Adjusted Earnings, Adjusted EBITDA, Levered FCF, Adjusted P/E, Adjusted EV/EBITDA and P/FCF</t>
  </si>
  <si>
    <t>Dividend</t>
  </si>
  <si>
    <t>Dividend Yield</t>
  </si>
  <si>
    <t>Q1 2027</t>
  </si>
  <si>
    <t>NTM</t>
  </si>
  <si>
    <t>TBD</t>
  </si>
  <si>
    <t>Q1 ´31</t>
  </si>
  <si>
    <t>Q2 ´32</t>
  </si>
  <si>
    <t>Q2 ´26</t>
  </si>
  <si>
    <t>Q4 ´30</t>
  </si>
  <si>
    <t>Q1 ´27</t>
  </si>
  <si>
    <t>Q2 ´27</t>
  </si>
  <si>
    <t>Q4 ´27</t>
  </si>
  <si>
    <t>% Spot</t>
  </si>
  <si>
    <t>*in millions USD, except multiples</t>
  </si>
  <si>
    <t>Age ´26</t>
  </si>
  <si>
    <t>Value ´26</t>
  </si>
  <si>
    <t>Plus Coef.</t>
  </si>
  <si>
    <t>Scrub.</t>
  </si>
  <si>
    <t>Empl.</t>
  </si>
  <si>
    <t>General Colours in Financial Data</t>
  </si>
  <si>
    <t>You should only change yellow cells</t>
  </si>
  <si>
    <t>Operating days:</t>
  </si>
  <si>
    <t>You can change it on your own</t>
  </si>
  <si>
    <t>TCE revenue per vessel</t>
  </si>
  <si>
    <t>TCE revenue per vessel:</t>
  </si>
  <si>
    <t>Operating days x TCE assumption</t>
  </si>
  <si>
    <t>Debt</t>
  </si>
  <si>
    <t>Debt:</t>
  </si>
  <si>
    <t>Debt - Cash</t>
  </si>
  <si>
    <t xml:space="preserve">Working Capital: </t>
  </si>
  <si>
    <t>Working Capital calculation</t>
  </si>
  <si>
    <t xml:space="preserve">CapEx: </t>
  </si>
  <si>
    <t>CapEx Assumption that you can change on your own</t>
  </si>
  <si>
    <t>We keep forward "Working Capital" like last quarter</t>
  </si>
  <si>
    <t>To calculate debt, we join current and long term debt and we subtract a quarter of the short-term debt, to make an estimation</t>
  </si>
  <si>
    <t>We calculate CapEx from company reports but you can change it on your own</t>
  </si>
  <si>
    <t>Levered and Unlevered FCF calculation</t>
  </si>
  <si>
    <t>Red:</t>
  </si>
</sst>
</file>

<file path=xl/styles.xml><?xml version="1.0" encoding="utf-8"?>
<styleSheet xmlns="http://schemas.openxmlformats.org/spreadsheetml/2006/main" xmlns:mc="http://schemas.openxmlformats.org/markup-compatibility/2006" xmlns:x14ac="http://schemas.microsoft.com/office/spreadsheetml/2009/9/ac" mc:Ignorable="x14ac">
  <numFmts count="14">
    <numFmt numFmtId="164" formatCode="#,##0;\(#,##0\);&quot;-&quot;"/>
    <numFmt numFmtId="165" formatCode="#,##0.00;\(#,##0.00\);&quot;-&quot;"/>
    <numFmt numFmtId="166" formatCode="0.0%"/>
    <numFmt numFmtId="167" formatCode="#,##0.0;\(#,##0.0\);&quot;-&quot;"/>
    <numFmt numFmtId="168" formatCode="0.0"/>
    <numFmt numFmtId="169" formatCode="0.00_);\(0.00\)"/>
    <numFmt numFmtId="170" formatCode="_-* #,##0.00_-;\-* #,##0.00_-;_-* &quot;-&quot;??_-;_-@_-"/>
    <numFmt numFmtId="171" formatCode="_ * #,##0.00_ ;_ * \-#,##0.00_ ;_ * &quot;-&quot;??_ ;_ @_ "/>
    <numFmt numFmtId="172" formatCode="_ &quot;kr.&quot;\ * #,##0.00_ ;_ &quot;kr.&quot;\ * \-#,##0.00_ ;_ &quot;kr.&quot;\ * &quot;-&quot;??_ ;_ @_ "/>
    <numFmt numFmtId="173" formatCode="#,##0.0_);\(#,##0.0\)"/>
    <numFmt numFmtId="174" formatCode="_-* #,##0.00\ &quot;€&quot;_-;\-* #,##0.00\ &quot;€&quot;_-;_-* &quot;-&quot;??\ &quot;€&quot;_-;_-@_-"/>
    <numFmt numFmtId="175" formatCode="_-* #,##0.00\ _€_-;\-* #,##0.00\ _€_-;_-* &quot;-&quot;??\ _€_-;_-@_-"/>
    <numFmt numFmtId="176" formatCode="0.00\x"/>
    <numFmt numFmtId="177" formatCode="0.000"/>
  </numFmts>
  <fonts count="29"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1"/>
      <color rgb="FFFF0000"/>
      <name val="Calibri"/>
      <family val="2"/>
      <scheme val="minor"/>
    </font>
    <font>
      <i/>
      <sz val="9.5"/>
      <color theme="1"/>
      <name val="Calibri"/>
      <family val="2"/>
      <scheme val="minor"/>
    </font>
    <font>
      <sz val="9"/>
      <color indexed="81"/>
      <name val="Tahoma"/>
      <family val="2"/>
    </font>
    <font>
      <b/>
      <sz val="9"/>
      <color indexed="81"/>
      <name val="Tahoma"/>
      <family val="2"/>
    </font>
    <font>
      <sz val="12"/>
      <color theme="1"/>
      <name val="Calibri"/>
      <family val="2"/>
      <scheme val="minor"/>
    </font>
    <font>
      <b/>
      <sz val="9"/>
      <color rgb="FF002060"/>
      <name val="Arial"/>
      <family val="2"/>
      <charset val="204"/>
    </font>
    <font>
      <sz val="8"/>
      <name val="Arial"/>
      <family val="2"/>
    </font>
    <font>
      <sz val="9"/>
      <color theme="1"/>
      <name val="Arial"/>
      <family val="2"/>
      <charset val="204"/>
    </font>
    <font>
      <sz val="11"/>
      <color theme="1"/>
      <name val="Calibri"/>
      <family val="2"/>
      <charset val="204"/>
      <scheme val="minor"/>
    </font>
    <font>
      <sz val="10"/>
      <name val="Tahoma"/>
      <family val="2"/>
    </font>
    <font>
      <sz val="11"/>
      <color rgb="FF00B050"/>
      <name val="Calibri"/>
      <family val="2"/>
      <scheme val="minor"/>
    </font>
    <font>
      <b/>
      <i/>
      <sz val="11"/>
      <color theme="1"/>
      <name val="Calibri"/>
      <family val="2"/>
      <scheme val="minor"/>
    </font>
    <font>
      <u/>
      <sz val="11"/>
      <color theme="10"/>
      <name val="Calibri"/>
      <family val="2"/>
      <scheme val="minor"/>
    </font>
    <font>
      <b/>
      <sz val="11"/>
      <color rgb="FF00B050"/>
      <name val="Calibri"/>
      <family val="2"/>
      <scheme val="minor"/>
    </font>
    <font>
      <sz val="11"/>
      <color rgb="FFFF0000"/>
      <name val="Calibri"/>
      <family val="2"/>
      <scheme val="minor"/>
    </font>
    <font>
      <sz val="11"/>
      <name val="Calibri"/>
      <family val="2"/>
      <scheme val="minor"/>
    </font>
    <font>
      <sz val="11"/>
      <color theme="0"/>
      <name val="Calibri"/>
      <family val="2"/>
      <scheme val="minor"/>
    </font>
    <font>
      <sz val="11"/>
      <color rgb="FF0000FF"/>
      <name val="Calibri"/>
      <family val="2"/>
      <scheme val="minor"/>
    </font>
    <font>
      <sz val="10"/>
      <color theme="1"/>
      <name val="Arial"/>
      <family val="2"/>
    </font>
    <font>
      <b/>
      <sz val="11"/>
      <color rgb="FF0000FF"/>
      <name val="Calibri"/>
      <family val="2"/>
      <scheme val="minor"/>
    </font>
    <font>
      <sz val="10"/>
      <color rgb="FF0000FF"/>
      <name val="Arial"/>
      <family val="2"/>
    </font>
    <font>
      <b/>
      <sz val="10"/>
      <color theme="1"/>
      <name val="Arial"/>
      <family val="2"/>
    </font>
    <font>
      <u/>
      <sz val="11"/>
      <color theme="1"/>
      <name val="Calibri"/>
      <family val="2"/>
      <scheme val="minor"/>
    </font>
    <font>
      <b/>
      <sz val="9"/>
      <color theme="1"/>
      <name val="Calibri"/>
      <family val="2"/>
      <scheme val="minor"/>
    </font>
    <font>
      <b/>
      <u/>
      <sz val="11"/>
      <color theme="1"/>
      <name val="Calibri"/>
      <family val="2"/>
      <scheme val="minor"/>
    </font>
  </fonts>
  <fills count="12">
    <fill>
      <patternFill patternType="none"/>
    </fill>
    <fill>
      <patternFill patternType="gray125"/>
    </fill>
    <fill>
      <patternFill patternType="solid">
        <fgColor theme="0" tint="-0.249977111117893"/>
        <bgColor indexed="64"/>
      </patternFill>
    </fill>
    <fill>
      <patternFill patternType="solid">
        <fgColor theme="0" tint="-4.9989318521683403E-2"/>
        <bgColor indexed="64"/>
      </patternFill>
    </fill>
    <fill>
      <patternFill patternType="solid">
        <fgColor theme="1"/>
        <bgColor indexed="64"/>
      </patternFill>
    </fill>
    <fill>
      <patternFill patternType="solid">
        <fgColor theme="0"/>
        <bgColor indexed="64"/>
      </patternFill>
    </fill>
    <fill>
      <patternFill patternType="solid">
        <fgColor theme="0" tint="-0.34998626667073579"/>
        <bgColor indexed="64"/>
      </patternFill>
    </fill>
    <fill>
      <patternFill patternType="solid">
        <fgColor rgb="FFFCFA9C"/>
        <bgColor indexed="64"/>
      </patternFill>
    </fill>
    <fill>
      <patternFill patternType="solid">
        <fgColor theme="2" tint="-0.249977111117893"/>
        <bgColor indexed="64"/>
      </patternFill>
    </fill>
    <fill>
      <patternFill patternType="solid">
        <fgColor theme="8" tint="0.79998168889431442"/>
        <bgColor indexed="64"/>
      </patternFill>
    </fill>
    <fill>
      <patternFill patternType="solid">
        <fgColor theme="9" tint="0.39997558519241921"/>
        <bgColor indexed="64"/>
      </patternFill>
    </fill>
    <fill>
      <patternFill patternType="solid">
        <fgColor theme="5" tint="0.39997558519241921"/>
        <bgColor indexed="64"/>
      </patternFill>
    </fill>
  </fills>
  <borders count="40">
    <border>
      <left/>
      <right/>
      <top/>
      <bottom/>
      <diagonal/>
    </border>
    <border>
      <left/>
      <right/>
      <top style="thin">
        <color indexed="64"/>
      </top>
      <bottom style="thin">
        <color indexed="64"/>
      </bottom>
      <diagonal/>
    </border>
    <border>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medium">
        <color rgb="FF002060"/>
      </bottom>
      <diagonal/>
    </border>
    <border>
      <left style="thick">
        <color indexed="64"/>
      </left>
      <right style="thick">
        <color indexed="64"/>
      </right>
      <top style="thick">
        <color indexed="64"/>
      </top>
      <bottom style="thick">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ck">
        <color indexed="64"/>
      </left>
      <right style="thick">
        <color indexed="64"/>
      </right>
      <top style="thick">
        <color indexed="64"/>
      </top>
      <bottom/>
      <diagonal/>
    </border>
    <border>
      <left style="thick">
        <color indexed="64"/>
      </left>
      <right style="thick">
        <color indexed="64"/>
      </right>
      <top/>
      <bottom style="thick">
        <color indexed="64"/>
      </bottom>
      <diagonal/>
    </border>
    <border>
      <left style="medium">
        <color indexed="64"/>
      </left>
      <right style="medium">
        <color indexed="64"/>
      </right>
      <top style="medium">
        <color indexed="64"/>
      </top>
      <bottom style="medium">
        <color indexed="64"/>
      </bottom>
      <diagonal/>
    </border>
    <border>
      <left/>
      <right style="thick">
        <color indexed="64"/>
      </right>
      <top style="thick">
        <color indexed="64"/>
      </top>
      <bottom/>
      <diagonal/>
    </border>
    <border>
      <left style="medium">
        <color indexed="64"/>
      </left>
      <right style="thick">
        <color indexed="64"/>
      </right>
      <top style="medium">
        <color indexed="64"/>
      </top>
      <bottom style="thick">
        <color indexed="64"/>
      </bottom>
      <diagonal/>
    </border>
    <border>
      <left style="thick">
        <color indexed="64"/>
      </left>
      <right style="thick">
        <color indexed="64"/>
      </right>
      <top style="medium">
        <color indexed="64"/>
      </top>
      <bottom style="thick">
        <color indexed="64"/>
      </bottom>
      <diagonal/>
    </border>
    <border>
      <left style="thick">
        <color indexed="64"/>
      </left>
      <right style="medium">
        <color indexed="64"/>
      </right>
      <top style="medium">
        <color indexed="64"/>
      </top>
      <bottom style="thick">
        <color indexed="64"/>
      </bottom>
      <diagonal/>
    </border>
    <border>
      <left style="medium">
        <color indexed="64"/>
      </left>
      <right style="thick">
        <color indexed="64"/>
      </right>
      <top style="thick">
        <color indexed="64"/>
      </top>
      <bottom style="thick">
        <color indexed="64"/>
      </bottom>
      <diagonal/>
    </border>
    <border>
      <left style="thick">
        <color indexed="64"/>
      </left>
      <right style="medium">
        <color indexed="64"/>
      </right>
      <top style="thick">
        <color indexed="64"/>
      </top>
      <bottom style="thick">
        <color indexed="64"/>
      </bottom>
      <diagonal/>
    </border>
    <border>
      <left style="medium">
        <color indexed="64"/>
      </left>
      <right style="thick">
        <color indexed="64"/>
      </right>
      <top style="thick">
        <color indexed="64"/>
      </top>
      <bottom/>
      <diagonal/>
    </border>
    <border>
      <left style="medium">
        <color indexed="64"/>
      </left>
      <right/>
      <top/>
      <bottom style="thick">
        <color indexed="64"/>
      </bottom>
      <diagonal/>
    </border>
    <border>
      <left/>
      <right style="medium">
        <color indexed="64"/>
      </right>
      <top/>
      <bottom/>
      <diagonal/>
    </border>
    <border>
      <left style="medium">
        <color indexed="64"/>
      </left>
      <right style="thick">
        <color indexed="64"/>
      </right>
      <top/>
      <bottom style="thick">
        <color indexed="64"/>
      </bottom>
      <diagonal/>
    </border>
    <border>
      <left style="thick">
        <color indexed="64"/>
      </left>
      <right style="medium">
        <color indexed="64"/>
      </right>
      <top style="thick">
        <color indexed="64"/>
      </top>
      <bottom/>
      <diagonal/>
    </border>
    <border>
      <left style="medium">
        <color indexed="64"/>
      </left>
      <right style="thick">
        <color indexed="64"/>
      </right>
      <top style="thick">
        <color indexed="64"/>
      </top>
      <bottom style="medium">
        <color indexed="64"/>
      </bottom>
      <diagonal/>
    </border>
    <border>
      <left style="thick">
        <color indexed="64"/>
      </left>
      <right style="thick">
        <color indexed="64"/>
      </right>
      <top style="thick">
        <color indexed="64"/>
      </top>
      <bottom style="medium">
        <color indexed="64"/>
      </bottom>
      <diagonal/>
    </border>
    <border>
      <left style="medium">
        <color indexed="64"/>
      </left>
      <right/>
      <top/>
      <bottom/>
      <diagonal/>
    </border>
    <border>
      <left style="medium">
        <color indexed="64"/>
      </left>
      <right style="thick">
        <color indexed="64"/>
      </right>
      <top style="medium">
        <color indexed="64"/>
      </top>
      <bottom/>
      <diagonal/>
    </border>
    <border>
      <left style="thick">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medium">
        <color indexed="64"/>
      </left>
      <right style="thick">
        <color indexed="64"/>
      </right>
      <top/>
      <bottom style="medium">
        <color indexed="64"/>
      </bottom>
      <diagonal/>
    </border>
    <border>
      <left style="thick">
        <color indexed="64"/>
      </left>
      <right style="thick">
        <color indexed="64"/>
      </right>
      <top/>
      <bottom style="medium">
        <color indexed="64"/>
      </bottom>
      <diagonal/>
    </border>
    <border>
      <left style="thick">
        <color indexed="64"/>
      </left>
      <right style="medium">
        <color indexed="64"/>
      </right>
      <top style="thick">
        <color indexed="64"/>
      </top>
      <bottom style="medium">
        <color indexed="64"/>
      </bottom>
      <diagonal/>
    </border>
    <border>
      <left style="thick">
        <color indexed="64"/>
      </left>
      <right style="medium">
        <color indexed="64"/>
      </right>
      <top/>
      <bottom style="thick">
        <color indexed="64"/>
      </bottom>
      <diagonal/>
    </border>
    <border>
      <left style="thin">
        <color theme="0"/>
      </left>
      <right style="thin">
        <color theme="0"/>
      </right>
      <top style="thin">
        <color theme="0"/>
      </top>
      <bottom style="thin">
        <color theme="0"/>
      </bottom>
      <diagonal/>
    </border>
    <border>
      <left style="medium">
        <color indexed="64"/>
      </left>
      <right/>
      <top style="thin">
        <color indexed="64"/>
      </top>
      <bottom style="thin">
        <color indexed="64"/>
      </bottom>
      <diagonal/>
    </border>
  </borders>
  <cellStyleXfs count="28">
    <xf numFmtId="0" fontId="0" fillId="0" borderId="0"/>
    <xf numFmtId="9" fontId="1" fillId="0" borderId="0" applyFont="0" applyFill="0" applyBorder="0" applyAlignment="0" applyProtection="0"/>
    <xf numFmtId="0" fontId="1" fillId="0" borderId="0"/>
    <xf numFmtId="0" fontId="9" fillId="5" borderId="9">
      <alignment horizontal="right"/>
    </xf>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1" fontId="10" fillId="0" borderId="0" applyFont="0" applyFill="0" applyBorder="0" applyAlignment="0" applyProtection="0"/>
    <xf numFmtId="172" fontId="1" fillId="0" borderId="0" applyFont="0" applyFill="0" applyBorder="0" applyAlignment="0" applyProtection="0"/>
    <xf numFmtId="173" fontId="11" fillId="5" borderId="0"/>
    <xf numFmtId="170" fontId="1" fillId="0" borderId="0" applyFont="0" applyFill="0" applyBorder="0" applyAlignment="0" applyProtection="0"/>
    <xf numFmtId="170" fontId="8" fillId="0" borderId="0" applyFont="0" applyFill="0" applyBorder="0" applyAlignment="0" applyProtection="0"/>
    <xf numFmtId="174" fontId="8" fillId="0" borderId="0" applyFont="0" applyFill="0" applyBorder="0" applyAlignment="0" applyProtection="0"/>
    <xf numFmtId="0" fontId="1" fillId="0" borderId="0"/>
    <xf numFmtId="0" fontId="12" fillId="0" borderId="0"/>
    <xf numFmtId="0" fontId="10" fillId="0" borderId="0"/>
    <xf numFmtId="4" fontId="13" fillId="0" borderId="0" applyFill="0" applyBorder="0" applyAlignment="0" applyProtection="0"/>
    <xf numFmtId="0" fontId="1" fillId="0" borderId="0"/>
    <xf numFmtId="9" fontId="10" fillId="0" borderId="0" applyFont="0" applyFill="0" applyBorder="0" applyAlignment="0" applyProtection="0"/>
    <xf numFmtId="9" fontId="1" fillId="0" borderId="0" applyFont="0" applyFill="0" applyBorder="0" applyAlignment="0" applyProtection="0"/>
    <xf numFmtId="9" fontId="8" fillId="0" borderId="0" applyFont="0" applyFill="0" applyBorder="0" applyAlignment="0" applyProtection="0"/>
    <xf numFmtId="175" fontId="1" fillId="0" borderId="0" applyFont="0" applyFill="0" applyBorder="0" applyAlignment="0" applyProtection="0"/>
    <xf numFmtId="0" fontId="16" fillId="0" borderId="0" applyNumberFormat="0" applyFill="0" applyBorder="0" applyAlignment="0" applyProtection="0"/>
    <xf numFmtId="0" fontId="1" fillId="0" borderId="0"/>
  </cellStyleXfs>
  <cellXfs count="202">
    <xf numFmtId="0" fontId="0" fillId="0" borderId="0" xfId="0"/>
    <xf numFmtId="164" fontId="0" fillId="0" borderId="0" xfId="0" applyNumberFormat="1"/>
    <xf numFmtId="37" fontId="2" fillId="2" borderId="0" xfId="0" applyNumberFormat="1" applyFont="1" applyFill="1" applyAlignment="1">
      <alignment horizontal="right"/>
    </xf>
    <xf numFmtId="37" fontId="0" fillId="0" borderId="0" xfId="0" applyNumberFormat="1"/>
    <xf numFmtId="164" fontId="3" fillId="0" borderId="0" xfId="0" applyNumberFormat="1" applyFont="1"/>
    <xf numFmtId="164" fontId="3" fillId="3" borderId="0" xfId="0" applyNumberFormat="1" applyFont="1" applyFill="1"/>
    <xf numFmtId="164" fontId="3" fillId="0" borderId="2" xfId="0" applyNumberFormat="1" applyFont="1" applyBorder="1"/>
    <xf numFmtId="164" fontId="4" fillId="0" borderId="0" xfId="0" applyNumberFormat="1" applyFont="1"/>
    <xf numFmtId="37" fontId="2" fillId="4" borderId="0" xfId="0" applyNumberFormat="1" applyFont="1" applyFill="1" applyAlignment="1">
      <alignment horizontal="left"/>
    </xf>
    <xf numFmtId="37" fontId="2" fillId="4" borderId="0" xfId="0" applyNumberFormat="1" applyFont="1" applyFill="1" applyAlignment="1">
      <alignment horizontal="right"/>
    </xf>
    <xf numFmtId="164" fontId="0" fillId="0" borderId="0" xfId="0" applyNumberFormat="1" applyFont="1"/>
    <xf numFmtId="166" fontId="0" fillId="0" borderId="0" xfId="1" applyNumberFormat="1" applyFont="1"/>
    <xf numFmtId="0" fontId="5" fillId="0" borderId="0" xfId="0" applyFont="1"/>
    <xf numFmtId="0" fontId="0" fillId="0" borderId="0" xfId="0" applyFont="1"/>
    <xf numFmtId="0" fontId="3" fillId="0" borderId="2" xfId="0" applyFont="1" applyBorder="1"/>
    <xf numFmtId="164" fontId="3" fillId="0" borderId="0" xfId="0" applyNumberFormat="1" applyFont="1" applyBorder="1"/>
    <xf numFmtId="164" fontId="3" fillId="0" borderId="1" xfId="0" applyNumberFormat="1" applyFont="1" applyBorder="1"/>
    <xf numFmtId="0" fontId="3" fillId="0" borderId="1" xfId="0" applyFont="1" applyBorder="1"/>
    <xf numFmtId="0" fontId="0" fillId="0" borderId="0" xfId="0" applyFont="1" applyAlignment="1">
      <alignment horizontal="left" indent="2"/>
    </xf>
    <xf numFmtId="164" fontId="0" fillId="0" borderId="0" xfId="0" applyNumberFormat="1" applyFont="1" applyFill="1" applyBorder="1"/>
    <xf numFmtId="164" fontId="0" fillId="0" borderId="0" xfId="0" applyNumberFormat="1" applyFont="1" applyFill="1" applyBorder="1" applyAlignment="1">
      <alignment horizontal="left" indent="2"/>
    </xf>
    <xf numFmtId="9" fontId="1" fillId="0" borderId="0" xfId="1" applyFont="1" applyFill="1" applyBorder="1"/>
    <xf numFmtId="164" fontId="0" fillId="0" borderId="0" xfId="0" applyNumberFormat="1" applyFill="1" applyAlignment="1">
      <alignment horizontal="left" indent="2"/>
    </xf>
    <xf numFmtId="164" fontId="0" fillId="0" borderId="0" xfId="0" applyNumberFormat="1" applyFill="1"/>
    <xf numFmtId="166" fontId="0" fillId="0" borderId="0" xfId="1" applyNumberFormat="1" applyFont="1" applyFill="1"/>
    <xf numFmtId="167" fontId="0" fillId="0" borderId="0" xfId="0" applyNumberFormat="1"/>
    <xf numFmtId="164" fontId="3" fillId="0" borderId="2" xfId="0" applyNumberFormat="1" applyFont="1" applyFill="1" applyBorder="1"/>
    <xf numFmtId="164" fontId="3" fillId="0" borderId="0" xfId="0" applyNumberFormat="1" applyFont="1" applyFill="1" applyBorder="1"/>
    <xf numFmtId="0" fontId="5" fillId="0" borderId="0" xfId="0" applyFont="1" applyAlignment="1">
      <alignment horizontal="left" indent="2"/>
    </xf>
    <xf numFmtId="164" fontId="0" fillId="0" borderId="0" xfId="0" applyNumberFormat="1" applyBorder="1"/>
    <xf numFmtId="0" fontId="0" fillId="0" borderId="0" xfId="0" applyFill="1"/>
    <xf numFmtId="0" fontId="0" fillId="0" borderId="0" xfId="0" applyAlignment="1">
      <alignment horizontal="center"/>
    </xf>
    <xf numFmtId="0" fontId="0" fillId="0" borderId="0" xfId="0" applyBorder="1"/>
    <xf numFmtId="164" fontId="3" fillId="0" borderId="0" xfId="0" applyNumberFormat="1" applyFont="1" applyFill="1" applyBorder="1" applyAlignment="1">
      <alignment horizontal="left" indent="2"/>
    </xf>
    <xf numFmtId="165" fontId="3" fillId="0" borderId="0" xfId="0" applyNumberFormat="1" applyFont="1" applyFill="1" applyBorder="1"/>
    <xf numFmtId="164" fontId="0" fillId="0" borderId="0" xfId="0" applyNumberFormat="1" applyAlignment="1">
      <alignment horizontal="center"/>
    </xf>
    <xf numFmtId="164" fontId="3" fillId="0" borderId="0" xfId="0" applyNumberFormat="1" applyFont="1" applyFill="1"/>
    <xf numFmtId="169" fontId="0" fillId="0" borderId="10" xfId="0" applyNumberFormat="1" applyBorder="1"/>
    <xf numFmtId="0" fontId="0" fillId="0" borderId="0" xfId="0" applyBorder="1" applyAlignment="1">
      <alignment horizontal="center"/>
    </xf>
    <xf numFmtId="9" fontId="0" fillId="0" borderId="0" xfId="0" applyNumberFormat="1" applyBorder="1" applyAlignment="1">
      <alignment horizontal="center"/>
    </xf>
    <xf numFmtId="0" fontId="3" fillId="0" borderId="0" xfId="0" applyFont="1"/>
    <xf numFmtId="0" fontId="15" fillId="0" borderId="0" xfId="0" applyFont="1"/>
    <xf numFmtId="0" fontId="3" fillId="0" borderId="0" xfId="0" applyFont="1" applyBorder="1"/>
    <xf numFmtId="0" fontId="0" fillId="0" borderId="0" xfId="0" applyAlignment="1">
      <alignment horizontal="left" indent="2"/>
    </xf>
    <xf numFmtId="0" fontId="0" fillId="0" borderId="0" xfId="0" applyAlignment="1">
      <alignment horizontal="left"/>
    </xf>
    <xf numFmtId="0" fontId="0" fillId="0" borderId="0" xfId="0" applyBorder="1" applyAlignment="1">
      <alignment horizontal="left"/>
    </xf>
    <xf numFmtId="0" fontId="0" fillId="0" borderId="0" xfId="0" applyFill="1" applyBorder="1"/>
    <xf numFmtId="164" fontId="14" fillId="6" borderId="0" xfId="0" applyNumberFormat="1" applyFont="1" applyFill="1" applyBorder="1"/>
    <xf numFmtId="164" fontId="0" fillId="2" borderId="0" xfId="0" applyNumberFormat="1" applyFont="1" applyFill="1"/>
    <xf numFmtId="169" fontId="0" fillId="0" borderId="14" xfId="0" applyNumberFormat="1" applyBorder="1"/>
    <xf numFmtId="169" fontId="0" fillId="0" borderId="15" xfId="0" applyNumberFormat="1" applyBorder="1"/>
    <xf numFmtId="2" fontId="0" fillId="0" borderId="16" xfId="0" applyNumberFormat="1" applyBorder="1"/>
    <xf numFmtId="169" fontId="0" fillId="0" borderId="17" xfId="0" applyNumberFormat="1" applyBorder="1"/>
    <xf numFmtId="169" fontId="0" fillId="5" borderId="16" xfId="0" applyNumberFormat="1" applyFont="1" applyFill="1" applyBorder="1"/>
    <xf numFmtId="169" fontId="3" fillId="0" borderId="0" xfId="0" applyNumberFormat="1" applyFont="1" applyFill="1" applyBorder="1"/>
    <xf numFmtId="164" fontId="18" fillId="0" borderId="0" xfId="0" applyNumberFormat="1" applyFont="1"/>
    <xf numFmtId="164" fontId="19" fillId="0" borderId="0" xfId="0" applyNumberFormat="1" applyFont="1" applyFill="1" applyBorder="1"/>
    <xf numFmtId="164" fontId="0" fillId="0" borderId="0" xfId="0" applyNumberFormat="1" applyFont="1" applyFill="1"/>
    <xf numFmtId="169" fontId="0" fillId="5" borderId="21" xfId="0" applyNumberFormat="1" applyFont="1" applyFill="1" applyBorder="1"/>
    <xf numFmtId="169" fontId="0" fillId="0" borderId="22" xfId="0" applyNumberFormat="1" applyBorder="1"/>
    <xf numFmtId="0" fontId="0" fillId="0" borderId="21" xfId="0" applyBorder="1"/>
    <xf numFmtId="169" fontId="0" fillId="5" borderId="21" xfId="0" quotePrefix="1" applyNumberFormat="1" applyFont="1" applyFill="1" applyBorder="1"/>
    <xf numFmtId="169" fontId="0" fillId="5" borderId="23" xfId="0" applyNumberFormat="1" applyFont="1" applyFill="1" applyBorder="1"/>
    <xf numFmtId="169" fontId="0" fillId="5" borderId="24" xfId="0" applyNumberFormat="1" applyFont="1" applyFill="1" applyBorder="1"/>
    <xf numFmtId="2" fontId="0" fillId="0" borderId="0" xfId="0" applyNumberFormat="1" applyBorder="1"/>
    <xf numFmtId="169" fontId="0" fillId="5" borderId="26" xfId="0" applyNumberFormat="1" applyFont="1" applyFill="1" applyBorder="1"/>
    <xf numFmtId="164" fontId="14" fillId="0" borderId="0" xfId="0" applyNumberFormat="1" applyFont="1"/>
    <xf numFmtId="166" fontId="14" fillId="0" borderId="0" xfId="1" applyNumberFormat="1" applyFont="1" applyFill="1" applyBorder="1"/>
    <xf numFmtId="166" fontId="1" fillId="0" borderId="0" xfId="1" applyNumberFormat="1" applyFont="1" applyFill="1" applyBorder="1"/>
    <xf numFmtId="166" fontId="0" fillId="0" borderId="0" xfId="1" applyNumberFormat="1" applyFont="1" applyFill="1" applyBorder="1"/>
    <xf numFmtId="0" fontId="0" fillId="0" borderId="4" xfId="0" applyBorder="1"/>
    <xf numFmtId="2" fontId="0" fillId="0" borderId="4" xfId="0" applyNumberFormat="1" applyBorder="1"/>
    <xf numFmtId="176" fontId="0" fillId="0" borderId="0" xfId="0" applyNumberFormat="1" applyBorder="1"/>
    <xf numFmtId="176" fontId="3" fillId="0" borderId="0" xfId="0" applyNumberFormat="1" applyFont="1" applyFill="1" applyBorder="1"/>
    <xf numFmtId="0" fontId="3" fillId="0" borderId="4" xfId="0" applyFont="1" applyBorder="1"/>
    <xf numFmtId="169" fontId="3" fillId="0" borderId="4" xfId="0" applyNumberFormat="1" applyFont="1" applyFill="1" applyBorder="1"/>
    <xf numFmtId="0" fontId="0" fillId="0" borderId="5" xfId="0" applyBorder="1"/>
    <xf numFmtId="0" fontId="3" fillId="0" borderId="7" xfId="0" applyFont="1" applyBorder="1"/>
    <xf numFmtId="0" fontId="0" fillId="0" borderId="3" xfId="0" applyBorder="1"/>
    <xf numFmtId="166" fontId="0" fillId="0" borderId="0" xfId="1" applyNumberFormat="1" applyFont="1" applyBorder="1"/>
    <xf numFmtId="0" fontId="3" fillId="0" borderId="30" xfId="0" applyFont="1" applyBorder="1"/>
    <xf numFmtId="169" fontId="3" fillId="0" borderId="30" xfId="0" applyNumberFormat="1" applyFont="1" applyFill="1" applyBorder="1"/>
    <xf numFmtId="166" fontId="0" fillId="0" borderId="25" xfId="1" applyNumberFormat="1" applyFont="1" applyBorder="1"/>
    <xf numFmtId="176" fontId="3" fillId="0" borderId="0" xfId="0" applyNumberFormat="1" applyFont="1" applyBorder="1"/>
    <xf numFmtId="0" fontId="0" fillId="0" borderId="0" xfId="0" applyFill="1" applyAlignment="1">
      <alignment horizontal="center"/>
    </xf>
    <xf numFmtId="169" fontId="3" fillId="0" borderId="3" xfId="0" applyNumberFormat="1" applyFont="1" applyFill="1" applyBorder="1"/>
    <xf numFmtId="9" fontId="0" fillId="0" borderId="0" xfId="1" applyFont="1" applyBorder="1"/>
    <xf numFmtId="0" fontId="0" fillId="0" borderId="25" xfId="0" applyBorder="1"/>
    <xf numFmtId="0" fontId="3" fillId="0" borderId="6" xfId="0" applyFont="1" applyBorder="1"/>
    <xf numFmtId="169" fontId="3" fillId="0" borderId="7" xfId="0" applyNumberFormat="1" applyFont="1" applyFill="1" applyBorder="1"/>
    <xf numFmtId="0" fontId="0" fillId="0" borderId="7" xfId="0" applyBorder="1"/>
    <xf numFmtId="9" fontId="0" fillId="0" borderId="7" xfId="1" applyFont="1" applyBorder="1"/>
    <xf numFmtId="9" fontId="0" fillId="0" borderId="8" xfId="1" applyFont="1" applyBorder="1"/>
    <xf numFmtId="176" fontId="3" fillId="0" borderId="25" xfId="0" applyNumberFormat="1" applyFont="1" applyBorder="1" applyAlignment="1">
      <alignment horizontal="center"/>
    </xf>
    <xf numFmtId="164" fontId="0" fillId="0" borderId="5" xfId="0" applyNumberFormat="1" applyBorder="1" applyAlignment="1">
      <alignment horizontal="center"/>
    </xf>
    <xf numFmtId="164" fontId="0" fillId="0" borderId="25" xfId="0" applyNumberFormat="1" applyBorder="1" applyAlignment="1">
      <alignment horizontal="center"/>
    </xf>
    <xf numFmtId="9" fontId="0" fillId="0" borderId="0" xfId="0" applyNumberFormat="1" applyAlignment="1">
      <alignment horizontal="center"/>
    </xf>
    <xf numFmtId="14" fontId="0" fillId="0" borderId="0" xfId="0" applyNumberFormat="1" applyAlignment="1">
      <alignment horizontal="center"/>
    </xf>
    <xf numFmtId="168" fontId="0" fillId="0" borderId="0" xfId="0" applyNumberFormat="1" applyAlignment="1">
      <alignment horizontal="center"/>
    </xf>
    <xf numFmtId="2" fontId="0" fillId="0" borderId="0" xfId="0" applyNumberFormat="1" applyAlignment="1">
      <alignment horizontal="center"/>
    </xf>
    <xf numFmtId="14" fontId="0" fillId="0" borderId="0" xfId="0" applyNumberFormat="1" applyFill="1" applyAlignment="1">
      <alignment horizontal="center"/>
    </xf>
    <xf numFmtId="9" fontId="0" fillId="0" borderId="0" xfId="0" applyNumberFormat="1" applyFill="1" applyAlignment="1">
      <alignment horizontal="center"/>
    </xf>
    <xf numFmtId="177" fontId="0" fillId="0" borderId="13" xfId="0" applyNumberFormat="1" applyBorder="1"/>
    <xf numFmtId="2" fontId="0" fillId="0" borderId="13" xfId="0" applyNumberFormat="1" applyBorder="1"/>
    <xf numFmtId="177" fontId="0" fillId="0" borderId="12" xfId="0" applyNumberFormat="1" applyBorder="1"/>
    <xf numFmtId="0" fontId="14" fillId="0" borderId="0" xfId="0" applyFont="1"/>
    <xf numFmtId="0" fontId="21" fillId="0" borderId="0" xfId="0" applyFont="1"/>
    <xf numFmtId="0" fontId="22" fillId="0" borderId="0" xfId="0" applyFont="1" applyAlignment="1">
      <alignment vertical="center"/>
    </xf>
    <xf numFmtId="2" fontId="23" fillId="7" borderId="10" xfId="0" applyNumberFormat="1" applyFont="1" applyFill="1" applyBorder="1" applyAlignment="1">
      <alignment horizontal="center"/>
    </xf>
    <xf numFmtId="0" fontId="2" fillId="4" borderId="11" xfId="0" applyFont="1" applyFill="1" applyBorder="1"/>
    <xf numFmtId="0" fontId="2" fillId="4" borderId="3" xfId="0" applyFont="1" applyFill="1" applyBorder="1"/>
    <xf numFmtId="0" fontId="2" fillId="4" borderId="30" xfId="0" applyFont="1" applyFill="1" applyBorder="1"/>
    <xf numFmtId="0" fontId="2" fillId="4" borderId="6" xfId="0" applyFont="1" applyFill="1" applyBorder="1"/>
    <xf numFmtId="0" fontId="24" fillId="0" borderId="0" xfId="0" applyFont="1" applyFill="1" applyAlignment="1">
      <alignment vertical="center"/>
    </xf>
    <xf numFmtId="0" fontId="0" fillId="0" borderId="0" xfId="0" applyFont="1" applyFill="1"/>
    <xf numFmtId="0" fontId="26" fillId="0" borderId="0" xfId="0" applyFont="1"/>
    <xf numFmtId="0" fontId="3" fillId="9" borderId="1" xfId="0" applyFont="1" applyFill="1" applyBorder="1"/>
    <xf numFmtId="164" fontId="3" fillId="9" borderId="1" xfId="0" applyNumberFormat="1" applyFont="1" applyFill="1" applyBorder="1"/>
    <xf numFmtId="164" fontId="14" fillId="7" borderId="0" xfId="0" applyNumberFormat="1" applyFont="1" applyFill="1"/>
    <xf numFmtId="164" fontId="14" fillId="7" borderId="0" xfId="0" applyNumberFormat="1" applyFont="1" applyFill="1" applyBorder="1"/>
    <xf numFmtId="164" fontId="0" fillId="7" borderId="0" xfId="0" applyNumberFormat="1" applyFill="1"/>
    <xf numFmtId="164" fontId="0" fillId="7" borderId="0" xfId="0" applyNumberFormat="1" applyFont="1" applyFill="1"/>
    <xf numFmtId="164" fontId="2" fillId="4" borderId="0" xfId="0" applyNumberFormat="1" applyFont="1" applyFill="1"/>
    <xf numFmtId="164" fontId="20" fillId="4" borderId="0" xfId="0" applyNumberFormat="1" applyFont="1" applyFill="1"/>
    <xf numFmtId="164" fontId="2" fillId="4" borderId="0" xfId="0" applyNumberFormat="1" applyFont="1" applyFill="1" applyAlignment="1">
      <alignment horizontal="center"/>
    </xf>
    <xf numFmtId="0" fontId="3" fillId="0" borderId="3" xfId="0" applyFont="1" applyBorder="1"/>
    <xf numFmtId="0" fontId="0" fillId="0" borderId="30" xfId="0" applyBorder="1"/>
    <xf numFmtId="0" fontId="16" fillId="0" borderId="30" xfId="26" applyBorder="1"/>
    <xf numFmtId="0" fontId="0" fillId="0" borderId="6" xfId="0" applyBorder="1"/>
    <xf numFmtId="0" fontId="0" fillId="0" borderId="8" xfId="0" applyBorder="1"/>
    <xf numFmtId="164" fontId="0" fillId="0" borderId="0" xfId="0" applyNumberFormat="1" applyBorder="1" applyAlignment="1">
      <alignment horizontal="center"/>
    </xf>
    <xf numFmtId="176" fontId="3" fillId="0" borderId="0" xfId="0" applyNumberFormat="1" applyFont="1" applyBorder="1" applyAlignment="1">
      <alignment horizontal="center"/>
    </xf>
    <xf numFmtId="165" fontId="3" fillId="9" borderId="1" xfId="0" applyNumberFormat="1" applyFont="1" applyFill="1" applyBorder="1"/>
    <xf numFmtId="0" fontId="0" fillId="9" borderId="1" xfId="0" applyFont="1" applyFill="1" applyBorder="1"/>
    <xf numFmtId="164" fontId="0" fillId="0" borderId="0" xfId="0" applyNumberFormat="1" applyFill="1" applyBorder="1"/>
    <xf numFmtId="165" fontId="0" fillId="0" borderId="25" xfId="0" applyNumberFormat="1" applyBorder="1" applyAlignment="1">
      <alignment horizontal="center"/>
    </xf>
    <xf numFmtId="169" fontId="0" fillId="5" borderId="21" xfId="0" applyNumberFormat="1" applyFont="1" applyFill="1" applyBorder="1" applyAlignment="1">
      <alignment horizontal="center"/>
    </xf>
    <xf numFmtId="0" fontId="27" fillId="0" borderId="0" xfId="0" applyFont="1" applyFill="1" applyBorder="1"/>
    <xf numFmtId="165" fontId="0" fillId="0" borderId="22" xfId="0" applyNumberFormat="1" applyBorder="1"/>
    <xf numFmtId="2" fontId="21" fillId="7" borderId="5" xfId="0" applyNumberFormat="1" applyFont="1" applyFill="1" applyBorder="1"/>
    <xf numFmtId="2" fontId="21" fillId="7" borderId="25" xfId="0" applyNumberFormat="1" applyFont="1" applyFill="1" applyBorder="1"/>
    <xf numFmtId="2" fontId="21" fillId="7" borderId="8" xfId="0" applyNumberFormat="1" applyFont="1" applyFill="1" applyBorder="1"/>
    <xf numFmtId="165" fontId="0" fillId="0" borderId="0" xfId="0" applyNumberFormat="1" applyBorder="1" applyAlignment="1">
      <alignment horizontal="center"/>
    </xf>
    <xf numFmtId="10" fontId="3" fillId="0" borderId="8" xfId="1" applyNumberFormat="1" applyFont="1" applyBorder="1" applyAlignment="1">
      <alignment horizontal="center"/>
    </xf>
    <xf numFmtId="167" fontId="21" fillId="7" borderId="0" xfId="0" applyNumberFormat="1" applyFont="1" applyFill="1"/>
    <xf numFmtId="0" fontId="2" fillId="4" borderId="0" xfId="0" applyFont="1" applyFill="1" applyBorder="1" applyAlignment="1">
      <alignment horizontal="center"/>
    </xf>
    <xf numFmtId="0" fontId="3" fillId="0" borderId="0" xfId="0" applyFont="1" applyFill="1" applyBorder="1" applyAlignment="1">
      <alignment horizontal="center"/>
    </xf>
    <xf numFmtId="164" fontId="0" fillId="0" borderId="4" xfId="0" applyNumberFormat="1" applyBorder="1" applyAlignment="1">
      <alignment horizontal="center"/>
    </xf>
    <xf numFmtId="10" fontId="3" fillId="0" borderId="7" xfId="1" applyNumberFormat="1" applyFont="1" applyBorder="1" applyAlignment="1">
      <alignment horizontal="center"/>
    </xf>
    <xf numFmtId="177" fontId="23" fillId="7" borderId="4" xfId="0" applyNumberFormat="1" applyFont="1" applyFill="1" applyBorder="1" applyAlignment="1">
      <alignment horizontal="right"/>
    </xf>
    <xf numFmtId="177" fontId="23" fillId="7" borderId="5" xfId="0" applyNumberFormat="1" applyFont="1" applyFill="1" applyBorder="1" applyAlignment="1">
      <alignment horizontal="right"/>
    </xf>
    <xf numFmtId="0" fontId="0" fillId="0" borderId="31" xfId="0" applyBorder="1" applyAlignment="1">
      <alignment horizontal="center"/>
    </xf>
    <xf numFmtId="0" fontId="2" fillId="4" borderId="32" xfId="0" applyFont="1" applyFill="1" applyBorder="1" applyAlignment="1">
      <alignment horizontal="center"/>
    </xf>
    <xf numFmtId="0" fontId="2" fillId="4" borderId="33" xfId="0" applyFont="1" applyFill="1" applyBorder="1" applyAlignment="1">
      <alignment horizontal="center"/>
    </xf>
    <xf numFmtId="0" fontId="2" fillId="8" borderId="33" xfId="0" applyFont="1" applyFill="1" applyBorder="1" applyAlignment="1">
      <alignment horizontal="center"/>
    </xf>
    <xf numFmtId="169" fontId="2" fillId="4" borderId="34" xfId="0" applyNumberFormat="1" applyFont="1" applyFill="1" applyBorder="1" applyAlignment="1">
      <alignment horizontal="center"/>
    </xf>
    <xf numFmtId="169" fontId="3" fillId="0" borderId="35" xfId="0" applyNumberFormat="1" applyFont="1" applyFill="1" applyBorder="1"/>
    <xf numFmtId="169" fontId="0" fillId="5" borderId="18" xfId="0" applyNumberFormat="1" applyFont="1" applyFill="1" applyBorder="1"/>
    <xf numFmtId="169" fontId="0" fillId="0" borderId="19" xfId="0" applyNumberFormat="1" applyBorder="1"/>
    <xf numFmtId="169" fontId="0" fillId="0" borderId="20" xfId="0" applyNumberFormat="1" applyBorder="1"/>
    <xf numFmtId="165" fontId="0" fillId="0" borderId="20" xfId="0" applyNumberFormat="1" applyBorder="1"/>
    <xf numFmtId="169" fontId="0" fillId="5" borderId="28" xfId="0" applyNumberFormat="1" applyFont="1" applyFill="1" applyBorder="1"/>
    <xf numFmtId="169" fontId="0" fillId="0" borderId="29" xfId="0" applyNumberFormat="1" applyBorder="1"/>
    <xf numFmtId="169" fontId="17" fillId="0" borderId="29" xfId="0" applyNumberFormat="1" applyFont="1" applyBorder="1"/>
    <xf numFmtId="169" fontId="17" fillId="0" borderId="36" xfId="0" applyNumberFormat="1" applyFont="1" applyBorder="1"/>
    <xf numFmtId="165" fontId="17" fillId="0" borderId="36" xfId="0" applyNumberFormat="1" applyFont="1" applyBorder="1"/>
    <xf numFmtId="165" fontId="3" fillId="0" borderId="36" xfId="0" applyNumberFormat="1" applyFont="1" applyBorder="1"/>
    <xf numFmtId="169" fontId="0" fillId="0" borderId="27" xfId="0" applyNumberFormat="1" applyBorder="1"/>
    <xf numFmtId="165" fontId="0" fillId="0" borderId="27" xfId="0" applyNumberFormat="1" applyBorder="1"/>
    <xf numFmtId="169" fontId="0" fillId="0" borderId="37" xfId="0" applyNumberFormat="1" applyBorder="1"/>
    <xf numFmtId="165" fontId="0" fillId="0" borderId="37" xfId="0" applyNumberFormat="1" applyBorder="1"/>
    <xf numFmtId="165" fontId="0" fillId="0" borderId="16" xfId="0" applyNumberFormat="1" applyBorder="1"/>
    <xf numFmtId="164" fontId="3" fillId="0" borderId="4" xfId="0" applyNumberFormat="1" applyFont="1" applyBorder="1"/>
    <xf numFmtId="164" fontId="3" fillId="0" borderId="4" xfId="0" applyNumberFormat="1" applyFont="1" applyFill="1" applyBorder="1"/>
    <xf numFmtId="164" fontId="23" fillId="7" borderId="4" xfId="0" applyNumberFormat="1" applyFont="1" applyFill="1" applyBorder="1"/>
    <xf numFmtId="164" fontId="23" fillId="7" borderId="5" xfId="0" applyNumberFormat="1" applyFont="1" applyFill="1" applyBorder="1"/>
    <xf numFmtId="164" fontId="3" fillId="0" borderId="7" xfId="0" applyNumberFormat="1" applyFont="1" applyBorder="1"/>
    <xf numFmtId="164" fontId="3" fillId="0" borderId="7" xfId="0" applyNumberFormat="1" applyFont="1" applyFill="1" applyBorder="1"/>
    <xf numFmtId="166" fontId="3" fillId="0" borderId="7" xfId="1" applyNumberFormat="1" applyFont="1" applyFill="1" applyBorder="1"/>
    <xf numFmtId="166" fontId="3" fillId="0" borderId="8" xfId="1" applyNumberFormat="1" applyFont="1" applyFill="1" applyBorder="1"/>
    <xf numFmtId="177" fontId="3" fillId="0" borderId="4" xfId="0" applyNumberFormat="1" applyFont="1" applyFill="1" applyBorder="1" applyAlignment="1">
      <alignment horizontal="right"/>
    </xf>
    <xf numFmtId="0" fontId="2" fillId="4" borderId="38" xfId="0" applyFont="1" applyFill="1" applyBorder="1"/>
    <xf numFmtId="0" fontId="2" fillId="4" borderId="38" xfId="0" applyFont="1" applyFill="1" applyBorder="1" applyAlignment="1">
      <alignment horizontal="center"/>
    </xf>
    <xf numFmtId="0" fontId="3" fillId="9" borderId="39" xfId="0" applyFont="1" applyFill="1" applyBorder="1"/>
    <xf numFmtId="0" fontId="25" fillId="9" borderId="39" xfId="0" applyFont="1" applyFill="1" applyBorder="1" applyAlignment="1">
      <alignment vertical="center"/>
    </xf>
    <xf numFmtId="0" fontId="28" fillId="9" borderId="39" xfId="26" applyFont="1" applyFill="1" applyBorder="1"/>
    <xf numFmtId="0" fontId="28" fillId="9" borderId="1" xfId="26" applyFont="1" applyFill="1" applyBorder="1"/>
    <xf numFmtId="164" fontId="3" fillId="0" borderId="25" xfId="0" applyNumberFormat="1" applyFont="1" applyFill="1" applyBorder="1"/>
    <xf numFmtId="169" fontId="2" fillId="4" borderId="35" xfId="0" applyNumberFormat="1" applyFont="1" applyFill="1" applyBorder="1"/>
    <xf numFmtId="164" fontId="21" fillId="7" borderId="0" xfId="0" applyNumberFormat="1" applyFont="1" applyFill="1"/>
    <xf numFmtId="0" fontId="24" fillId="7" borderId="0" xfId="0" applyFont="1" applyFill="1" applyAlignment="1">
      <alignment vertical="center"/>
    </xf>
    <xf numFmtId="0" fontId="0" fillId="10" borderId="0" xfId="0" applyFill="1"/>
    <xf numFmtId="14" fontId="0" fillId="10" borderId="0" xfId="0" applyNumberFormat="1" applyFill="1" applyAlignment="1">
      <alignment horizontal="center"/>
    </xf>
    <xf numFmtId="0" fontId="0" fillId="0" borderId="0" xfId="0" applyFill="1" applyBorder="1" applyAlignment="1">
      <alignment horizontal="center"/>
    </xf>
    <xf numFmtId="164" fontId="0" fillId="0" borderId="0" xfId="0" applyNumberFormat="1" applyFill="1" applyBorder="1" applyAlignment="1">
      <alignment horizontal="center"/>
    </xf>
    <xf numFmtId="164" fontId="0" fillId="0" borderId="0" xfId="0" applyNumberFormat="1" applyFont="1" applyFill="1" applyBorder="1" applyAlignment="1">
      <alignment horizontal="center"/>
    </xf>
    <xf numFmtId="0" fontId="0" fillId="11" borderId="0" xfId="0" applyFill="1"/>
    <xf numFmtId="0" fontId="0" fillId="11" borderId="0" xfId="0" applyFill="1" applyAlignment="1">
      <alignment horizontal="center"/>
    </xf>
    <xf numFmtId="9" fontId="0" fillId="11" borderId="0" xfId="0" applyNumberFormat="1" applyFill="1" applyAlignment="1">
      <alignment horizontal="center"/>
    </xf>
    <xf numFmtId="14" fontId="0" fillId="11" borderId="0" xfId="0" applyNumberFormat="1" applyFill="1" applyAlignment="1">
      <alignment horizontal="center"/>
    </xf>
    <xf numFmtId="168" fontId="0" fillId="11" borderId="0" xfId="0" applyNumberFormat="1" applyFill="1" applyAlignment="1">
      <alignment horizontal="center"/>
    </xf>
    <xf numFmtId="2" fontId="0" fillId="11" borderId="0" xfId="0" applyNumberFormat="1" applyFill="1" applyAlignment="1">
      <alignment horizontal="center"/>
    </xf>
  </cellXfs>
  <cellStyles count="28">
    <cellStyle name="Comma 2" xfId="4"/>
    <cellStyle name="Comma 3" xfId="5"/>
    <cellStyle name="Comma 4" xfId="6"/>
    <cellStyle name="Comma 5" xfId="7"/>
    <cellStyle name="Comma 6" xfId="8"/>
    <cellStyle name="Comma 7" xfId="9"/>
    <cellStyle name="Comma 8" xfId="10"/>
    <cellStyle name="Comma_Q3" xfId="11"/>
    <cellStyle name="Currency 2" xfId="12"/>
    <cellStyle name="General" xfId="13"/>
    <cellStyle name="Header" xfId="3"/>
    <cellStyle name="Hipervínculo" xfId="26" builtinId="8"/>
    <cellStyle name="Millares 2" xfId="14"/>
    <cellStyle name="Millares 3" xfId="15"/>
    <cellStyle name="Millares 4" xfId="25"/>
    <cellStyle name="Moneda 2" xfId="16"/>
    <cellStyle name="Normal" xfId="0" builtinId="0"/>
    <cellStyle name="Normal 12" xfId="17"/>
    <cellStyle name="Normal 2" xfId="18"/>
    <cellStyle name="Normal 2 2" xfId="19"/>
    <cellStyle name="Normal 2 3" xfId="20"/>
    <cellStyle name="Normal 2 4" xfId="21"/>
    <cellStyle name="Normal 3" xfId="2"/>
    <cellStyle name="Normal 3 2" xfId="27"/>
    <cellStyle name="Percent 2" xfId="22"/>
    <cellStyle name="Percent 2 2" xfId="23"/>
    <cellStyle name="Porcentaje" xfId="1" builtinId="5"/>
    <cellStyle name="Porcentaje 2" xfId="24"/>
  </cellStyles>
  <dxfs count="0"/>
  <tableStyles count="0" defaultTableStyle="TableStyleMedium2" defaultPivotStyle="PivotStyleLight16"/>
  <colors>
    <mruColors>
      <color rgb="FFFFCCCC"/>
      <color rgb="FFFCFA9C"/>
      <color rgb="FF0000FF"/>
      <color rgb="FFFFCCFF"/>
      <color rgb="FFFFFF99"/>
      <color rgb="FFFF9999"/>
      <color rgb="FFFF99FF"/>
      <color rgb="FF000000"/>
      <color rgb="FFFF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3" Type="http://schemas.openxmlformats.org/officeDocument/2006/relationships/image" Target="../media/image15.png"/><Relationship Id="rId18" Type="http://schemas.openxmlformats.org/officeDocument/2006/relationships/image" Target="../media/image20.png"/><Relationship Id="rId26" Type="http://schemas.openxmlformats.org/officeDocument/2006/relationships/image" Target="../media/image28.png"/><Relationship Id="rId39" Type="http://schemas.openxmlformats.org/officeDocument/2006/relationships/image" Target="../media/image41.png"/><Relationship Id="rId21" Type="http://schemas.openxmlformats.org/officeDocument/2006/relationships/image" Target="../media/image23.png"/><Relationship Id="rId34" Type="http://schemas.openxmlformats.org/officeDocument/2006/relationships/image" Target="../media/image36.png"/><Relationship Id="rId42" Type="http://schemas.openxmlformats.org/officeDocument/2006/relationships/image" Target="../media/image44.png"/><Relationship Id="rId47" Type="http://schemas.openxmlformats.org/officeDocument/2006/relationships/image" Target="../media/image49.png"/><Relationship Id="rId50" Type="http://schemas.openxmlformats.org/officeDocument/2006/relationships/image" Target="../media/image52.png"/><Relationship Id="rId55" Type="http://schemas.openxmlformats.org/officeDocument/2006/relationships/image" Target="../media/image57.png"/><Relationship Id="rId63" Type="http://schemas.openxmlformats.org/officeDocument/2006/relationships/image" Target="../media/image65.png"/><Relationship Id="rId68" Type="http://schemas.openxmlformats.org/officeDocument/2006/relationships/image" Target="../media/image70.png"/><Relationship Id="rId76" Type="http://schemas.openxmlformats.org/officeDocument/2006/relationships/image" Target="../media/image78.png"/><Relationship Id="rId7" Type="http://schemas.openxmlformats.org/officeDocument/2006/relationships/image" Target="../media/image9.png"/><Relationship Id="rId71" Type="http://schemas.openxmlformats.org/officeDocument/2006/relationships/image" Target="../media/image73.png"/><Relationship Id="rId2" Type="http://schemas.openxmlformats.org/officeDocument/2006/relationships/image" Target="../media/image4.png"/><Relationship Id="rId16" Type="http://schemas.openxmlformats.org/officeDocument/2006/relationships/image" Target="../media/image18.png"/><Relationship Id="rId29" Type="http://schemas.openxmlformats.org/officeDocument/2006/relationships/image" Target="../media/image31.png"/><Relationship Id="rId11" Type="http://schemas.openxmlformats.org/officeDocument/2006/relationships/image" Target="../media/image13.png"/><Relationship Id="rId24" Type="http://schemas.openxmlformats.org/officeDocument/2006/relationships/image" Target="../media/image26.png"/><Relationship Id="rId32" Type="http://schemas.openxmlformats.org/officeDocument/2006/relationships/image" Target="../media/image34.png"/><Relationship Id="rId37" Type="http://schemas.openxmlformats.org/officeDocument/2006/relationships/image" Target="../media/image39.png"/><Relationship Id="rId40" Type="http://schemas.openxmlformats.org/officeDocument/2006/relationships/image" Target="../media/image42.png"/><Relationship Id="rId45" Type="http://schemas.openxmlformats.org/officeDocument/2006/relationships/image" Target="../media/image47.png"/><Relationship Id="rId53" Type="http://schemas.openxmlformats.org/officeDocument/2006/relationships/image" Target="../media/image55.png"/><Relationship Id="rId58" Type="http://schemas.openxmlformats.org/officeDocument/2006/relationships/image" Target="../media/image60.png"/><Relationship Id="rId66" Type="http://schemas.openxmlformats.org/officeDocument/2006/relationships/image" Target="../media/image68.png"/><Relationship Id="rId74" Type="http://schemas.openxmlformats.org/officeDocument/2006/relationships/image" Target="../media/image76.png"/><Relationship Id="rId79" Type="http://schemas.openxmlformats.org/officeDocument/2006/relationships/image" Target="../media/image81.png"/><Relationship Id="rId5" Type="http://schemas.openxmlformats.org/officeDocument/2006/relationships/image" Target="../media/image7.png"/><Relationship Id="rId61" Type="http://schemas.openxmlformats.org/officeDocument/2006/relationships/image" Target="../media/image63.png"/><Relationship Id="rId82" Type="http://schemas.openxmlformats.org/officeDocument/2006/relationships/image" Target="../media/image84.png"/><Relationship Id="rId10" Type="http://schemas.openxmlformats.org/officeDocument/2006/relationships/image" Target="../media/image12.png"/><Relationship Id="rId19" Type="http://schemas.openxmlformats.org/officeDocument/2006/relationships/image" Target="../media/image21.png"/><Relationship Id="rId31" Type="http://schemas.openxmlformats.org/officeDocument/2006/relationships/image" Target="../media/image33.png"/><Relationship Id="rId44" Type="http://schemas.openxmlformats.org/officeDocument/2006/relationships/image" Target="../media/image46.png"/><Relationship Id="rId52" Type="http://schemas.openxmlformats.org/officeDocument/2006/relationships/image" Target="../media/image54.png"/><Relationship Id="rId60" Type="http://schemas.openxmlformats.org/officeDocument/2006/relationships/image" Target="../media/image62.png"/><Relationship Id="rId65" Type="http://schemas.openxmlformats.org/officeDocument/2006/relationships/image" Target="../media/image67.png"/><Relationship Id="rId73" Type="http://schemas.openxmlformats.org/officeDocument/2006/relationships/image" Target="../media/image75.png"/><Relationship Id="rId78" Type="http://schemas.openxmlformats.org/officeDocument/2006/relationships/image" Target="../media/image80.png"/><Relationship Id="rId81" Type="http://schemas.openxmlformats.org/officeDocument/2006/relationships/image" Target="../media/image83.png"/><Relationship Id="rId4" Type="http://schemas.openxmlformats.org/officeDocument/2006/relationships/image" Target="../media/image6.png"/><Relationship Id="rId9" Type="http://schemas.openxmlformats.org/officeDocument/2006/relationships/image" Target="../media/image11.png"/><Relationship Id="rId14" Type="http://schemas.openxmlformats.org/officeDocument/2006/relationships/image" Target="../media/image16.png"/><Relationship Id="rId22" Type="http://schemas.openxmlformats.org/officeDocument/2006/relationships/image" Target="../media/image24.png"/><Relationship Id="rId27" Type="http://schemas.openxmlformats.org/officeDocument/2006/relationships/image" Target="../media/image29.png"/><Relationship Id="rId30" Type="http://schemas.openxmlformats.org/officeDocument/2006/relationships/image" Target="../media/image32.png"/><Relationship Id="rId35" Type="http://schemas.openxmlformats.org/officeDocument/2006/relationships/image" Target="../media/image37.png"/><Relationship Id="rId43" Type="http://schemas.openxmlformats.org/officeDocument/2006/relationships/image" Target="../media/image45.png"/><Relationship Id="rId48" Type="http://schemas.openxmlformats.org/officeDocument/2006/relationships/image" Target="../media/image50.png"/><Relationship Id="rId56" Type="http://schemas.openxmlformats.org/officeDocument/2006/relationships/image" Target="../media/image58.png"/><Relationship Id="rId64" Type="http://schemas.openxmlformats.org/officeDocument/2006/relationships/image" Target="../media/image66.png"/><Relationship Id="rId69" Type="http://schemas.openxmlformats.org/officeDocument/2006/relationships/image" Target="../media/image71.png"/><Relationship Id="rId77" Type="http://schemas.openxmlformats.org/officeDocument/2006/relationships/image" Target="../media/image79.png"/><Relationship Id="rId8" Type="http://schemas.openxmlformats.org/officeDocument/2006/relationships/image" Target="../media/image10.png"/><Relationship Id="rId51" Type="http://schemas.openxmlformats.org/officeDocument/2006/relationships/image" Target="../media/image53.png"/><Relationship Id="rId72" Type="http://schemas.openxmlformats.org/officeDocument/2006/relationships/image" Target="../media/image74.jpeg"/><Relationship Id="rId80" Type="http://schemas.openxmlformats.org/officeDocument/2006/relationships/image" Target="../media/image82.png"/><Relationship Id="rId3" Type="http://schemas.openxmlformats.org/officeDocument/2006/relationships/image" Target="../media/image5.png"/><Relationship Id="rId12" Type="http://schemas.openxmlformats.org/officeDocument/2006/relationships/image" Target="../media/image14.png"/><Relationship Id="rId17" Type="http://schemas.openxmlformats.org/officeDocument/2006/relationships/image" Target="../media/image19.png"/><Relationship Id="rId25" Type="http://schemas.openxmlformats.org/officeDocument/2006/relationships/image" Target="../media/image27.png"/><Relationship Id="rId33" Type="http://schemas.openxmlformats.org/officeDocument/2006/relationships/image" Target="../media/image35.png"/><Relationship Id="rId38" Type="http://schemas.openxmlformats.org/officeDocument/2006/relationships/image" Target="../media/image40.png"/><Relationship Id="rId46" Type="http://schemas.openxmlformats.org/officeDocument/2006/relationships/image" Target="../media/image48.png"/><Relationship Id="rId59" Type="http://schemas.openxmlformats.org/officeDocument/2006/relationships/image" Target="../media/image61.png"/><Relationship Id="rId67" Type="http://schemas.openxmlformats.org/officeDocument/2006/relationships/image" Target="../media/image69.png"/><Relationship Id="rId20" Type="http://schemas.openxmlformats.org/officeDocument/2006/relationships/image" Target="../media/image22.png"/><Relationship Id="rId41" Type="http://schemas.openxmlformats.org/officeDocument/2006/relationships/image" Target="../media/image43.png"/><Relationship Id="rId54" Type="http://schemas.openxmlformats.org/officeDocument/2006/relationships/image" Target="../media/image56.png"/><Relationship Id="rId62" Type="http://schemas.openxmlformats.org/officeDocument/2006/relationships/image" Target="../media/image64.png"/><Relationship Id="rId70" Type="http://schemas.openxmlformats.org/officeDocument/2006/relationships/image" Target="../media/image72.png"/><Relationship Id="rId75" Type="http://schemas.openxmlformats.org/officeDocument/2006/relationships/image" Target="../media/image77.png"/><Relationship Id="rId1" Type="http://schemas.openxmlformats.org/officeDocument/2006/relationships/image" Target="../media/image3.png"/><Relationship Id="rId6" Type="http://schemas.openxmlformats.org/officeDocument/2006/relationships/image" Target="../media/image8.png"/><Relationship Id="rId15" Type="http://schemas.openxmlformats.org/officeDocument/2006/relationships/image" Target="../media/image17.png"/><Relationship Id="rId23" Type="http://schemas.openxmlformats.org/officeDocument/2006/relationships/image" Target="../media/image25.png"/><Relationship Id="rId28" Type="http://schemas.openxmlformats.org/officeDocument/2006/relationships/image" Target="../media/image30.png"/><Relationship Id="rId36" Type="http://schemas.openxmlformats.org/officeDocument/2006/relationships/image" Target="../media/image38.png"/><Relationship Id="rId49" Type="http://schemas.openxmlformats.org/officeDocument/2006/relationships/image" Target="../media/image51.png"/><Relationship Id="rId57" Type="http://schemas.openxmlformats.org/officeDocument/2006/relationships/image" Target="../media/image59.png"/></Relationships>
</file>

<file path=xl/drawings/drawing1.xml><?xml version="1.0" encoding="utf-8"?>
<xdr:wsDr xmlns:xdr="http://schemas.openxmlformats.org/drawingml/2006/spreadsheetDrawing" xmlns:a="http://schemas.openxmlformats.org/drawingml/2006/main">
  <xdr:twoCellAnchor editAs="oneCell">
    <xdr:from>
      <xdr:col>1</xdr:col>
      <xdr:colOff>304800</xdr:colOff>
      <xdr:row>0</xdr:row>
      <xdr:rowOff>0</xdr:rowOff>
    </xdr:from>
    <xdr:to>
      <xdr:col>3</xdr:col>
      <xdr:colOff>268942</xdr:colOff>
      <xdr:row>7</xdr:row>
      <xdr:rowOff>170329</xdr:rowOff>
    </xdr:to>
    <xdr:pic>
      <xdr:nvPicPr>
        <xdr:cNvPr id="2" name="1 Imagen" descr="DHT - DHT HOLDINGS, INC. Latest Stock News &amp; Market Updates"/>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12894" y="0"/>
          <a:ext cx="1541930" cy="14253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160020</xdr:colOff>
      <xdr:row>61</xdr:row>
      <xdr:rowOff>22860</xdr:rowOff>
    </xdr:from>
    <xdr:to>
      <xdr:col>22</xdr:col>
      <xdr:colOff>39584</xdr:colOff>
      <xdr:row>66</xdr:row>
      <xdr:rowOff>33417</xdr:rowOff>
    </xdr:to>
    <xdr:pic>
      <xdr:nvPicPr>
        <xdr:cNvPr id="2" name="1 Imagen"/>
        <xdr:cNvPicPr>
          <a:picLocks noChangeAspect="1"/>
        </xdr:cNvPicPr>
      </xdr:nvPicPr>
      <xdr:blipFill>
        <a:blip xmlns:r="http://schemas.openxmlformats.org/officeDocument/2006/relationships" r:embed="rId1"/>
        <a:stretch>
          <a:fillRect/>
        </a:stretch>
      </xdr:blipFill>
      <xdr:spPr>
        <a:xfrm>
          <a:off x="4160520" y="11826240"/>
          <a:ext cx="7049984" cy="91599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127233</xdr:colOff>
      <xdr:row>2</xdr:row>
      <xdr:rowOff>0</xdr:rowOff>
    </xdr:from>
    <xdr:to>
      <xdr:col>13</xdr:col>
      <xdr:colOff>289669</xdr:colOff>
      <xdr:row>32</xdr:row>
      <xdr:rowOff>167640</xdr:rowOff>
    </xdr:to>
    <xdr:pic>
      <xdr:nvPicPr>
        <xdr:cNvPr id="9" name="8 Imagen"/>
        <xdr:cNvPicPr>
          <a:picLocks noChangeAspect="1"/>
        </xdr:cNvPicPr>
      </xdr:nvPicPr>
      <xdr:blipFill>
        <a:blip xmlns:r="http://schemas.openxmlformats.org/officeDocument/2006/relationships" r:embed="rId1"/>
        <a:stretch>
          <a:fillRect/>
        </a:stretch>
      </xdr:blipFill>
      <xdr:spPr>
        <a:xfrm>
          <a:off x="127233" y="381000"/>
          <a:ext cx="10868536" cy="5882640"/>
        </a:xfrm>
        <a:prstGeom prst="rect">
          <a:avLst/>
        </a:prstGeom>
      </xdr:spPr>
    </xdr:pic>
    <xdr:clientData/>
  </xdr:twoCellAnchor>
  <xdr:twoCellAnchor editAs="oneCell">
    <xdr:from>
      <xdr:col>0</xdr:col>
      <xdr:colOff>76200</xdr:colOff>
      <xdr:row>35</xdr:row>
      <xdr:rowOff>119642</xdr:rowOff>
    </xdr:from>
    <xdr:to>
      <xdr:col>9</xdr:col>
      <xdr:colOff>868680</xdr:colOff>
      <xdr:row>53</xdr:row>
      <xdr:rowOff>42705</xdr:rowOff>
    </xdr:to>
    <xdr:pic>
      <xdr:nvPicPr>
        <xdr:cNvPr id="2" name="1 Imagen"/>
        <xdr:cNvPicPr>
          <a:picLocks noChangeAspect="1"/>
        </xdr:cNvPicPr>
      </xdr:nvPicPr>
      <xdr:blipFill>
        <a:blip xmlns:r="http://schemas.openxmlformats.org/officeDocument/2006/relationships" r:embed="rId2"/>
        <a:stretch>
          <a:fillRect/>
        </a:stretch>
      </xdr:blipFill>
      <xdr:spPr>
        <a:xfrm>
          <a:off x="76200" y="6977642"/>
          <a:ext cx="7993380" cy="3352063"/>
        </a:xfrm>
        <a:prstGeom prst="rect">
          <a:avLst/>
        </a:prstGeom>
      </xdr:spPr>
    </xdr:pic>
    <xdr:clientData/>
  </xdr:twoCellAnchor>
  <xdr:twoCellAnchor editAs="oneCell">
    <xdr:from>
      <xdr:col>1</xdr:col>
      <xdr:colOff>1</xdr:colOff>
      <xdr:row>54</xdr:row>
      <xdr:rowOff>1</xdr:rowOff>
    </xdr:from>
    <xdr:to>
      <xdr:col>11</xdr:col>
      <xdr:colOff>584997</xdr:colOff>
      <xdr:row>79</xdr:row>
      <xdr:rowOff>53340</xdr:rowOff>
    </xdr:to>
    <xdr:pic>
      <xdr:nvPicPr>
        <xdr:cNvPr id="3" name="2 Imagen"/>
        <xdr:cNvPicPr>
          <a:picLocks noChangeAspect="1"/>
        </xdr:cNvPicPr>
      </xdr:nvPicPr>
      <xdr:blipFill>
        <a:blip xmlns:r="http://schemas.openxmlformats.org/officeDocument/2006/relationships" r:embed="rId3"/>
        <a:stretch>
          <a:fillRect/>
        </a:stretch>
      </xdr:blipFill>
      <xdr:spPr>
        <a:xfrm>
          <a:off x="190501" y="10287001"/>
          <a:ext cx="9347996" cy="4815839"/>
        </a:xfrm>
        <a:prstGeom prst="rect">
          <a:avLst/>
        </a:prstGeom>
      </xdr:spPr>
    </xdr:pic>
    <xdr:clientData/>
  </xdr:twoCellAnchor>
  <xdr:twoCellAnchor editAs="oneCell">
    <xdr:from>
      <xdr:col>1</xdr:col>
      <xdr:colOff>1</xdr:colOff>
      <xdr:row>83</xdr:row>
      <xdr:rowOff>0</xdr:rowOff>
    </xdr:from>
    <xdr:to>
      <xdr:col>9</xdr:col>
      <xdr:colOff>213361</xdr:colOff>
      <xdr:row>105</xdr:row>
      <xdr:rowOff>23421</xdr:rowOff>
    </xdr:to>
    <xdr:pic>
      <xdr:nvPicPr>
        <xdr:cNvPr id="4" name="3 Imagen"/>
        <xdr:cNvPicPr>
          <a:picLocks noChangeAspect="1"/>
        </xdr:cNvPicPr>
      </xdr:nvPicPr>
      <xdr:blipFill>
        <a:blip xmlns:r="http://schemas.openxmlformats.org/officeDocument/2006/relationships" r:embed="rId4"/>
        <a:stretch>
          <a:fillRect/>
        </a:stretch>
      </xdr:blipFill>
      <xdr:spPr>
        <a:xfrm>
          <a:off x="190501" y="15811500"/>
          <a:ext cx="7223760" cy="4214421"/>
        </a:xfrm>
        <a:prstGeom prst="rect">
          <a:avLst/>
        </a:prstGeom>
      </xdr:spPr>
    </xdr:pic>
    <xdr:clientData/>
  </xdr:twoCellAnchor>
  <xdr:twoCellAnchor>
    <xdr:from>
      <xdr:col>9</xdr:col>
      <xdr:colOff>213360</xdr:colOff>
      <xdr:row>82</xdr:row>
      <xdr:rowOff>152400</xdr:rowOff>
    </xdr:from>
    <xdr:to>
      <xdr:col>9</xdr:col>
      <xdr:colOff>693420</xdr:colOff>
      <xdr:row>105</xdr:row>
      <xdr:rowOff>68580</xdr:rowOff>
    </xdr:to>
    <xdr:sp macro="" textlink="">
      <xdr:nvSpPr>
        <xdr:cNvPr id="5" name="4 Cerrar llave"/>
        <xdr:cNvSpPr/>
      </xdr:nvSpPr>
      <xdr:spPr>
        <a:xfrm>
          <a:off x="7414260" y="15773400"/>
          <a:ext cx="480060" cy="4297680"/>
        </a:xfrm>
        <a:prstGeom prst="rightBrace">
          <a:avLst>
            <a:gd name="adj1" fmla="val 8333"/>
            <a:gd name="adj2" fmla="val 47518"/>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editAs="oneCell">
    <xdr:from>
      <xdr:col>1</xdr:col>
      <xdr:colOff>0</xdr:colOff>
      <xdr:row>109</xdr:row>
      <xdr:rowOff>0</xdr:rowOff>
    </xdr:from>
    <xdr:to>
      <xdr:col>8</xdr:col>
      <xdr:colOff>449580</xdr:colOff>
      <xdr:row>131</xdr:row>
      <xdr:rowOff>59880</xdr:rowOff>
    </xdr:to>
    <xdr:pic>
      <xdr:nvPicPr>
        <xdr:cNvPr id="7" name="6 Imagen"/>
        <xdr:cNvPicPr>
          <a:picLocks noChangeAspect="1"/>
        </xdr:cNvPicPr>
      </xdr:nvPicPr>
      <xdr:blipFill>
        <a:blip xmlns:r="http://schemas.openxmlformats.org/officeDocument/2006/relationships" r:embed="rId5"/>
        <a:stretch>
          <a:fillRect/>
        </a:stretch>
      </xdr:blipFill>
      <xdr:spPr>
        <a:xfrm>
          <a:off x="190500" y="20764500"/>
          <a:ext cx="6583680" cy="4250880"/>
        </a:xfrm>
        <a:prstGeom prst="rect">
          <a:avLst/>
        </a:prstGeom>
      </xdr:spPr>
    </xdr:pic>
    <xdr:clientData/>
  </xdr:twoCellAnchor>
  <xdr:twoCellAnchor editAs="oneCell">
    <xdr:from>
      <xdr:col>1</xdr:col>
      <xdr:colOff>0</xdr:colOff>
      <xdr:row>133</xdr:row>
      <xdr:rowOff>1</xdr:rowOff>
    </xdr:from>
    <xdr:to>
      <xdr:col>9</xdr:col>
      <xdr:colOff>634423</xdr:colOff>
      <xdr:row>157</xdr:row>
      <xdr:rowOff>152401</xdr:rowOff>
    </xdr:to>
    <xdr:pic>
      <xdr:nvPicPr>
        <xdr:cNvPr id="6" name="5 Imagen"/>
        <xdr:cNvPicPr>
          <a:picLocks noChangeAspect="1"/>
        </xdr:cNvPicPr>
      </xdr:nvPicPr>
      <xdr:blipFill>
        <a:blip xmlns:r="http://schemas.openxmlformats.org/officeDocument/2006/relationships" r:embed="rId6"/>
        <a:stretch>
          <a:fillRect/>
        </a:stretch>
      </xdr:blipFill>
      <xdr:spPr>
        <a:xfrm>
          <a:off x="190500" y="25336501"/>
          <a:ext cx="7644823" cy="4724400"/>
        </a:xfrm>
        <a:prstGeom prst="rect">
          <a:avLst/>
        </a:prstGeom>
      </xdr:spPr>
    </xdr:pic>
    <xdr:clientData/>
  </xdr:twoCellAnchor>
  <xdr:twoCellAnchor editAs="oneCell">
    <xdr:from>
      <xdr:col>1</xdr:col>
      <xdr:colOff>1</xdr:colOff>
      <xdr:row>159</xdr:row>
      <xdr:rowOff>1</xdr:rowOff>
    </xdr:from>
    <xdr:to>
      <xdr:col>6</xdr:col>
      <xdr:colOff>358141</xdr:colOff>
      <xdr:row>174</xdr:row>
      <xdr:rowOff>138739</xdr:rowOff>
    </xdr:to>
    <xdr:pic>
      <xdr:nvPicPr>
        <xdr:cNvPr id="8" name="7 Imagen"/>
        <xdr:cNvPicPr>
          <a:picLocks noChangeAspect="1"/>
        </xdr:cNvPicPr>
      </xdr:nvPicPr>
      <xdr:blipFill>
        <a:blip xmlns:r="http://schemas.openxmlformats.org/officeDocument/2006/relationships" r:embed="rId7"/>
        <a:stretch>
          <a:fillRect/>
        </a:stretch>
      </xdr:blipFill>
      <xdr:spPr>
        <a:xfrm>
          <a:off x="190501" y="30289501"/>
          <a:ext cx="4739640" cy="2996238"/>
        </a:xfrm>
        <a:prstGeom prst="rect">
          <a:avLst/>
        </a:prstGeom>
      </xdr:spPr>
    </xdr:pic>
    <xdr:clientData/>
  </xdr:twoCellAnchor>
  <xdr:twoCellAnchor editAs="oneCell">
    <xdr:from>
      <xdr:col>1</xdr:col>
      <xdr:colOff>1</xdr:colOff>
      <xdr:row>178</xdr:row>
      <xdr:rowOff>1</xdr:rowOff>
    </xdr:from>
    <xdr:to>
      <xdr:col>9</xdr:col>
      <xdr:colOff>670561</xdr:colOff>
      <xdr:row>183</xdr:row>
      <xdr:rowOff>176157</xdr:rowOff>
    </xdr:to>
    <xdr:pic>
      <xdr:nvPicPr>
        <xdr:cNvPr id="10" name="9 Imagen"/>
        <xdr:cNvPicPr>
          <a:picLocks noChangeAspect="1"/>
        </xdr:cNvPicPr>
      </xdr:nvPicPr>
      <xdr:blipFill>
        <a:blip xmlns:r="http://schemas.openxmlformats.org/officeDocument/2006/relationships" r:embed="rId8"/>
        <a:stretch>
          <a:fillRect/>
        </a:stretch>
      </xdr:blipFill>
      <xdr:spPr>
        <a:xfrm>
          <a:off x="190501" y="33909001"/>
          <a:ext cx="7680960" cy="1128656"/>
        </a:xfrm>
        <a:prstGeom prst="rect">
          <a:avLst/>
        </a:prstGeom>
      </xdr:spPr>
    </xdr:pic>
    <xdr:clientData/>
  </xdr:twoCellAnchor>
  <xdr:twoCellAnchor editAs="oneCell">
    <xdr:from>
      <xdr:col>1</xdr:col>
      <xdr:colOff>1</xdr:colOff>
      <xdr:row>185</xdr:row>
      <xdr:rowOff>1</xdr:rowOff>
    </xdr:from>
    <xdr:to>
      <xdr:col>10</xdr:col>
      <xdr:colOff>289561</xdr:colOff>
      <xdr:row>203</xdr:row>
      <xdr:rowOff>6145</xdr:rowOff>
    </xdr:to>
    <xdr:pic>
      <xdr:nvPicPr>
        <xdr:cNvPr id="11" name="10 Imagen"/>
        <xdr:cNvPicPr>
          <a:picLocks noChangeAspect="1"/>
        </xdr:cNvPicPr>
      </xdr:nvPicPr>
      <xdr:blipFill>
        <a:blip xmlns:r="http://schemas.openxmlformats.org/officeDocument/2006/relationships" r:embed="rId9"/>
        <a:stretch>
          <a:fillRect/>
        </a:stretch>
      </xdr:blipFill>
      <xdr:spPr>
        <a:xfrm>
          <a:off x="190501" y="35242501"/>
          <a:ext cx="8176260" cy="3435144"/>
        </a:xfrm>
        <a:prstGeom prst="rect">
          <a:avLst/>
        </a:prstGeom>
      </xdr:spPr>
    </xdr:pic>
    <xdr:clientData/>
  </xdr:twoCellAnchor>
  <xdr:twoCellAnchor editAs="oneCell">
    <xdr:from>
      <xdr:col>1</xdr:col>
      <xdr:colOff>219790</xdr:colOff>
      <xdr:row>203</xdr:row>
      <xdr:rowOff>152400</xdr:rowOff>
    </xdr:from>
    <xdr:to>
      <xdr:col>10</xdr:col>
      <xdr:colOff>774992</xdr:colOff>
      <xdr:row>206</xdr:row>
      <xdr:rowOff>91440</xdr:rowOff>
    </xdr:to>
    <xdr:pic>
      <xdr:nvPicPr>
        <xdr:cNvPr id="12" name="11 Imagen"/>
        <xdr:cNvPicPr>
          <a:picLocks noChangeAspect="1"/>
        </xdr:cNvPicPr>
      </xdr:nvPicPr>
      <xdr:blipFill>
        <a:blip xmlns:r="http://schemas.openxmlformats.org/officeDocument/2006/relationships" r:embed="rId10"/>
        <a:stretch>
          <a:fillRect/>
        </a:stretch>
      </xdr:blipFill>
      <xdr:spPr>
        <a:xfrm>
          <a:off x="410290" y="38823900"/>
          <a:ext cx="8441902" cy="510540"/>
        </a:xfrm>
        <a:prstGeom prst="rect">
          <a:avLst/>
        </a:prstGeom>
      </xdr:spPr>
    </xdr:pic>
    <xdr:clientData/>
  </xdr:twoCellAnchor>
  <xdr:twoCellAnchor editAs="oneCell">
    <xdr:from>
      <xdr:col>1</xdr:col>
      <xdr:colOff>1</xdr:colOff>
      <xdr:row>208</xdr:row>
      <xdr:rowOff>0</xdr:rowOff>
    </xdr:from>
    <xdr:to>
      <xdr:col>11</xdr:col>
      <xdr:colOff>224137</xdr:colOff>
      <xdr:row>226</xdr:row>
      <xdr:rowOff>22860</xdr:rowOff>
    </xdr:to>
    <xdr:pic>
      <xdr:nvPicPr>
        <xdr:cNvPr id="13" name="12 Imagen"/>
        <xdr:cNvPicPr>
          <a:picLocks noChangeAspect="1"/>
        </xdr:cNvPicPr>
      </xdr:nvPicPr>
      <xdr:blipFill>
        <a:blip xmlns:r="http://schemas.openxmlformats.org/officeDocument/2006/relationships" r:embed="rId11"/>
        <a:stretch>
          <a:fillRect/>
        </a:stretch>
      </xdr:blipFill>
      <xdr:spPr>
        <a:xfrm>
          <a:off x="190501" y="39624000"/>
          <a:ext cx="8987136" cy="3451860"/>
        </a:xfrm>
        <a:prstGeom prst="rect">
          <a:avLst/>
        </a:prstGeom>
      </xdr:spPr>
    </xdr:pic>
    <xdr:clientData/>
  </xdr:twoCellAnchor>
  <xdr:twoCellAnchor editAs="oneCell">
    <xdr:from>
      <xdr:col>1</xdr:col>
      <xdr:colOff>1</xdr:colOff>
      <xdr:row>227</xdr:row>
      <xdr:rowOff>0</xdr:rowOff>
    </xdr:from>
    <xdr:to>
      <xdr:col>11</xdr:col>
      <xdr:colOff>822961</xdr:colOff>
      <xdr:row>243</xdr:row>
      <xdr:rowOff>13955</xdr:rowOff>
    </xdr:to>
    <xdr:pic>
      <xdr:nvPicPr>
        <xdr:cNvPr id="14" name="13 Imagen"/>
        <xdr:cNvPicPr>
          <a:picLocks noChangeAspect="1"/>
        </xdr:cNvPicPr>
      </xdr:nvPicPr>
      <xdr:blipFill>
        <a:blip xmlns:r="http://schemas.openxmlformats.org/officeDocument/2006/relationships" r:embed="rId12"/>
        <a:stretch>
          <a:fillRect/>
        </a:stretch>
      </xdr:blipFill>
      <xdr:spPr>
        <a:xfrm>
          <a:off x="190501" y="43243500"/>
          <a:ext cx="9585960" cy="3061955"/>
        </a:xfrm>
        <a:prstGeom prst="rect">
          <a:avLst/>
        </a:prstGeom>
      </xdr:spPr>
    </xdr:pic>
    <xdr:clientData/>
  </xdr:twoCellAnchor>
  <xdr:twoCellAnchor editAs="oneCell">
    <xdr:from>
      <xdr:col>1</xdr:col>
      <xdr:colOff>0</xdr:colOff>
      <xdr:row>244</xdr:row>
      <xdr:rowOff>1</xdr:rowOff>
    </xdr:from>
    <xdr:to>
      <xdr:col>11</xdr:col>
      <xdr:colOff>198119</xdr:colOff>
      <xdr:row>266</xdr:row>
      <xdr:rowOff>170743</xdr:rowOff>
    </xdr:to>
    <xdr:pic>
      <xdr:nvPicPr>
        <xdr:cNvPr id="15" name="14 Imagen"/>
        <xdr:cNvPicPr>
          <a:picLocks noChangeAspect="1"/>
        </xdr:cNvPicPr>
      </xdr:nvPicPr>
      <xdr:blipFill>
        <a:blip xmlns:r="http://schemas.openxmlformats.org/officeDocument/2006/relationships" r:embed="rId13"/>
        <a:stretch>
          <a:fillRect/>
        </a:stretch>
      </xdr:blipFill>
      <xdr:spPr>
        <a:xfrm>
          <a:off x="190500" y="46482001"/>
          <a:ext cx="8961119" cy="4361742"/>
        </a:xfrm>
        <a:prstGeom prst="rect">
          <a:avLst/>
        </a:prstGeom>
      </xdr:spPr>
    </xdr:pic>
    <xdr:clientData/>
  </xdr:twoCellAnchor>
  <xdr:twoCellAnchor editAs="oneCell">
    <xdr:from>
      <xdr:col>1</xdr:col>
      <xdr:colOff>1</xdr:colOff>
      <xdr:row>268</xdr:row>
      <xdr:rowOff>0</xdr:rowOff>
    </xdr:from>
    <xdr:to>
      <xdr:col>11</xdr:col>
      <xdr:colOff>434341</xdr:colOff>
      <xdr:row>282</xdr:row>
      <xdr:rowOff>108892</xdr:rowOff>
    </xdr:to>
    <xdr:pic>
      <xdr:nvPicPr>
        <xdr:cNvPr id="16" name="15 Imagen"/>
        <xdr:cNvPicPr>
          <a:picLocks noChangeAspect="1"/>
        </xdr:cNvPicPr>
      </xdr:nvPicPr>
      <xdr:blipFill>
        <a:blip xmlns:r="http://schemas.openxmlformats.org/officeDocument/2006/relationships" r:embed="rId14"/>
        <a:stretch>
          <a:fillRect/>
        </a:stretch>
      </xdr:blipFill>
      <xdr:spPr>
        <a:xfrm>
          <a:off x="190501" y="51054000"/>
          <a:ext cx="9197340" cy="2775892"/>
        </a:xfrm>
        <a:prstGeom prst="rect">
          <a:avLst/>
        </a:prstGeom>
      </xdr:spPr>
    </xdr:pic>
    <xdr:clientData/>
  </xdr:twoCellAnchor>
  <xdr:twoCellAnchor editAs="oneCell">
    <xdr:from>
      <xdr:col>1</xdr:col>
      <xdr:colOff>0</xdr:colOff>
      <xdr:row>283</xdr:row>
      <xdr:rowOff>0</xdr:rowOff>
    </xdr:from>
    <xdr:to>
      <xdr:col>6</xdr:col>
      <xdr:colOff>314980</xdr:colOff>
      <xdr:row>311</xdr:row>
      <xdr:rowOff>67429</xdr:rowOff>
    </xdr:to>
    <xdr:pic>
      <xdr:nvPicPr>
        <xdr:cNvPr id="17" name="16 Imagen"/>
        <xdr:cNvPicPr>
          <a:picLocks noChangeAspect="1"/>
        </xdr:cNvPicPr>
      </xdr:nvPicPr>
      <xdr:blipFill>
        <a:blip xmlns:r="http://schemas.openxmlformats.org/officeDocument/2006/relationships" r:embed="rId15"/>
        <a:stretch>
          <a:fillRect/>
        </a:stretch>
      </xdr:blipFill>
      <xdr:spPr>
        <a:xfrm>
          <a:off x="190500" y="53911500"/>
          <a:ext cx="4696480" cy="5401429"/>
        </a:xfrm>
        <a:prstGeom prst="rect">
          <a:avLst/>
        </a:prstGeom>
      </xdr:spPr>
    </xdr:pic>
    <xdr:clientData/>
  </xdr:twoCellAnchor>
  <xdr:twoCellAnchor editAs="oneCell">
    <xdr:from>
      <xdr:col>1</xdr:col>
      <xdr:colOff>1</xdr:colOff>
      <xdr:row>313</xdr:row>
      <xdr:rowOff>0</xdr:rowOff>
    </xdr:from>
    <xdr:to>
      <xdr:col>10</xdr:col>
      <xdr:colOff>411481</xdr:colOff>
      <xdr:row>337</xdr:row>
      <xdr:rowOff>16212</xdr:rowOff>
    </xdr:to>
    <xdr:pic>
      <xdr:nvPicPr>
        <xdr:cNvPr id="18" name="17 Imagen"/>
        <xdr:cNvPicPr>
          <a:picLocks noChangeAspect="1"/>
        </xdr:cNvPicPr>
      </xdr:nvPicPr>
      <xdr:blipFill>
        <a:blip xmlns:r="http://schemas.openxmlformats.org/officeDocument/2006/relationships" r:embed="rId16"/>
        <a:stretch>
          <a:fillRect/>
        </a:stretch>
      </xdr:blipFill>
      <xdr:spPr>
        <a:xfrm>
          <a:off x="190501" y="59626500"/>
          <a:ext cx="8298180" cy="4588212"/>
        </a:xfrm>
        <a:prstGeom prst="rect">
          <a:avLst/>
        </a:prstGeom>
      </xdr:spPr>
    </xdr:pic>
    <xdr:clientData/>
  </xdr:twoCellAnchor>
  <xdr:twoCellAnchor editAs="oneCell">
    <xdr:from>
      <xdr:col>1</xdr:col>
      <xdr:colOff>0</xdr:colOff>
      <xdr:row>341</xdr:row>
      <xdr:rowOff>0</xdr:rowOff>
    </xdr:from>
    <xdr:to>
      <xdr:col>12</xdr:col>
      <xdr:colOff>429772</xdr:colOff>
      <xdr:row>356</xdr:row>
      <xdr:rowOff>144780</xdr:rowOff>
    </xdr:to>
    <xdr:pic>
      <xdr:nvPicPr>
        <xdr:cNvPr id="19" name="18 Imagen"/>
        <xdr:cNvPicPr>
          <a:picLocks noChangeAspect="1"/>
        </xdr:cNvPicPr>
      </xdr:nvPicPr>
      <xdr:blipFill>
        <a:blip xmlns:r="http://schemas.openxmlformats.org/officeDocument/2006/relationships" r:embed="rId17"/>
        <a:stretch>
          <a:fillRect/>
        </a:stretch>
      </xdr:blipFill>
      <xdr:spPr>
        <a:xfrm>
          <a:off x="190500" y="64960500"/>
          <a:ext cx="10069072" cy="3002280"/>
        </a:xfrm>
        <a:prstGeom prst="rect">
          <a:avLst/>
        </a:prstGeom>
      </xdr:spPr>
    </xdr:pic>
    <xdr:clientData/>
  </xdr:twoCellAnchor>
  <xdr:twoCellAnchor editAs="oneCell">
    <xdr:from>
      <xdr:col>1</xdr:col>
      <xdr:colOff>0</xdr:colOff>
      <xdr:row>360</xdr:row>
      <xdr:rowOff>0</xdr:rowOff>
    </xdr:from>
    <xdr:to>
      <xdr:col>13</xdr:col>
      <xdr:colOff>156844</xdr:colOff>
      <xdr:row>383</xdr:row>
      <xdr:rowOff>99060</xdr:rowOff>
    </xdr:to>
    <xdr:pic>
      <xdr:nvPicPr>
        <xdr:cNvPr id="20" name="19 Imagen"/>
        <xdr:cNvPicPr>
          <a:picLocks noChangeAspect="1"/>
        </xdr:cNvPicPr>
      </xdr:nvPicPr>
      <xdr:blipFill>
        <a:blip xmlns:r="http://schemas.openxmlformats.org/officeDocument/2006/relationships" r:embed="rId18"/>
        <a:stretch>
          <a:fillRect/>
        </a:stretch>
      </xdr:blipFill>
      <xdr:spPr>
        <a:xfrm>
          <a:off x="190500" y="68580000"/>
          <a:ext cx="10672444" cy="4480560"/>
        </a:xfrm>
        <a:prstGeom prst="rect">
          <a:avLst/>
        </a:prstGeom>
      </xdr:spPr>
    </xdr:pic>
    <xdr:clientData/>
  </xdr:twoCellAnchor>
  <xdr:twoCellAnchor editAs="oneCell">
    <xdr:from>
      <xdr:col>1</xdr:col>
      <xdr:colOff>0</xdr:colOff>
      <xdr:row>387</xdr:row>
      <xdr:rowOff>0</xdr:rowOff>
    </xdr:from>
    <xdr:to>
      <xdr:col>14</xdr:col>
      <xdr:colOff>697012</xdr:colOff>
      <xdr:row>393</xdr:row>
      <xdr:rowOff>160</xdr:rowOff>
    </xdr:to>
    <xdr:pic>
      <xdr:nvPicPr>
        <xdr:cNvPr id="21" name="20 Imagen"/>
        <xdr:cNvPicPr>
          <a:picLocks noChangeAspect="1"/>
        </xdr:cNvPicPr>
      </xdr:nvPicPr>
      <xdr:blipFill>
        <a:blip xmlns:r="http://schemas.openxmlformats.org/officeDocument/2006/relationships" r:embed="rId19"/>
        <a:stretch>
          <a:fillRect/>
        </a:stretch>
      </xdr:blipFill>
      <xdr:spPr>
        <a:xfrm>
          <a:off x="190500" y="73723500"/>
          <a:ext cx="12088912" cy="1143160"/>
        </a:xfrm>
        <a:prstGeom prst="rect">
          <a:avLst/>
        </a:prstGeom>
      </xdr:spPr>
    </xdr:pic>
    <xdr:clientData/>
  </xdr:twoCellAnchor>
  <xdr:twoCellAnchor editAs="oneCell">
    <xdr:from>
      <xdr:col>1</xdr:col>
      <xdr:colOff>175260</xdr:colOff>
      <xdr:row>394</xdr:row>
      <xdr:rowOff>76200</xdr:rowOff>
    </xdr:from>
    <xdr:to>
      <xdr:col>10</xdr:col>
      <xdr:colOff>510540</xdr:colOff>
      <xdr:row>412</xdr:row>
      <xdr:rowOff>121188</xdr:rowOff>
    </xdr:to>
    <xdr:pic>
      <xdr:nvPicPr>
        <xdr:cNvPr id="22" name="21 Imagen"/>
        <xdr:cNvPicPr>
          <a:picLocks noChangeAspect="1"/>
        </xdr:cNvPicPr>
      </xdr:nvPicPr>
      <xdr:blipFill>
        <a:blip xmlns:r="http://schemas.openxmlformats.org/officeDocument/2006/relationships" r:embed="rId20"/>
        <a:stretch>
          <a:fillRect/>
        </a:stretch>
      </xdr:blipFill>
      <xdr:spPr>
        <a:xfrm>
          <a:off x="365760" y="75133200"/>
          <a:ext cx="8221980" cy="3473988"/>
        </a:xfrm>
        <a:prstGeom prst="rect">
          <a:avLst/>
        </a:prstGeom>
      </xdr:spPr>
    </xdr:pic>
    <xdr:clientData/>
  </xdr:twoCellAnchor>
  <xdr:twoCellAnchor editAs="oneCell">
    <xdr:from>
      <xdr:col>1</xdr:col>
      <xdr:colOff>99060</xdr:colOff>
      <xdr:row>414</xdr:row>
      <xdr:rowOff>114300</xdr:rowOff>
    </xdr:from>
    <xdr:to>
      <xdr:col>14</xdr:col>
      <xdr:colOff>167334</xdr:colOff>
      <xdr:row>421</xdr:row>
      <xdr:rowOff>95433</xdr:rowOff>
    </xdr:to>
    <xdr:pic>
      <xdr:nvPicPr>
        <xdr:cNvPr id="23" name="22 Imagen"/>
        <xdr:cNvPicPr>
          <a:picLocks noChangeAspect="1"/>
        </xdr:cNvPicPr>
      </xdr:nvPicPr>
      <xdr:blipFill>
        <a:blip xmlns:r="http://schemas.openxmlformats.org/officeDocument/2006/relationships" r:embed="rId21"/>
        <a:stretch>
          <a:fillRect/>
        </a:stretch>
      </xdr:blipFill>
      <xdr:spPr>
        <a:xfrm>
          <a:off x="289560" y="78981300"/>
          <a:ext cx="11460174" cy="1314633"/>
        </a:xfrm>
        <a:prstGeom prst="rect">
          <a:avLst/>
        </a:prstGeom>
      </xdr:spPr>
    </xdr:pic>
    <xdr:clientData/>
  </xdr:twoCellAnchor>
  <xdr:twoCellAnchor editAs="oneCell">
    <xdr:from>
      <xdr:col>1</xdr:col>
      <xdr:colOff>0</xdr:colOff>
      <xdr:row>423</xdr:row>
      <xdr:rowOff>0</xdr:rowOff>
    </xdr:from>
    <xdr:to>
      <xdr:col>10</xdr:col>
      <xdr:colOff>134469</xdr:colOff>
      <xdr:row>457</xdr:row>
      <xdr:rowOff>162852</xdr:rowOff>
    </xdr:to>
    <xdr:pic>
      <xdr:nvPicPr>
        <xdr:cNvPr id="24" name="23 Imagen"/>
        <xdr:cNvPicPr>
          <a:picLocks noChangeAspect="1"/>
        </xdr:cNvPicPr>
      </xdr:nvPicPr>
      <xdr:blipFill>
        <a:blip xmlns:r="http://schemas.openxmlformats.org/officeDocument/2006/relationships" r:embed="rId22"/>
        <a:stretch>
          <a:fillRect/>
        </a:stretch>
      </xdr:blipFill>
      <xdr:spPr>
        <a:xfrm>
          <a:off x="190500" y="80581500"/>
          <a:ext cx="8021169" cy="6639852"/>
        </a:xfrm>
        <a:prstGeom prst="rect">
          <a:avLst/>
        </a:prstGeom>
      </xdr:spPr>
    </xdr:pic>
    <xdr:clientData/>
  </xdr:twoCellAnchor>
  <xdr:twoCellAnchor editAs="oneCell">
    <xdr:from>
      <xdr:col>1</xdr:col>
      <xdr:colOff>0</xdr:colOff>
      <xdr:row>459</xdr:row>
      <xdr:rowOff>0</xdr:rowOff>
    </xdr:from>
    <xdr:to>
      <xdr:col>13</xdr:col>
      <xdr:colOff>335280</xdr:colOff>
      <xdr:row>494</xdr:row>
      <xdr:rowOff>172697</xdr:rowOff>
    </xdr:to>
    <xdr:pic>
      <xdr:nvPicPr>
        <xdr:cNvPr id="25" name="24 Imagen"/>
        <xdr:cNvPicPr>
          <a:picLocks noChangeAspect="1"/>
        </xdr:cNvPicPr>
      </xdr:nvPicPr>
      <xdr:blipFill>
        <a:blip xmlns:r="http://schemas.openxmlformats.org/officeDocument/2006/relationships" r:embed="rId23"/>
        <a:stretch>
          <a:fillRect/>
        </a:stretch>
      </xdr:blipFill>
      <xdr:spPr>
        <a:xfrm>
          <a:off x="190500" y="87439500"/>
          <a:ext cx="10850880" cy="6840197"/>
        </a:xfrm>
        <a:prstGeom prst="rect">
          <a:avLst/>
        </a:prstGeom>
      </xdr:spPr>
    </xdr:pic>
    <xdr:clientData/>
  </xdr:twoCellAnchor>
  <xdr:twoCellAnchor editAs="oneCell">
    <xdr:from>
      <xdr:col>1</xdr:col>
      <xdr:colOff>0</xdr:colOff>
      <xdr:row>498</xdr:row>
      <xdr:rowOff>0</xdr:rowOff>
    </xdr:from>
    <xdr:to>
      <xdr:col>17</xdr:col>
      <xdr:colOff>106747</xdr:colOff>
      <xdr:row>509</xdr:row>
      <xdr:rowOff>66977</xdr:rowOff>
    </xdr:to>
    <xdr:pic>
      <xdr:nvPicPr>
        <xdr:cNvPr id="26" name="25 Imagen"/>
        <xdr:cNvPicPr>
          <a:picLocks noChangeAspect="1"/>
        </xdr:cNvPicPr>
      </xdr:nvPicPr>
      <xdr:blipFill>
        <a:blip xmlns:r="http://schemas.openxmlformats.org/officeDocument/2006/relationships" r:embed="rId24"/>
        <a:stretch>
          <a:fillRect/>
        </a:stretch>
      </xdr:blipFill>
      <xdr:spPr>
        <a:xfrm>
          <a:off x="190500" y="94869000"/>
          <a:ext cx="14127547" cy="2162477"/>
        </a:xfrm>
        <a:prstGeom prst="rect">
          <a:avLst/>
        </a:prstGeom>
      </xdr:spPr>
    </xdr:pic>
    <xdr:clientData/>
  </xdr:twoCellAnchor>
  <xdr:twoCellAnchor editAs="oneCell">
    <xdr:from>
      <xdr:col>1</xdr:col>
      <xdr:colOff>1</xdr:colOff>
      <xdr:row>516</xdr:row>
      <xdr:rowOff>1</xdr:rowOff>
    </xdr:from>
    <xdr:to>
      <xdr:col>15</xdr:col>
      <xdr:colOff>129540</xdr:colOff>
      <xdr:row>522</xdr:row>
      <xdr:rowOff>13788</xdr:rowOff>
    </xdr:to>
    <xdr:pic>
      <xdr:nvPicPr>
        <xdr:cNvPr id="27" name="26 Imagen"/>
        <xdr:cNvPicPr>
          <a:picLocks noChangeAspect="1"/>
        </xdr:cNvPicPr>
      </xdr:nvPicPr>
      <xdr:blipFill>
        <a:blip xmlns:r="http://schemas.openxmlformats.org/officeDocument/2006/relationships" r:embed="rId25"/>
        <a:stretch>
          <a:fillRect/>
        </a:stretch>
      </xdr:blipFill>
      <xdr:spPr>
        <a:xfrm>
          <a:off x="190501" y="98298001"/>
          <a:ext cx="12397739" cy="1156787"/>
        </a:xfrm>
        <a:prstGeom prst="rect">
          <a:avLst/>
        </a:prstGeom>
      </xdr:spPr>
    </xdr:pic>
    <xdr:clientData/>
  </xdr:twoCellAnchor>
  <xdr:twoCellAnchor editAs="oneCell">
    <xdr:from>
      <xdr:col>1</xdr:col>
      <xdr:colOff>0</xdr:colOff>
      <xdr:row>524</xdr:row>
      <xdr:rowOff>0</xdr:rowOff>
    </xdr:from>
    <xdr:to>
      <xdr:col>15</xdr:col>
      <xdr:colOff>7620</xdr:colOff>
      <xdr:row>533</xdr:row>
      <xdr:rowOff>51086</xdr:rowOff>
    </xdr:to>
    <xdr:pic>
      <xdr:nvPicPr>
        <xdr:cNvPr id="28" name="27 Imagen"/>
        <xdr:cNvPicPr>
          <a:picLocks noChangeAspect="1"/>
        </xdr:cNvPicPr>
      </xdr:nvPicPr>
      <xdr:blipFill>
        <a:blip xmlns:r="http://schemas.openxmlformats.org/officeDocument/2006/relationships" r:embed="rId26"/>
        <a:stretch>
          <a:fillRect/>
        </a:stretch>
      </xdr:blipFill>
      <xdr:spPr>
        <a:xfrm>
          <a:off x="190500" y="99822000"/>
          <a:ext cx="12275820" cy="1765586"/>
        </a:xfrm>
        <a:prstGeom prst="rect">
          <a:avLst/>
        </a:prstGeom>
      </xdr:spPr>
    </xdr:pic>
    <xdr:clientData/>
  </xdr:twoCellAnchor>
  <xdr:twoCellAnchor editAs="oneCell">
    <xdr:from>
      <xdr:col>1</xdr:col>
      <xdr:colOff>45721</xdr:colOff>
      <xdr:row>536</xdr:row>
      <xdr:rowOff>76200</xdr:rowOff>
    </xdr:from>
    <xdr:to>
      <xdr:col>15</xdr:col>
      <xdr:colOff>137161</xdr:colOff>
      <xdr:row>543</xdr:row>
      <xdr:rowOff>95455</xdr:rowOff>
    </xdr:to>
    <xdr:pic>
      <xdr:nvPicPr>
        <xdr:cNvPr id="29" name="28 Imagen"/>
        <xdr:cNvPicPr>
          <a:picLocks noChangeAspect="1"/>
        </xdr:cNvPicPr>
      </xdr:nvPicPr>
      <xdr:blipFill>
        <a:blip xmlns:r="http://schemas.openxmlformats.org/officeDocument/2006/relationships" r:embed="rId27"/>
        <a:stretch>
          <a:fillRect/>
        </a:stretch>
      </xdr:blipFill>
      <xdr:spPr>
        <a:xfrm>
          <a:off x="236221" y="102184200"/>
          <a:ext cx="12359640" cy="1352755"/>
        </a:xfrm>
        <a:prstGeom prst="rect">
          <a:avLst/>
        </a:prstGeom>
      </xdr:spPr>
    </xdr:pic>
    <xdr:clientData/>
  </xdr:twoCellAnchor>
  <xdr:twoCellAnchor editAs="oneCell">
    <xdr:from>
      <xdr:col>1</xdr:col>
      <xdr:colOff>0</xdr:colOff>
      <xdr:row>547</xdr:row>
      <xdr:rowOff>0</xdr:rowOff>
    </xdr:from>
    <xdr:to>
      <xdr:col>15</xdr:col>
      <xdr:colOff>175260</xdr:colOff>
      <xdr:row>554</xdr:row>
      <xdr:rowOff>112425</xdr:rowOff>
    </xdr:to>
    <xdr:pic>
      <xdr:nvPicPr>
        <xdr:cNvPr id="30" name="29 Imagen"/>
        <xdr:cNvPicPr>
          <a:picLocks noChangeAspect="1"/>
        </xdr:cNvPicPr>
      </xdr:nvPicPr>
      <xdr:blipFill>
        <a:blip xmlns:r="http://schemas.openxmlformats.org/officeDocument/2006/relationships" r:embed="rId28"/>
        <a:stretch>
          <a:fillRect/>
        </a:stretch>
      </xdr:blipFill>
      <xdr:spPr>
        <a:xfrm>
          <a:off x="190500" y="104203500"/>
          <a:ext cx="12443460" cy="1445925"/>
        </a:xfrm>
        <a:prstGeom prst="rect">
          <a:avLst/>
        </a:prstGeom>
      </xdr:spPr>
    </xdr:pic>
    <xdr:clientData/>
  </xdr:twoCellAnchor>
  <xdr:twoCellAnchor editAs="oneCell">
    <xdr:from>
      <xdr:col>1</xdr:col>
      <xdr:colOff>1</xdr:colOff>
      <xdr:row>558</xdr:row>
      <xdr:rowOff>0</xdr:rowOff>
    </xdr:from>
    <xdr:to>
      <xdr:col>15</xdr:col>
      <xdr:colOff>419101</xdr:colOff>
      <xdr:row>569</xdr:row>
      <xdr:rowOff>112487</xdr:rowOff>
    </xdr:to>
    <xdr:pic>
      <xdr:nvPicPr>
        <xdr:cNvPr id="31" name="30 Imagen"/>
        <xdr:cNvPicPr>
          <a:picLocks noChangeAspect="1"/>
        </xdr:cNvPicPr>
      </xdr:nvPicPr>
      <xdr:blipFill>
        <a:blip xmlns:r="http://schemas.openxmlformats.org/officeDocument/2006/relationships" r:embed="rId29"/>
        <a:stretch>
          <a:fillRect/>
        </a:stretch>
      </xdr:blipFill>
      <xdr:spPr>
        <a:xfrm>
          <a:off x="190501" y="106299000"/>
          <a:ext cx="12687300" cy="2207987"/>
        </a:xfrm>
        <a:prstGeom prst="rect">
          <a:avLst/>
        </a:prstGeom>
      </xdr:spPr>
    </xdr:pic>
    <xdr:clientData/>
  </xdr:twoCellAnchor>
  <xdr:twoCellAnchor editAs="oneCell">
    <xdr:from>
      <xdr:col>1</xdr:col>
      <xdr:colOff>0</xdr:colOff>
      <xdr:row>572</xdr:row>
      <xdr:rowOff>0</xdr:rowOff>
    </xdr:from>
    <xdr:to>
      <xdr:col>12</xdr:col>
      <xdr:colOff>381000</xdr:colOff>
      <xdr:row>588</xdr:row>
      <xdr:rowOff>179097</xdr:rowOff>
    </xdr:to>
    <xdr:pic>
      <xdr:nvPicPr>
        <xdr:cNvPr id="32" name="31 Imagen"/>
        <xdr:cNvPicPr>
          <a:picLocks noChangeAspect="1"/>
        </xdr:cNvPicPr>
      </xdr:nvPicPr>
      <xdr:blipFill>
        <a:blip xmlns:r="http://schemas.openxmlformats.org/officeDocument/2006/relationships" r:embed="rId30"/>
        <a:stretch>
          <a:fillRect/>
        </a:stretch>
      </xdr:blipFill>
      <xdr:spPr>
        <a:xfrm>
          <a:off x="190500" y="108966000"/>
          <a:ext cx="10020300" cy="3227097"/>
        </a:xfrm>
        <a:prstGeom prst="rect">
          <a:avLst/>
        </a:prstGeom>
      </xdr:spPr>
    </xdr:pic>
    <xdr:clientData/>
  </xdr:twoCellAnchor>
  <xdr:twoCellAnchor editAs="oneCell">
    <xdr:from>
      <xdr:col>1</xdr:col>
      <xdr:colOff>0</xdr:colOff>
      <xdr:row>590</xdr:row>
      <xdr:rowOff>0</xdr:rowOff>
    </xdr:from>
    <xdr:to>
      <xdr:col>17</xdr:col>
      <xdr:colOff>78168</xdr:colOff>
      <xdr:row>596</xdr:row>
      <xdr:rowOff>143054</xdr:rowOff>
    </xdr:to>
    <xdr:pic>
      <xdr:nvPicPr>
        <xdr:cNvPr id="33" name="32 Imagen"/>
        <xdr:cNvPicPr>
          <a:picLocks noChangeAspect="1"/>
        </xdr:cNvPicPr>
      </xdr:nvPicPr>
      <xdr:blipFill>
        <a:blip xmlns:r="http://schemas.openxmlformats.org/officeDocument/2006/relationships" r:embed="rId31"/>
        <a:stretch>
          <a:fillRect/>
        </a:stretch>
      </xdr:blipFill>
      <xdr:spPr>
        <a:xfrm>
          <a:off x="190500" y="112395000"/>
          <a:ext cx="14098968" cy="1286054"/>
        </a:xfrm>
        <a:prstGeom prst="rect">
          <a:avLst/>
        </a:prstGeom>
      </xdr:spPr>
    </xdr:pic>
    <xdr:clientData/>
  </xdr:twoCellAnchor>
  <xdr:twoCellAnchor editAs="oneCell">
    <xdr:from>
      <xdr:col>1</xdr:col>
      <xdr:colOff>0</xdr:colOff>
      <xdr:row>599</xdr:row>
      <xdr:rowOff>0</xdr:rowOff>
    </xdr:from>
    <xdr:to>
      <xdr:col>17</xdr:col>
      <xdr:colOff>40062</xdr:colOff>
      <xdr:row>603</xdr:row>
      <xdr:rowOff>143001</xdr:rowOff>
    </xdr:to>
    <xdr:pic>
      <xdr:nvPicPr>
        <xdr:cNvPr id="34" name="33 Imagen"/>
        <xdr:cNvPicPr>
          <a:picLocks noChangeAspect="1"/>
        </xdr:cNvPicPr>
      </xdr:nvPicPr>
      <xdr:blipFill>
        <a:blip xmlns:r="http://schemas.openxmlformats.org/officeDocument/2006/relationships" r:embed="rId32"/>
        <a:stretch>
          <a:fillRect/>
        </a:stretch>
      </xdr:blipFill>
      <xdr:spPr>
        <a:xfrm>
          <a:off x="190500" y="114109500"/>
          <a:ext cx="14060862" cy="905001"/>
        </a:xfrm>
        <a:prstGeom prst="rect">
          <a:avLst/>
        </a:prstGeom>
      </xdr:spPr>
    </xdr:pic>
    <xdr:clientData/>
  </xdr:twoCellAnchor>
  <xdr:twoCellAnchor editAs="oneCell">
    <xdr:from>
      <xdr:col>1</xdr:col>
      <xdr:colOff>0</xdr:colOff>
      <xdr:row>608</xdr:row>
      <xdr:rowOff>0</xdr:rowOff>
    </xdr:from>
    <xdr:to>
      <xdr:col>10</xdr:col>
      <xdr:colOff>647700</xdr:colOff>
      <xdr:row>626</xdr:row>
      <xdr:rowOff>100263</xdr:rowOff>
    </xdr:to>
    <xdr:pic>
      <xdr:nvPicPr>
        <xdr:cNvPr id="35" name="34 Imagen"/>
        <xdr:cNvPicPr>
          <a:picLocks noChangeAspect="1"/>
        </xdr:cNvPicPr>
      </xdr:nvPicPr>
      <xdr:blipFill>
        <a:blip xmlns:r="http://schemas.openxmlformats.org/officeDocument/2006/relationships" r:embed="rId33"/>
        <a:stretch>
          <a:fillRect/>
        </a:stretch>
      </xdr:blipFill>
      <xdr:spPr>
        <a:xfrm>
          <a:off x="190500" y="115824000"/>
          <a:ext cx="8534400" cy="3529263"/>
        </a:xfrm>
        <a:prstGeom prst="rect">
          <a:avLst/>
        </a:prstGeom>
      </xdr:spPr>
    </xdr:pic>
    <xdr:clientData/>
  </xdr:twoCellAnchor>
  <xdr:twoCellAnchor editAs="oneCell">
    <xdr:from>
      <xdr:col>1</xdr:col>
      <xdr:colOff>1</xdr:colOff>
      <xdr:row>628</xdr:row>
      <xdr:rowOff>0</xdr:rowOff>
    </xdr:from>
    <xdr:to>
      <xdr:col>12</xdr:col>
      <xdr:colOff>495301</xdr:colOff>
      <xdr:row>634</xdr:row>
      <xdr:rowOff>32837</xdr:rowOff>
    </xdr:to>
    <xdr:pic>
      <xdr:nvPicPr>
        <xdr:cNvPr id="36" name="35 Imagen"/>
        <xdr:cNvPicPr>
          <a:picLocks noChangeAspect="1"/>
        </xdr:cNvPicPr>
      </xdr:nvPicPr>
      <xdr:blipFill>
        <a:blip xmlns:r="http://schemas.openxmlformats.org/officeDocument/2006/relationships" r:embed="rId34"/>
        <a:stretch>
          <a:fillRect/>
        </a:stretch>
      </xdr:blipFill>
      <xdr:spPr>
        <a:xfrm>
          <a:off x="190501" y="119634000"/>
          <a:ext cx="10134600" cy="1175837"/>
        </a:xfrm>
        <a:prstGeom prst="rect">
          <a:avLst/>
        </a:prstGeom>
      </xdr:spPr>
    </xdr:pic>
    <xdr:clientData/>
  </xdr:twoCellAnchor>
  <xdr:twoCellAnchor editAs="oneCell">
    <xdr:from>
      <xdr:col>1</xdr:col>
      <xdr:colOff>1</xdr:colOff>
      <xdr:row>636</xdr:row>
      <xdr:rowOff>0</xdr:rowOff>
    </xdr:from>
    <xdr:to>
      <xdr:col>12</xdr:col>
      <xdr:colOff>304801</xdr:colOff>
      <xdr:row>640</xdr:row>
      <xdr:rowOff>146356</xdr:rowOff>
    </xdr:to>
    <xdr:pic>
      <xdr:nvPicPr>
        <xdr:cNvPr id="37" name="36 Imagen"/>
        <xdr:cNvPicPr>
          <a:picLocks noChangeAspect="1"/>
        </xdr:cNvPicPr>
      </xdr:nvPicPr>
      <xdr:blipFill>
        <a:blip xmlns:r="http://schemas.openxmlformats.org/officeDocument/2006/relationships" r:embed="rId35"/>
        <a:stretch>
          <a:fillRect/>
        </a:stretch>
      </xdr:blipFill>
      <xdr:spPr>
        <a:xfrm>
          <a:off x="190501" y="121158000"/>
          <a:ext cx="9944100" cy="908356"/>
        </a:xfrm>
        <a:prstGeom prst="rect">
          <a:avLst/>
        </a:prstGeom>
      </xdr:spPr>
    </xdr:pic>
    <xdr:clientData/>
  </xdr:twoCellAnchor>
  <xdr:twoCellAnchor editAs="oneCell">
    <xdr:from>
      <xdr:col>1</xdr:col>
      <xdr:colOff>0</xdr:colOff>
      <xdr:row>643</xdr:row>
      <xdr:rowOff>1</xdr:rowOff>
    </xdr:from>
    <xdr:to>
      <xdr:col>12</xdr:col>
      <xdr:colOff>762000</xdr:colOff>
      <xdr:row>649</xdr:row>
      <xdr:rowOff>43837</xdr:rowOff>
    </xdr:to>
    <xdr:pic>
      <xdr:nvPicPr>
        <xdr:cNvPr id="38" name="37 Imagen"/>
        <xdr:cNvPicPr>
          <a:picLocks noChangeAspect="1"/>
        </xdr:cNvPicPr>
      </xdr:nvPicPr>
      <xdr:blipFill>
        <a:blip xmlns:r="http://schemas.openxmlformats.org/officeDocument/2006/relationships" r:embed="rId36"/>
        <a:stretch>
          <a:fillRect/>
        </a:stretch>
      </xdr:blipFill>
      <xdr:spPr>
        <a:xfrm>
          <a:off x="190500" y="122491501"/>
          <a:ext cx="10401300" cy="1186836"/>
        </a:xfrm>
        <a:prstGeom prst="rect">
          <a:avLst/>
        </a:prstGeom>
      </xdr:spPr>
    </xdr:pic>
    <xdr:clientData/>
  </xdr:twoCellAnchor>
  <xdr:twoCellAnchor editAs="oneCell">
    <xdr:from>
      <xdr:col>1</xdr:col>
      <xdr:colOff>0</xdr:colOff>
      <xdr:row>651</xdr:row>
      <xdr:rowOff>0</xdr:rowOff>
    </xdr:from>
    <xdr:to>
      <xdr:col>12</xdr:col>
      <xdr:colOff>791038</xdr:colOff>
      <xdr:row>670</xdr:row>
      <xdr:rowOff>91440</xdr:rowOff>
    </xdr:to>
    <xdr:pic>
      <xdr:nvPicPr>
        <xdr:cNvPr id="39" name="38 Imagen"/>
        <xdr:cNvPicPr>
          <a:picLocks noChangeAspect="1"/>
        </xdr:cNvPicPr>
      </xdr:nvPicPr>
      <xdr:blipFill>
        <a:blip xmlns:r="http://schemas.openxmlformats.org/officeDocument/2006/relationships" r:embed="rId37"/>
        <a:stretch>
          <a:fillRect/>
        </a:stretch>
      </xdr:blipFill>
      <xdr:spPr>
        <a:xfrm>
          <a:off x="190500" y="124015500"/>
          <a:ext cx="10430338" cy="3710940"/>
        </a:xfrm>
        <a:prstGeom prst="rect">
          <a:avLst/>
        </a:prstGeom>
      </xdr:spPr>
    </xdr:pic>
    <xdr:clientData/>
  </xdr:twoCellAnchor>
  <xdr:twoCellAnchor editAs="oneCell">
    <xdr:from>
      <xdr:col>1</xdr:col>
      <xdr:colOff>1</xdr:colOff>
      <xdr:row>672</xdr:row>
      <xdr:rowOff>0</xdr:rowOff>
    </xdr:from>
    <xdr:to>
      <xdr:col>12</xdr:col>
      <xdr:colOff>662941</xdr:colOff>
      <xdr:row>682</xdr:row>
      <xdr:rowOff>189953</xdr:rowOff>
    </xdr:to>
    <xdr:pic>
      <xdr:nvPicPr>
        <xdr:cNvPr id="40" name="39 Imagen"/>
        <xdr:cNvPicPr>
          <a:picLocks noChangeAspect="1"/>
        </xdr:cNvPicPr>
      </xdr:nvPicPr>
      <xdr:blipFill>
        <a:blip xmlns:r="http://schemas.openxmlformats.org/officeDocument/2006/relationships" r:embed="rId38"/>
        <a:stretch>
          <a:fillRect/>
        </a:stretch>
      </xdr:blipFill>
      <xdr:spPr>
        <a:xfrm>
          <a:off x="190501" y="128016000"/>
          <a:ext cx="10302240" cy="2094953"/>
        </a:xfrm>
        <a:prstGeom prst="rect">
          <a:avLst/>
        </a:prstGeom>
      </xdr:spPr>
    </xdr:pic>
    <xdr:clientData/>
  </xdr:twoCellAnchor>
  <xdr:twoCellAnchor editAs="oneCell">
    <xdr:from>
      <xdr:col>1</xdr:col>
      <xdr:colOff>0</xdr:colOff>
      <xdr:row>684</xdr:row>
      <xdr:rowOff>1</xdr:rowOff>
    </xdr:from>
    <xdr:to>
      <xdr:col>12</xdr:col>
      <xdr:colOff>205740</xdr:colOff>
      <xdr:row>709</xdr:row>
      <xdr:rowOff>55287</xdr:rowOff>
    </xdr:to>
    <xdr:pic>
      <xdr:nvPicPr>
        <xdr:cNvPr id="41" name="40 Imagen"/>
        <xdr:cNvPicPr>
          <a:picLocks noChangeAspect="1"/>
        </xdr:cNvPicPr>
      </xdr:nvPicPr>
      <xdr:blipFill>
        <a:blip xmlns:r="http://schemas.openxmlformats.org/officeDocument/2006/relationships" r:embed="rId39"/>
        <a:stretch>
          <a:fillRect/>
        </a:stretch>
      </xdr:blipFill>
      <xdr:spPr>
        <a:xfrm>
          <a:off x="190500" y="130302001"/>
          <a:ext cx="9845040" cy="4817786"/>
        </a:xfrm>
        <a:prstGeom prst="rect">
          <a:avLst/>
        </a:prstGeom>
      </xdr:spPr>
    </xdr:pic>
    <xdr:clientData/>
  </xdr:twoCellAnchor>
  <xdr:twoCellAnchor editAs="oneCell">
    <xdr:from>
      <xdr:col>1</xdr:col>
      <xdr:colOff>0</xdr:colOff>
      <xdr:row>712</xdr:row>
      <xdr:rowOff>0</xdr:rowOff>
    </xdr:from>
    <xdr:to>
      <xdr:col>16</xdr:col>
      <xdr:colOff>249519</xdr:colOff>
      <xdr:row>726</xdr:row>
      <xdr:rowOff>105162</xdr:rowOff>
    </xdr:to>
    <xdr:pic>
      <xdr:nvPicPr>
        <xdr:cNvPr id="42" name="41 Imagen"/>
        <xdr:cNvPicPr>
          <a:picLocks noChangeAspect="1"/>
        </xdr:cNvPicPr>
      </xdr:nvPicPr>
      <xdr:blipFill>
        <a:blip xmlns:r="http://schemas.openxmlformats.org/officeDocument/2006/relationships" r:embed="rId40"/>
        <a:stretch>
          <a:fillRect/>
        </a:stretch>
      </xdr:blipFill>
      <xdr:spPr>
        <a:xfrm>
          <a:off x="190500" y="135636000"/>
          <a:ext cx="13394019" cy="2772162"/>
        </a:xfrm>
        <a:prstGeom prst="rect">
          <a:avLst/>
        </a:prstGeom>
      </xdr:spPr>
    </xdr:pic>
    <xdr:clientData/>
  </xdr:twoCellAnchor>
  <xdr:twoCellAnchor editAs="oneCell">
    <xdr:from>
      <xdr:col>1</xdr:col>
      <xdr:colOff>0</xdr:colOff>
      <xdr:row>731</xdr:row>
      <xdr:rowOff>0</xdr:rowOff>
    </xdr:from>
    <xdr:to>
      <xdr:col>14</xdr:col>
      <xdr:colOff>697012</xdr:colOff>
      <xdr:row>742</xdr:row>
      <xdr:rowOff>105082</xdr:rowOff>
    </xdr:to>
    <xdr:pic>
      <xdr:nvPicPr>
        <xdr:cNvPr id="43" name="42 Imagen"/>
        <xdr:cNvPicPr>
          <a:picLocks noChangeAspect="1"/>
        </xdr:cNvPicPr>
      </xdr:nvPicPr>
      <xdr:blipFill>
        <a:blip xmlns:r="http://schemas.openxmlformats.org/officeDocument/2006/relationships" r:embed="rId41"/>
        <a:stretch>
          <a:fillRect/>
        </a:stretch>
      </xdr:blipFill>
      <xdr:spPr>
        <a:xfrm>
          <a:off x="190500" y="139255500"/>
          <a:ext cx="12088912" cy="2200582"/>
        </a:xfrm>
        <a:prstGeom prst="rect">
          <a:avLst/>
        </a:prstGeom>
      </xdr:spPr>
    </xdr:pic>
    <xdr:clientData/>
  </xdr:twoCellAnchor>
  <xdr:twoCellAnchor editAs="oneCell">
    <xdr:from>
      <xdr:col>1</xdr:col>
      <xdr:colOff>0</xdr:colOff>
      <xdr:row>744</xdr:row>
      <xdr:rowOff>0</xdr:rowOff>
    </xdr:from>
    <xdr:to>
      <xdr:col>14</xdr:col>
      <xdr:colOff>611275</xdr:colOff>
      <xdr:row>749</xdr:row>
      <xdr:rowOff>143028</xdr:rowOff>
    </xdr:to>
    <xdr:pic>
      <xdr:nvPicPr>
        <xdr:cNvPr id="45" name="44 Imagen"/>
        <xdr:cNvPicPr>
          <a:picLocks noChangeAspect="1"/>
        </xdr:cNvPicPr>
      </xdr:nvPicPr>
      <xdr:blipFill>
        <a:blip xmlns:r="http://schemas.openxmlformats.org/officeDocument/2006/relationships" r:embed="rId42"/>
        <a:stretch>
          <a:fillRect/>
        </a:stretch>
      </xdr:blipFill>
      <xdr:spPr>
        <a:xfrm>
          <a:off x="190500" y="141732000"/>
          <a:ext cx="12003175" cy="1095528"/>
        </a:xfrm>
        <a:prstGeom prst="rect">
          <a:avLst/>
        </a:prstGeom>
      </xdr:spPr>
    </xdr:pic>
    <xdr:clientData/>
  </xdr:twoCellAnchor>
  <xdr:twoCellAnchor editAs="oneCell">
    <xdr:from>
      <xdr:col>1</xdr:col>
      <xdr:colOff>0</xdr:colOff>
      <xdr:row>752</xdr:row>
      <xdr:rowOff>0</xdr:rowOff>
    </xdr:from>
    <xdr:to>
      <xdr:col>14</xdr:col>
      <xdr:colOff>573170</xdr:colOff>
      <xdr:row>756</xdr:row>
      <xdr:rowOff>114422</xdr:rowOff>
    </xdr:to>
    <xdr:pic>
      <xdr:nvPicPr>
        <xdr:cNvPr id="46" name="45 Imagen"/>
        <xdr:cNvPicPr>
          <a:picLocks noChangeAspect="1"/>
        </xdr:cNvPicPr>
      </xdr:nvPicPr>
      <xdr:blipFill>
        <a:blip xmlns:r="http://schemas.openxmlformats.org/officeDocument/2006/relationships" r:embed="rId43"/>
        <a:stretch>
          <a:fillRect/>
        </a:stretch>
      </xdr:blipFill>
      <xdr:spPr>
        <a:xfrm>
          <a:off x="190500" y="143256000"/>
          <a:ext cx="11965070" cy="876422"/>
        </a:xfrm>
        <a:prstGeom prst="rect">
          <a:avLst/>
        </a:prstGeom>
      </xdr:spPr>
    </xdr:pic>
    <xdr:clientData/>
  </xdr:twoCellAnchor>
  <xdr:twoCellAnchor editAs="oneCell">
    <xdr:from>
      <xdr:col>1</xdr:col>
      <xdr:colOff>0</xdr:colOff>
      <xdr:row>759</xdr:row>
      <xdr:rowOff>0</xdr:rowOff>
    </xdr:from>
    <xdr:to>
      <xdr:col>14</xdr:col>
      <xdr:colOff>725591</xdr:colOff>
      <xdr:row>766</xdr:row>
      <xdr:rowOff>104976</xdr:rowOff>
    </xdr:to>
    <xdr:pic>
      <xdr:nvPicPr>
        <xdr:cNvPr id="47" name="46 Imagen"/>
        <xdr:cNvPicPr>
          <a:picLocks noChangeAspect="1"/>
        </xdr:cNvPicPr>
      </xdr:nvPicPr>
      <xdr:blipFill>
        <a:blip xmlns:r="http://schemas.openxmlformats.org/officeDocument/2006/relationships" r:embed="rId44"/>
        <a:stretch>
          <a:fillRect/>
        </a:stretch>
      </xdr:blipFill>
      <xdr:spPr>
        <a:xfrm>
          <a:off x="190500" y="144589500"/>
          <a:ext cx="12117491" cy="1438476"/>
        </a:xfrm>
        <a:prstGeom prst="rect">
          <a:avLst/>
        </a:prstGeom>
      </xdr:spPr>
    </xdr:pic>
    <xdr:clientData/>
  </xdr:twoCellAnchor>
  <xdr:twoCellAnchor editAs="oneCell">
    <xdr:from>
      <xdr:col>1</xdr:col>
      <xdr:colOff>1</xdr:colOff>
      <xdr:row>769</xdr:row>
      <xdr:rowOff>0</xdr:rowOff>
    </xdr:from>
    <xdr:to>
      <xdr:col>11</xdr:col>
      <xdr:colOff>566371</xdr:colOff>
      <xdr:row>792</xdr:row>
      <xdr:rowOff>152400</xdr:rowOff>
    </xdr:to>
    <xdr:pic>
      <xdr:nvPicPr>
        <xdr:cNvPr id="48" name="47 Imagen"/>
        <xdr:cNvPicPr>
          <a:picLocks noChangeAspect="1"/>
        </xdr:cNvPicPr>
      </xdr:nvPicPr>
      <xdr:blipFill>
        <a:blip xmlns:r="http://schemas.openxmlformats.org/officeDocument/2006/relationships" r:embed="rId45"/>
        <a:stretch>
          <a:fillRect/>
        </a:stretch>
      </xdr:blipFill>
      <xdr:spPr>
        <a:xfrm>
          <a:off x="190501" y="146494500"/>
          <a:ext cx="9329370" cy="4533900"/>
        </a:xfrm>
        <a:prstGeom prst="rect">
          <a:avLst/>
        </a:prstGeom>
      </xdr:spPr>
    </xdr:pic>
    <xdr:clientData/>
  </xdr:twoCellAnchor>
  <xdr:twoCellAnchor editAs="oneCell">
    <xdr:from>
      <xdr:col>1</xdr:col>
      <xdr:colOff>1</xdr:colOff>
      <xdr:row>795</xdr:row>
      <xdr:rowOff>1</xdr:rowOff>
    </xdr:from>
    <xdr:to>
      <xdr:col>11</xdr:col>
      <xdr:colOff>373380</xdr:colOff>
      <xdr:row>813</xdr:row>
      <xdr:rowOff>85554</xdr:rowOff>
    </xdr:to>
    <xdr:pic>
      <xdr:nvPicPr>
        <xdr:cNvPr id="49" name="48 Imagen"/>
        <xdr:cNvPicPr>
          <a:picLocks noChangeAspect="1"/>
        </xdr:cNvPicPr>
      </xdr:nvPicPr>
      <xdr:blipFill>
        <a:blip xmlns:r="http://schemas.openxmlformats.org/officeDocument/2006/relationships" r:embed="rId46"/>
        <a:stretch>
          <a:fillRect/>
        </a:stretch>
      </xdr:blipFill>
      <xdr:spPr>
        <a:xfrm>
          <a:off x="190501" y="151447501"/>
          <a:ext cx="9136379" cy="3514553"/>
        </a:xfrm>
        <a:prstGeom prst="rect">
          <a:avLst/>
        </a:prstGeom>
      </xdr:spPr>
    </xdr:pic>
    <xdr:clientData/>
  </xdr:twoCellAnchor>
  <xdr:twoCellAnchor editAs="oneCell">
    <xdr:from>
      <xdr:col>0</xdr:col>
      <xdr:colOff>190499</xdr:colOff>
      <xdr:row>834</xdr:row>
      <xdr:rowOff>0</xdr:rowOff>
    </xdr:from>
    <xdr:to>
      <xdr:col>13</xdr:col>
      <xdr:colOff>250742</xdr:colOff>
      <xdr:row>839</xdr:row>
      <xdr:rowOff>175259</xdr:rowOff>
    </xdr:to>
    <xdr:pic>
      <xdr:nvPicPr>
        <xdr:cNvPr id="44" name="43 Imagen"/>
        <xdr:cNvPicPr>
          <a:picLocks noChangeAspect="1"/>
        </xdr:cNvPicPr>
      </xdr:nvPicPr>
      <xdr:blipFill>
        <a:blip xmlns:r="http://schemas.openxmlformats.org/officeDocument/2006/relationships" r:embed="rId47"/>
        <a:stretch>
          <a:fillRect/>
        </a:stretch>
      </xdr:blipFill>
      <xdr:spPr>
        <a:xfrm>
          <a:off x="190499" y="155829000"/>
          <a:ext cx="10766343" cy="1127759"/>
        </a:xfrm>
        <a:prstGeom prst="rect">
          <a:avLst/>
        </a:prstGeom>
      </xdr:spPr>
    </xdr:pic>
    <xdr:clientData/>
  </xdr:twoCellAnchor>
  <xdr:twoCellAnchor editAs="oneCell">
    <xdr:from>
      <xdr:col>1</xdr:col>
      <xdr:colOff>1</xdr:colOff>
      <xdr:row>817</xdr:row>
      <xdr:rowOff>1</xdr:rowOff>
    </xdr:from>
    <xdr:to>
      <xdr:col>13</xdr:col>
      <xdr:colOff>563881</xdr:colOff>
      <xdr:row>830</xdr:row>
      <xdr:rowOff>155169</xdr:rowOff>
    </xdr:to>
    <xdr:pic>
      <xdr:nvPicPr>
        <xdr:cNvPr id="50" name="49 Imagen"/>
        <xdr:cNvPicPr>
          <a:picLocks noChangeAspect="1"/>
        </xdr:cNvPicPr>
      </xdr:nvPicPr>
      <xdr:blipFill>
        <a:blip xmlns:r="http://schemas.openxmlformats.org/officeDocument/2006/relationships" r:embed="rId48"/>
        <a:stretch>
          <a:fillRect/>
        </a:stretch>
      </xdr:blipFill>
      <xdr:spPr>
        <a:xfrm>
          <a:off x="190501" y="155448001"/>
          <a:ext cx="11079480" cy="2631668"/>
        </a:xfrm>
        <a:prstGeom prst="rect">
          <a:avLst/>
        </a:prstGeom>
      </xdr:spPr>
    </xdr:pic>
    <xdr:clientData/>
  </xdr:twoCellAnchor>
  <xdr:twoCellAnchor editAs="oneCell">
    <xdr:from>
      <xdr:col>1</xdr:col>
      <xdr:colOff>0</xdr:colOff>
      <xdr:row>843</xdr:row>
      <xdr:rowOff>0</xdr:rowOff>
    </xdr:from>
    <xdr:to>
      <xdr:col>11</xdr:col>
      <xdr:colOff>329901</xdr:colOff>
      <xdr:row>872</xdr:row>
      <xdr:rowOff>76200</xdr:rowOff>
    </xdr:to>
    <xdr:pic>
      <xdr:nvPicPr>
        <xdr:cNvPr id="51" name="50 Imagen"/>
        <xdr:cNvPicPr>
          <a:picLocks noChangeAspect="1"/>
        </xdr:cNvPicPr>
      </xdr:nvPicPr>
      <xdr:blipFill>
        <a:blip xmlns:r="http://schemas.openxmlformats.org/officeDocument/2006/relationships" r:embed="rId49"/>
        <a:stretch>
          <a:fillRect/>
        </a:stretch>
      </xdr:blipFill>
      <xdr:spPr>
        <a:xfrm>
          <a:off x="190500" y="160591500"/>
          <a:ext cx="9092901" cy="5600700"/>
        </a:xfrm>
        <a:prstGeom prst="rect">
          <a:avLst/>
        </a:prstGeom>
      </xdr:spPr>
    </xdr:pic>
    <xdr:clientData/>
  </xdr:twoCellAnchor>
  <xdr:twoCellAnchor editAs="oneCell">
    <xdr:from>
      <xdr:col>1</xdr:col>
      <xdr:colOff>1</xdr:colOff>
      <xdr:row>874</xdr:row>
      <xdr:rowOff>0</xdr:rowOff>
    </xdr:from>
    <xdr:to>
      <xdr:col>9</xdr:col>
      <xdr:colOff>274321</xdr:colOff>
      <xdr:row>893</xdr:row>
      <xdr:rowOff>4976</xdr:rowOff>
    </xdr:to>
    <xdr:pic>
      <xdr:nvPicPr>
        <xdr:cNvPr id="52" name="51 Imagen"/>
        <xdr:cNvPicPr>
          <a:picLocks noChangeAspect="1"/>
        </xdr:cNvPicPr>
      </xdr:nvPicPr>
      <xdr:blipFill>
        <a:blip xmlns:r="http://schemas.openxmlformats.org/officeDocument/2006/relationships" r:embed="rId50"/>
        <a:stretch>
          <a:fillRect/>
        </a:stretch>
      </xdr:blipFill>
      <xdr:spPr>
        <a:xfrm>
          <a:off x="190501" y="166497000"/>
          <a:ext cx="7284720" cy="3624476"/>
        </a:xfrm>
        <a:prstGeom prst="rect">
          <a:avLst/>
        </a:prstGeom>
      </xdr:spPr>
    </xdr:pic>
    <xdr:clientData/>
  </xdr:twoCellAnchor>
  <xdr:twoCellAnchor editAs="oneCell">
    <xdr:from>
      <xdr:col>1</xdr:col>
      <xdr:colOff>0</xdr:colOff>
      <xdr:row>895</xdr:row>
      <xdr:rowOff>0</xdr:rowOff>
    </xdr:from>
    <xdr:to>
      <xdr:col>11</xdr:col>
      <xdr:colOff>299101</xdr:colOff>
      <xdr:row>916</xdr:row>
      <xdr:rowOff>129540</xdr:rowOff>
    </xdr:to>
    <xdr:pic>
      <xdr:nvPicPr>
        <xdr:cNvPr id="53" name="52 Imagen"/>
        <xdr:cNvPicPr>
          <a:picLocks noChangeAspect="1"/>
        </xdr:cNvPicPr>
      </xdr:nvPicPr>
      <xdr:blipFill>
        <a:blip xmlns:r="http://schemas.openxmlformats.org/officeDocument/2006/relationships" r:embed="rId51"/>
        <a:stretch>
          <a:fillRect/>
        </a:stretch>
      </xdr:blipFill>
      <xdr:spPr>
        <a:xfrm>
          <a:off x="190500" y="170497500"/>
          <a:ext cx="9062101" cy="4130040"/>
        </a:xfrm>
        <a:prstGeom prst="rect">
          <a:avLst/>
        </a:prstGeom>
      </xdr:spPr>
    </xdr:pic>
    <xdr:clientData/>
  </xdr:twoCellAnchor>
  <xdr:twoCellAnchor editAs="oneCell">
    <xdr:from>
      <xdr:col>1</xdr:col>
      <xdr:colOff>0</xdr:colOff>
      <xdr:row>919</xdr:row>
      <xdr:rowOff>1</xdr:rowOff>
    </xdr:from>
    <xdr:to>
      <xdr:col>12</xdr:col>
      <xdr:colOff>4143</xdr:colOff>
      <xdr:row>941</xdr:row>
      <xdr:rowOff>160021</xdr:rowOff>
    </xdr:to>
    <xdr:pic>
      <xdr:nvPicPr>
        <xdr:cNvPr id="54" name="53 Imagen"/>
        <xdr:cNvPicPr>
          <a:picLocks noChangeAspect="1"/>
        </xdr:cNvPicPr>
      </xdr:nvPicPr>
      <xdr:blipFill>
        <a:blip xmlns:r="http://schemas.openxmlformats.org/officeDocument/2006/relationships" r:embed="rId52"/>
        <a:stretch>
          <a:fillRect/>
        </a:stretch>
      </xdr:blipFill>
      <xdr:spPr>
        <a:xfrm>
          <a:off x="190500" y="175069501"/>
          <a:ext cx="9643443" cy="4351020"/>
        </a:xfrm>
        <a:prstGeom prst="rect">
          <a:avLst/>
        </a:prstGeom>
      </xdr:spPr>
    </xdr:pic>
    <xdr:clientData/>
  </xdr:twoCellAnchor>
  <xdr:twoCellAnchor editAs="oneCell">
    <xdr:from>
      <xdr:col>1</xdr:col>
      <xdr:colOff>0</xdr:colOff>
      <xdr:row>944</xdr:row>
      <xdr:rowOff>0</xdr:rowOff>
    </xdr:from>
    <xdr:to>
      <xdr:col>10</xdr:col>
      <xdr:colOff>487680</xdr:colOff>
      <xdr:row>950</xdr:row>
      <xdr:rowOff>76099</xdr:rowOff>
    </xdr:to>
    <xdr:pic>
      <xdr:nvPicPr>
        <xdr:cNvPr id="55" name="54 Imagen"/>
        <xdr:cNvPicPr>
          <a:picLocks noChangeAspect="1"/>
        </xdr:cNvPicPr>
      </xdr:nvPicPr>
      <xdr:blipFill>
        <a:blip xmlns:r="http://schemas.openxmlformats.org/officeDocument/2006/relationships" r:embed="rId53"/>
        <a:stretch>
          <a:fillRect/>
        </a:stretch>
      </xdr:blipFill>
      <xdr:spPr>
        <a:xfrm>
          <a:off x="190500" y="179832000"/>
          <a:ext cx="8374380" cy="1219099"/>
        </a:xfrm>
        <a:prstGeom prst="rect">
          <a:avLst/>
        </a:prstGeom>
      </xdr:spPr>
    </xdr:pic>
    <xdr:clientData/>
  </xdr:twoCellAnchor>
  <xdr:twoCellAnchor editAs="oneCell">
    <xdr:from>
      <xdr:col>1</xdr:col>
      <xdr:colOff>0</xdr:colOff>
      <xdr:row>953</xdr:row>
      <xdr:rowOff>0</xdr:rowOff>
    </xdr:from>
    <xdr:to>
      <xdr:col>11</xdr:col>
      <xdr:colOff>518160</xdr:colOff>
      <xdr:row>956</xdr:row>
      <xdr:rowOff>78334</xdr:rowOff>
    </xdr:to>
    <xdr:pic>
      <xdr:nvPicPr>
        <xdr:cNvPr id="56" name="55 Imagen"/>
        <xdr:cNvPicPr>
          <a:picLocks noChangeAspect="1"/>
        </xdr:cNvPicPr>
      </xdr:nvPicPr>
      <xdr:blipFill>
        <a:blip xmlns:r="http://schemas.openxmlformats.org/officeDocument/2006/relationships" r:embed="rId54"/>
        <a:stretch>
          <a:fillRect/>
        </a:stretch>
      </xdr:blipFill>
      <xdr:spPr>
        <a:xfrm>
          <a:off x="190500" y="181546500"/>
          <a:ext cx="9281160" cy="649834"/>
        </a:xfrm>
        <a:prstGeom prst="rect">
          <a:avLst/>
        </a:prstGeom>
      </xdr:spPr>
    </xdr:pic>
    <xdr:clientData/>
  </xdr:twoCellAnchor>
  <xdr:twoCellAnchor editAs="oneCell">
    <xdr:from>
      <xdr:col>1</xdr:col>
      <xdr:colOff>45720</xdr:colOff>
      <xdr:row>962</xdr:row>
      <xdr:rowOff>7621</xdr:rowOff>
    </xdr:from>
    <xdr:to>
      <xdr:col>12</xdr:col>
      <xdr:colOff>845860</xdr:colOff>
      <xdr:row>969</xdr:row>
      <xdr:rowOff>37028</xdr:rowOff>
    </xdr:to>
    <xdr:pic>
      <xdr:nvPicPr>
        <xdr:cNvPr id="57" name="56 Imagen"/>
        <xdr:cNvPicPr>
          <a:picLocks noChangeAspect="1"/>
        </xdr:cNvPicPr>
      </xdr:nvPicPr>
      <xdr:blipFill>
        <a:blip xmlns:r="http://schemas.openxmlformats.org/officeDocument/2006/relationships" r:embed="rId55"/>
        <a:stretch>
          <a:fillRect/>
        </a:stretch>
      </xdr:blipFill>
      <xdr:spPr>
        <a:xfrm>
          <a:off x="236220" y="183268621"/>
          <a:ext cx="10439440" cy="1362907"/>
        </a:xfrm>
        <a:prstGeom prst="rect">
          <a:avLst/>
        </a:prstGeom>
      </xdr:spPr>
    </xdr:pic>
    <xdr:clientData/>
  </xdr:twoCellAnchor>
  <xdr:twoCellAnchor editAs="oneCell">
    <xdr:from>
      <xdr:col>0</xdr:col>
      <xdr:colOff>30480</xdr:colOff>
      <xdr:row>972</xdr:row>
      <xdr:rowOff>182880</xdr:rowOff>
    </xdr:from>
    <xdr:to>
      <xdr:col>14</xdr:col>
      <xdr:colOff>727519</xdr:colOff>
      <xdr:row>999</xdr:row>
      <xdr:rowOff>59756</xdr:rowOff>
    </xdr:to>
    <xdr:pic>
      <xdr:nvPicPr>
        <xdr:cNvPr id="58" name="57 Imagen"/>
        <xdr:cNvPicPr>
          <a:picLocks noChangeAspect="1"/>
        </xdr:cNvPicPr>
      </xdr:nvPicPr>
      <xdr:blipFill>
        <a:blip xmlns:r="http://schemas.openxmlformats.org/officeDocument/2006/relationships" r:embed="rId56"/>
        <a:stretch>
          <a:fillRect/>
        </a:stretch>
      </xdr:blipFill>
      <xdr:spPr>
        <a:xfrm>
          <a:off x="30480" y="185348880"/>
          <a:ext cx="12279439" cy="5020376"/>
        </a:xfrm>
        <a:prstGeom prst="rect">
          <a:avLst/>
        </a:prstGeom>
      </xdr:spPr>
    </xdr:pic>
    <xdr:clientData/>
  </xdr:twoCellAnchor>
  <xdr:twoCellAnchor editAs="oneCell">
    <xdr:from>
      <xdr:col>1</xdr:col>
      <xdr:colOff>190500</xdr:colOff>
      <xdr:row>1000</xdr:row>
      <xdr:rowOff>15240</xdr:rowOff>
    </xdr:from>
    <xdr:to>
      <xdr:col>13</xdr:col>
      <xdr:colOff>820705</xdr:colOff>
      <xdr:row>1005</xdr:row>
      <xdr:rowOff>101110</xdr:rowOff>
    </xdr:to>
    <xdr:pic>
      <xdr:nvPicPr>
        <xdr:cNvPr id="59" name="58 Imagen"/>
        <xdr:cNvPicPr>
          <a:picLocks noChangeAspect="1"/>
        </xdr:cNvPicPr>
      </xdr:nvPicPr>
      <xdr:blipFill>
        <a:blip xmlns:r="http://schemas.openxmlformats.org/officeDocument/2006/relationships" r:embed="rId57"/>
        <a:stretch>
          <a:fillRect/>
        </a:stretch>
      </xdr:blipFill>
      <xdr:spPr>
        <a:xfrm>
          <a:off x="381000" y="190515240"/>
          <a:ext cx="11145805" cy="1038370"/>
        </a:xfrm>
        <a:prstGeom prst="rect">
          <a:avLst/>
        </a:prstGeom>
      </xdr:spPr>
    </xdr:pic>
    <xdr:clientData/>
  </xdr:twoCellAnchor>
  <xdr:twoCellAnchor editAs="oneCell">
    <xdr:from>
      <xdr:col>1</xdr:col>
      <xdr:colOff>0</xdr:colOff>
      <xdr:row>1008</xdr:row>
      <xdr:rowOff>0</xdr:rowOff>
    </xdr:from>
    <xdr:to>
      <xdr:col>14</xdr:col>
      <xdr:colOff>335012</xdr:colOff>
      <xdr:row>1016</xdr:row>
      <xdr:rowOff>143108</xdr:rowOff>
    </xdr:to>
    <xdr:pic>
      <xdr:nvPicPr>
        <xdr:cNvPr id="60" name="59 Imagen"/>
        <xdr:cNvPicPr>
          <a:picLocks noChangeAspect="1"/>
        </xdr:cNvPicPr>
      </xdr:nvPicPr>
      <xdr:blipFill>
        <a:blip xmlns:r="http://schemas.openxmlformats.org/officeDocument/2006/relationships" r:embed="rId58"/>
        <a:stretch>
          <a:fillRect/>
        </a:stretch>
      </xdr:blipFill>
      <xdr:spPr>
        <a:xfrm>
          <a:off x="190500" y="192024000"/>
          <a:ext cx="11726912" cy="1667108"/>
        </a:xfrm>
        <a:prstGeom prst="rect">
          <a:avLst/>
        </a:prstGeom>
      </xdr:spPr>
    </xdr:pic>
    <xdr:clientData/>
  </xdr:twoCellAnchor>
  <xdr:twoCellAnchor editAs="oneCell">
    <xdr:from>
      <xdr:col>1</xdr:col>
      <xdr:colOff>0</xdr:colOff>
      <xdr:row>1019</xdr:row>
      <xdr:rowOff>0</xdr:rowOff>
    </xdr:from>
    <xdr:to>
      <xdr:col>14</xdr:col>
      <xdr:colOff>449327</xdr:colOff>
      <xdr:row>1027</xdr:row>
      <xdr:rowOff>9739</xdr:rowOff>
    </xdr:to>
    <xdr:pic>
      <xdr:nvPicPr>
        <xdr:cNvPr id="61" name="60 Imagen"/>
        <xdr:cNvPicPr>
          <a:picLocks noChangeAspect="1"/>
        </xdr:cNvPicPr>
      </xdr:nvPicPr>
      <xdr:blipFill>
        <a:blip xmlns:r="http://schemas.openxmlformats.org/officeDocument/2006/relationships" r:embed="rId59"/>
        <a:stretch>
          <a:fillRect/>
        </a:stretch>
      </xdr:blipFill>
      <xdr:spPr>
        <a:xfrm>
          <a:off x="190500" y="194119500"/>
          <a:ext cx="11841227" cy="1533739"/>
        </a:xfrm>
        <a:prstGeom prst="rect">
          <a:avLst/>
        </a:prstGeom>
      </xdr:spPr>
    </xdr:pic>
    <xdr:clientData/>
  </xdr:twoCellAnchor>
  <xdr:twoCellAnchor editAs="oneCell">
    <xdr:from>
      <xdr:col>1</xdr:col>
      <xdr:colOff>0</xdr:colOff>
      <xdr:row>1029</xdr:row>
      <xdr:rowOff>0</xdr:rowOff>
    </xdr:from>
    <xdr:to>
      <xdr:col>14</xdr:col>
      <xdr:colOff>163538</xdr:colOff>
      <xdr:row>1056</xdr:row>
      <xdr:rowOff>86455</xdr:rowOff>
    </xdr:to>
    <xdr:pic>
      <xdr:nvPicPr>
        <xdr:cNvPr id="62" name="61 Imagen"/>
        <xdr:cNvPicPr>
          <a:picLocks noChangeAspect="1"/>
        </xdr:cNvPicPr>
      </xdr:nvPicPr>
      <xdr:blipFill>
        <a:blip xmlns:r="http://schemas.openxmlformats.org/officeDocument/2006/relationships" r:embed="rId60"/>
        <a:stretch>
          <a:fillRect/>
        </a:stretch>
      </xdr:blipFill>
      <xdr:spPr>
        <a:xfrm>
          <a:off x="190500" y="196024500"/>
          <a:ext cx="11555438" cy="5229955"/>
        </a:xfrm>
        <a:prstGeom prst="rect">
          <a:avLst/>
        </a:prstGeom>
      </xdr:spPr>
    </xdr:pic>
    <xdr:clientData/>
  </xdr:twoCellAnchor>
  <xdr:twoCellAnchor editAs="oneCell">
    <xdr:from>
      <xdr:col>1</xdr:col>
      <xdr:colOff>0</xdr:colOff>
      <xdr:row>1060</xdr:row>
      <xdr:rowOff>0</xdr:rowOff>
    </xdr:from>
    <xdr:to>
      <xdr:col>17</xdr:col>
      <xdr:colOff>821221</xdr:colOff>
      <xdr:row>1077</xdr:row>
      <xdr:rowOff>114768</xdr:rowOff>
    </xdr:to>
    <xdr:pic>
      <xdr:nvPicPr>
        <xdr:cNvPr id="63" name="62 Imagen"/>
        <xdr:cNvPicPr>
          <a:picLocks noChangeAspect="1"/>
        </xdr:cNvPicPr>
      </xdr:nvPicPr>
      <xdr:blipFill>
        <a:blip xmlns:r="http://schemas.openxmlformats.org/officeDocument/2006/relationships" r:embed="rId61"/>
        <a:stretch>
          <a:fillRect/>
        </a:stretch>
      </xdr:blipFill>
      <xdr:spPr>
        <a:xfrm>
          <a:off x="190500" y="201930000"/>
          <a:ext cx="14842021" cy="3353268"/>
        </a:xfrm>
        <a:prstGeom prst="rect">
          <a:avLst/>
        </a:prstGeom>
      </xdr:spPr>
    </xdr:pic>
    <xdr:clientData/>
  </xdr:twoCellAnchor>
  <xdr:twoCellAnchor editAs="oneCell">
    <xdr:from>
      <xdr:col>1</xdr:col>
      <xdr:colOff>0</xdr:colOff>
      <xdr:row>1082</xdr:row>
      <xdr:rowOff>0</xdr:rowOff>
    </xdr:from>
    <xdr:to>
      <xdr:col>17</xdr:col>
      <xdr:colOff>773590</xdr:colOff>
      <xdr:row>1085</xdr:row>
      <xdr:rowOff>38185</xdr:rowOff>
    </xdr:to>
    <xdr:pic>
      <xdr:nvPicPr>
        <xdr:cNvPr id="64" name="63 Imagen"/>
        <xdr:cNvPicPr>
          <a:picLocks noChangeAspect="1"/>
        </xdr:cNvPicPr>
      </xdr:nvPicPr>
      <xdr:blipFill>
        <a:blip xmlns:r="http://schemas.openxmlformats.org/officeDocument/2006/relationships" r:embed="rId62"/>
        <a:stretch>
          <a:fillRect/>
        </a:stretch>
      </xdr:blipFill>
      <xdr:spPr>
        <a:xfrm>
          <a:off x="190500" y="206121000"/>
          <a:ext cx="14794390" cy="609685"/>
        </a:xfrm>
        <a:prstGeom prst="rect">
          <a:avLst/>
        </a:prstGeom>
      </xdr:spPr>
    </xdr:pic>
    <xdr:clientData/>
  </xdr:twoCellAnchor>
  <xdr:twoCellAnchor editAs="oneCell">
    <xdr:from>
      <xdr:col>1</xdr:col>
      <xdr:colOff>0</xdr:colOff>
      <xdr:row>1090</xdr:row>
      <xdr:rowOff>0</xdr:rowOff>
    </xdr:from>
    <xdr:to>
      <xdr:col>11</xdr:col>
      <xdr:colOff>172697</xdr:colOff>
      <xdr:row>1117</xdr:row>
      <xdr:rowOff>19771</xdr:rowOff>
    </xdr:to>
    <xdr:pic>
      <xdr:nvPicPr>
        <xdr:cNvPr id="65" name="64 Imagen"/>
        <xdr:cNvPicPr>
          <a:picLocks noChangeAspect="1"/>
        </xdr:cNvPicPr>
      </xdr:nvPicPr>
      <xdr:blipFill>
        <a:blip xmlns:r="http://schemas.openxmlformats.org/officeDocument/2006/relationships" r:embed="rId63"/>
        <a:stretch>
          <a:fillRect/>
        </a:stretch>
      </xdr:blipFill>
      <xdr:spPr>
        <a:xfrm>
          <a:off x="190500" y="207645000"/>
          <a:ext cx="8935697" cy="5163271"/>
        </a:xfrm>
        <a:prstGeom prst="rect">
          <a:avLst/>
        </a:prstGeom>
      </xdr:spPr>
    </xdr:pic>
    <xdr:clientData/>
  </xdr:twoCellAnchor>
  <xdr:twoCellAnchor editAs="oneCell">
    <xdr:from>
      <xdr:col>1</xdr:col>
      <xdr:colOff>0</xdr:colOff>
      <xdr:row>1119</xdr:row>
      <xdr:rowOff>0</xdr:rowOff>
    </xdr:from>
    <xdr:to>
      <xdr:col>10</xdr:col>
      <xdr:colOff>848944</xdr:colOff>
      <xdr:row>1126</xdr:row>
      <xdr:rowOff>76397</xdr:rowOff>
    </xdr:to>
    <xdr:pic>
      <xdr:nvPicPr>
        <xdr:cNvPr id="66" name="65 Imagen"/>
        <xdr:cNvPicPr>
          <a:picLocks noChangeAspect="1"/>
        </xdr:cNvPicPr>
      </xdr:nvPicPr>
      <xdr:blipFill>
        <a:blip xmlns:r="http://schemas.openxmlformats.org/officeDocument/2006/relationships" r:embed="rId64"/>
        <a:stretch>
          <a:fillRect/>
        </a:stretch>
      </xdr:blipFill>
      <xdr:spPr>
        <a:xfrm>
          <a:off x="190500" y="213169500"/>
          <a:ext cx="8735644" cy="1409897"/>
        </a:xfrm>
        <a:prstGeom prst="rect">
          <a:avLst/>
        </a:prstGeom>
      </xdr:spPr>
    </xdr:pic>
    <xdr:clientData/>
  </xdr:twoCellAnchor>
  <xdr:twoCellAnchor editAs="oneCell">
    <xdr:from>
      <xdr:col>1</xdr:col>
      <xdr:colOff>0</xdr:colOff>
      <xdr:row>1129</xdr:row>
      <xdr:rowOff>0</xdr:rowOff>
    </xdr:from>
    <xdr:to>
      <xdr:col>10</xdr:col>
      <xdr:colOff>839418</xdr:colOff>
      <xdr:row>1134</xdr:row>
      <xdr:rowOff>76344</xdr:rowOff>
    </xdr:to>
    <xdr:pic>
      <xdr:nvPicPr>
        <xdr:cNvPr id="67" name="66 Imagen"/>
        <xdr:cNvPicPr>
          <a:picLocks noChangeAspect="1"/>
        </xdr:cNvPicPr>
      </xdr:nvPicPr>
      <xdr:blipFill>
        <a:blip xmlns:r="http://schemas.openxmlformats.org/officeDocument/2006/relationships" r:embed="rId65"/>
        <a:stretch>
          <a:fillRect/>
        </a:stretch>
      </xdr:blipFill>
      <xdr:spPr>
        <a:xfrm>
          <a:off x="190500" y="215074500"/>
          <a:ext cx="8726118" cy="1028844"/>
        </a:xfrm>
        <a:prstGeom prst="rect">
          <a:avLst/>
        </a:prstGeom>
      </xdr:spPr>
    </xdr:pic>
    <xdr:clientData/>
  </xdr:twoCellAnchor>
  <xdr:twoCellAnchor editAs="oneCell">
    <xdr:from>
      <xdr:col>1</xdr:col>
      <xdr:colOff>0</xdr:colOff>
      <xdr:row>1137</xdr:row>
      <xdr:rowOff>0</xdr:rowOff>
    </xdr:from>
    <xdr:to>
      <xdr:col>11</xdr:col>
      <xdr:colOff>48855</xdr:colOff>
      <xdr:row>1142</xdr:row>
      <xdr:rowOff>152554</xdr:rowOff>
    </xdr:to>
    <xdr:pic>
      <xdr:nvPicPr>
        <xdr:cNvPr id="68" name="67 Imagen"/>
        <xdr:cNvPicPr>
          <a:picLocks noChangeAspect="1"/>
        </xdr:cNvPicPr>
      </xdr:nvPicPr>
      <xdr:blipFill>
        <a:blip xmlns:r="http://schemas.openxmlformats.org/officeDocument/2006/relationships" r:embed="rId66"/>
        <a:stretch>
          <a:fillRect/>
        </a:stretch>
      </xdr:blipFill>
      <xdr:spPr>
        <a:xfrm>
          <a:off x="190500" y="216598500"/>
          <a:ext cx="8811855" cy="1105054"/>
        </a:xfrm>
        <a:prstGeom prst="rect">
          <a:avLst/>
        </a:prstGeom>
      </xdr:spPr>
    </xdr:pic>
    <xdr:clientData/>
  </xdr:twoCellAnchor>
  <xdr:twoCellAnchor editAs="oneCell">
    <xdr:from>
      <xdr:col>1</xdr:col>
      <xdr:colOff>0</xdr:colOff>
      <xdr:row>1145</xdr:row>
      <xdr:rowOff>0</xdr:rowOff>
    </xdr:from>
    <xdr:to>
      <xdr:col>11</xdr:col>
      <xdr:colOff>791908</xdr:colOff>
      <xdr:row>1161</xdr:row>
      <xdr:rowOff>76636</xdr:rowOff>
    </xdr:to>
    <xdr:pic>
      <xdr:nvPicPr>
        <xdr:cNvPr id="69" name="68 Imagen"/>
        <xdr:cNvPicPr>
          <a:picLocks noChangeAspect="1"/>
        </xdr:cNvPicPr>
      </xdr:nvPicPr>
      <xdr:blipFill>
        <a:blip xmlns:r="http://schemas.openxmlformats.org/officeDocument/2006/relationships" r:embed="rId67"/>
        <a:stretch>
          <a:fillRect/>
        </a:stretch>
      </xdr:blipFill>
      <xdr:spPr>
        <a:xfrm>
          <a:off x="190500" y="218122500"/>
          <a:ext cx="9554908" cy="3124636"/>
        </a:xfrm>
        <a:prstGeom prst="rect">
          <a:avLst/>
        </a:prstGeom>
      </xdr:spPr>
    </xdr:pic>
    <xdr:clientData/>
  </xdr:twoCellAnchor>
  <xdr:twoCellAnchor editAs="oneCell">
    <xdr:from>
      <xdr:col>1</xdr:col>
      <xdr:colOff>0</xdr:colOff>
      <xdr:row>1164</xdr:row>
      <xdr:rowOff>0</xdr:rowOff>
    </xdr:from>
    <xdr:to>
      <xdr:col>11</xdr:col>
      <xdr:colOff>115539</xdr:colOff>
      <xdr:row>1185</xdr:row>
      <xdr:rowOff>48190</xdr:rowOff>
    </xdr:to>
    <xdr:pic>
      <xdr:nvPicPr>
        <xdr:cNvPr id="70" name="69 Imagen"/>
        <xdr:cNvPicPr>
          <a:picLocks noChangeAspect="1"/>
        </xdr:cNvPicPr>
      </xdr:nvPicPr>
      <xdr:blipFill>
        <a:blip xmlns:r="http://schemas.openxmlformats.org/officeDocument/2006/relationships" r:embed="rId68"/>
        <a:stretch>
          <a:fillRect/>
        </a:stretch>
      </xdr:blipFill>
      <xdr:spPr>
        <a:xfrm>
          <a:off x="190500" y="221742000"/>
          <a:ext cx="8878539" cy="4048690"/>
        </a:xfrm>
        <a:prstGeom prst="rect">
          <a:avLst/>
        </a:prstGeom>
      </xdr:spPr>
    </xdr:pic>
    <xdr:clientData/>
  </xdr:twoCellAnchor>
  <xdr:twoCellAnchor editAs="oneCell">
    <xdr:from>
      <xdr:col>1</xdr:col>
      <xdr:colOff>0</xdr:colOff>
      <xdr:row>1205</xdr:row>
      <xdr:rowOff>114300</xdr:rowOff>
    </xdr:from>
    <xdr:to>
      <xdr:col>10</xdr:col>
      <xdr:colOff>731006</xdr:colOff>
      <xdr:row>1225</xdr:row>
      <xdr:rowOff>97845</xdr:rowOff>
    </xdr:to>
    <xdr:pic>
      <xdr:nvPicPr>
        <xdr:cNvPr id="71" name="70 Imagen"/>
        <xdr:cNvPicPr>
          <a:picLocks noChangeAspect="1"/>
        </xdr:cNvPicPr>
      </xdr:nvPicPr>
      <xdr:blipFill>
        <a:blip xmlns:r="http://schemas.openxmlformats.org/officeDocument/2006/relationships" r:embed="rId69"/>
        <a:stretch>
          <a:fillRect/>
        </a:stretch>
      </xdr:blipFill>
      <xdr:spPr>
        <a:xfrm>
          <a:off x="190500" y="226618800"/>
          <a:ext cx="8617706" cy="3793545"/>
        </a:xfrm>
        <a:prstGeom prst="rect">
          <a:avLst/>
        </a:prstGeom>
      </xdr:spPr>
    </xdr:pic>
    <xdr:clientData/>
  </xdr:twoCellAnchor>
  <xdr:twoCellAnchor editAs="oneCell">
    <xdr:from>
      <xdr:col>0</xdr:col>
      <xdr:colOff>114300</xdr:colOff>
      <xdr:row>1229</xdr:row>
      <xdr:rowOff>47068</xdr:rowOff>
    </xdr:from>
    <xdr:to>
      <xdr:col>13</xdr:col>
      <xdr:colOff>421046</xdr:colOff>
      <xdr:row>1236</xdr:row>
      <xdr:rowOff>120264</xdr:rowOff>
    </xdr:to>
    <xdr:pic>
      <xdr:nvPicPr>
        <xdr:cNvPr id="72" name="71 Imagen"/>
        <xdr:cNvPicPr>
          <a:picLocks noChangeAspect="1"/>
        </xdr:cNvPicPr>
      </xdr:nvPicPr>
      <xdr:blipFill>
        <a:blip xmlns:r="http://schemas.openxmlformats.org/officeDocument/2006/relationships" r:embed="rId70"/>
        <a:stretch>
          <a:fillRect/>
        </a:stretch>
      </xdr:blipFill>
      <xdr:spPr>
        <a:xfrm>
          <a:off x="114300" y="231123568"/>
          <a:ext cx="11012846" cy="1406696"/>
        </a:xfrm>
        <a:prstGeom prst="rect">
          <a:avLst/>
        </a:prstGeom>
      </xdr:spPr>
    </xdr:pic>
    <xdr:clientData/>
  </xdr:twoCellAnchor>
  <xdr:twoCellAnchor editAs="oneCell">
    <xdr:from>
      <xdr:col>1</xdr:col>
      <xdr:colOff>213360</xdr:colOff>
      <xdr:row>1186</xdr:row>
      <xdr:rowOff>182880</xdr:rowOff>
    </xdr:from>
    <xdr:to>
      <xdr:col>14</xdr:col>
      <xdr:colOff>243529</xdr:colOff>
      <xdr:row>1200</xdr:row>
      <xdr:rowOff>2252</xdr:rowOff>
    </xdr:to>
    <xdr:pic>
      <xdr:nvPicPr>
        <xdr:cNvPr id="73" name="72 Imagen"/>
        <xdr:cNvPicPr>
          <a:picLocks noChangeAspect="1"/>
        </xdr:cNvPicPr>
      </xdr:nvPicPr>
      <xdr:blipFill>
        <a:blip xmlns:r="http://schemas.openxmlformats.org/officeDocument/2006/relationships" r:embed="rId71"/>
        <a:stretch>
          <a:fillRect/>
        </a:stretch>
      </xdr:blipFill>
      <xdr:spPr>
        <a:xfrm>
          <a:off x="403860" y="226115880"/>
          <a:ext cx="11422069" cy="2486372"/>
        </a:xfrm>
        <a:prstGeom prst="rect">
          <a:avLst/>
        </a:prstGeom>
      </xdr:spPr>
    </xdr:pic>
    <xdr:clientData/>
  </xdr:twoCellAnchor>
  <xdr:twoCellAnchor editAs="oneCell">
    <xdr:from>
      <xdr:col>1</xdr:col>
      <xdr:colOff>0</xdr:colOff>
      <xdr:row>1241</xdr:row>
      <xdr:rowOff>0</xdr:rowOff>
    </xdr:from>
    <xdr:to>
      <xdr:col>10</xdr:col>
      <xdr:colOff>685800</xdr:colOff>
      <xdr:row>1261</xdr:row>
      <xdr:rowOff>144780</xdr:rowOff>
    </xdr:to>
    <xdr:pic>
      <xdr:nvPicPr>
        <xdr:cNvPr id="74" name="73 Imagen" descr="Image"/>
        <xdr:cNvPicPr>
          <a:picLocks noChangeAspect="1" noChangeArrowheads="1"/>
        </xdr:cNvPicPr>
      </xdr:nvPicPr>
      <xdr:blipFill>
        <a:blip xmlns:r="http://schemas.openxmlformats.org/officeDocument/2006/relationships" r:embed="rId72">
          <a:extLst>
            <a:ext uri="{28A0092B-C50C-407E-A947-70E740481C1C}">
              <a14:useLocalDpi xmlns:a14="http://schemas.microsoft.com/office/drawing/2010/main" val="0"/>
            </a:ext>
          </a:extLst>
        </a:blip>
        <a:srcRect/>
        <a:stretch>
          <a:fillRect/>
        </a:stretch>
      </xdr:blipFill>
      <xdr:spPr bwMode="auto">
        <a:xfrm>
          <a:off x="190500" y="236410500"/>
          <a:ext cx="8572500" cy="395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1264</xdr:row>
      <xdr:rowOff>0</xdr:rowOff>
    </xdr:from>
    <xdr:to>
      <xdr:col>10</xdr:col>
      <xdr:colOff>518160</xdr:colOff>
      <xdr:row>1270</xdr:row>
      <xdr:rowOff>22860</xdr:rowOff>
    </xdr:to>
    <xdr:pic>
      <xdr:nvPicPr>
        <xdr:cNvPr id="75" name="74 Imagen" descr="Image"/>
        <xdr:cNvPicPr>
          <a:picLocks noChangeAspect="1" noChangeArrowheads="1"/>
        </xdr:cNvPicPr>
      </xdr:nvPicPr>
      <xdr:blipFill>
        <a:blip xmlns:r="http://schemas.openxmlformats.org/officeDocument/2006/relationships" r:embed="rId73">
          <a:extLst>
            <a:ext uri="{28A0092B-C50C-407E-A947-70E740481C1C}">
              <a14:useLocalDpi xmlns:a14="http://schemas.microsoft.com/office/drawing/2010/main" val="0"/>
            </a:ext>
          </a:extLst>
        </a:blip>
        <a:srcRect/>
        <a:stretch>
          <a:fillRect/>
        </a:stretch>
      </xdr:blipFill>
      <xdr:spPr bwMode="auto">
        <a:xfrm>
          <a:off x="190500" y="240792000"/>
          <a:ext cx="8404860" cy="11658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1272</xdr:row>
      <xdr:rowOff>0</xdr:rowOff>
    </xdr:from>
    <xdr:to>
      <xdr:col>9</xdr:col>
      <xdr:colOff>96242</xdr:colOff>
      <xdr:row>1287</xdr:row>
      <xdr:rowOff>114715</xdr:rowOff>
    </xdr:to>
    <xdr:pic>
      <xdr:nvPicPr>
        <xdr:cNvPr id="76" name="75 Imagen"/>
        <xdr:cNvPicPr>
          <a:picLocks noChangeAspect="1"/>
        </xdr:cNvPicPr>
      </xdr:nvPicPr>
      <xdr:blipFill>
        <a:blip xmlns:r="http://schemas.openxmlformats.org/officeDocument/2006/relationships" r:embed="rId74"/>
        <a:stretch>
          <a:fillRect/>
        </a:stretch>
      </xdr:blipFill>
      <xdr:spPr>
        <a:xfrm>
          <a:off x="190500" y="242316000"/>
          <a:ext cx="7106642" cy="2972215"/>
        </a:xfrm>
        <a:prstGeom prst="rect">
          <a:avLst/>
        </a:prstGeom>
      </xdr:spPr>
    </xdr:pic>
    <xdr:clientData/>
  </xdr:twoCellAnchor>
  <xdr:twoCellAnchor editAs="oneCell">
    <xdr:from>
      <xdr:col>0</xdr:col>
      <xdr:colOff>152400</xdr:colOff>
      <xdr:row>1289</xdr:row>
      <xdr:rowOff>91440</xdr:rowOff>
    </xdr:from>
    <xdr:to>
      <xdr:col>9</xdr:col>
      <xdr:colOff>382037</xdr:colOff>
      <xdr:row>1302</xdr:row>
      <xdr:rowOff>44154</xdr:rowOff>
    </xdr:to>
    <xdr:pic>
      <xdr:nvPicPr>
        <xdr:cNvPr id="77" name="76 Imagen"/>
        <xdr:cNvPicPr>
          <a:picLocks noChangeAspect="1"/>
        </xdr:cNvPicPr>
      </xdr:nvPicPr>
      <xdr:blipFill>
        <a:blip xmlns:r="http://schemas.openxmlformats.org/officeDocument/2006/relationships" r:embed="rId75"/>
        <a:stretch>
          <a:fillRect/>
        </a:stretch>
      </xdr:blipFill>
      <xdr:spPr>
        <a:xfrm>
          <a:off x="152400" y="245645940"/>
          <a:ext cx="7430537" cy="2429214"/>
        </a:xfrm>
        <a:prstGeom prst="rect">
          <a:avLst/>
        </a:prstGeom>
      </xdr:spPr>
    </xdr:pic>
    <xdr:clientData/>
  </xdr:twoCellAnchor>
  <xdr:twoCellAnchor editAs="oneCell">
    <xdr:from>
      <xdr:col>1</xdr:col>
      <xdr:colOff>0</xdr:colOff>
      <xdr:row>1304</xdr:row>
      <xdr:rowOff>1</xdr:rowOff>
    </xdr:from>
    <xdr:to>
      <xdr:col>11</xdr:col>
      <xdr:colOff>571500</xdr:colOff>
      <xdr:row>1308</xdr:row>
      <xdr:rowOff>71439</xdr:rowOff>
    </xdr:to>
    <xdr:pic>
      <xdr:nvPicPr>
        <xdr:cNvPr id="78" name="77 Imagen"/>
        <xdr:cNvPicPr>
          <a:picLocks noChangeAspect="1"/>
        </xdr:cNvPicPr>
      </xdr:nvPicPr>
      <xdr:blipFill>
        <a:blip xmlns:r="http://schemas.openxmlformats.org/officeDocument/2006/relationships" r:embed="rId76"/>
        <a:stretch>
          <a:fillRect/>
        </a:stretch>
      </xdr:blipFill>
      <xdr:spPr>
        <a:xfrm>
          <a:off x="190500" y="248412001"/>
          <a:ext cx="9334500" cy="833438"/>
        </a:xfrm>
        <a:prstGeom prst="rect">
          <a:avLst/>
        </a:prstGeom>
      </xdr:spPr>
    </xdr:pic>
    <xdr:clientData/>
  </xdr:twoCellAnchor>
  <xdr:twoCellAnchor editAs="oneCell">
    <xdr:from>
      <xdr:col>1</xdr:col>
      <xdr:colOff>0</xdr:colOff>
      <xdr:row>1310</xdr:row>
      <xdr:rowOff>0</xdr:rowOff>
    </xdr:from>
    <xdr:to>
      <xdr:col>11</xdr:col>
      <xdr:colOff>496592</xdr:colOff>
      <xdr:row>1341</xdr:row>
      <xdr:rowOff>67509</xdr:rowOff>
    </xdr:to>
    <xdr:pic>
      <xdr:nvPicPr>
        <xdr:cNvPr id="80" name="79 Imagen"/>
        <xdr:cNvPicPr>
          <a:picLocks noChangeAspect="1"/>
        </xdr:cNvPicPr>
      </xdr:nvPicPr>
      <xdr:blipFill>
        <a:blip xmlns:r="http://schemas.openxmlformats.org/officeDocument/2006/relationships" r:embed="rId77"/>
        <a:stretch>
          <a:fillRect/>
        </a:stretch>
      </xdr:blipFill>
      <xdr:spPr>
        <a:xfrm>
          <a:off x="190500" y="249555000"/>
          <a:ext cx="9259592" cy="5973009"/>
        </a:xfrm>
        <a:prstGeom prst="rect">
          <a:avLst/>
        </a:prstGeom>
      </xdr:spPr>
    </xdr:pic>
    <xdr:clientData/>
  </xdr:twoCellAnchor>
  <xdr:twoCellAnchor editAs="oneCell">
    <xdr:from>
      <xdr:col>1</xdr:col>
      <xdr:colOff>15240</xdr:colOff>
      <xdr:row>1345</xdr:row>
      <xdr:rowOff>118862</xdr:rowOff>
    </xdr:from>
    <xdr:to>
      <xdr:col>13</xdr:col>
      <xdr:colOff>714531</xdr:colOff>
      <xdr:row>1357</xdr:row>
      <xdr:rowOff>61369</xdr:rowOff>
    </xdr:to>
    <xdr:pic>
      <xdr:nvPicPr>
        <xdr:cNvPr id="79" name="78 Imagen"/>
        <xdr:cNvPicPr>
          <a:picLocks noChangeAspect="1"/>
        </xdr:cNvPicPr>
      </xdr:nvPicPr>
      <xdr:blipFill>
        <a:blip xmlns:r="http://schemas.openxmlformats.org/officeDocument/2006/relationships" r:embed="rId78"/>
        <a:stretch>
          <a:fillRect/>
        </a:stretch>
      </xdr:blipFill>
      <xdr:spPr>
        <a:xfrm>
          <a:off x="205740" y="256341362"/>
          <a:ext cx="11214891" cy="2228507"/>
        </a:xfrm>
        <a:prstGeom prst="rect">
          <a:avLst/>
        </a:prstGeom>
      </xdr:spPr>
    </xdr:pic>
    <xdr:clientData/>
  </xdr:twoCellAnchor>
  <xdr:twoCellAnchor editAs="oneCell">
    <xdr:from>
      <xdr:col>1</xdr:col>
      <xdr:colOff>0</xdr:colOff>
      <xdr:row>1361</xdr:row>
      <xdr:rowOff>0</xdr:rowOff>
    </xdr:from>
    <xdr:to>
      <xdr:col>11</xdr:col>
      <xdr:colOff>515645</xdr:colOff>
      <xdr:row>1387</xdr:row>
      <xdr:rowOff>95955</xdr:rowOff>
    </xdr:to>
    <xdr:pic>
      <xdr:nvPicPr>
        <xdr:cNvPr id="81" name="80 Imagen"/>
        <xdr:cNvPicPr>
          <a:picLocks noChangeAspect="1"/>
        </xdr:cNvPicPr>
      </xdr:nvPicPr>
      <xdr:blipFill>
        <a:blip xmlns:r="http://schemas.openxmlformats.org/officeDocument/2006/relationships" r:embed="rId79"/>
        <a:stretch>
          <a:fillRect/>
        </a:stretch>
      </xdr:blipFill>
      <xdr:spPr>
        <a:xfrm>
          <a:off x="190500" y="259270500"/>
          <a:ext cx="9278645" cy="5048955"/>
        </a:xfrm>
        <a:prstGeom prst="rect">
          <a:avLst/>
        </a:prstGeom>
      </xdr:spPr>
    </xdr:pic>
    <xdr:clientData/>
  </xdr:twoCellAnchor>
  <xdr:twoCellAnchor editAs="oneCell">
    <xdr:from>
      <xdr:col>1</xdr:col>
      <xdr:colOff>0</xdr:colOff>
      <xdr:row>1389</xdr:row>
      <xdr:rowOff>0</xdr:rowOff>
    </xdr:from>
    <xdr:to>
      <xdr:col>11</xdr:col>
      <xdr:colOff>210802</xdr:colOff>
      <xdr:row>1417</xdr:row>
      <xdr:rowOff>38850</xdr:rowOff>
    </xdr:to>
    <xdr:pic>
      <xdr:nvPicPr>
        <xdr:cNvPr id="82" name="81 Imagen"/>
        <xdr:cNvPicPr>
          <a:picLocks noChangeAspect="1"/>
        </xdr:cNvPicPr>
      </xdr:nvPicPr>
      <xdr:blipFill>
        <a:blip xmlns:r="http://schemas.openxmlformats.org/officeDocument/2006/relationships" r:embed="rId80"/>
        <a:stretch>
          <a:fillRect/>
        </a:stretch>
      </xdr:blipFill>
      <xdr:spPr>
        <a:xfrm>
          <a:off x="190500" y="264604500"/>
          <a:ext cx="8973802" cy="5372850"/>
        </a:xfrm>
        <a:prstGeom prst="rect">
          <a:avLst/>
        </a:prstGeom>
      </xdr:spPr>
    </xdr:pic>
    <xdr:clientData/>
  </xdr:twoCellAnchor>
  <xdr:twoCellAnchor editAs="oneCell">
    <xdr:from>
      <xdr:col>1</xdr:col>
      <xdr:colOff>0</xdr:colOff>
      <xdr:row>1418</xdr:row>
      <xdr:rowOff>0</xdr:rowOff>
    </xdr:from>
    <xdr:to>
      <xdr:col>11</xdr:col>
      <xdr:colOff>429908</xdr:colOff>
      <xdr:row>1447</xdr:row>
      <xdr:rowOff>86508</xdr:rowOff>
    </xdr:to>
    <xdr:pic>
      <xdr:nvPicPr>
        <xdr:cNvPr id="83" name="82 Imagen"/>
        <xdr:cNvPicPr>
          <a:picLocks noChangeAspect="1"/>
        </xdr:cNvPicPr>
      </xdr:nvPicPr>
      <xdr:blipFill>
        <a:blip xmlns:r="http://schemas.openxmlformats.org/officeDocument/2006/relationships" r:embed="rId81"/>
        <a:stretch>
          <a:fillRect/>
        </a:stretch>
      </xdr:blipFill>
      <xdr:spPr>
        <a:xfrm>
          <a:off x="190500" y="270129000"/>
          <a:ext cx="9192908" cy="5611008"/>
        </a:xfrm>
        <a:prstGeom prst="rect">
          <a:avLst/>
        </a:prstGeom>
      </xdr:spPr>
    </xdr:pic>
    <xdr:clientData/>
  </xdr:twoCellAnchor>
  <xdr:twoCellAnchor editAs="oneCell">
    <xdr:from>
      <xdr:col>1</xdr:col>
      <xdr:colOff>0</xdr:colOff>
      <xdr:row>1449</xdr:row>
      <xdr:rowOff>0</xdr:rowOff>
    </xdr:from>
    <xdr:to>
      <xdr:col>11</xdr:col>
      <xdr:colOff>220329</xdr:colOff>
      <xdr:row>1470</xdr:row>
      <xdr:rowOff>10085</xdr:rowOff>
    </xdr:to>
    <xdr:pic>
      <xdr:nvPicPr>
        <xdr:cNvPr id="84" name="83 Imagen"/>
        <xdr:cNvPicPr>
          <a:picLocks noChangeAspect="1"/>
        </xdr:cNvPicPr>
      </xdr:nvPicPr>
      <xdr:blipFill>
        <a:blip xmlns:r="http://schemas.openxmlformats.org/officeDocument/2006/relationships" r:embed="rId82"/>
        <a:stretch>
          <a:fillRect/>
        </a:stretch>
      </xdr:blipFill>
      <xdr:spPr>
        <a:xfrm>
          <a:off x="190500" y="276034500"/>
          <a:ext cx="8983329" cy="40105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b/Documents/Inversi&#243;n/Cleaves/Cleaves%20Vessels%20Valu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ock Valuation"/>
      <sheetName val="Cleaves Vessels Value"/>
      <sheetName val="Tanker_Sales"/>
      <sheetName val="DB_Sales"/>
      <sheetName val="Shipping"/>
      <sheetName val="OrderBook"/>
      <sheetName val="Tanker_NB"/>
      <sheetName val="DB_NB"/>
      <sheetName val="Shorts"/>
      <sheetName val="Calculator"/>
      <sheetName val="Exchange"/>
      <sheetName val="WS"/>
      <sheetName val="Refieneries"/>
      <sheetName val="Notes"/>
      <sheetName val="Fleet_utilization"/>
    </sheetNames>
    <sheetDataSet>
      <sheetData sheetId="0">
        <row r="10">
          <cell r="C10">
            <v>18.86</v>
          </cell>
        </row>
      </sheetData>
      <sheetData sheetId="1">
        <row r="9">
          <cell r="C9">
            <v>319.5</v>
          </cell>
        </row>
        <row r="11">
          <cell r="C11">
            <v>9.2370370370370245E-3</v>
          </cell>
          <cell r="D11">
            <v>-0.43060317460317415</v>
          </cell>
          <cell r="E11">
            <v>0.87875661375661041</v>
          </cell>
          <cell r="F11">
            <v>128.24682539682541</v>
          </cell>
        </row>
      </sheetData>
      <sheetData sheetId="2">
        <row r="3">
          <cell r="B3">
            <v>10.31</v>
          </cell>
        </row>
      </sheetData>
      <sheetData sheetId="3"/>
      <sheetData sheetId="4"/>
      <sheetData sheetId="5"/>
      <sheetData sheetId="6"/>
      <sheetData sheetId="7"/>
      <sheetData sheetId="8"/>
      <sheetData sheetId="9"/>
      <sheetData sheetId="10"/>
      <sheetData sheetId="11"/>
      <sheetData sheetId="12"/>
      <sheetData sheetId="13"/>
      <sheetData sheetId="14"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info@shippingupmore.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7"/>
  <sheetViews>
    <sheetView showGridLines="0" topLeftCell="A16" zoomScale="85" zoomScaleNormal="85" workbookViewId="0">
      <selection activeCell="B37" sqref="B37"/>
    </sheetView>
  </sheetViews>
  <sheetFormatPr baseColWidth="10" defaultColWidth="0" defaultRowHeight="14.4" customHeight="1" zeroHeight="1" x14ac:dyDescent="0.3"/>
  <cols>
    <col min="1" max="1" width="29.33203125" bestFit="1" customWidth="1"/>
    <col min="2" max="19" width="11.5546875" customWidth="1"/>
  </cols>
  <sheetData>
    <row r="1" spans="1:8" ht="14.4" customHeight="1" x14ac:dyDescent="0.3"/>
    <row r="2" spans="1:8" ht="14.4" customHeight="1" thickBot="1" x14ac:dyDescent="0.35"/>
    <row r="3" spans="1:8" ht="14.4" customHeight="1" x14ac:dyDescent="0.3">
      <c r="A3" s="40" t="s">
        <v>234</v>
      </c>
      <c r="F3" s="125" t="s">
        <v>241</v>
      </c>
      <c r="G3" s="70"/>
      <c r="H3" s="76"/>
    </row>
    <row r="4" spans="1:8" ht="14.4" customHeight="1" x14ac:dyDescent="0.3">
      <c r="A4" t="s">
        <v>235</v>
      </c>
      <c r="F4" s="126" t="s">
        <v>250</v>
      </c>
      <c r="G4" s="32"/>
      <c r="H4" s="87"/>
    </row>
    <row r="5" spans="1:8" ht="14.4" customHeight="1" x14ac:dyDescent="0.3">
      <c r="A5" t="s">
        <v>236</v>
      </c>
      <c r="F5" s="126" t="s">
        <v>251</v>
      </c>
      <c r="G5" s="32"/>
      <c r="H5" s="87"/>
    </row>
    <row r="6" spans="1:8" ht="14.4" customHeight="1" x14ac:dyDescent="0.3">
      <c r="F6" s="127" t="s">
        <v>242</v>
      </c>
      <c r="G6" s="32"/>
      <c r="H6" s="87"/>
    </row>
    <row r="7" spans="1:8" ht="14.4" customHeight="1" thickBot="1" x14ac:dyDescent="0.35">
      <c r="F7" s="128"/>
      <c r="G7" s="90"/>
      <c r="H7" s="129"/>
    </row>
    <row r="8" spans="1:8" ht="14.4" customHeight="1" x14ac:dyDescent="0.3"/>
    <row r="9" spans="1:8" ht="14.4" customHeight="1" x14ac:dyDescent="0.3"/>
    <row r="10" spans="1:8" s="133" customFormat="1" ht="14.4" customHeight="1" x14ac:dyDescent="0.3">
      <c r="A10" s="183" t="s">
        <v>208</v>
      </c>
    </row>
    <row r="11" spans="1:8" ht="14.4" customHeight="1" x14ac:dyDescent="0.3">
      <c r="A11" s="107" t="s">
        <v>221</v>
      </c>
    </row>
    <row r="12" spans="1:8" ht="14.4" customHeight="1" x14ac:dyDescent="0.3">
      <c r="A12" s="107" t="s">
        <v>222</v>
      </c>
    </row>
    <row r="13" spans="1:8" ht="14.4" customHeight="1" x14ac:dyDescent="0.3">
      <c r="A13" s="107"/>
    </row>
    <row r="14" spans="1:8" ht="14.4" customHeight="1" x14ac:dyDescent="0.3">
      <c r="A14" s="107"/>
    </row>
    <row r="15" spans="1:8" ht="14.4" customHeight="1" x14ac:dyDescent="0.3">
      <c r="A15" s="107"/>
    </row>
    <row r="16" spans="1:8" s="133" customFormat="1" ht="14.4" customHeight="1" x14ac:dyDescent="0.3">
      <c r="A16" s="184" t="s">
        <v>302</v>
      </c>
    </row>
    <row r="17" spans="1:2" ht="14.4" customHeight="1" x14ac:dyDescent="0.3">
      <c r="A17" s="105" t="s">
        <v>216</v>
      </c>
      <c r="B17" t="s">
        <v>223</v>
      </c>
    </row>
    <row r="18" spans="1:2" ht="14.4" customHeight="1" x14ac:dyDescent="0.3">
      <c r="A18" s="106" t="s">
        <v>217</v>
      </c>
      <c r="B18" t="s">
        <v>218</v>
      </c>
    </row>
    <row r="19" spans="1:2" ht="14.4" customHeight="1" x14ac:dyDescent="0.3">
      <c r="A19" t="s">
        <v>224</v>
      </c>
      <c r="B19" t="s">
        <v>225</v>
      </c>
    </row>
    <row r="20" spans="1:2" ht="14.4" customHeight="1" x14ac:dyDescent="0.3">
      <c r="A20" s="190" t="s">
        <v>240</v>
      </c>
      <c r="B20" s="40" t="s">
        <v>303</v>
      </c>
    </row>
    <row r="21" spans="1:2" s="30" customFormat="1" ht="14.4" customHeight="1" x14ac:dyDescent="0.3">
      <c r="A21" s="113"/>
    </row>
    <row r="22" spans="1:2" s="30" customFormat="1" ht="14.4" customHeight="1" x14ac:dyDescent="0.3">
      <c r="A22" s="113"/>
    </row>
    <row r="23" spans="1:2" ht="14.4" customHeight="1" x14ac:dyDescent="0.3"/>
    <row r="24" spans="1:2" s="116" customFormat="1" ht="14.4" customHeight="1" x14ac:dyDescent="0.3">
      <c r="A24" s="185" t="s">
        <v>233</v>
      </c>
    </row>
    <row r="25" spans="1:2" ht="14.4" customHeight="1" x14ac:dyDescent="0.3">
      <c r="A25" t="s">
        <v>237</v>
      </c>
      <c r="B25" t="s">
        <v>278</v>
      </c>
    </row>
    <row r="26" spans="1:2" ht="14.4" customHeight="1" x14ac:dyDescent="0.3">
      <c r="A26" s="114" t="s">
        <v>277</v>
      </c>
      <c r="B26" t="s">
        <v>279</v>
      </c>
    </row>
    <row r="27" spans="1:2" ht="14.4" customHeight="1" x14ac:dyDescent="0.3">
      <c r="A27" s="114" t="s">
        <v>275</v>
      </c>
      <c r="B27" t="s">
        <v>276</v>
      </c>
    </row>
    <row r="28" spans="1:2" ht="14.4" customHeight="1" x14ac:dyDescent="0.3">
      <c r="A28" s="114" t="s">
        <v>201</v>
      </c>
      <c r="B28" t="s">
        <v>280</v>
      </c>
    </row>
    <row r="29" spans="1:2" ht="14.4" customHeight="1" x14ac:dyDescent="0.3">
      <c r="A29" s="114" t="s">
        <v>274</v>
      </c>
      <c r="B29" t="s">
        <v>281</v>
      </c>
    </row>
    <row r="30" spans="1:2" ht="14.4" customHeight="1" x14ac:dyDescent="0.3">
      <c r="A30" s="114" t="s">
        <v>273</v>
      </c>
      <c r="B30" t="s">
        <v>202</v>
      </c>
    </row>
    <row r="31" spans="1:2" ht="14.4" customHeight="1" x14ac:dyDescent="0.3">
      <c r="A31" s="114" t="s">
        <v>272</v>
      </c>
      <c r="B31" t="s">
        <v>203</v>
      </c>
    </row>
    <row r="32" spans="1:2" ht="14.4" customHeight="1" x14ac:dyDescent="0.3">
      <c r="A32" s="114" t="s">
        <v>271</v>
      </c>
      <c r="B32" t="s">
        <v>204</v>
      </c>
    </row>
    <row r="33" spans="1:2" ht="14.4" customHeight="1" x14ac:dyDescent="0.3">
      <c r="A33" s="114" t="s">
        <v>205</v>
      </c>
      <c r="B33" t="s">
        <v>206</v>
      </c>
    </row>
    <row r="34" spans="1:2" ht="14.4" customHeight="1" x14ac:dyDescent="0.3">
      <c r="A34" s="114" t="s">
        <v>207</v>
      </c>
      <c r="B34" t="s">
        <v>282</v>
      </c>
    </row>
    <row r="35" spans="1:2" ht="14.4" customHeight="1" x14ac:dyDescent="0.3">
      <c r="A35" t="s">
        <v>215</v>
      </c>
      <c r="B35" t="s">
        <v>238</v>
      </c>
    </row>
    <row r="36" spans="1:2" ht="14.4" customHeight="1" x14ac:dyDescent="0.3">
      <c r="A36" t="s">
        <v>270</v>
      </c>
      <c r="B36" t="s">
        <v>269</v>
      </c>
    </row>
    <row r="37" spans="1:2" ht="14.4" customHeight="1" x14ac:dyDescent="0.3">
      <c r="A37" s="13"/>
    </row>
    <row r="38" spans="1:2" ht="14.4" customHeight="1" x14ac:dyDescent="0.3">
      <c r="A38" s="115" t="s">
        <v>209</v>
      </c>
    </row>
    <row r="39" spans="1:2" ht="14.4" customHeight="1" x14ac:dyDescent="0.3">
      <c r="A39" t="s">
        <v>210</v>
      </c>
      <c r="B39" t="s">
        <v>214</v>
      </c>
    </row>
    <row r="40" spans="1:2" ht="14.4" customHeight="1" x14ac:dyDescent="0.3">
      <c r="A40" s="196" t="s">
        <v>320</v>
      </c>
      <c r="B40" t="s">
        <v>212</v>
      </c>
    </row>
    <row r="41" spans="1:2" ht="14.4" customHeight="1" x14ac:dyDescent="0.3">
      <c r="A41" s="191" t="s">
        <v>211</v>
      </c>
      <c r="B41" t="s">
        <v>213</v>
      </c>
    </row>
    <row r="42" spans="1:2" ht="14.4" customHeight="1" x14ac:dyDescent="0.3"/>
    <row r="43" spans="1:2" ht="14.4" customHeight="1" x14ac:dyDescent="0.3"/>
    <row r="44" spans="1:2" ht="14.4" customHeight="1" x14ac:dyDescent="0.3"/>
    <row r="45" spans="1:2" s="116" customFormat="1" ht="14.4" customHeight="1" x14ac:dyDescent="0.3">
      <c r="A45" s="185" t="s">
        <v>227</v>
      </c>
    </row>
    <row r="46" spans="1:2" ht="14.4" customHeight="1" x14ac:dyDescent="0.3">
      <c r="A46" t="s">
        <v>231</v>
      </c>
    </row>
    <row r="47" spans="1:2" ht="14.4" customHeight="1" x14ac:dyDescent="0.3">
      <c r="A47" t="s">
        <v>304</v>
      </c>
      <c r="B47" t="s">
        <v>305</v>
      </c>
    </row>
    <row r="48" spans="1:2" ht="14.4" customHeight="1" x14ac:dyDescent="0.3">
      <c r="A48" t="s">
        <v>307</v>
      </c>
      <c r="B48" t="s">
        <v>308</v>
      </c>
    </row>
    <row r="49" spans="1:2" s="32" customFormat="1" ht="14.4" customHeight="1" x14ac:dyDescent="0.3">
      <c r="A49" s="42" t="s">
        <v>226</v>
      </c>
    </row>
    <row r="50" spans="1:2" ht="14.4" customHeight="1" x14ac:dyDescent="0.3">
      <c r="A50" t="s">
        <v>239</v>
      </c>
    </row>
    <row r="51" spans="1:2" ht="14.4" customHeight="1" x14ac:dyDescent="0.3"/>
    <row r="52" spans="1:2" ht="14.4" customHeight="1" x14ac:dyDescent="0.3"/>
    <row r="53" spans="1:2" ht="14.4" customHeight="1" x14ac:dyDescent="0.3"/>
    <row r="54" spans="1:2" s="116" customFormat="1" ht="14.4" customHeight="1" x14ac:dyDescent="0.3">
      <c r="A54" s="185" t="s">
        <v>228</v>
      </c>
    </row>
    <row r="55" spans="1:2" ht="14.4" customHeight="1" x14ac:dyDescent="0.3">
      <c r="A55" t="s">
        <v>229</v>
      </c>
    </row>
    <row r="56" spans="1:2" ht="14.4" customHeight="1" x14ac:dyDescent="0.3">
      <c r="A56" t="s">
        <v>310</v>
      </c>
      <c r="B56" t="s">
        <v>311</v>
      </c>
    </row>
    <row r="57" spans="1:2" ht="14.4" customHeight="1" x14ac:dyDescent="0.3">
      <c r="A57" t="s">
        <v>312</v>
      </c>
      <c r="B57" t="s">
        <v>313</v>
      </c>
    </row>
    <row r="58" spans="1:2" ht="14.4" customHeight="1" x14ac:dyDescent="0.3">
      <c r="A58" t="s">
        <v>314</v>
      </c>
      <c r="B58" t="s">
        <v>315</v>
      </c>
    </row>
    <row r="59" spans="1:2" s="32" customFormat="1" ht="14.4" customHeight="1" x14ac:dyDescent="0.3">
      <c r="A59" s="42" t="s">
        <v>219</v>
      </c>
    </row>
    <row r="60" spans="1:2" ht="14.4" customHeight="1" x14ac:dyDescent="0.3">
      <c r="A60" t="s">
        <v>316</v>
      </c>
    </row>
    <row r="61" spans="1:2" ht="14.4" customHeight="1" x14ac:dyDescent="0.3">
      <c r="A61" t="s">
        <v>317</v>
      </c>
    </row>
    <row r="62" spans="1:2" ht="14.4" customHeight="1" x14ac:dyDescent="0.3">
      <c r="A62" t="s">
        <v>318</v>
      </c>
    </row>
    <row r="63" spans="1:2" ht="14.4" customHeight="1" x14ac:dyDescent="0.3"/>
    <row r="64" spans="1:2" ht="14.4" customHeight="1" x14ac:dyDescent="0.3"/>
    <row r="65" spans="1:1" ht="14.4" customHeight="1" x14ac:dyDescent="0.3"/>
    <row r="66" spans="1:1" s="116" customFormat="1" ht="14.4" customHeight="1" x14ac:dyDescent="0.3">
      <c r="A66" s="185" t="s">
        <v>230</v>
      </c>
    </row>
    <row r="67" spans="1:1" ht="14.4" customHeight="1" x14ac:dyDescent="0.3">
      <c r="A67" t="s">
        <v>232</v>
      </c>
    </row>
    <row r="68" spans="1:1" ht="14.4" customHeight="1" x14ac:dyDescent="0.3">
      <c r="A68" t="s">
        <v>319</v>
      </c>
    </row>
    <row r="69" spans="1:1" s="32" customFormat="1" ht="14.4" customHeight="1" x14ac:dyDescent="0.3">
      <c r="A69" s="42" t="s">
        <v>220</v>
      </c>
    </row>
    <row r="70" spans="1:1" ht="14.4" customHeight="1" x14ac:dyDescent="0.3"/>
    <row r="71" spans="1:1" ht="14.4" customHeight="1" x14ac:dyDescent="0.3"/>
    <row r="72" spans="1:1" ht="14.4" customHeight="1" x14ac:dyDescent="0.3"/>
    <row r="73" spans="1:1" s="116" customFormat="1" ht="14.4" customHeight="1" x14ac:dyDescent="0.3">
      <c r="A73" s="186" t="s">
        <v>248</v>
      </c>
    </row>
    <row r="74" spans="1:1" ht="14.4" customHeight="1" x14ac:dyDescent="0.3">
      <c r="A74" t="s">
        <v>249</v>
      </c>
    </row>
    <row r="75" spans="1:1" ht="14.4" customHeight="1" x14ac:dyDescent="0.3"/>
    <row r="76" spans="1:1" ht="14.4" customHeight="1" x14ac:dyDescent="0.3"/>
    <row r="77" spans="1:1" ht="14.4" customHeight="1" x14ac:dyDescent="0.3"/>
  </sheetData>
  <hyperlinks>
    <hyperlink ref="F6" r:id="rId1"/>
    <hyperlink ref="A24" location="NAV!A1" display="NAV Content"/>
    <hyperlink ref="A45" location="'P&amp;L'!A1" display="P&amp;L Content"/>
    <hyperlink ref="A54" location="Balance!A1" display="BALANCE Content"/>
    <hyperlink ref="A66" location="CashFlow!A1" display="CASH FLOW Content"/>
    <hyperlink ref="A73" location="Notes!A1360" display="Notes"/>
  </hyperlinks>
  <pageMargins left="0.7" right="0.7" top="0.75" bottom="0.75" header="0.3" footer="0.3"/>
  <pageSetup paperSize="9" orientation="portrait" horizontalDpi="0" verticalDpi="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tabColor theme="1"/>
  </sheetPr>
  <dimension ref="B1:AN60"/>
  <sheetViews>
    <sheetView showGridLines="0" topLeftCell="A4" zoomScale="70" zoomScaleNormal="70" workbookViewId="0">
      <selection activeCell="E19" sqref="E19"/>
    </sheetView>
  </sheetViews>
  <sheetFormatPr baseColWidth="10" defaultColWidth="0" defaultRowHeight="14.4" customHeight="1" zeroHeight="1" outlineLevelCol="1" x14ac:dyDescent="0.3"/>
  <cols>
    <col min="1" max="1" width="2.77734375" customWidth="1"/>
    <col min="2" max="2" width="18.6640625" bestFit="1" customWidth="1"/>
    <col min="3" max="12" width="10.77734375" customWidth="1"/>
    <col min="13" max="13" width="2.77734375" customWidth="1"/>
    <col min="14" max="14" width="21.5546875" customWidth="1"/>
    <col min="15" max="20" width="10.77734375" hidden="1" customWidth="1" outlineLevel="1"/>
    <col min="21" max="21" width="10.77734375" hidden="1" customWidth="1" outlineLevel="1" collapsed="1"/>
    <col min="22" max="25" width="10.77734375" hidden="1" customWidth="1" outlineLevel="1"/>
    <col min="26" max="26" width="10.77734375" customWidth="1" collapsed="1"/>
    <col min="27" max="31" width="10.77734375" customWidth="1"/>
    <col min="32" max="40" width="10.77734375" hidden="1" customWidth="1"/>
  </cols>
  <sheetData>
    <row r="1" spans="2:30" ht="14.4" customHeight="1" thickTop="1" thickBot="1" x14ac:dyDescent="0.35">
      <c r="B1" s="181" t="s">
        <v>54</v>
      </c>
      <c r="C1" s="182" t="s">
        <v>56</v>
      </c>
      <c r="D1" s="182" t="s">
        <v>252</v>
      </c>
      <c r="E1" s="182" t="s">
        <v>263</v>
      </c>
      <c r="F1" s="182" t="s">
        <v>57</v>
      </c>
      <c r="G1" s="182" t="s">
        <v>55</v>
      </c>
      <c r="H1" s="182" t="s">
        <v>297</v>
      </c>
      <c r="I1" s="182" t="s">
        <v>298</v>
      </c>
      <c r="J1" s="182" t="s">
        <v>299</v>
      </c>
      <c r="K1" s="182" t="s">
        <v>300</v>
      </c>
      <c r="L1" s="182" t="s">
        <v>301</v>
      </c>
      <c r="N1" s="136" t="s">
        <v>199</v>
      </c>
    </row>
    <row r="2" spans="2:30" ht="14.4" customHeight="1" thickTop="1" thickBot="1" x14ac:dyDescent="0.35">
      <c r="B2" t="s">
        <v>58</v>
      </c>
      <c r="C2" s="31" t="s">
        <v>27</v>
      </c>
      <c r="D2" s="31" t="s">
        <v>260</v>
      </c>
      <c r="E2" s="31" t="s">
        <v>264</v>
      </c>
      <c r="F2" s="96">
        <v>1</v>
      </c>
      <c r="G2" s="97">
        <v>43101</v>
      </c>
      <c r="H2" s="98">
        <f t="shared" ref="H2:H20" ca="1" si="0">(TODAY()-G2)/365</f>
        <v>8.3506849315068497</v>
      </c>
      <c r="I2" s="99">
        <f t="shared" ref="I2:I24" ca="1" si="1">$C$42*H2^3+$F$42*H2^2+$G$42*H2+$H$42</f>
        <v>110.93635780919395</v>
      </c>
      <c r="J2" s="99">
        <f t="shared" ref="J2:J24" ca="1" si="2">I2*$C$45</f>
        <v>119.81126643392948</v>
      </c>
      <c r="K2" s="31">
        <v>1</v>
      </c>
      <c r="L2" s="31" t="s">
        <v>60</v>
      </c>
      <c r="N2" s="108">
        <f>'[1]Stock Valuation'!$C$10</f>
        <v>18.86</v>
      </c>
    </row>
    <row r="3" spans="2:30" ht="14.4" customHeight="1" thickTop="1" thickBot="1" x14ac:dyDescent="0.35">
      <c r="B3" t="s">
        <v>59</v>
      </c>
      <c r="C3" s="31" t="s">
        <v>27</v>
      </c>
      <c r="D3" s="31" t="s">
        <v>260</v>
      </c>
      <c r="E3" s="31" t="s">
        <v>264</v>
      </c>
      <c r="F3" s="96">
        <v>1</v>
      </c>
      <c r="G3" s="97">
        <v>43101</v>
      </c>
      <c r="H3" s="98">
        <f t="shared" ca="1" si="0"/>
        <v>8.3506849315068497</v>
      </c>
      <c r="I3" s="99">
        <f t="shared" ca="1" si="1"/>
        <v>110.93635780919395</v>
      </c>
      <c r="J3" s="99">
        <f t="shared" ca="1" si="2"/>
        <v>119.81126643392948</v>
      </c>
      <c r="K3" s="31">
        <v>1</v>
      </c>
      <c r="L3" s="31" t="s">
        <v>60</v>
      </c>
    </row>
    <row r="4" spans="2:30" ht="14.4" customHeight="1" thickBot="1" x14ac:dyDescent="0.35">
      <c r="B4" t="s">
        <v>61</v>
      </c>
      <c r="C4" s="31" t="s">
        <v>27</v>
      </c>
      <c r="D4" s="31" t="s">
        <v>261</v>
      </c>
      <c r="E4" s="31" t="s">
        <v>264</v>
      </c>
      <c r="F4" s="96">
        <v>1</v>
      </c>
      <c r="G4" s="97">
        <v>43101</v>
      </c>
      <c r="H4" s="98">
        <f t="shared" ca="1" si="0"/>
        <v>8.3506849315068497</v>
      </c>
      <c r="I4" s="99">
        <f t="shared" ca="1" si="1"/>
        <v>110.93635780919395</v>
      </c>
      <c r="J4" s="99">
        <f t="shared" ca="1" si="2"/>
        <v>119.81126643392948</v>
      </c>
      <c r="K4" s="31">
        <v>1</v>
      </c>
      <c r="L4" s="31" t="s">
        <v>60</v>
      </c>
      <c r="N4" s="151" t="s">
        <v>28</v>
      </c>
      <c r="O4" s="152" t="s">
        <v>13</v>
      </c>
      <c r="P4" s="152" t="s">
        <v>11</v>
      </c>
      <c r="Q4" s="152" t="s">
        <v>14</v>
      </c>
      <c r="R4" s="152" t="s">
        <v>49</v>
      </c>
      <c r="S4" s="152" t="s">
        <v>50</v>
      </c>
      <c r="T4" s="153" t="s">
        <v>51</v>
      </c>
      <c r="U4" s="153" t="s">
        <v>29</v>
      </c>
      <c r="V4" s="153" t="s">
        <v>168</v>
      </c>
      <c r="W4" s="153" t="s">
        <v>169</v>
      </c>
      <c r="X4" s="153" t="s">
        <v>170</v>
      </c>
      <c r="Y4" s="153" t="s">
        <v>171</v>
      </c>
      <c r="Z4" s="153" t="s">
        <v>186</v>
      </c>
      <c r="AA4" s="154" t="s">
        <v>187</v>
      </c>
      <c r="AB4" s="154" t="s">
        <v>188</v>
      </c>
      <c r="AC4" s="154" t="s">
        <v>189</v>
      </c>
      <c r="AD4" s="154" t="s">
        <v>285</v>
      </c>
    </row>
    <row r="5" spans="2:30" ht="14.4" customHeight="1" thickBot="1" x14ac:dyDescent="0.35">
      <c r="B5" t="s">
        <v>62</v>
      </c>
      <c r="C5" s="31" t="s">
        <v>27</v>
      </c>
      <c r="D5" s="31" t="s">
        <v>261</v>
      </c>
      <c r="E5" s="31" t="s">
        <v>264</v>
      </c>
      <c r="F5" s="96">
        <v>1</v>
      </c>
      <c r="G5" s="97">
        <v>43101</v>
      </c>
      <c r="H5" s="98">
        <f t="shared" ca="1" si="0"/>
        <v>8.3506849315068497</v>
      </c>
      <c r="I5" s="99">
        <f t="shared" ca="1" si="1"/>
        <v>110.93635780919395</v>
      </c>
      <c r="J5" s="99">
        <f t="shared" ca="1" si="2"/>
        <v>119.81126643392948</v>
      </c>
      <c r="K5" s="31">
        <v>1</v>
      </c>
      <c r="L5" s="31" t="s">
        <v>60</v>
      </c>
      <c r="N5" s="157" t="s">
        <v>30</v>
      </c>
      <c r="O5" s="158">
        <v>1809.9</v>
      </c>
      <c r="P5" s="158">
        <v>1809.9</v>
      </c>
      <c r="Q5" s="158">
        <v>1809.9</v>
      </c>
      <c r="R5" s="158">
        <v>1784.23</v>
      </c>
      <c r="S5" s="158">
        <v>1965.46</v>
      </c>
      <c r="T5" s="159">
        <v>1828.23</v>
      </c>
      <c r="U5" s="159">
        <v>1758.13</v>
      </c>
      <c r="V5" s="159">
        <v>1648.63</v>
      </c>
      <c r="W5" s="159">
        <v>1570.75</v>
      </c>
      <c r="X5" s="159">
        <v>1592.41</v>
      </c>
      <c r="Y5" s="159">
        <v>1694.96</v>
      </c>
      <c r="Z5" s="160">
        <v>2387.56</v>
      </c>
      <c r="AA5" s="160">
        <f ca="1">AA21*(SUM($J$2:$J$24))</f>
        <v>2565.9783152289706</v>
      </c>
      <c r="AB5" s="160">
        <f ca="1">AB21*(SUM($J$2:$J$24))</f>
        <v>2565.9783152289706</v>
      </c>
      <c r="AC5" s="160">
        <f ca="1">AC21*(SUM($J$2:$J$24))</f>
        <v>2553.1484236528258</v>
      </c>
      <c r="AD5" s="160">
        <f ca="1">AD21*(SUM($J$2:$J$24))</f>
        <v>2540.3185320766806</v>
      </c>
    </row>
    <row r="6" spans="2:30" ht="14.4" customHeight="1" thickTop="1" thickBot="1" x14ac:dyDescent="0.35">
      <c r="B6" t="s">
        <v>63</v>
      </c>
      <c r="C6" s="31" t="s">
        <v>27</v>
      </c>
      <c r="D6" s="31" t="s">
        <v>260</v>
      </c>
      <c r="E6" s="31" t="s">
        <v>264</v>
      </c>
      <c r="F6" s="96">
        <v>1</v>
      </c>
      <c r="G6" s="97">
        <v>42736</v>
      </c>
      <c r="H6" s="98">
        <f t="shared" ca="1" si="0"/>
        <v>9.3506849315068497</v>
      </c>
      <c r="I6" s="99">
        <f t="shared" ca="1" si="1"/>
        <v>106.365897087143</v>
      </c>
      <c r="J6" s="99">
        <f t="shared" ca="1" si="2"/>
        <v>114.87516885411445</v>
      </c>
      <c r="K6" s="31">
        <v>1</v>
      </c>
      <c r="L6" s="31" t="s">
        <v>60</v>
      </c>
      <c r="N6" s="58" t="s">
        <v>20</v>
      </c>
      <c r="O6" s="37">
        <f>-Balance!D45/1000</f>
        <v>-388.29899999999998</v>
      </c>
      <c r="P6" s="37">
        <f>-Balance!E45/1000</f>
        <v>-436.58</v>
      </c>
      <c r="Q6" s="37">
        <f>-Balance!F45/1000</f>
        <v>-428.72500000000002</v>
      </c>
      <c r="R6" s="37">
        <f>-Balance!G45/1000</f>
        <v>-397.78</v>
      </c>
      <c r="S6" s="37">
        <f>-Balance!H45/1000</f>
        <v>-414.60399999999998</v>
      </c>
      <c r="T6" s="59">
        <f>-Balance!I45/1000</f>
        <v>-407.62900000000002</v>
      </c>
      <c r="U6" s="59">
        <f>-Balance!J45/1000</f>
        <v>-409.42399999999998</v>
      </c>
      <c r="V6" s="59">
        <f>-Balance!K45/1000</f>
        <v>-364.072</v>
      </c>
      <c r="W6" s="59">
        <f>-Balance!L45/1000</f>
        <v>-302.80500000000001</v>
      </c>
      <c r="X6" s="59">
        <f>-Balance!M45/1000</f>
        <v>-268.52699999999999</v>
      </c>
      <c r="Y6" s="59">
        <f>-Balance!N45/1000</f>
        <v>-428.74400000000003</v>
      </c>
      <c r="Z6" s="138">
        <f>-Balance!O45/1000</f>
        <v>-505.34300000000002</v>
      </c>
      <c r="AA6" s="138">
        <f>-Balance!P45/1000</f>
        <v>-479.18124999999998</v>
      </c>
      <c r="AB6" s="138">
        <f>-Balance!Q45/1000</f>
        <v>-453.01949999999999</v>
      </c>
      <c r="AC6" s="138">
        <f>-Balance!R45/1000</f>
        <v>-426.85775000000001</v>
      </c>
      <c r="AD6" s="138">
        <f>-Balance!S45/1000</f>
        <v>-400.69600000000003</v>
      </c>
    </row>
    <row r="7" spans="2:30" ht="14.4" customHeight="1" thickTop="1" thickBot="1" x14ac:dyDescent="0.35">
      <c r="B7" t="s">
        <v>64</v>
      </c>
      <c r="C7" s="31" t="s">
        <v>27</v>
      </c>
      <c r="D7" s="31" t="s">
        <v>261</v>
      </c>
      <c r="E7" s="31" t="s">
        <v>264</v>
      </c>
      <c r="F7" s="96">
        <v>1</v>
      </c>
      <c r="G7" s="97">
        <v>42370</v>
      </c>
      <c r="H7" s="98">
        <f t="shared" ca="1" si="0"/>
        <v>10.353424657534246</v>
      </c>
      <c r="I7" s="99">
        <f t="shared" ca="1" si="1"/>
        <v>101.4385840105361</v>
      </c>
      <c r="J7" s="99">
        <f t="shared" ca="1" si="2"/>
        <v>109.553670731379</v>
      </c>
      <c r="K7" s="31">
        <v>1</v>
      </c>
      <c r="L7" s="31" t="s">
        <v>291</v>
      </c>
      <c r="N7" s="60" t="s">
        <v>31</v>
      </c>
      <c r="O7" s="37">
        <f>Balance!D3/1000</f>
        <v>130.649</v>
      </c>
      <c r="P7" s="37">
        <f>Balance!E3/1000</f>
        <v>73.92</v>
      </c>
      <c r="Q7" s="37">
        <f>Balance!F3/1000</f>
        <v>74.738</v>
      </c>
      <c r="R7" s="37">
        <f>Balance!G3/1000</f>
        <v>73.075999999999993</v>
      </c>
      <c r="S7" s="37">
        <f>Balance!H3/1000</f>
        <v>72.641999999999996</v>
      </c>
      <c r="T7" s="59">
        <f>Balance!I3/1000</f>
        <v>73.828999999999994</v>
      </c>
      <c r="U7" s="59">
        <f>Balance!J3/1000</f>
        <v>78.143000000000001</v>
      </c>
      <c r="V7" s="59">
        <f>Balance!K3/1000</f>
        <v>80.510000000000005</v>
      </c>
      <c r="W7" s="59">
        <f>Balance!L3/1000</f>
        <v>82.66</v>
      </c>
      <c r="X7" s="59">
        <f>Balance!M3/1000</f>
        <v>81.25</v>
      </c>
      <c r="Y7" s="59">
        <f>Balance!N3/1000</f>
        <v>79.034000000000006</v>
      </c>
      <c r="Z7" s="138">
        <f>Balance!O3/1000</f>
        <v>126.246</v>
      </c>
      <c r="AA7" s="138">
        <f>Balance!P3/1000</f>
        <v>181.39446386</v>
      </c>
      <c r="AB7" s="138">
        <f>Balance!Q3/1000</f>
        <v>182.38674375716298</v>
      </c>
      <c r="AC7" s="138">
        <f>Balance!R3/1000</f>
        <v>170.10443582628048</v>
      </c>
      <c r="AD7" s="138">
        <f>Balance!S3/1000</f>
        <v>124.25802468985063</v>
      </c>
    </row>
    <row r="8" spans="2:30" ht="14.4" customHeight="1" thickTop="1" thickBot="1" x14ac:dyDescent="0.35">
      <c r="B8" t="s">
        <v>65</v>
      </c>
      <c r="C8" s="31" t="s">
        <v>27</v>
      </c>
      <c r="D8" s="31" t="s">
        <v>261</v>
      </c>
      <c r="E8" s="31" t="s">
        <v>264</v>
      </c>
      <c r="F8" s="96">
        <v>1</v>
      </c>
      <c r="G8" s="97">
        <v>42370</v>
      </c>
      <c r="H8" s="98">
        <f t="shared" ca="1" si="0"/>
        <v>10.353424657534246</v>
      </c>
      <c r="I8" s="99">
        <f t="shared" ca="1" si="1"/>
        <v>101.4385840105361</v>
      </c>
      <c r="J8" s="99">
        <f t="shared" ca="1" si="2"/>
        <v>109.553670731379</v>
      </c>
      <c r="K8" s="31">
        <v>1</v>
      </c>
      <c r="L8" s="31" t="s">
        <v>293</v>
      </c>
      <c r="N8" s="58" t="s">
        <v>83</v>
      </c>
      <c r="O8" s="59">
        <f>Balance!D13/1000</f>
        <v>0</v>
      </c>
      <c r="P8" s="59">
        <f>Balance!E13/1000</f>
        <v>0</v>
      </c>
      <c r="Q8" s="59">
        <f>Balance!F13/1000</f>
        <v>0</v>
      </c>
      <c r="R8" s="59">
        <f>Balance!G13/1000</f>
        <v>4.2999999999999997E-2</v>
      </c>
      <c r="S8" s="59">
        <f>Balance!H13/1000</f>
        <v>51.866</v>
      </c>
      <c r="T8" s="59">
        <f>Balance!I13/1000</f>
        <v>78.87</v>
      </c>
      <c r="U8" s="59">
        <f>Balance!J13/1000</f>
        <v>93.177999999999997</v>
      </c>
      <c r="V8" s="59">
        <f>Balance!K13/1000</f>
        <v>120.679</v>
      </c>
      <c r="W8" s="59">
        <f>Balance!L13/1000</f>
        <v>161.32599999999999</v>
      </c>
      <c r="X8" s="59">
        <f>Balance!M13/1000</f>
        <v>190.88399999999999</v>
      </c>
      <c r="Y8" s="59">
        <f>Balance!N13/1000</f>
        <v>301.65100000000001</v>
      </c>
      <c r="Z8" s="138">
        <f>Balance!O13/1000</f>
        <v>55.676000000000002</v>
      </c>
      <c r="AA8" s="138">
        <f>Balance!P13/1000</f>
        <v>55.676000000000002</v>
      </c>
      <c r="AB8" s="138">
        <f>Balance!Q13/1000</f>
        <v>55.676000000000002</v>
      </c>
      <c r="AC8" s="138">
        <f>Balance!R13/1000</f>
        <v>55.676000000000002</v>
      </c>
      <c r="AD8" s="138">
        <f>Balance!S13/1000</f>
        <v>55.676000000000002</v>
      </c>
    </row>
    <row r="9" spans="2:30" ht="14.4" customHeight="1" thickTop="1" thickBot="1" x14ac:dyDescent="0.35">
      <c r="B9" t="s">
        <v>66</v>
      </c>
      <c r="C9" s="31" t="s">
        <v>27</v>
      </c>
      <c r="D9" s="31" t="s">
        <v>260</v>
      </c>
      <c r="E9" s="31" t="s">
        <v>264</v>
      </c>
      <c r="F9" s="96">
        <v>1</v>
      </c>
      <c r="G9" s="97">
        <v>42370</v>
      </c>
      <c r="H9" s="98">
        <f t="shared" ca="1" si="0"/>
        <v>10.353424657534246</v>
      </c>
      <c r="I9" s="99">
        <f t="shared" ca="1" si="1"/>
        <v>101.4385840105361</v>
      </c>
      <c r="J9" s="99">
        <f t="shared" ca="1" si="2"/>
        <v>109.553670731379</v>
      </c>
      <c r="K9" s="31">
        <v>1</v>
      </c>
      <c r="L9" s="31" t="s">
        <v>292</v>
      </c>
      <c r="N9" s="58" t="s">
        <v>84</v>
      </c>
      <c r="O9" s="37"/>
      <c r="P9" s="37"/>
      <c r="Q9" s="37"/>
      <c r="R9" s="37"/>
      <c r="S9" s="37"/>
      <c r="T9" s="59"/>
      <c r="U9" s="59"/>
      <c r="V9" s="59"/>
      <c r="W9" s="59"/>
      <c r="X9" s="59"/>
      <c r="Y9" s="59"/>
      <c r="Z9" s="138"/>
      <c r="AA9" s="138"/>
      <c r="AB9" s="138"/>
      <c r="AC9" s="138"/>
      <c r="AD9" s="138"/>
    </row>
    <row r="10" spans="2:30" ht="14.4" customHeight="1" thickTop="1" thickBot="1" x14ac:dyDescent="0.35">
      <c r="B10" t="s">
        <v>67</v>
      </c>
      <c r="C10" s="31" t="s">
        <v>27</v>
      </c>
      <c r="D10" s="31" t="s">
        <v>260</v>
      </c>
      <c r="E10" s="31" t="s">
        <v>264</v>
      </c>
      <c r="F10" s="96">
        <v>1</v>
      </c>
      <c r="G10" s="97">
        <v>42370</v>
      </c>
      <c r="H10" s="98">
        <f t="shared" ca="1" si="0"/>
        <v>10.353424657534246</v>
      </c>
      <c r="I10" s="99">
        <f t="shared" ca="1" si="1"/>
        <v>101.4385840105361</v>
      </c>
      <c r="J10" s="99">
        <f t="shared" ca="1" si="2"/>
        <v>109.553670731379</v>
      </c>
      <c r="K10" s="31">
        <v>1</v>
      </c>
      <c r="L10" s="31" t="s">
        <v>60</v>
      </c>
      <c r="N10" s="58" t="s">
        <v>8</v>
      </c>
      <c r="O10" s="37">
        <f>Balance!D53/1000</f>
        <v>85.426000000000002</v>
      </c>
      <c r="P10" s="37">
        <f>Balance!E53/1000</f>
        <v>80.691000000000003</v>
      </c>
      <c r="Q10" s="37">
        <f>Balance!F53/1000</f>
        <v>107.828</v>
      </c>
      <c r="R10" s="37">
        <f>Balance!G53/1000</f>
        <v>112.714</v>
      </c>
      <c r="S10" s="37">
        <f>Balance!H53/1000</f>
        <v>156.583</v>
      </c>
      <c r="T10" s="59">
        <f>Balance!I53/1000</f>
        <v>166.96100000000001</v>
      </c>
      <c r="U10" s="59">
        <f>Balance!J53/1000</f>
        <v>169.542</v>
      </c>
      <c r="V10" s="59">
        <f>Balance!K53/1000</f>
        <v>189.10499999999999</v>
      </c>
      <c r="W10" s="59">
        <f>Balance!L53/1000</f>
        <v>210.49799999999999</v>
      </c>
      <c r="X10" s="59">
        <f>Balance!M53/1000</f>
        <v>245.21700000000001</v>
      </c>
      <c r="Y10" s="59">
        <f>Balance!N53/1000</f>
        <v>370.584</v>
      </c>
      <c r="Z10" s="138">
        <f>Balance!O53/1000</f>
        <v>152.72200000000001</v>
      </c>
      <c r="AA10" s="138">
        <f>Balance!P53/1000</f>
        <v>152.72200000000001</v>
      </c>
      <c r="AB10" s="138">
        <f>Balance!Q53/1000</f>
        <v>152.72200000000001</v>
      </c>
      <c r="AC10" s="138">
        <f>Balance!R53/1000</f>
        <v>152.72200000000001</v>
      </c>
      <c r="AD10" s="138">
        <f>Balance!S53/1000</f>
        <v>152.72200000000001</v>
      </c>
    </row>
    <row r="11" spans="2:30" ht="14.4" customHeight="1" thickTop="1" thickBot="1" x14ac:dyDescent="0.35">
      <c r="B11" t="s">
        <v>68</v>
      </c>
      <c r="C11" s="31" t="s">
        <v>27</v>
      </c>
      <c r="D11" s="31" t="s">
        <v>260</v>
      </c>
      <c r="E11" s="31" t="s">
        <v>264</v>
      </c>
      <c r="F11" s="96">
        <v>1</v>
      </c>
      <c r="G11" s="97">
        <v>42370</v>
      </c>
      <c r="H11" s="98">
        <f t="shared" ca="1" si="0"/>
        <v>10.353424657534246</v>
      </c>
      <c r="I11" s="99">
        <f t="shared" ca="1" si="1"/>
        <v>101.4385840105361</v>
      </c>
      <c r="J11" s="99">
        <f t="shared" ca="1" si="2"/>
        <v>109.553670731379</v>
      </c>
      <c r="K11" s="31">
        <v>1</v>
      </c>
      <c r="L11" s="31" t="s">
        <v>60</v>
      </c>
      <c r="N11" s="61" t="s">
        <v>53</v>
      </c>
      <c r="O11" s="37">
        <f>COUNT(K2:K19)*2</f>
        <v>36</v>
      </c>
      <c r="P11" s="37">
        <f>O11</f>
        <v>36</v>
      </c>
      <c r="Q11" s="37">
        <v>48</v>
      </c>
      <c r="R11" s="37">
        <v>48</v>
      </c>
      <c r="S11" s="37">
        <v>48</v>
      </c>
      <c r="T11" s="59">
        <v>48</v>
      </c>
      <c r="U11" s="59">
        <v>36</v>
      </c>
      <c r="V11" s="59">
        <f>(COUNT($K$2:$K$19)-1)*1.5</f>
        <v>25.5</v>
      </c>
      <c r="W11" s="59">
        <f>(COUNT($K$2:$K$19)-1)*1.5</f>
        <v>25.5</v>
      </c>
      <c r="X11" s="59">
        <f>(COUNT($K$2:$K$19)-1)*1.5</f>
        <v>25.5</v>
      </c>
      <c r="Y11" s="59">
        <f>(COUNT($K$2:$K$19)-1)*1.5</f>
        <v>25.5</v>
      </c>
      <c r="Z11" s="138">
        <f>Z23*1.5</f>
        <v>34.5</v>
      </c>
      <c r="AA11" s="138">
        <f>AA23*1.5</f>
        <v>36</v>
      </c>
      <c r="AB11" s="138">
        <f>AB23*1.5</f>
        <v>34.5</v>
      </c>
      <c r="AC11" s="138">
        <f>AC23*1.5</f>
        <v>34.5</v>
      </c>
      <c r="AD11" s="138">
        <f>AD23*1.5</f>
        <v>34.5</v>
      </c>
    </row>
    <row r="12" spans="2:30" ht="14.4" customHeight="1" thickTop="1" thickBot="1" x14ac:dyDescent="0.35">
      <c r="B12" t="s">
        <v>69</v>
      </c>
      <c r="C12" s="31" t="s">
        <v>27</v>
      </c>
      <c r="D12" s="31" t="s">
        <v>260</v>
      </c>
      <c r="E12" s="31" t="s">
        <v>264</v>
      </c>
      <c r="F12" s="96">
        <v>1</v>
      </c>
      <c r="G12" s="97">
        <v>42370</v>
      </c>
      <c r="H12" s="98">
        <f t="shared" ca="1" si="0"/>
        <v>10.353424657534246</v>
      </c>
      <c r="I12" s="99">
        <f t="shared" ca="1" si="1"/>
        <v>101.4385840105361</v>
      </c>
      <c r="J12" s="99">
        <f t="shared" ca="1" si="2"/>
        <v>109.553670731379</v>
      </c>
      <c r="K12" s="31">
        <v>1</v>
      </c>
      <c r="L12" s="31" t="s">
        <v>294</v>
      </c>
      <c r="N12" s="62" t="s">
        <v>32</v>
      </c>
      <c r="O12" s="37">
        <f t="shared" ref="O12:AD12" si="3">SUM(O5:O11)</f>
        <v>1673.6759999999999</v>
      </c>
      <c r="P12" s="37">
        <f t="shared" si="3"/>
        <v>1563.9310000000003</v>
      </c>
      <c r="Q12" s="37">
        <f t="shared" si="3"/>
        <v>1611.7410000000002</v>
      </c>
      <c r="R12" s="37">
        <f t="shared" si="3"/>
        <v>1620.2829999999999</v>
      </c>
      <c r="S12" s="37">
        <f t="shared" si="3"/>
        <v>1879.9470000000001</v>
      </c>
      <c r="T12" s="59">
        <f t="shared" si="3"/>
        <v>1788.2610000000002</v>
      </c>
      <c r="U12" s="59">
        <f t="shared" si="3"/>
        <v>1725.569</v>
      </c>
      <c r="V12" s="59">
        <f t="shared" si="3"/>
        <v>1700.3520000000001</v>
      </c>
      <c r="W12" s="59">
        <f t="shared" si="3"/>
        <v>1747.9290000000001</v>
      </c>
      <c r="X12" s="59">
        <f t="shared" si="3"/>
        <v>1866.7340000000002</v>
      </c>
      <c r="Y12" s="59">
        <f t="shared" si="3"/>
        <v>2042.9850000000001</v>
      </c>
      <c r="Z12" s="138">
        <f t="shared" si="3"/>
        <v>2251.3610000000003</v>
      </c>
      <c r="AA12" s="138">
        <f t="shared" ca="1" si="3"/>
        <v>2512.5895290889707</v>
      </c>
      <c r="AB12" s="138">
        <f t="shared" ca="1" si="3"/>
        <v>2538.2435589861338</v>
      </c>
      <c r="AC12" s="138">
        <f t="shared" ca="1" si="3"/>
        <v>2539.2931094791065</v>
      </c>
      <c r="AD12" s="138">
        <f t="shared" ca="1" si="3"/>
        <v>2506.7785567665314</v>
      </c>
    </row>
    <row r="13" spans="2:30" ht="14.4" customHeight="1" thickTop="1" thickBot="1" x14ac:dyDescent="0.35">
      <c r="B13" t="s">
        <v>70</v>
      </c>
      <c r="C13" s="31" t="s">
        <v>27</v>
      </c>
      <c r="D13" s="31" t="s">
        <v>260</v>
      </c>
      <c r="E13" s="31" t="s">
        <v>264</v>
      </c>
      <c r="F13" s="96">
        <v>1</v>
      </c>
      <c r="G13" s="97">
        <v>42005</v>
      </c>
      <c r="H13" s="98">
        <f t="shared" ca="1" si="0"/>
        <v>11.353424657534246</v>
      </c>
      <c r="I13" s="99">
        <f t="shared" ca="1" si="1"/>
        <v>96.236892613752417</v>
      </c>
      <c r="J13" s="99">
        <f t="shared" ca="1" si="2"/>
        <v>103.93584402285262</v>
      </c>
      <c r="K13" s="31">
        <v>1</v>
      </c>
      <c r="L13" s="31" t="s">
        <v>60</v>
      </c>
      <c r="N13" s="53"/>
      <c r="O13" s="52"/>
      <c r="P13" s="49"/>
      <c r="Q13" s="49"/>
      <c r="R13" s="49"/>
      <c r="S13" s="49"/>
      <c r="T13" s="167"/>
      <c r="U13" s="167"/>
      <c r="V13" s="167"/>
      <c r="W13" s="167"/>
      <c r="X13" s="167"/>
      <c r="Y13" s="167"/>
      <c r="Z13" s="168"/>
      <c r="AA13" s="168"/>
      <c r="AB13" s="168"/>
      <c r="AC13" s="168"/>
      <c r="AD13" s="168"/>
    </row>
    <row r="14" spans="2:30" ht="14.4" customHeight="1" thickBot="1" x14ac:dyDescent="0.35">
      <c r="B14" t="s">
        <v>71</v>
      </c>
      <c r="C14" s="31" t="s">
        <v>27</v>
      </c>
      <c r="D14" s="31" t="s">
        <v>261</v>
      </c>
      <c r="E14" s="31" t="s">
        <v>264</v>
      </c>
      <c r="F14" s="96">
        <v>1</v>
      </c>
      <c r="G14" s="97">
        <v>40909</v>
      </c>
      <c r="H14" s="98">
        <f t="shared" ca="1" si="0"/>
        <v>14.356164383561644</v>
      </c>
      <c r="I14" s="99">
        <f t="shared" ca="1" si="1"/>
        <v>79.445843476836686</v>
      </c>
      <c r="J14" s="99">
        <f t="shared" ca="1" si="2"/>
        <v>85.801510954983627</v>
      </c>
      <c r="K14" s="31">
        <v>1</v>
      </c>
      <c r="L14" s="31" t="s">
        <v>292</v>
      </c>
      <c r="N14" s="63" t="s">
        <v>9</v>
      </c>
      <c r="O14" s="51">
        <f>'P&amp;L'!I40/1000000</f>
        <v>163.17298700000001</v>
      </c>
      <c r="P14" s="51">
        <f>'P&amp;L'!J40/1000000</f>
        <v>161.90202500000001</v>
      </c>
      <c r="Q14" s="51">
        <f>'P&amp;L'!K40/1000000</f>
        <v>161.20648700000001</v>
      </c>
      <c r="R14" s="51">
        <f>'P&amp;L'!L40/1000000</f>
        <v>161.42505399999999</v>
      </c>
      <c r="S14" s="51">
        <f>'P&amp;L'!M40/1000000</f>
        <v>161.486503</v>
      </c>
      <c r="T14" s="51">
        <f>'P&amp;L'!N40/1000000</f>
        <v>161.55318500000001</v>
      </c>
      <c r="U14" s="51">
        <f>'P&amp;L'!O40/1000000</f>
        <v>161.34744499999999</v>
      </c>
      <c r="V14" s="51">
        <f>'P&amp;L'!P40/1000000</f>
        <v>160.558807</v>
      </c>
      <c r="W14" s="51">
        <f>'P&amp;L'!Q40/1000000</f>
        <v>160.72597200000001</v>
      </c>
      <c r="X14" s="51">
        <f>'P&amp;L'!R40/1000000</f>
        <v>160.885603</v>
      </c>
      <c r="Y14" s="103">
        <f>'P&amp;L'!S40/1000000</f>
        <v>160.91869600000001</v>
      </c>
      <c r="Z14" s="171">
        <f>'P&amp;L'!T40/1000000</f>
        <v>161.215969</v>
      </c>
      <c r="AA14" s="171">
        <f>'P&amp;L'!U40/1000000</f>
        <v>161.215969</v>
      </c>
      <c r="AB14" s="171">
        <f>'P&amp;L'!V40/1000000</f>
        <v>161.215969</v>
      </c>
      <c r="AC14" s="171">
        <f>'P&amp;L'!W40/1000000</f>
        <v>161.215969</v>
      </c>
      <c r="AD14" s="171">
        <f>'P&amp;L'!X40/1000000</f>
        <v>161.215969</v>
      </c>
    </row>
    <row r="15" spans="2:30" ht="14.4" customHeight="1" thickTop="1" thickBot="1" x14ac:dyDescent="0.35">
      <c r="B15" t="s">
        <v>72</v>
      </c>
      <c r="C15" s="31" t="s">
        <v>27</v>
      </c>
      <c r="D15" s="31" t="s">
        <v>260</v>
      </c>
      <c r="E15" s="31" t="s">
        <v>264</v>
      </c>
      <c r="F15" s="96">
        <v>1</v>
      </c>
      <c r="G15" s="97">
        <v>40909</v>
      </c>
      <c r="H15" s="98">
        <f t="shared" ca="1" si="0"/>
        <v>14.356164383561644</v>
      </c>
      <c r="I15" s="99">
        <f t="shared" ca="1" si="1"/>
        <v>79.445843476836686</v>
      </c>
      <c r="J15" s="99">
        <f t="shared" ca="1" si="2"/>
        <v>85.801510954983627</v>
      </c>
      <c r="K15" s="31">
        <v>1</v>
      </c>
      <c r="L15" s="31" t="s">
        <v>292</v>
      </c>
      <c r="N15" s="65"/>
      <c r="O15" s="50"/>
      <c r="P15" s="50"/>
      <c r="Q15" s="50"/>
      <c r="R15" s="50"/>
      <c r="S15" s="50"/>
      <c r="T15" s="169"/>
      <c r="U15" s="169"/>
      <c r="V15" s="169"/>
      <c r="W15" s="169"/>
      <c r="X15" s="169"/>
      <c r="Y15" s="169"/>
      <c r="Z15" s="170"/>
      <c r="AA15" s="170"/>
      <c r="AB15" s="170"/>
      <c r="AC15" s="170"/>
      <c r="AD15" s="170"/>
    </row>
    <row r="16" spans="2:30" ht="14.4" customHeight="1" thickTop="1" thickBot="1" x14ac:dyDescent="0.35">
      <c r="B16" t="s">
        <v>73</v>
      </c>
      <c r="C16" s="31" t="s">
        <v>27</v>
      </c>
      <c r="D16" s="31" t="s">
        <v>260</v>
      </c>
      <c r="E16" s="31" t="s">
        <v>264</v>
      </c>
      <c r="F16" s="96">
        <v>1</v>
      </c>
      <c r="G16" s="97">
        <v>40909</v>
      </c>
      <c r="H16" s="98">
        <f t="shared" ca="1" si="0"/>
        <v>14.356164383561644</v>
      </c>
      <c r="I16" s="99">
        <f t="shared" ca="1" si="1"/>
        <v>79.445843476836686</v>
      </c>
      <c r="J16" s="99">
        <f t="shared" ca="1" si="2"/>
        <v>85.801510954983627</v>
      </c>
      <c r="K16" s="31">
        <v>1</v>
      </c>
      <c r="L16" s="31" t="s">
        <v>60</v>
      </c>
      <c r="N16" s="58" t="s">
        <v>33</v>
      </c>
      <c r="O16" s="37">
        <f t="shared" ref="O16:AD16" si="4">O12/O14</f>
        <v>10.257065405072225</v>
      </c>
      <c r="P16" s="37">
        <f t="shared" si="4"/>
        <v>9.6597371157031553</v>
      </c>
      <c r="Q16" s="37">
        <f t="shared" si="4"/>
        <v>9.9979909617408893</v>
      </c>
      <c r="R16" s="37">
        <f t="shared" si="4"/>
        <v>10.037370035508863</v>
      </c>
      <c r="S16" s="37">
        <f t="shared" si="4"/>
        <v>11.641511612893122</v>
      </c>
      <c r="T16" s="59">
        <f t="shared" si="4"/>
        <v>11.069178239970942</v>
      </c>
      <c r="U16" s="59">
        <f t="shared" si="4"/>
        <v>10.694740161519137</v>
      </c>
      <c r="V16" s="59">
        <f t="shared" si="4"/>
        <v>10.590213217017737</v>
      </c>
      <c r="W16" s="59">
        <f t="shared" si="4"/>
        <v>10.875211879259936</v>
      </c>
      <c r="X16" s="59">
        <f t="shared" si="4"/>
        <v>11.602865422333657</v>
      </c>
      <c r="Y16" s="59">
        <f t="shared" si="4"/>
        <v>12.695759105579628</v>
      </c>
      <c r="Z16" s="138">
        <f t="shared" si="4"/>
        <v>13.964875898863346</v>
      </c>
      <c r="AA16" s="138">
        <f t="shared" ca="1" si="4"/>
        <v>15.585239754313486</v>
      </c>
      <c r="AB16" s="138">
        <f t="shared" ca="1" si="4"/>
        <v>15.744368096600491</v>
      </c>
      <c r="AC16" s="138">
        <f t="shared" ca="1" si="4"/>
        <v>15.750878310814896</v>
      </c>
      <c r="AD16" s="138">
        <f t="shared" ca="1" si="4"/>
        <v>15.549195109614304</v>
      </c>
    </row>
    <row r="17" spans="2:30" ht="14.4" customHeight="1" thickTop="1" thickBot="1" x14ac:dyDescent="0.35">
      <c r="B17" t="s">
        <v>76</v>
      </c>
      <c r="C17" s="31" t="s">
        <v>27</v>
      </c>
      <c r="D17" s="31" t="s">
        <v>260</v>
      </c>
      <c r="E17" s="31" t="s">
        <v>264</v>
      </c>
      <c r="F17" s="96">
        <v>1</v>
      </c>
      <c r="G17" s="97">
        <v>40544</v>
      </c>
      <c r="H17" s="98">
        <f t="shared" ca="1" si="0"/>
        <v>15.356164383561644</v>
      </c>
      <c r="I17" s="99">
        <f t="shared" ca="1" si="1"/>
        <v>73.648684221846779</v>
      </c>
      <c r="J17" s="99">
        <f t="shared" ca="1" si="2"/>
        <v>79.540578959594527</v>
      </c>
      <c r="K17" s="31">
        <v>1</v>
      </c>
      <c r="L17" s="31" t="s">
        <v>60</v>
      </c>
      <c r="N17" s="161" t="s">
        <v>164</v>
      </c>
      <c r="O17" s="162"/>
      <c r="P17" s="162"/>
      <c r="Q17" s="163">
        <v>0.15</v>
      </c>
      <c r="R17" s="163">
        <v>0.22</v>
      </c>
      <c r="S17" s="163">
        <v>0.28999999999999998</v>
      </c>
      <c r="T17" s="164">
        <v>0.27</v>
      </c>
      <c r="U17" s="164">
        <v>0.22</v>
      </c>
      <c r="V17" s="164">
        <f>'P&amp;L'!O35</f>
        <v>0.34063452184635806</v>
      </c>
      <c r="W17" s="164">
        <v>0.15</v>
      </c>
      <c r="X17" s="164">
        <v>0.24</v>
      </c>
      <c r="Y17" s="164">
        <v>0.18</v>
      </c>
      <c r="Z17" s="165">
        <f>'P&amp;L'!S35</f>
        <v>0.4108783809134321</v>
      </c>
      <c r="AA17" s="166">
        <v>0.64</v>
      </c>
      <c r="AB17" s="166">
        <f>'P&amp;L'!U45</f>
        <v>1.1455937097645705</v>
      </c>
      <c r="AC17" s="166">
        <f>'P&amp;L'!V45</f>
        <v>1.1536195896325878</v>
      </c>
      <c r="AD17" s="166">
        <f>'P&amp;L'!W45</f>
        <v>1.0792957179074487</v>
      </c>
    </row>
    <row r="18" spans="2:30" ht="14.4" customHeight="1" thickBot="1" x14ac:dyDescent="0.35">
      <c r="B18" t="s">
        <v>77</v>
      </c>
      <c r="C18" s="31" t="s">
        <v>27</v>
      </c>
      <c r="D18" s="31" t="s">
        <v>260</v>
      </c>
      <c r="E18" s="31" t="s">
        <v>264</v>
      </c>
      <c r="F18" s="96">
        <v>1</v>
      </c>
      <c r="G18" s="97">
        <v>40544</v>
      </c>
      <c r="H18" s="98">
        <f t="shared" ca="1" si="0"/>
        <v>15.356164383561644</v>
      </c>
      <c r="I18" s="99">
        <f t="shared" ca="1" si="1"/>
        <v>73.648684221846779</v>
      </c>
      <c r="J18" s="99">
        <f t="shared" ca="1" si="2"/>
        <v>79.540578959594527</v>
      </c>
      <c r="K18" s="31">
        <v>1</v>
      </c>
      <c r="L18" s="31" t="s">
        <v>60</v>
      </c>
      <c r="N18" s="155" t="s">
        <v>34</v>
      </c>
      <c r="O18" s="156"/>
      <c r="P18" s="156"/>
      <c r="Q18" s="156"/>
      <c r="R18" s="156"/>
      <c r="S18" s="156"/>
      <c r="T18" s="156"/>
      <c r="U18" s="156"/>
      <c r="V18" s="156"/>
      <c r="W18" s="156"/>
      <c r="X18" s="156"/>
      <c r="Y18" s="156"/>
      <c r="Z18" s="188">
        <f>SUM($N$2/(Z16))</f>
        <v>1.3505311566381399</v>
      </c>
      <c r="AA18" s="188">
        <f ca="1">SUM($N$2/(AA16+AA17))</f>
        <v>1.1623865215912179</v>
      </c>
      <c r="AB18" s="188">
        <f ca="1">SUM($N$2/(AB16+AB17))</f>
        <v>1.1166395884265718</v>
      </c>
      <c r="AC18" s="188">
        <f ca="1">SUM($N$2/(AC16+AC17))</f>
        <v>1.1156793955708528</v>
      </c>
      <c r="AD18" s="188">
        <f ca="1">SUM($N$2/(AD16+AD17))</f>
        <v>1.1341979374811866</v>
      </c>
    </row>
    <row r="19" spans="2:30" ht="14.4" customHeight="1" x14ac:dyDescent="0.3">
      <c r="B19" t="s">
        <v>86</v>
      </c>
      <c r="C19" s="31" t="s">
        <v>27</v>
      </c>
      <c r="D19" s="31" t="s">
        <v>260</v>
      </c>
      <c r="E19" s="31" t="s">
        <v>264</v>
      </c>
      <c r="F19" s="96">
        <v>1</v>
      </c>
      <c r="G19" s="97">
        <v>43101</v>
      </c>
      <c r="H19" s="98">
        <f t="shared" ca="1" si="0"/>
        <v>8.3506849315068497</v>
      </c>
      <c r="I19" s="99">
        <f t="shared" ca="1" si="1"/>
        <v>110.93635780919395</v>
      </c>
      <c r="J19" s="99">
        <f t="shared" ca="1" si="2"/>
        <v>119.81126643392948</v>
      </c>
      <c r="K19" s="31">
        <v>1</v>
      </c>
      <c r="L19" s="31" t="s">
        <v>289</v>
      </c>
      <c r="N19" s="42"/>
      <c r="O19" s="42"/>
      <c r="P19" s="42"/>
      <c r="Q19" s="54"/>
      <c r="R19" s="54"/>
      <c r="S19" s="54"/>
    </row>
    <row r="20" spans="2:30" ht="14.4" customHeight="1" thickBot="1" x14ac:dyDescent="0.35">
      <c r="B20" t="s">
        <v>243</v>
      </c>
      <c r="C20" s="31" t="s">
        <v>27</v>
      </c>
      <c r="D20" s="31" t="s">
        <v>260</v>
      </c>
      <c r="E20" s="31" t="s">
        <v>264</v>
      </c>
      <c r="F20" s="96">
        <v>1</v>
      </c>
      <c r="G20" s="97">
        <v>43101</v>
      </c>
      <c r="H20" s="98">
        <f t="shared" ca="1" si="0"/>
        <v>8.3506849315068497</v>
      </c>
      <c r="I20" s="99">
        <f t="shared" ca="1" si="1"/>
        <v>110.93635780919395</v>
      </c>
      <c r="J20" s="99">
        <f t="shared" ca="1" si="2"/>
        <v>119.81126643392948</v>
      </c>
      <c r="K20" s="31">
        <v>1</v>
      </c>
      <c r="L20" s="31" t="s">
        <v>60</v>
      </c>
      <c r="N20" s="42"/>
      <c r="O20" s="42"/>
      <c r="P20" s="42"/>
      <c r="Q20" s="54"/>
      <c r="R20" s="54"/>
      <c r="S20" s="54"/>
    </row>
    <row r="21" spans="2:30" ht="14.4" customHeight="1" x14ac:dyDescent="0.3">
      <c r="B21" s="30" t="s">
        <v>244</v>
      </c>
      <c r="C21" s="31" t="s">
        <v>27</v>
      </c>
      <c r="D21" s="84" t="s">
        <v>262</v>
      </c>
      <c r="E21" s="31" t="s">
        <v>264</v>
      </c>
      <c r="F21" s="96">
        <v>1</v>
      </c>
      <c r="G21" s="100">
        <v>46054</v>
      </c>
      <c r="H21" s="98">
        <f t="shared" ref="H21:H24" ca="1" si="5">(TODAY()-G21)/365</f>
        <v>0.26027397260273971</v>
      </c>
      <c r="I21" s="99">
        <f t="shared" ca="1" si="1"/>
        <v>128.44653558243732</v>
      </c>
      <c r="J21" s="99">
        <f t="shared" ca="1" si="2"/>
        <v>138.72225842903231</v>
      </c>
      <c r="K21" s="31">
        <v>1</v>
      </c>
      <c r="L21" s="31" t="s">
        <v>60</v>
      </c>
      <c r="N21" s="85" t="s">
        <v>173</v>
      </c>
      <c r="O21" s="74"/>
      <c r="P21" s="74"/>
      <c r="Q21" s="75"/>
      <c r="R21" s="75"/>
      <c r="S21" s="75"/>
      <c r="T21" s="70"/>
      <c r="U21" s="70"/>
      <c r="V21" s="70"/>
      <c r="W21" s="70"/>
      <c r="X21" s="70"/>
      <c r="Y21" s="70"/>
      <c r="Z21" s="180">
        <v>1</v>
      </c>
      <c r="AA21" s="149">
        <v>1</v>
      </c>
      <c r="AB21" s="149">
        <v>1</v>
      </c>
      <c r="AC21" s="149">
        <v>0.995</v>
      </c>
      <c r="AD21" s="150">
        <v>0.99</v>
      </c>
    </row>
    <row r="22" spans="2:30" ht="14.4" customHeight="1" x14ac:dyDescent="0.3">
      <c r="B22" s="30" t="s">
        <v>245</v>
      </c>
      <c r="C22" s="84" t="s">
        <v>27</v>
      </c>
      <c r="D22" s="84" t="s">
        <v>262</v>
      </c>
      <c r="E22" s="31" t="s">
        <v>264</v>
      </c>
      <c r="F22" s="101">
        <v>1</v>
      </c>
      <c r="G22" s="100">
        <v>46082</v>
      </c>
      <c r="H22" s="98">
        <f t="shared" ca="1" si="5"/>
        <v>0.18356164383561643</v>
      </c>
      <c r="I22" s="99">
        <f t="shared" ca="1" si="1"/>
        <v>128.39367941621416</v>
      </c>
      <c r="J22" s="99">
        <f t="shared" ca="1" si="2"/>
        <v>138.66517376951128</v>
      </c>
      <c r="K22" s="31">
        <v>1</v>
      </c>
      <c r="L22" s="31" t="s">
        <v>60</v>
      </c>
      <c r="N22" s="81" t="s">
        <v>200</v>
      </c>
      <c r="O22" s="42"/>
      <c r="P22" s="79"/>
      <c r="Q22" s="79"/>
      <c r="R22" s="79"/>
      <c r="S22" s="79"/>
      <c r="T22" s="79"/>
      <c r="U22" s="79"/>
      <c r="V22" s="79"/>
      <c r="W22" s="79"/>
      <c r="X22" s="79"/>
      <c r="Y22" s="79"/>
      <c r="Z22" s="79">
        <f t="shared" ref="Z22:AD22" si="6">Z5/Y5-1</f>
        <v>0.40862321234719401</v>
      </c>
      <c r="AA22" s="79">
        <f t="shared" ca="1" si="6"/>
        <v>7.4728306400245748E-2</v>
      </c>
      <c r="AB22" s="79">
        <f t="shared" ca="1" si="6"/>
        <v>0</v>
      </c>
      <c r="AC22" s="79">
        <f t="shared" ca="1" si="6"/>
        <v>-5.0000000000000044E-3</v>
      </c>
      <c r="AD22" s="82">
        <f t="shared" ca="1" si="6"/>
        <v>-5.0251256281408363E-3</v>
      </c>
    </row>
    <row r="23" spans="2:30" ht="14.4" customHeight="1" x14ac:dyDescent="0.3">
      <c r="B23" s="30" t="s">
        <v>246</v>
      </c>
      <c r="C23" s="84" t="s">
        <v>27</v>
      </c>
      <c r="D23" s="31" t="s">
        <v>260</v>
      </c>
      <c r="E23" s="31" t="s">
        <v>264</v>
      </c>
      <c r="F23" s="101">
        <v>1</v>
      </c>
      <c r="G23" s="100">
        <v>46082</v>
      </c>
      <c r="H23" s="98">
        <f t="shared" ca="1" si="5"/>
        <v>0.18356164383561643</v>
      </c>
      <c r="I23" s="99">
        <f t="shared" ca="1" si="1"/>
        <v>128.39367941621416</v>
      </c>
      <c r="J23" s="99">
        <f t="shared" ca="1" si="2"/>
        <v>138.66517376951128</v>
      </c>
      <c r="K23" s="31">
        <v>1</v>
      </c>
      <c r="L23" s="31" t="s">
        <v>288</v>
      </c>
      <c r="N23" s="80" t="s">
        <v>82</v>
      </c>
      <c r="O23" s="42"/>
      <c r="P23" s="42"/>
      <c r="Q23" s="54"/>
      <c r="R23" s="54"/>
      <c r="S23" s="54"/>
      <c r="T23" s="32"/>
      <c r="U23" s="32"/>
      <c r="V23" s="32"/>
      <c r="W23" s="32"/>
      <c r="X23" s="32"/>
      <c r="Y23" s="32"/>
      <c r="Z23" s="32">
        <v>23</v>
      </c>
      <c r="AA23" s="32">
        <f>COUNT($K$2:$K$24)+K33</f>
        <v>24</v>
      </c>
      <c r="AB23" s="32">
        <f>COUNT($K$2:$K$24)</f>
        <v>23</v>
      </c>
      <c r="AC23" s="32">
        <f>COUNT($K$2:$K$24)</f>
        <v>23</v>
      </c>
      <c r="AD23" s="87">
        <f>COUNT($K$2:$K$24)</f>
        <v>23</v>
      </c>
    </row>
    <row r="24" spans="2:30" ht="14.4" customHeight="1" x14ac:dyDescent="0.3">
      <c r="B24" s="191" t="s">
        <v>247</v>
      </c>
      <c r="C24" s="31" t="s">
        <v>27</v>
      </c>
      <c r="D24" s="31" t="s">
        <v>260</v>
      </c>
      <c r="E24" s="31" t="s">
        <v>264</v>
      </c>
      <c r="F24" s="96">
        <v>1</v>
      </c>
      <c r="G24" s="192">
        <v>46174</v>
      </c>
      <c r="H24" s="98">
        <f t="shared" ca="1" si="5"/>
        <v>-6.8493150684931503E-2</v>
      </c>
      <c r="I24" s="99">
        <f t="shared" ca="1" si="1"/>
        <v>128.18461352588707</v>
      </c>
      <c r="J24" s="99">
        <f t="shared" ca="1" si="2"/>
        <v>138.43938260795804</v>
      </c>
      <c r="K24" s="31">
        <v>1</v>
      </c>
      <c r="L24" s="31" t="s">
        <v>287</v>
      </c>
      <c r="N24" s="80" t="s">
        <v>196</v>
      </c>
      <c r="O24" s="42"/>
      <c r="P24" s="42"/>
      <c r="Q24" s="54"/>
      <c r="R24" s="54"/>
      <c r="S24" s="54"/>
      <c r="T24" s="32"/>
      <c r="U24" s="32"/>
      <c r="V24" s="32"/>
      <c r="W24" s="32"/>
      <c r="X24" s="32"/>
      <c r="Y24" s="32"/>
      <c r="Z24" s="32">
        <v>23</v>
      </c>
      <c r="AA24" s="32">
        <f ca="1">COUNT($H$2:$H$33)</f>
        <v>24</v>
      </c>
      <c r="AB24" s="32">
        <f ca="1">COUNT($H$2:$H$24)</f>
        <v>23</v>
      </c>
      <c r="AC24" s="32">
        <f ca="1">COUNT($H$2:$H$24)</f>
        <v>23</v>
      </c>
      <c r="AD24" s="87">
        <f ca="1">COUNT($H$2:$H$24)</f>
        <v>23</v>
      </c>
    </row>
    <row r="25" spans="2:30" ht="14.4" customHeight="1" thickBot="1" x14ac:dyDescent="0.35">
      <c r="C25" s="31"/>
      <c r="D25" s="31"/>
      <c r="E25" s="31"/>
      <c r="F25" s="31"/>
      <c r="G25" s="31"/>
      <c r="H25" s="31"/>
      <c r="I25" s="31"/>
      <c r="J25" s="31"/>
      <c r="K25" s="31"/>
      <c r="L25" s="31"/>
      <c r="N25" s="88" t="s">
        <v>197</v>
      </c>
      <c r="O25" s="77"/>
      <c r="P25" s="77"/>
      <c r="Q25" s="89"/>
      <c r="R25" s="89"/>
      <c r="S25" s="89"/>
      <c r="T25" s="90"/>
      <c r="U25" s="90"/>
      <c r="V25" s="90"/>
      <c r="W25" s="90"/>
      <c r="X25" s="90"/>
      <c r="Y25" s="90"/>
      <c r="Z25" s="91">
        <f>(Z24/Z23)</f>
        <v>1</v>
      </c>
      <c r="AA25" s="91">
        <f ca="1">(AA24/AA23)</f>
        <v>1</v>
      </c>
      <c r="AB25" s="91">
        <f ca="1">(AB24/AB23)</f>
        <v>1</v>
      </c>
      <c r="AC25" s="91">
        <f ca="1">(AC24/AC23)</f>
        <v>1</v>
      </c>
      <c r="AD25" s="92">
        <f ca="1">(AD24/AD23)</f>
        <v>1</v>
      </c>
    </row>
    <row r="26" spans="2:30" ht="14.4" customHeight="1" thickBot="1" x14ac:dyDescent="0.35">
      <c r="B26" s="40"/>
      <c r="C26" s="31"/>
      <c r="D26" s="31"/>
      <c r="E26" s="31"/>
      <c r="F26" s="31"/>
      <c r="G26" s="31"/>
      <c r="H26" s="31"/>
      <c r="I26" s="31"/>
      <c r="J26" s="31"/>
      <c r="K26" s="31"/>
      <c r="L26" s="31"/>
      <c r="N26" s="42"/>
      <c r="O26" s="42"/>
      <c r="P26" s="42"/>
      <c r="Q26" s="54"/>
      <c r="R26" s="54"/>
      <c r="S26" s="54"/>
      <c r="T26" s="32"/>
      <c r="U26" s="32"/>
      <c r="V26" s="32"/>
      <c r="W26" s="32"/>
      <c r="X26" s="32"/>
      <c r="Y26" s="32"/>
      <c r="Z26" s="86"/>
      <c r="AA26" s="86"/>
      <c r="AB26" s="86"/>
      <c r="AC26" s="86"/>
      <c r="AD26" s="86"/>
    </row>
    <row r="27" spans="2:30" ht="14.4" customHeight="1" x14ac:dyDescent="0.3">
      <c r="C27" s="31"/>
      <c r="D27" s="31"/>
      <c r="E27" s="31"/>
      <c r="F27" s="31"/>
      <c r="G27" s="31"/>
      <c r="H27" s="31"/>
      <c r="I27" s="31"/>
      <c r="J27" s="31"/>
      <c r="K27" s="31"/>
      <c r="L27" s="31"/>
      <c r="N27" s="110" t="s">
        <v>85</v>
      </c>
      <c r="O27" s="172">
        <v>56300</v>
      </c>
      <c r="P27" s="172">
        <v>42500</v>
      </c>
      <c r="Q27" s="173">
        <f>42800</f>
        <v>42800</v>
      </c>
      <c r="R27" s="173">
        <v>50900</v>
      </c>
      <c r="S27" s="173">
        <v>49100</v>
      </c>
      <c r="T27" s="172">
        <v>42400</v>
      </c>
      <c r="U27" s="172">
        <v>38800</v>
      </c>
      <c r="V27" s="172">
        <v>38200</v>
      </c>
      <c r="W27" s="172">
        <v>46300</v>
      </c>
      <c r="X27" s="172">
        <v>40500</v>
      </c>
      <c r="Y27" s="172">
        <v>60300</v>
      </c>
      <c r="Z27" s="173">
        <v>78800</v>
      </c>
      <c r="AA27" s="174">
        <f>113500</f>
        <v>113500</v>
      </c>
      <c r="AB27" s="174">
        <f>AA27*1.02</f>
        <v>115770</v>
      </c>
      <c r="AC27" s="174">
        <f>AB27*0.95</f>
        <v>109981.5</v>
      </c>
      <c r="AD27" s="175">
        <f>AC27*0.8</f>
        <v>87985.200000000012</v>
      </c>
    </row>
    <row r="28" spans="2:30" ht="14.4" customHeight="1" x14ac:dyDescent="0.3">
      <c r="B28" s="196" t="s">
        <v>81</v>
      </c>
      <c r="C28" s="197" t="s">
        <v>27</v>
      </c>
      <c r="D28" s="197"/>
      <c r="E28" s="197"/>
      <c r="F28" s="198">
        <v>1</v>
      </c>
      <c r="G28" s="199">
        <v>38718</v>
      </c>
      <c r="H28" s="200"/>
      <c r="I28" s="201"/>
      <c r="J28" s="201"/>
      <c r="K28" s="197">
        <v>1</v>
      </c>
      <c r="L28" s="197"/>
      <c r="N28" s="111" t="s">
        <v>60</v>
      </c>
      <c r="O28" s="15"/>
      <c r="P28" s="15"/>
      <c r="Q28" s="27"/>
      <c r="R28" s="27"/>
      <c r="S28" s="27"/>
      <c r="T28" s="15"/>
      <c r="U28" s="15"/>
      <c r="V28" s="15"/>
      <c r="W28" s="15"/>
      <c r="X28" s="15"/>
      <c r="Y28" s="15"/>
      <c r="Z28" s="27">
        <v>14</v>
      </c>
      <c r="AA28" s="27">
        <f>COUNTIF($L$2:$L$33, "Spot")</f>
        <v>14</v>
      </c>
      <c r="AB28" s="27">
        <f>COUNTIF($L$2:$L$33, "Spot")</f>
        <v>14</v>
      </c>
      <c r="AC28" s="27">
        <f>COUNTIF($L$2:$L$33, "Spot")</f>
        <v>14</v>
      </c>
      <c r="AD28" s="187">
        <f>COUNTIF($L$2:$L$33, "Spot")</f>
        <v>14</v>
      </c>
    </row>
    <row r="29" spans="2:30" ht="14.4" customHeight="1" thickBot="1" x14ac:dyDescent="0.35">
      <c r="B29" s="196" t="s">
        <v>75</v>
      </c>
      <c r="C29" s="197" t="s">
        <v>27</v>
      </c>
      <c r="D29" s="197"/>
      <c r="E29" s="197"/>
      <c r="F29" s="198">
        <v>1</v>
      </c>
      <c r="G29" s="199">
        <v>40544</v>
      </c>
      <c r="H29" s="200"/>
      <c r="I29" s="201"/>
      <c r="J29" s="201"/>
      <c r="K29" s="197">
        <v>1</v>
      </c>
      <c r="L29" s="197"/>
      <c r="M29" s="30"/>
      <c r="N29" s="112" t="s">
        <v>295</v>
      </c>
      <c r="O29" s="176"/>
      <c r="P29" s="176"/>
      <c r="Q29" s="177"/>
      <c r="R29" s="177"/>
      <c r="S29" s="177"/>
      <c r="T29" s="176"/>
      <c r="U29" s="176"/>
      <c r="V29" s="176"/>
      <c r="W29" s="176"/>
      <c r="X29" s="176"/>
      <c r="Y29" s="176"/>
      <c r="Z29" s="178">
        <f>Z28/Z24</f>
        <v>0.60869565217391308</v>
      </c>
      <c r="AA29" s="178">
        <f ca="1">AA28/AA24</f>
        <v>0.58333333333333337</v>
      </c>
      <c r="AB29" s="178">
        <f ca="1">AB28/AB24</f>
        <v>0.60869565217391308</v>
      </c>
      <c r="AC29" s="178">
        <f ca="1">AC28/AC24</f>
        <v>0.60869565217391308</v>
      </c>
      <c r="AD29" s="179">
        <f ca="1">AD28/AD24</f>
        <v>0.60869565217391308</v>
      </c>
    </row>
    <row r="30" spans="2:30" ht="14.4" customHeight="1" x14ac:dyDescent="0.3">
      <c r="B30" s="196" t="s">
        <v>74</v>
      </c>
      <c r="C30" s="197" t="s">
        <v>27</v>
      </c>
      <c r="D30" s="197"/>
      <c r="E30" s="197"/>
      <c r="F30" s="198">
        <v>1</v>
      </c>
      <c r="G30" s="199">
        <v>40544</v>
      </c>
      <c r="H30" s="200"/>
      <c r="I30" s="201"/>
      <c r="J30" s="201"/>
      <c r="K30" s="197">
        <v>1</v>
      </c>
      <c r="L30" s="197"/>
      <c r="M30" s="30"/>
      <c r="N30" s="42"/>
      <c r="O30" s="15"/>
      <c r="P30" s="15"/>
      <c r="Q30" s="27"/>
      <c r="R30" s="27"/>
      <c r="S30" s="27"/>
      <c r="T30" s="29"/>
      <c r="U30" s="29"/>
      <c r="V30" s="29"/>
      <c r="W30" s="29"/>
      <c r="X30" s="29"/>
      <c r="Y30" s="29"/>
      <c r="Z30" s="29"/>
      <c r="AA30" s="29"/>
      <c r="AB30" s="29"/>
      <c r="AC30" s="29"/>
      <c r="AD30" s="29"/>
    </row>
    <row r="31" spans="2:30" ht="14.4" customHeight="1" thickBot="1" x14ac:dyDescent="0.35">
      <c r="B31" s="196" t="s">
        <v>78</v>
      </c>
      <c r="C31" s="197" t="s">
        <v>27</v>
      </c>
      <c r="D31" s="197"/>
      <c r="E31" s="197"/>
      <c r="F31" s="198">
        <v>1</v>
      </c>
      <c r="G31" s="199">
        <v>39083</v>
      </c>
      <c r="H31" s="200"/>
      <c r="I31" s="201"/>
      <c r="J31" s="201"/>
      <c r="K31" s="197">
        <v>1</v>
      </c>
      <c r="L31" s="197"/>
      <c r="M31" s="30"/>
      <c r="N31" s="137" t="s">
        <v>296</v>
      </c>
      <c r="O31" s="32"/>
      <c r="P31" s="32"/>
      <c r="Q31" s="32"/>
      <c r="R31" s="32"/>
      <c r="S31" s="32"/>
      <c r="T31" s="32"/>
      <c r="U31" s="32"/>
      <c r="V31" s="32"/>
      <c r="W31" s="32"/>
      <c r="X31" s="32"/>
      <c r="Y31" s="32"/>
      <c r="Z31" s="32"/>
      <c r="AA31" s="32"/>
      <c r="AB31" s="32"/>
      <c r="AC31" s="145" t="s">
        <v>198</v>
      </c>
      <c r="AD31" s="145" t="s">
        <v>286</v>
      </c>
    </row>
    <row r="32" spans="2:30" ht="14.4" customHeight="1" x14ac:dyDescent="0.3">
      <c r="B32" s="196" t="s">
        <v>79</v>
      </c>
      <c r="C32" s="197" t="s">
        <v>27</v>
      </c>
      <c r="D32" s="197"/>
      <c r="E32" s="197"/>
      <c r="F32" s="198">
        <v>1</v>
      </c>
      <c r="G32" s="199">
        <v>39083</v>
      </c>
      <c r="H32" s="200"/>
      <c r="I32" s="201"/>
      <c r="J32" s="201"/>
      <c r="K32" s="197">
        <v>1</v>
      </c>
      <c r="L32" s="197"/>
      <c r="N32" s="110" t="s">
        <v>174</v>
      </c>
      <c r="O32" s="70"/>
      <c r="P32" s="70"/>
      <c r="Q32" s="71"/>
      <c r="R32" s="70"/>
      <c r="S32" s="70"/>
      <c r="T32" s="70"/>
      <c r="U32" s="71"/>
      <c r="V32" s="70"/>
      <c r="W32" s="70"/>
      <c r="X32" s="70"/>
      <c r="Y32" s="71"/>
      <c r="Z32" s="71"/>
      <c r="AA32" s="71"/>
      <c r="AB32" s="71"/>
      <c r="AC32" s="147">
        <f>$N$2*AC14</f>
        <v>3040.5331753400001</v>
      </c>
      <c r="AD32" s="94">
        <f>$N$2*AD14</f>
        <v>3040.5331753400001</v>
      </c>
    </row>
    <row r="33" spans="2:30" ht="14.4" customHeight="1" x14ac:dyDescent="0.3">
      <c r="B33" s="196" t="s">
        <v>80</v>
      </c>
      <c r="C33" s="197" t="s">
        <v>27</v>
      </c>
      <c r="D33" s="197" t="s">
        <v>261</v>
      </c>
      <c r="E33" s="197" t="s">
        <v>264</v>
      </c>
      <c r="F33" s="198">
        <v>1</v>
      </c>
      <c r="G33" s="199">
        <v>39083</v>
      </c>
      <c r="H33" s="200">
        <f ca="1">(TODAY()-G33)/365</f>
        <v>19.358904109589041</v>
      </c>
      <c r="I33" s="201"/>
      <c r="J33" s="201"/>
      <c r="K33" s="197">
        <v>1</v>
      </c>
      <c r="L33" s="197" t="s">
        <v>290</v>
      </c>
      <c r="N33" s="111" t="s">
        <v>175</v>
      </c>
      <c r="O33" s="32"/>
      <c r="P33" s="32"/>
      <c r="Q33" s="64"/>
      <c r="R33" s="32"/>
      <c r="S33" s="32"/>
      <c r="T33" s="32"/>
      <c r="U33" s="64"/>
      <c r="V33" s="32"/>
      <c r="W33" s="32"/>
      <c r="X33" s="32"/>
      <c r="Y33" s="64"/>
      <c r="Z33" s="64"/>
      <c r="AA33" s="64"/>
      <c r="AB33" s="64"/>
      <c r="AC33" s="130">
        <f>AC32-AC6-AC7-AC8</f>
        <v>3241.6104895137196</v>
      </c>
      <c r="AD33" s="95">
        <f>AD32-AD6-AD7-AD8</f>
        <v>3261.2951506501495</v>
      </c>
    </row>
    <row r="34" spans="2:30" ht="14.4" customHeight="1" x14ac:dyDescent="0.3">
      <c r="N34" s="111" t="s">
        <v>258</v>
      </c>
      <c r="O34" s="32"/>
      <c r="P34" s="32"/>
      <c r="Q34" s="64"/>
      <c r="R34" s="32"/>
      <c r="S34" s="32"/>
      <c r="T34" s="32"/>
      <c r="U34" s="64"/>
      <c r="V34" s="32"/>
      <c r="W34" s="32"/>
      <c r="X34" s="32"/>
      <c r="Y34" s="64"/>
      <c r="Z34" s="64"/>
      <c r="AA34" s="64"/>
      <c r="AB34" s="64"/>
      <c r="AC34" s="142">
        <f>SUM('P&amp;L'!T45:W45)</f>
        <v>4.0269125262646899</v>
      </c>
      <c r="AD34" s="135">
        <f>SUM('P&amp;L'!U45:X45)</f>
        <v>4.1753740226565279</v>
      </c>
    </row>
    <row r="35" spans="2:30" ht="14.4" customHeight="1" x14ac:dyDescent="0.3">
      <c r="N35" s="111" t="s">
        <v>254</v>
      </c>
      <c r="O35" s="32"/>
      <c r="P35" s="32"/>
      <c r="Q35" s="32"/>
      <c r="R35" s="64"/>
      <c r="S35" s="64"/>
      <c r="T35" s="64"/>
      <c r="U35" s="64"/>
      <c r="V35" s="64"/>
      <c r="W35" s="64"/>
      <c r="X35" s="64"/>
      <c r="Y35" s="64"/>
      <c r="Z35" s="64"/>
      <c r="AA35" s="64"/>
      <c r="AB35" s="64"/>
      <c r="AC35" s="130">
        <f>SUM('P&amp;L'!T19:W19)/1000</f>
        <v>767.28960499999994</v>
      </c>
      <c r="AD35" s="95">
        <f>SUM('P&amp;L'!U19:X19)/1000</f>
        <v>792.21696900000006</v>
      </c>
    </row>
    <row r="36" spans="2:30" ht="14.4" customHeight="1" x14ac:dyDescent="0.3">
      <c r="B36" s="196" t="s">
        <v>194</v>
      </c>
      <c r="N36" s="111" t="s">
        <v>283</v>
      </c>
      <c r="O36" s="32"/>
      <c r="P36" s="32"/>
      <c r="Q36" s="32"/>
      <c r="R36" s="64"/>
      <c r="S36" s="64"/>
      <c r="T36" s="64"/>
      <c r="U36" s="64"/>
      <c r="V36" s="64"/>
      <c r="W36" s="64"/>
      <c r="X36" s="64"/>
      <c r="Y36" s="64"/>
      <c r="Z36" s="64"/>
      <c r="AA36" s="64"/>
      <c r="AB36" s="64"/>
      <c r="AC36" s="142">
        <f>SUM(Z17:AC17)</f>
        <v>3.3500916803105909</v>
      </c>
      <c r="AD36" s="135">
        <f>SUM(AA17:AD17)</f>
        <v>4.0185090173046074</v>
      </c>
    </row>
    <row r="37" spans="2:30" ht="14.4" customHeight="1" x14ac:dyDescent="0.3">
      <c r="B37" s="191" t="s">
        <v>195</v>
      </c>
      <c r="N37" s="111" t="s">
        <v>255</v>
      </c>
      <c r="O37" s="32"/>
      <c r="P37" s="32"/>
      <c r="Q37" s="32"/>
      <c r="R37" s="64"/>
      <c r="S37" s="64"/>
      <c r="T37" s="64"/>
      <c r="U37" s="64"/>
      <c r="V37" s="64"/>
      <c r="W37" s="64"/>
      <c r="X37" s="64"/>
      <c r="Y37" s="64"/>
      <c r="Z37" s="64"/>
      <c r="AA37" s="64"/>
      <c r="AB37" s="64"/>
      <c r="AC37" s="130">
        <f>SUM(CashFlow!T41:W41)/1000</f>
        <v>639.825605</v>
      </c>
      <c r="AD37" s="95">
        <f>SUM(CashFlow!U41:X41)/1000</f>
        <v>698.21696900000006</v>
      </c>
    </row>
    <row r="38" spans="2:30" ht="14.4" customHeight="1" x14ac:dyDescent="0.3">
      <c r="B38" s="30"/>
      <c r="N38" s="111" t="s">
        <v>259</v>
      </c>
      <c r="O38" s="72"/>
      <c r="P38" s="72"/>
      <c r="Q38" s="72"/>
      <c r="R38" s="72"/>
      <c r="S38" s="73"/>
      <c r="T38" s="72"/>
      <c r="U38" s="83"/>
      <c r="V38" s="83"/>
      <c r="W38" s="83"/>
      <c r="X38" s="83"/>
      <c r="Y38" s="83"/>
      <c r="Z38" s="83"/>
      <c r="AA38" s="83"/>
      <c r="AB38" s="83"/>
      <c r="AC38" s="131">
        <f>$N$2/AC34</f>
        <v>4.6834888706892981</v>
      </c>
      <c r="AD38" s="93">
        <f>$N$2/AD34</f>
        <v>4.5169606118305463</v>
      </c>
    </row>
    <row r="39" spans="2:30" ht="14.4" customHeight="1" x14ac:dyDescent="0.3">
      <c r="N39" s="111" t="s">
        <v>253</v>
      </c>
      <c r="O39" s="72"/>
      <c r="P39" s="72"/>
      <c r="Q39" s="72"/>
      <c r="R39" s="72"/>
      <c r="S39" s="73"/>
      <c r="T39" s="72"/>
      <c r="U39" s="83"/>
      <c r="V39" s="83"/>
      <c r="W39" s="83"/>
      <c r="X39" s="83"/>
      <c r="Y39" s="83"/>
      <c r="Z39" s="83"/>
      <c r="AA39" s="83"/>
      <c r="AB39" s="83"/>
      <c r="AC39" s="131">
        <f>AC33/AC35</f>
        <v>4.2247548622970328</v>
      </c>
      <c r="AD39" s="93">
        <f>AD33/AD35</f>
        <v>4.116669142756205</v>
      </c>
    </row>
    <row r="40" spans="2:30" ht="14.4" customHeight="1" x14ac:dyDescent="0.3">
      <c r="N40" s="111" t="s">
        <v>256</v>
      </c>
      <c r="O40" s="32"/>
      <c r="P40" s="32"/>
      <c r="Q40" s="32"/>
      <c r="R40" s="32"/>
      <c r="S40" s="32"/>
      <c r="T40" s="32"/>
      <c r="U40" s="32"/>
      <c r="V40" s="32"/>
      <c r="W40" s="32"/>
      <c r="X40" s="32"/>
      <c r="Y40" s="32"/>
      <c r="Z40" s="32"/>
      <c r="AA40" s="32"/>
      <c r="AB40" s="32"/>
      <c r="AC40" s="131">
        <f>N2/(AC37/AC14)</f>
        <v>4.7521280042239011</v>
      </c>
      <c r="AD40" s="93">
        <f>O2/(AD37/AD14)</f>
        <v>0</v>
      </c>
    </row>
    <row r="41" spans="2:30" ht="14.4" customHeight="1" thickBot="1" x14ac:dyDescent="0.35">
      <c r="B41" s="40" t="s">
        <v>215</v>
      </c>
      <c r="N41" s="112" t="s">
        <v>284</v>
      </c>
      <c r="O41" s="90"/>
      <c r="P41" s="90"/>
      <c r="Q41" s="90"/>
      <c r="R41" s="90"/>
      <c r="S41" s="90"/>
      <c r="T41" s="90"/>
      <c r="U41" s="90"/>
      <c r="V41" s="90"/>
      <c r="W41" s="90"/>
      <c r="X41" s="90"/>
      <c r="Y41" s="90"/>
      <c r="Z41" s="90"/>
      <c r="AA41" s="90"/>
      <c r="AB41" s="90"/>
      <c r="AC41" s="148">
        <f>AC36/$N$2</f>
        <v>0.17762946343110239</v>
      </c>
      <c r="AD41" s="143">
        <f>AD36/$N$2</f>
        <v>0.21307046751349987</v>
      </c>
    </row>
    <row r="42" spans="2:30" ht="14.4" customHeight="1" thickBot="1" x14ac:dyDescent="0.35">
      <c r="B42" s="109" t="s">
        <v>27</v>
      </c>
      <c r="C42" s="104">
        <f>'[1]Cleaves Vessels Value'!$C$11</f>
        <v>9.2370370370370245E-3</v>
      </c>
      <c r="D42" s="104"/>
      <c r="E42" s="104"/>
      <c r="F42" s="104">
        <f>'[1]Cleaves Vessels Value'!$D$11</f>
        <v>-0.43060317460317415</v>
      </c>
      <c r="G42" s="104">
        <f>'[1]Cleaves Vessels Value'!$E$11</f>
        <v>0.87875661375661041</v>
      </c>
      <c r="H42" s="102">
        <f>'[1]Cleaves Vessels Value'!$F$11</f>
        <v>128.24682539682541</v>
      </c>
      <c r="N42" s="46"/>
      <c r="O42" s="146"/>
      <c r="P42" s="32"/>
      <c r="Q42" s="32"/>
      <c r="R42" s="32"/>
      <c r="S42" s="32"/>
      <c r="T42" s="32"/>
      <c r="U42" s="32"/>
      <c r="V42" s="32"/>
      <c r="W42" s="32"/>
      <c r="X42" s="32"/>
      <c r="Y42" s="32"/>
      <c r="Z42" s="32"/>
      <c r="AA42" s="32"/>
      <c r="AB42" s="32"/>
      <c r="AC42" s="32"/>
      <c r="AD42" s="32"/>
    </row>
    <row r="43" spans="2:30" ht="14.4" customHeight="1" x14ac:dyDescent="0.3"/>
    <row r="44" spans="2:30" ht="14.4" customHeight="1" thickBot="1" x14ac:dyDescent="0.35">
      <c r="B44" s="40" t="s">
        <v>265</v>
      </c>
    </row>
    <row r="45" spans="2:30" ht="14.4" customHeight="1" x14ac:dyDescent="0.3">
      <c r="B45" s="78" t="s">
        <v>266</v>
      </c>
      <c r="C45" s="139">
        <v>1.08</v>
      </c>
    </row>
    <row r="46" spans="2:30" ht="14.4" customHeight="1" x14ac:dyDescent="0.3">
      <c r="B46" s="126" t="s">
        <v>267</v>
      </c>
      <c r="C46" s="140">
        <v>1.05</v>
      </c>
    </row>
    <row r="47" spans="2:30" ht="14.4" customHeight="1" thickBot="1" x14ac:dyDescent="0.35">
      <c r="B47" s="128" t="s">
        <v>268</v>
      </c>
      <c r="C47" s="141">
        <v>1</v>
      </c>
    </row>
    <row r="48" spans="2:30" ht="14.4" customHeight="1" x14ac:dyDescent="0.3"/>
    <row r="49" spans="14:18" ht="14.4" customHeight="1" x14ac:dyDescent="0.3">
      <c r="O49" s="31"/>
    </row>
    <row r="50" spans="14:18" ht="14.4" customHeight="1" x14ac:dyDescent="0.3">
      <c r="O50" s="31"/>
    </row>
    <row r="51" spans="14:18" ht="14.4" customHeight="1" x14ac:dyDescent="0.3"/>
    <row r="52" spans="14:18" ht="14.4" customHeight="1" x14ac:dyDescent="0.3"/>
    <row r="53" spans="14:18" ht="14.4" customHeight="1" x14ac:dyDescent="0.3">
      <c r="N53" s="31"/>
      <c r="O53" s="31"/>
    </row>
    <row r="54" spans="14:18" ht="14.4" customHeight="1" x14ac:dyDescent="0.3">
      <c r="N54" s="31"/>
      <c r="O54" s="31"/>
    </row>
    <row r="55" spans="14:18" ht="14.4" customHeight="1" x14ac:dyDescent="0.3">
      <c r="N55" s="38"/>
    </row>
    <row r="56" spans="14:18" ht="14.4" hidden="1" customHeight="1" x14ac:dyDescent="0.3"/>
    <row r="57" spans="14:18" ht="14.4" hidden="1" customHeight="1" x14ac:dyDescent="0.3"/>
    <row r="58" spans="14:18" ht="14.4" hidden="1" customHeight="1" x14ac:dyDescent="0.3"/>
    <row r="59" spans="14:18" ht="14.4" hidden="1" customHeight="1" x14ac:dyDescent="0.3"/>
    <row r="60" spans="14:18" ht="14.4" hidden="1" customHeight="1" x14ac:dyDescent="0.3">
      <c r="O60" s="38"/>
      <c r="P60" s="39"/>
      <c r="Q60" s="38"/>
      <c r="R60" s="38"/>
    </row>
  </sheetData>
  <pageMargins left="0.7" right="0.7" top="0.75" bottom="0.75" header="0.3" footer="0.3"/>
  <pageSetup paperSize="9" orientation="portrait" horizontalDpi="0" verticalDpi="0" r:id="rId1"/>
  <ignoredErrors>
    <ignoredError sqref="Z18"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3"/>
  <dimension ref="A1:X119"/>
  <sheetViews>
    <sheetView showGridLines="0" tabSelected="1" zoomScale="70" zoomScaleNormal="70" workbookViewId="0">
      <pane xSplit="2" ySplit="1" topLeftCell="P2" activePane="bottomRight" state="frozen"/>
      <selection pane="topRight" activeCell="C1" sqref="C1"/>
      <selection pane="bottomLeft" activeCell="A2" sqref="A2"/>
      <selection pane="bottomRight" activeCell="Z5" sqref="Z5"/>
    </sheetView>
  </sheetViews>
  <sheetFormatPr baseColWidth="10" defaultColWidth="0" defaultRowHeight="14.4" customHeight="1" zeroHeight="1" outlineLevelCol="1" x14ac:dyDescent="0.3"/>
  <cols>
    <col min="1" max="1" width="2.77734375" style="194" customWidth="1"/>
    <col min="2" max="2" width="50.77734375" style="1" customWidth="1"/>
    <col min="3" max="15" width="12.77734375" style="1" hidden="1" customWidth="1" outlineLevel="1"/>
    <col min="16" max="16" width="12.77734375" style="1" customWidth="1" collapsed="1"/>
    <col min="17" max="31" width="12.77734375" style="1" customWidth="1"/>
    <col min="32" max="16384" width="12.77734375" style="1" hidden="1"/>
  </cols>
  <sheetData>
    <row r="1" spans="1:24" customFormat="1" ht="14.4" customHeight="1" x14ac:dyDescent="0.3">
      <c r="A1" s="193"/>
      <c r="B1" s="8" t="s">
        <v>153</v>
      </c>
      <c r="C1" s="9">
        <f>D1-1</f>
        <v>2021</v>
      </c>
      <c r="D1" s="9">
        <v>2022</v>
      </c>
      <c r="E1" s="9">
        <v>2023</v>
      </c>
      <c r="F1" s="9">
        <v>2024</v>
      </c>
      <c r="G1" s="9">
        <v>2025</v>
      </c>
      <c r="H1" s="9" t="s">
        <v>12</v>
      </c>
      <c r="I1" s="9" t="s">
        <v>13</v>
      </c>
      <c r="J1" s="9" t="s">
        <v>11</v>
      </c>
      <c r="K1" s="9" t="s">
        <v>14</v>
      </c>
      <c r="L1" s="9" t="s">
        <v>49</v>
      </c>
      <c r="M1" s="9" t="s">
        <v>50</v>
      </c>
      <c r="N1" s="9" t="s">
        <v>51</v>
      </c>
      <c r="O1" s="9" t="s">
        <v>29</v>
      </c>
      <c r="P1" s="9" t="s">
        <v>168</v>
      </c>
      <c r="Q1" s="9" t="s">
        <v>169</v>
      </c>
      <c r="R1" s="9" t="s">
        <v>170</v>
      </c>
      <c r="S1" s="9" t="s">
        <v>171</v>
      </c>
      <c r="T1" s="9" t="s">
        <v>186</v>
      </c>
      <c r="U1" s="2" t="s">
        <v>187</v>
      </c>
      <c r="V1" s="2" t="s">
        <v>188</v>
      </c>
      <c r="W1" s="2" t="s">
        <v>189</v>
      </c>
      <c r="X1" s="2" t="s">
        <v>285</v>
      </c>
    </row>
    <row r="2" spans="1:24" ht="14.4" customHeight="1" x14ac:dyDescent="0.3">
      <c r="B2" t="s">
        <v>88</v>
      </c>
      <c r="C2" s="27">
        <v>295853</v>
      </c>
      <c r="D2" s="27">
        <v>450382</v>
      </c>
      <c r="E2" s="27">
        <f>SUM(H2:K2)</f>
        <v>556075</v>
      </c>
      <c r="F2" s="27">
        <f>SUM(L2:O2)</f>
        <v>567835</v>
      </c>
      <c r="G2" s="27">
        <f>SUM(P2:S2)</f>
        <v>497197</v>
      </c>
      <c r="H2" s="27">
        <v>131468</v>
      </c>
      <c r="I2" s="27">
        <v>151993</v>
      </c>
      <c r="J2" s="27">
        <v>130322</v>
      </c>
      <c r="K2" s="27">
        <v>142292</v>
      </c>
      <c r="L2" s="27">
        <v>145876</v>
      </c>
      <c r="M2" s="27">
        <v>150066</v>
      </c>
      <c r="N2" s="27">
        <v>141125</v>
      </c>
      <c r="O2" s="27">
        <v>130768</v>
      </c>
      <c r="P2" s="27">
        <v>118165</v>
      </c>
      <c r="Q2" s="27">
        <v>127950</v>
      </c>
      <c r="R2" s="27">
        <v>107151</v>
      </c>
      <c r="S2" s="27">
        <v>143931</v>
      </c>
      <c r="T2" s="27">
        <v>186285</v>
      </c>
      <c r="U2" s="27">
        <f>SUM(U81:U109)/1000</f>
        <v>238350</v>
      </c>
      <c r="V2" s="27">
        <f>SUM(V81:V109)/1000</f>
        <v>239643.9</v>
      </c>
      <c r="W2" s="27">
        <f>SUM(W81:W109)/1000</f>
        <v>227661.70499999999</v>
      </c>
      <c r="X2" s="27">
        <f>SUM(X81:X109)/1000</f>
        <v>182129.36400000003</v>
      </c>
    </row>
    <row r="3" spans="1:24" ht="14.4" customHeight="1" x14ac:dyDescent="0.3">
      <c r="B3" s="32" t="s">
        <v>89</v>
      </c>
      <c r="C3" s="32"/>
      <c r="D3" s="32">
        <v>3765</v>
      </c>
      <c r="E3" s="46"/>
      <c r="F3" s="19">
        <f>SUM(L3:O3)</f>
        <v>3938</v>
      </c>
      <c r="G3" s="19">
        <f>SUM(P3:S3)</f>
        <v>1204</v>
      </c>
      <c r="H3" s="32">
        <v>1100</v>
      </c>
      <c r="I3" s="32">
        <v>1054</v>
      </c>
      <c r="J3" s="46">
        <v>1243</v>
      </c>
      <c r="K3" s="46">
        <v>1084</v>
      </c>
      <c r="L3" s="1">
        <v>1162</v>
      </c>
      <c r="M3" s="1">
        <v>1171</v>
      </c>
      <c r="N3" s="10">
        <v>982</v>
      </c>
      <c r="O3" s="10">
        <v>623</v>
      </c>
      <c r="P3" s="10">
        <v>409</v>
      </c>
      <c r="Q3" s="10">
        <v>366</v>
      </c>
      <c r="R3" s="10">
        <v>197</v>
      </c>
      <c r="S3" s="10">
        <v>232</v>
      </c>
      <c r="T3" s="10">
        <v>191</v>
      </c>
      <c r="U3" s="118">
        <v>191</v>
      </c>
      <c r="V3" s="118">
        <v>191</v>
      </c>
      <c r="W3" s="118">
        <v>191</v>
      </c>
      <c r="X3" s="118">
        <v>191</v>
      </c>
    </row>
    <row r="4" spans="1:24" ht="14.4" customHeight="1" x14ac:dyDescent="0.3">
      <c r="B4" s="14" t="s">
        <v>90</v>
      </c>
      <c r="C4" s="6">
        <f>SUM(C2:C3)</f>
        <v>295853</v>
      </c>
      <c r="D4" s="6">
        <f>SUM(D2:D3)</f>
        <v>454147</v>
      </c>
      <c r="E4" s="26">
        <f t="shared" ref="E4:M4" si="0">SUM(E2:E3)</f>
        <v>556075</v>
      </c>
      <c r="F4" s="26">
        <f t="shared" si="0"/>
        <v>571773</v>
      </c>
      <c r="G4" s="26">
        <f t="shared" ref="G4" si="1">SUM(G2:G3)</f>
        <v>498401</v>
      </c>
      <c r="H4" s="6">
        <f t="shared" si="0"/>
        <v>132568</v>
      </c>
      <c r="I4" s="6">
        <f t="shared" si="0"/>
        <v>153047</v>
      </c>
      <c r="J4" s="6">
        <f t="shared" si="0"/>
        <v>131565</v>
      </c>
      <c r="K4" s="26">
        <f t="shared" si="0"/>
        <v>143376</v>
      </c>
      <c r="L4" s="6">
        <f t="shared" si="0"/>
        <v>147038</v>
      </c>
      <c r="M4" s="6">
        <f t="shared" si="0"/>
        <v>151237</v>
      </c>
      <c r="N4" s="6">
        <f t="shared" ref="N4:O4" si="2">SUM(N2:N3)</f>
        <v>142107</v>
      </c>
      <c r="O4" s="6">
        <f t="shared" si="2"/>
        <v>131391</v>
      </c>
      <c r="P4" s="6">
        <f t="shared" ref="P4:Q4" si="3">SUM(P2:P3)</f>
        <v>118574</v>
      </c>
      <c r="Q4" s="6">
        <f t="shared" si="3"/>
        <v>128316</v>
      </c>
      <c r="R4" s="6">
        <f t="shared" ref="R4:S4" si="4">SUM(R2:R3)</f>
        <v>107348</v>
      </c>
      <c r="S4" s="6">
        <f t="shared" si="4"/>
        <v>144163</v>
      </c>
      <c r="T4" s="6">
        <f t="shared" ref="T4:U4" si="5">SUM(T2:T3)</f>
        <v>186476</v>
      </c>
      <c r="U4" s="6">
        <f t="shared" si="5"/>
        <v>238541</v>
      </c>
      <c r="V4" s="6">
        <f t="shared" ref="V4:W4" si="6">SUM(V2:V3)</f>
        <v>239834.9</v>
      </c>
      <c r="W4" s="6">
        <f t="shared" si="6"/>
        <v>227852.70499999999</v>
      </c>
      <c r="X4" s="6">
        <f t="shared" ref="X4" si="7">SUM(X2:X3)</f>
        <v>182320.36400000003</v>
      </c>
    </row>
    <row r="5" spans="1:24" ht="14.4" customHeight="1" x14ac:dyDescent="0.3">
      <c r="B5" s="33"/>
      <c r="C5" s="27"/>
      <c r="D5" s="27"/>
      <c r="E5" s="27"/>
      <c r="F5" s="27"/>
      <c r="G5" s="27"/>
      <c r="H5" s="27"/>
      <c r="I5" s="27"/>
      <c r="J5" s="27"/>
      <c r="K5" s="27"/>
      <c r="N5" s="10"/>
    </row>
    <row r="6" spans="1:24" ht="14.4" customHeight="1" x14ac:dyDescent="0.3">
      <c r="B6" s="40" t="s">
        <v>35</v>
      </c>
      <c r="C6" s="19">
        <v>4612</v>
      </c>
      <c r="D6" s="27">
        <v>0</v>
      </c>
      <c r="E6" s="27">
        <v>0</v>
      </c>
      <c r="F6" s="27">
        <v>0</v>
      </c>
      <c r="G6" s="27">
        <v>0</v>
      </c>
      <c r="H6" s="27"/>
      <c r="I6" s="27"/>
      <c r="J6" s="27"/>
      <c r="K6" s="27"/>
      <c r="N6" s="10"/>
    </row>
    <row r="7" spans="1:24" ht="14.4" customHeight="1" x14ac:dyDescent="0.3">
      <c r="B7"/>
      <c r="C7" s="19"/>
      <c r="D7" s="19"/>
      <c r="E7" s="19"/>
      <c r="F7" s="19"/>
      <c r="G7" s="19"/>
      <c r="H7" s="19"/>
      <c r="I7" s="19"/>
      <c r="J7" s="19"/>
      <c r="K7" s="19"/>
      <c r="N7" s="10"/>
    </row>
    <row r="8" spans="1:24" ht="14.4" customHeight="1" x14ac:dyDescent="0.3">
      <c r="B8" s="41" t="s">
        <v>36</v>
      </c>
      <c r="C8" s="19"/>
      <c r="D8" s="19"/>
      <c r="E8" s="19"/>
      <c r="F8" s="19"/>
      <c r="G8" s="19"/>
      <c r="H8" s="19"/>
      <c r="I8" s="19"/>
      <c r="J8" s="19"/>
      <c r="K8" s="19"/>
      <c r="N8" s="10"/>
    </row>
    <row r="9" spans="1:24" ht="14.4" customHeight="1" x14ac:dyDescent="0.3">
      <c r="B9" s="44" t="s">
        <v>91</v>
      </c>
      <c r="C9" s="19">
        <v>-92405</v>
      </c>
      <c r="D9" s="19">
        <v>-185502</v>
      </c>
      <c r="E9" s="19">
        <f>SUM(H9:K9)</f>
        <v>-165667</v>
      </c>
      <c r="F9" s="19">
        <f>SUM(L9:O9)</f>
        <v>-179624</v>
      </c>
      <c r="G9" s="19">
        <f>SUM(P9:S9)</f>
        <v>-128087</v>
      </c>
      <c r="H9" s="19">
        <v>-37569</v>
      </c>
      <c r="I9" s="19">
        <v>-39092</v>
      </c>
      <c r="J9" s="19">
        <v>-41235</v>
      </c>
      <c r="K9" s="56">
        <v>-47771</v>
      </c>
      <c r="L9" s="19">
        <v>-39537</v>
      </c>
      <c r="M9" s="19">
        <v>-46370</v>
      </c>
      <c r="N9" s="19">
        <v>-48484</v>
      </c>
      <c r="O9" s="19">
        <v>-45233</v>
      </c>
      <c r="P9" s="19">
        <v>-38828</v>
      </c>
      <c r="Q9" s="19">
        <v>-35131</v>
      </c>
      <c r="R9" s="19">
        <v>-28047</v>
      </c>
      <c r="S9" s="19">
        <v>-26081</v>
      </c>
      <c r="T9" s="19">
        <v>-29083</v>
      </c>
      <c r="U9" s="47"/>
      <c r="V9" s="47"/>
      <c r="W9" s="47"/>
      <c r="X9" s="47"/>
    </row>
    <row r="10" spans="1:24" ht="14.4" customHeight="1" x14ac:dyDescent="0.3">
      <c r="B10" s="44" t="s">
        <v>92</v>
      </c>
      <c r="C10" s="19">
        <v>-77807</v>
      </c>
      <c r="D10" s="19">
        <v>-73808</v>
      </c>
      <c r="E10" s="19">
        <f>SUM(H10:K10)</f>
        <v>-75430</v>
      </c>
      <c r="F10" s="19">
        <f>SUM(L10:O10)</f>
        <v>-78593</v>
      </c>
      <c r="G10" s="19">
        <f>SUM(P10:S10)</f>
        <v>-72995</v>
      </c>
      <c r="H10" s="19">
        <v>-18417</v>
      </c>
      <c r="I10" s="19">
        <v>-19687</v>
      </c>
      <c r="J10" s="19">
        <v>-18608</v>
      </c>
      <c r="K10" s="56">
        <v>-18718</v>
      </c>
      <c r="L10" s="19">
        <v>-19172</v>
      </c>
      <c r="M10" s="19">
        <v>-20393</v>
      </c>
      <c r="N10" s="19">
        <v>-19048</v>
      </c>
      <c r="O10" s="19">
        <v>-19980</v>
      </c>
      <c r="P10" s="19">
        <v>-17828</v>
      </c>
      <c r="Q10" s="19">
        <v>-19605</v>
      </c>
      <c r="R10" s="19">
        <v>-18436</v>
      </c>
      <c r="S10" s="19">
        <v>-17126</v>
      </c>
      <c r="T10" s="19">
        <v>-19126</v>
      </c>
      <c r="U10" s="119">
        <v>-19126</v>
      </c>
      <c r="V10" s="119">
        <v>-19126</v>
      </c>
      <c r="W10" s="119">
        <v>-19126</v>
      </c>
      <c r="X10" s="119">
        <v>-19126</v>
      </c>
    </row>
    <row r="11" spans="1:24" ht="14.4" customHeight="1" x14ac:dyDescent="0.3">
      <c r="B11" s="44" t="s">
        <v>0</v>
      </c>
      <c r="C11" s="19">
        <v>-128639</v>
      </c>
      <c r="D11" s="19">
        <v>-123255</v>
      </c>
      <c r="E11" s="19">
        <f>SUM(H11:K11)</f>
        <v>-108903</v>
      </c>
      <c r="F11" s="19">
        <f>SUM(L11:O11)</f>
        <v>-111884</v>
      </c>
      <c r="G11" s="19">
        <f>SUM(P11:S11)</f>
        <v>-106369</v>
      </c>
      <c r="H11" s="19">
        <v>-25726</v>
      </c>
      <c r="I11" s="19">
        <v>-26376</v>
      </c>
      <c r="J11" s="19">
        <v>-28326</v>
      </c>
      <c r="K11" s="56">
        <v>-28475</v>
      </c>
      <c r="L11" s="19">
        <v>-28250</v>
      </c>
      <c r="M11" s="19">
        <v>-27878</v>
      </c>
      <c r="N11" s="19">
        <v>-28135</v>
      </c>
      <c r="O11" s="19">
        <v>-27621</v>
      </c>
      <c r="P11" s="19">
        <v>-27270</v>
      </c>
      <c r="Q11" s="19">
        <v>-26139</v>
      </c>
      <c r="R11" s="19">
        <v>-25969</v>
      </c>
      <c r="S11" s="19">
        <v>-26991</v>
      </c>
      <c r="T11" s="19">
        <v>-25647</v>
      </c>
      <c r="U11" s="119">
        <v>-25647</v>
      </c>
      <c r="V11" s="119">
        <v>-25647</v>
      </c>
      <c r="W11" s="119">
        <v>-25647</v>
      </c>
      <c r="X11" s="119">
        <v>-25647</v>
      </c>
    </row>
    <row r="12" spans="1:24" ht="14.4" customHeight="1" x14ac:dyDescent="0.3">
      <c r="B12" s="44" t="s">
        <v>93</v>
      </c>
      <c r="C12" s="19">
        <v>0</v>
      </c>
      <c r="D12" s="19"/>
      <c r="E12" s="19">
        <f>SUM(H12:K12)</f>
        <v>0</v>
      </c>
      <c r="F12" s="19">
        <f>SUM(L12:O12)</f>
        <v>0</v>
      </c>
      <c r="G12" s="19">
        <f>SUM(P12:S12)</f>
        <v>0</v>
      </c>
      <c r="H12" s="19"/>
      <c r="I12" s="19"/>
      <c r="J12" s="19"/>
      <c r="K12" s="56"/>
      <c r="L12" s="10"/>
      <c r="M12" s="10"/>
      <c r="N12" s="10"/>
      <c r="O12" s="10"/>
      <c r="P12" s="10"/>
      <c r="Q12" s="10"/>
      <c r="R12" s="10"/>
      <c r="S12" s="10"/>
      <c r="T12" s="10"/>
      <c r="U12" s="120"/>
      <c r="V12" s="120"/>
      <c r="W12" s="120"/>
      <c r="X12" s="120"/>
    </row>
    <row r="13" spans="1:24" ht="14.4" customHeight="1" x14ac:dyDescent="0.3">
      <c r="B13" s="44" t="s">
        <v>94</v>
      </c>
      <c r="C13" s="19">
        <v>15153</v>
      </c>
      <c r="D13" s="19">
        <v>19512</v>
      </c>
      <c r="E13" s="19">
        <f>SUM(H13:K13)</f>
        <v>0</v>
      </c>
      <c r="F13" s="19">
        <f>SUM(L13:O13)</f>
        <v>27909</v>
      </c>
      <c r="G13" s="19">
        <f>SUM(P13:S13)</f>
        <v>53912</v>
      </c>
      <c r="H13" s="19"/>
      <c r="I13" s="19"/>
      <c r="J13" s="19"/>
      <c r="K13" s="56"/>
      <c r="L13" s="10"/>
      <c r="M13" s="10"/>
      <c r="N13" s="10"/>
      <c r="O13" s="10">
        <v>27909</v>
      </c>
      <c r="P13" s="10">
        <v>19795</v>
      </c>
      <c r="Q13" s="10">
        <v>17459</v>
      </c>
      <c r="R13" s="10">
        <f>15688+970</f>
        <v>16658</v>
      </c>
      <c r="S13" s="10"/>
      <c r="T13" s="10">
        <v>59994</v>
      </c>
      <c r="U13" s="118">
        <v>34200</v>
      </c>
      <c r="V13" s="120"/>
      <c r="W13" s="120"/>
      <c r="X13" s="120"/>
    </row>
    <row r="14" spans="1:24" ht="14.4" customHeight="1" x14ac:dyDescent="0.3">
      <c r="B14" s="45" t="s">
        <v>95</v>
      </c>
      <c r="C14" s="19">
        <v>-16565</v>
      </c>
      <c r="D14" s="19">
        <v>-16890</v>
      </c>
      <c r="E14" s="19">
        <f>SUM(H14:K14)</f>
        <v>-17448</v>
      </c>
      <c r="F14" s="19">
        <f>SUM(L14:O14)</f>
        <v>-18943</v>
      </c>
      <c r="G14" s="19">
        <f>SUM(P14:S14)</f>
        <v>-19890</v>
      </c>
      <c r="H14" s="19">
        <v>-4637</v>
      </c>
      <c r="I14" s="19">
        <v>-4515</v>
      </c>
      <c r="J14" s="19">
        <v>-4303</v>
      </c>
      <c r="K14" s="56">
        <v>-3993</v>
      </c>
      <c r="L14" s="19">
        <v>-4664</v>
      </c>
      <c r="M14" s="19">
        <v>-4521</v>
      </c>
      <c r="N14" s="19">
        <v>-4169</v>
      </c>
      <c r="O14" s="19">
        <v>-5589</v>
      </c>
      <c r="P14" s="19">
        <v>-5548</v>
      </c>
      <c r="Q14" s="19">
        <v>-4587</v>
      </c>
      <c r="R14" s="19">
        <v>-4132</v>
      </c>
      <c r="S14" s="19">
        <v>-5623</v>
      </c>
      <c r="T14" s="19">
        <v>-4957</v>
      </c>
      <c r="U14" s="119">
        <v>-4957</v>
      </c>
      <c r="V14" s="119">
        <v>-4957</v>
      </c>
      <c r="W14" s="119">
        <v>-4957</v>
      </c>
      <c r="X14" s="119">
        <v>-4957</v>
      </c>
    </row>
    <row r="15" spans="1:24" ht="14.4" customHeight="1" x14ac:dyDescent="0.3">
      <c r="B15" s="14" t="s">
        <v>37</v>
      </c>
      <c r="C15" s="26">
        <f>SUM(C9:C14)</f>
        <v>-300263</v>
      </c>
      <c r="D15" s="26">
        <f>SUM(D9:D14)</f>
        <v>-379943</v>
      </c>
      <c r="E15" s="26">
        <f t="shared" ref="E15:K15" si="8">SUM(E9:E14)</f>
        <v>-367448</v>
      </c>
      <c r="F15" s="26">
        <f t="shared" si="8"/>
        <v>-361135</v>
      </c>
      <c r="G15" s="26">
        <f t="shared" ref="G15" si="9">SUM(G9:G14)</f>
        <v>-273429</v>
      </c>
      <c r="H15" s="26">
        <f t="shared" si="8"/>
        <v>-86349</v>
      </c>
      <c r="I15" s="26">
        <f t="shared" si="8"/>
        <v>-89670</v>
      </c>
      <c r="J15" s="26">
        <f t="shared" si="8"/>
        <v>-92472</v>
      </c>
      <c r="K15" s="26">
        <f t="shared" si="8"/>
        <v>-98957</v>
      </c>
      <c r="L15" s="26">
        <f t="shared" ref="L15:M15" si="10">SUM(L9:L14)</f>
        <v>-91623</v>
      </c>
      <c r="M15" s="26">
        <f t="shared" si="10"/>
        <v>-99162</v>
      </c>
      <c r="N15" s="26">
        <f t="shared" ref="N15:O15" si="11">SUM(N9:N14)</f>
        <v>-99836</v>
      </c>
      <c r="O15" s="26">
        <f t="shared" si="11"/>
        <v>-70514</v>
      </c>
      <c r="P15" s="26">
        <f t="shared" ref="P15:Q15" si="12">SUM(P9:P14)</f>
        <v>-69679</v>
      </c>
      <c r="Q15" s="26">
        <f t="shared" si="12"/>
        <v>-68003</v>
      </c>
      <c r="R15" s="26">
        <f t="shared" ref="R15:S15" si="13">SUM(R9:R14)</f>
        <v>-59926</v>
      </c>
      <c r="S15" s="26">
        <f t="shared" si="13"/>
        <v>-75821</v>
      </c>
      <c r="T15" s="26">
        <f t="shared" ref="T15:U15" si="14">SUM(T9:T14)</f>
        <v>-18819</v>
      </c>
      <c r="U15" s="26">
        <f t="shared" si="14"/>
        <v>-15530</v>
      </c>
      <c r="V15" s="26">
        <f t="shared" ref="V15:W15" si="15">SUM(V9:V14)</f>
        <v>-49730</v>
      </c>
      <c r="W15" s="26">
        <f t="shared" si="15"/>
        <v>-49730</v>
      </c>
      <c r="X15" s="26">
        <f t="shared" ref="X15" si="16">SUM(X9:X14)</f>
        <v>-49730</v>
      </c>
    </row>
    <row r="16" spans="1:24" ht="14.4" customHeight="1" x14ac:dyDescent="0.3">
      <c r="B16" s="20"/>
      <c r="C16" s="19"/>
      <c r="D16" s="19"/>
      <c r="E16" s="19"/>
      <c r="F16" s="19"/>
      <c r="G16" s="19"/>
      <c r="H16" s="19"/>
      <c r="I16" s="19"/>
      <c r="J16" s="19"/>
      <c r="K16" s="19"/>
      <c r="N16" s="10"/>
      <c r="O16" s="10"/>
      <c r="R16" s="10"/>
    </row>
    <row r="17" spans="1:24" ht="14.4" customHeight="1" x14ac:dyDescent="0.3">
      <c r="B17" s="116" t="s">
        <v>96</v>
      </c>
      <c r="C17" s="117">
        <f>C4+C6+C15</f>
        <v>202</v>
      </c>
      <c r="D17" s="117">
        <f>D4+D6+D15</f>
        <v>74204</v>
      </c>
      <c r="E17" s="117">
        <f t="shared" ref="E17:N17" si="17">E4+E6+E15</f>
        <v>188627</v>
      </c>
      <c r="F17" s="117">
        <f t="shared" ref="F17:G17" si="18">F4+F6+F15</f>
        <v>210638</v>
      </c>
      <c r="G17" s="117">
        <f t="shared" si="18"/>
        <v>224972</v>
      </c>
      <c r="H17" s="117">
        <f t="shared" si="17"/>
        <v>46219</v>
      </c>
      <c r="I17" s="117">
        <f t="shared" si="17"/>
        <v>63377</v>
      </c>
      <c r="J17" s="117">
        <f t="shared" si="17"/>
        <v>39093</v>
      </c>
      <c r="K17" s="117">
        <f t="shared" si="17"/>
        <v>44419</v>
      </c>
      <c r="L17" s="117">
        <f t="shared" si="17"/>
        <v>55415</v>
      </c>
      <c r="M17" s="117">
        <f t="shared" si="17"/>
        <v>52075</v>
      </c>
      <c r="N17" s="117">
        <f t="shared" si="17"/>
        <v>42271</v>
      </c>
      <c r="O17" s="117">
        <f t="shared" ref="O17:S17" si="19">O4+O6+O15</f>
        <v>60877</v>
      </c>
      <c r="P17" s="117">
        <f t="shared" si="19"/>
        <v>48895</v>
      </c>
      <c r="Q17" s="117">
        <f t="shared" si="19"/>
        <v>60313</v>
      </c>
      <c r="R17" s="117">
        <f t="shared" si="19"/>
        <v>47422</v>
      </c>
      <c r="S17" s="117">
        <f t="shared" si="19"/>
        <v>68342</v>
      </c>
      <c r="T17" s="117">
        <f t="shared" ref="T17:U17" si="20">T4+T6+T15</f>
        <v>167657</v>
      </c>
      <c r="U17" s="117">
        <f t="shared" si="20"/>
        <v>223011</v>
      </c>
      <c r="V17" s="117">
        <f t="shared" ref="V17:W17" si="21">V4+V6+V15</f>
        <v>190104.9</v>
      </c>
      <c r="W17" s="117">
        <f t="shared" si="21"/>
        <v>178122.70499999999</v>
      </c>
      <c r="X17" s="117">
        <f t="shared" ref="X17" si="22">X4+X6+X15</f>
        <v>132590.36400000003</v>
      </c>
    </row>
    <row r="18" spans="1:24" ht="14.4" customHeight="1" x14ac:dyDescent="0.3">
      <c r="B18" s="116" t="s">
        <v>172</v>
      </c>
      <c r="C18" s="117">
        <f t="shared" ref="C18:S18" si="23">C17-C11</f>
        <v>128841</v>
      </c>
      <c r="D18" s="117">
        <f t="shared" si="23"/>
        <v>197459</v>
      </c>
      <c r="E18" s="117">
        <f t="shared" si="23"/>
        <v>297530</v>
      </c>
      <c r="F18" s="117">
        <f t="shared" ref="F18:G18" si="24">F17-F11</f>
        <v>322522</v>
      </c>
      <c r="G18" s="117">
        <f t="shared" si="24"/>
        <v>331341</v>
      </c>
      <c r="H18" s="117">
        <f t="shared" si="23"/>
        <v>71945</v>
      </c>
      <c r="I18" s="117">
        <f t="shared" si="23"/>
        <v>89753</v>
      </c>
      <c r="J18" s="117">
        <f t="shared" si="23"/>
        <v>67419</v>
      </c>
      <c r="K18" s="117">
        <f t="shared" si="23"/>
        <v>72894</v>
      </c>
      <c r="L18" s="117">
        <f t="shared" si="23"/>
        <v>83665</v>
      </c>
      <c r="M18" s="117">
        <f t="shared" si="23"/>
        <v>79953</v>
      </c>
      <c r="N18" s="117">
        <f t="shared" si="23"/>
        <v>70406</v>
      </c>
      <c r="O18" s="117">
        <f t="shared" si="23"/>
        <v>88498</v>
      </c>
      <c r="P18" s="117">
        <f t="shared" si="23"/>
        <v>76165</v>
      </c>
      <c r="Q18" s="117">
        <f t="shared" si="23"/>
        <v>86452</v>
      </c>
      <c r="R18" s="117">
        <f t="shared" si="23"/>
        <v>73391</v>
      </c>
      <c r="S18" s="117">
        <f t="shared" si="23"/>
        <v>95333</v>
      </c>
      <c r="T18" s="117">
        <f t="shared" ref="T18:U18" si="25">T17-T11</f>
        <v>193304</v>
      </c>
      <c r="U18" s="117">
        <f t="shared" si="25"/>
        <v>248658</v>
      </c>
      <c r="V18" s="117">
        <f t="shared" ref="V18:W18" si="26">V17-V11</f>
        <v>215751.9</v>
      </c>
      <c r="W18" s="117">
        <f t="shared" si="26"/>
        <v>203769.70499999999</v>
      </c>
      <c r="X18" s="117">
        <f t="shared" ref="X18" si="27">X17-X11</f>
        <v>158237.36400000003</v>
      </c>
    </row>
    <row r="19" spans="1:24" ht="14.4" customHeight="1" x14ac:dyDescent="0.3">
      <c r="B19" s="116" t="s">
        <v>182</v>
      </c>
      <c r="C19" s="117">
        <f t="shared" ref="C19:K19" si="28">C18-C13</f>
        <v>113688</v>
      </c>
      <c r="D19" s="117">
        <f t="shared" si="28"/>
        <v>177947</v>
      </c>
      <c r="E19" s="117">
        <f t="shared" si="28"/>
        <v>297530</v>
      </c>
      <c r="F19" s="117">
        <f t="shared" ref="F19:G19" si="29">F18-F13</f>
        <v>294613</v>
      </c>
      <c r="G19" s="117">
        <f t="shared" si="29"/>
        <v>277429</v>
      </c>
      <c r="H19" s="117">
        <f t="shared" si="28"/>
        <v>71945</v>
      </c>
      <c r="I19" s="117">
        <f t="shared" si="28"/>
        <v>89753</v>
      </c>
      <c r="J19" s="117">
        <f t="shared" si="28"/>
        <v>67419</v>
      </c>
      <c r="K19" s="117">
        <f t="shared" si="28"/>
        <v>72894</v>
      </c>
      <c r="L19" s="117">
        <f t="shared" ref="L19:S19" si="30">L18-L13</f>
        <v>83665</v>
      </c>
      <c r="M19" s="117">
        <f t="shared" si="30"/>
        <v>79953</v>
      </c>
      <c r="N19" s="117">
        <f t="shared" si="30"/>
        <v>70406</v>
      </c>
      <c r="O19" s="117">
        <f t="shared" si="30"/>
        <v>60589</v>
      </c>
      <c r="P19" s="117">
        <f t="shared" si="30"/>
        <v>56370</v>
      </c>
      <c r="Q19" s="117">
        <f t="shared" si="30"/>
        <v>68993</v>
      </c>
      <c r="R19" s="117">
        <f t="shared" si="30"/>
        <v>56733</v>
      </c>
      <c r="S19" s="117">
        <f t="shared" si="30"/>
        <v>95333</v>
      </c>
      <c r="T19" s="117">
        <f t="shared" ref="T19:U19" si="31">T18-T13</f>
        <v>133310</v>
      </c>
      <c r="U19" s="117">
        <f t="shared" si="31"/>
        <v>214458</v>
      </c>
      <c r="V19" s="117">
        <f t="shared" ref="V19:W19" si="32">V18-V13</f>
        <v>215751.9</v>
      </c>
      <c r="W19" s="117">
        <f t="shared" si="32"/>
        <v>203769.70499999999</v>
      </c>
      <c r="X19" s="117">
        <f t="shared" ref="X19" si="33">X18-X13</f>
        <v>158237.36400000003</v>
      </c>
    </row>
    <row r="20" spans="1:24" ht="14.4" customHeight="1" x14ac:dyDescent="0.3">
      <c r="B20"/>
      <c r="C20" s="19"/>
      <c r="D20" s="19"/>
      <c r="E20" s="19"/>
      <c r="F20" s="19"/>
      <c r="G20" s="19"/>
      <c r="H20" s="19"/>
      <c r="I20" s="19"/>
      <c r="J20" s="19"/>
      <c r="K20" s="19"/>
      <c r="N20" s="10"/>
      <c r="O20" s="10"/>
      <c r="R20" s="10"/>
    </row>
    <row r="21" spans="1:24" ht="14.4" customHeight="1" x14ac:dyDescent="0.3">
      <c r="B21" t="s">
        <v>97</v>
      </c>
      <c r="C21" s="19">
        <v>1278</v>
      </c>
      <c r="D21" s="19">
        <v>1407</v>
      </c>
      <c r="E21" s="19">
        <f>SUM(H21:K21)</f>
        <v>0</v>
      </c>
      <c r="F21" s="19">
        <f>SUM(L21:O21)</f>
        <v>0</v>
      </c>
      <c r="G21" s="19">
        <f>SUM(P21:S21)</f>
        <v>0</v>
      </c>
      <c r="H21" s="19"/>
      <c r="I21" s="19">
        <v>0</v>
      </c>
      <c r="J21" s="19">
        <v>0</v>
      </c>
      <c r="K21" s="19">
        <v>0</v>
      </c>
      <c r="L21" s="1">
        <v>0</v>
      </c>
      <c r="M21" s="1">
        <v>0</v>
      </c>
      <c r="N21" s="10">
        <v>0</v>
      </c>
      <c r="O21" s="10">
        <v>0</v>
      </c>
      <c r="P21" s="1">
        <v>0</v>
      </c>
      <c r="Q21" s="1">
        <v>0</v>
      </c>
      <c r="R21" s="10">
        <v>0</v>
      </c>
      <c r="S21" s="1">
        <v>0</v>
      </c>
      <c r="T21" s="1">
        <v>0</v>
      </c>
      <c r="U21" s="120">
        <v>0</v>
      </c>
      <c r="V21" s="120">
        <v>0</v>
      </c>
      <c r="W21" s="120">
        <v>0</v>
      </c>
      <c r="X21" s="120">
        <v>0</v>
      </c>
    </row>
    <row r="22" spans="1:24" ht="14.4" customHeight="1" x14ac:dyDescent="0.3">
      <c r="B22" t="s">
        <v>98</v>
      </c>
      <c r="C22" s="19">
        <v>6</v>
      </c>
      <c r="D22" s="19">
        <v>-5941</v>
      </c>
      <c r="E22" s="19">
        <f>SUM(H22:K22)</f>
        <v>4485</v>
      </c>
      <c r="F22" s="19">
        <f>SUM(L22:O22)</f>
        <v>3918</v>
      </c>
      <c r="G22" s="19">
        <f>SUM(P22:S22)</f>
        <v>3139</v>
      </c>
      <c r="H22" s="19">
        <v>398</v>
      </c>
      <c r="I22" s="19">
        <v>1966</v>
      </c>
      <c r="J22" s="19">
        <v>1213</v>
      </c>
      <c r="K22" s="19">
        <v>908</v>
      </c>
      <c r="L22" s="1">
        <v>1091</v>
      </c>
      <c r="M22" s="10">
        <v>935</v>
      </c>
      <c r="N22" s="10">
        <v>1035</v>
      </c>
      <c r="O22" s="10">
        <v>857</v>
      </c>
      <c r="P22" s="10">
        <v>793</v>
      </c>
      <c r="Q22" s="10">
        <v>820</v>
      </c>
      <c r="R22" s="10">
        <v>936</v>
      </c>
      <c r="S22" s="10">
        <v>590</v>
      </c>
      <c r="T22" s="10">
        <v>784</v>
      </c>
      <c r="U22" s="118">
        <v>784</v>
      </c>
      <c r="V22" s="118">
        <v>784</v>
      </c>
      <c r="W22" s="118">
        <v>784</v>
      </c>
      <c r="X22" s="118">
        <v>784</v>
      </c>
    </row>
    <row r="23" spans="1:24" ht="14.4" customHeight="1" x14ac:dyDescent="0.3">
      <c r="B23" t="s">
        <v>99</v>
      </c>
      <c r="C23" s="19">
        <v>-25727</v>
      </c>
      <c r="D23" s="19">
        <v>-16471</v>
      </c>
      <c r="E23" s="19">
        <f>SUM(H23:K23)</f>
        <v>-33061</v>
      </c>
      <c r="F23" s="19">
        <f>SUM(L23:O23)</f>
        <v>-30398</v>
      </c>
      <c r="G23" s="19">
        <f>SUM(P23:S23)</f>
        <v>-14168</v>
      </c>
      <c r="H23" s="19">
        <v>-7586</v>
      </c>
      <c r="I23" s="19">
        <v>-7492</v>
      </c>
      <c r="J23" s="19">
        <v>-8789</v>
      </c>
      <c r="K23" s="19">
        <v>-9194</v>
      </c>
      <c r="L23" s="19">
        <v>-8775</v>
      </c>
      <c r="M23" s="19">
        <v>-7921</v>
      </c>
      <c r="N23" s="19">
        <v>-7318</v>
      </c>
      <c r="O23" s="19">
        <v>-6384</v>
      </c>
      <c r="P23" s="19">
        <v>-5106</v>
      </c>
      <c r="Q23" s="19">
        <v>-4186</v>
      </c>
      <c r="R23" s="19">
        <v>-2586</v>
      </c>
      <c r="S23" s="19">
        <v>-2290</v>
      </c>
      <c r="T23" s="19">
        <v>-4424</v>
      </c>
      <c r="U23" s="119">
        <v>-4424</v>
      </c>
      <c r="V23" s="119">
        <v>-4424</v>
      </c>
      <c r="W23" s="119">
        <v>-4424</v>
      </c>
      <c r="X23" s="119">
        <v>-4424</v>
      </c>
    </row>
    <row r="24" spans="1:24" ht="14.4" customHeight="1" x14ac:dyDescent="0.3">
      <c r="B24" t="s">
        <v>100</v>
      </c>
      <c r="C24" s="19">
        <v>12450</v>
      </c>
      <c r="D24" s="19">
        <v>11726</v>
      </c>
      <c r="E24" s="19">
        <f>SUM(H24:K24)</f>
        <v>-503</v>
      </c>
      <c r="F24" s="19">
        <f>SUM(L24:O24)</f>
        <v>0</v>
      </c>
      <c r="G24" s="19">
        <f>SUM(P24:S24)</f>
        <v>-169</v>
      </c>
      <c r="H24" s="19">
        <v>-433</v>
      </c>
      <c r="I24" s="19">
        <v>-70</v>
      </c>
      <c r="J24" s="19">
        <v>0</v>
      </c>
      <c r="K24" s="19">
        <v>0</v>
      </c>
      <c r="L24" s="1">
        <v>0</v>
      </c>
      <c r="M24" s="10">
        <v>0</v>
      </c>
      <c r="N24" s="10">
        <v>0</v>
      </c>
      <c r="O24" s="10">
        <v>0</v>
      </c>
      <c r="P24" s="10">
        <v>0</v>
      </c>
      <c r="Q24" s="10">
        <v>0</v>
      </c>
      <c r="R24" s="10">
        <v>-354</v>
      </c>
      <c r="S24" s="10">
        <v>185</v>
      </c>
      <c r="T24" s="10">
        <v>1119</v>
      </c>
      <c r="U24" s="120">
        <v>0</v>
      </c>
      <c r="V24" s="120">
        <v>0</v>
      </c>
      <c r="W24" s="120">
        <v>0</v>
      </c>
      <c r="X24" s="120">
        <v>0</v>
      </c>
    </row>
    <row r="25" spans="1:24" ht="14.4" customHeight="1" x14ac:dyDescent="0.3">
      <c r="B25" s="32" t="s">
        <v>101</v>
      </c>
      <c r="C25" s="19">
        <v>645</v>
      </c>
      <c r="D25" s="19">
        <v>-2357</v>
      </c>
      <c r="E25" s="19">
        <f>SUM(H25:K25)</f>
        <v>-1984</v>
      </c>
      <c r="F25" s="19">
        <f>SUM(L25:O25)</f>
        <v>-2088</v>
      </c>
      <c r="G25" s="19">
        <f>SUM(P25:S25)</f>
        <v>-2396</v>
      </c>
      <c r="H25" s="19">
        <v>-366</v>
      </c>
      <c r="I25" s="19">
        <v>-606</v>
      </c>
      <c r="J25" s="19">
        <v>-413</v>
      </c>
      <c r="K25" s="19">
        <v>-599</v>
      </c>
      <c r="L25" s="19">
        <v>-454</v>
      </c>
      <c r="M25" s="19">
        <v>-470</v>
      </c>
      <c r="N25" s="19">
        <v>-719</v>
      </c>
      <c r="O25" s="19">
        <v>-445</v>
      </c>
      <c r="P25" s="19">
        <v>-447</v>
      </c>
      <c r="Q25" s="19">
        <v>-885</v>
      </c>
      <c r="R25" s="19">
        <v>-520</v>
      </c>
      <c r="S25" s="19">
        <v>-544</v>
      </c>
      <c r="T25" s="19">
        <v>-485</v>
      </c>
      <c r="U25" s="119">
        <v>-485</v>
      </c>
      <c r="V25" s="119">
        <v>-485</v>
      </c>
      <c r="W25" s="119">
        <v>-485</v>
      </c>
      <c r="X25" s="119">
        <v>-485</v>
      </c>
    </row>
    <row r="26" spans="1:24" s="19" customFormat="1" ht="14.4" customHeight="1" x14ac:dyDescent="0.3">
      <c r="A26" s="195"/>
      <c r="B26" s="116" t="s">
        <v>102</v>
      </c>
      <c r="C26" s="117">
        <f>C17+SUM(C21:C25)</f>
        <v>-11146</v>
      </c>
      <c r="D26" s="117">
        <f>D17+SUM(D21:D25)</f>
        <v>62568</v>
      </c>
      <c r="E26" s="117">
        <f t="shared" ref="E26:L26" si="34">E17+SUM(E21:E25)</f>
        <v>157564</v>
      </c>
      <c r="F26" s="117">
        <f t="shared" si="34"/>
        <v>182070</v>
      </c>
      <c r="G26" s="117">
        <f t="shared" ref="G26" si="35">G17+SUM(G21:G25)</f>
        <v>211378</v>
      </c>
      <c r="H26" s="117">
        <f t="shared" si="34"/>
        <v>38232</v>
      </c>
      <c r="I26" s="117">
        <f t="shared" si="34"/>
        <v>57175</v>
      </c>
      <c r="J26" s="117">
        <f t="shared" si="34"/>
        <v>31104</v>
      </c>
      <c r="K26" s="117">
        <f t="shared" si="34"/>
        <v>35534</v>
      </c>
      <c r="L26" s="117">
        <f t="shared" si="34"/>
        <v>47277</v>
      </c>
      <c r="M26" s="117">
        <f t="shared" ref="M26:N26" si="36">M17+SUM(M21:M25)</f>
        <v>44619</v>
      </c>
      <c r="N26" s="117">
        <f t="shared" si="36"/>
        <v>35269</v>
      </c>
      <c r="O26" s="117">
        <f t="shared" ref="O26:P26" si="37">O17+SUM(O21:O25)</f>
        <v>54905</v>
      </c>
      <c r="P26" s="117">
        <f t="shared" si="37"/>
        <v>44135</v>
      </c>
      <c r="Q26" s="117">
        <f t="shared" ref="Q26:S26" si="38">Q17+SUM(Q21:Q25)</f>
        <v>56062</v>
      </c>
      <c r="R26" s="117">
        <f t="shared" si="38"/>
        <v>44898</v>
      </c>
      <c r="S26" s="117">
        <f t="shared" si="38"/>
        <v>66283</v>
      </c>
      <c r="T26" s="117">
        <f t="shared" ref="T26:U26" si="39">T17+SUM(T21:T25)</f>
        <v>164651</v>
      </c>
      <c r="U26" s="117">
        <f t="shared" si="39"/>
        <v>218886</v>
      </c>
      <c r="V26" s="117">
        <f t="shared" ref="V26:W26" si="40">V17+SUM(V21:V25)</f>
        <v>185979.9</v>
      </c>
      <c r="W26" s="117">
        <f t="shared" si="40"/>
        <v>173997.70499999999</v>
      </c>
      <c r="X26" s="117">
        <f t="shared" ref="X26" si="41">X17+SUM(X21:X25)</f>
        <v>128465.36400000003</v>
      </c>
    </row>
    <row r="27" spans="1:24" s="134" customFormat="1" ht="14.4" customHeight="1" x14ac:dyDescent="0.3">
      <c r="A27" s="194"/>
      <c r="B27"/>
      <c r="C27" s="27"/>
      <c r="D27" s="27"/>
      <c r="E27" s="27"/>
      <c r="F27" s="27"/>
      <c r="G27" s="27"/>
      <c r="H27" s="27"/>
      <c r="I27" s="27"/>
      <c r="J27" s="27"/>
      <c r="K27" s="27"/>
      <c r="L27" s="10"/>
      <c r="M27" s="10"/>
      <c r="N27" s="1"/>
      <c r="O27" s="1"/>
      <c r="P27" s="1"/>
      <c r="Q27" s="1"/>
      <c r="R27" s="10"/>
      <c r="S27" s="1"/>
      <c r="T27" s="1"/>
      <c r="U27" s="1"/>
      <c r="V27" s="1"/>
      <c r="W27" s="1"/>
      <c r="X27" s="1"/>
    </row>
    <row r="28" spans="1:24" s="134" customFormat="1" ht="14.4" customHeight="1" x14ac:dyDescent="0.3">
      <c r="A28" s="194"/>
      <c r="B28" s="32" t="s">
        <v>38</v>
      </c>
      <c r="C28" s="19">
        <v>-360</v>
      </c>
      <c r="D28" s="19">
        <v>-588</v>
      </c>
      <c r="E28" s="19">
        <f>SUM(H28:K28)</f>
        <v>-648</v>
      </c>
      <c r="F28" s="19">
        <f>SUM(L28:O28)</f>
        <v>-608</v>
      </c>
      <c r="G28" s="19">
        <f>SUM(P28:S28)</f>
        <v>-384</v>
      </c>
      <c r="H28" s="19">
        <v>-191</v>
      </c>
      <c r="I28" s="19">
        <v>-94</v>
      </c>
      <c r="J28" s="19">
        <v>-137</v>
      </c>
      <c r="K28" s="19">
        <v>-226</v>
      </c>
      <c r="L28" s="19">
        <v>-206</v>
      </c>
      <c r="M28" s="19">
        <v>-129</v>
      </c>
      <c r="N28" s="1">
        <v>-79</v>
      </c>
      <c r="O28" s="1">
        <v>-194</v>
      </c>
      <c r="P28" s="1">
        <v>-84</v>
      </c>
      <c r="Q28" s="1">
        <v>0</v>
      </c>
      <c r="R28" s="10">
        <v>-93</v>
      </c>
      <c r="S28" s="1">
        <v>-207</v>
      </c>
      <c r="T28" s="1">
        <v>-126</v>
      </c>
      <c r="U28" s="120">
        <v>0</v>
      </c>
      <c r="V28" s="120">
        <v>0</v>
      </c>
      <c r="W28" s="120">
        <v>0</v>
      </c>
      <c r="X28" s="120">
        <v>0</v>
      </c>
    </row>
    <row r="29" spans="1:24" s="19" customFormat="1" ht="14.4" customHeight="1" x14ac:dyDescent="0.3">
      <c r="A29" s="195"/>
      <c r="B29" s="116" t="s">
        <v>103</v>
      </c>
      <c r="C29" s="117">
        <f>C26+C28</f>
        <v>-11506</v>
      </c>
      <c r="D29" s="117">
        <f>D26+D28</f>
        <v>61980</v>
      </c>
      <c r="E29" s="117">
        <f t="shared" ref="E29:L29" si="42">E26+E28</f>
        <v>156916</v>
      </c>
      <c r="F29" s="117">
        <f t="shared" si="42"/>
        <v>181462</v>
      </c>
      <c r="G29" s="117">
        <f t="shared" ref="G29" si="43">G26+G28</f>
        <v>210994</v>
      </c>
      <c r="H29" s="117">
        <f t="shared" si="42"/>
        <v>38041</v>
      </c>
      <c r="I29" s="117">
        <f t="shared" si="42"/>
        <v>57081</v>
      </c>
      <c r="J29" s="117">
        <f t="shared" si="42"/>
        <v>30967</v>
      </c>
      <c r="K29" s="117">
        <f t="shared" si="42"/>
        <v>35308</v>
      </c>
      <c r="L29" s="117">
        <f t="shared" si="42"/>
        <v>47071</v>
      </c>
      <c r="M29" s="117">
        <f t="shared" ref="M29:N29" si="44">M26+M28</f>
        <v>44490</v>
      </c>
      <c r="N29" s="117">
        <f t="shared" si="44"/>
        <v>35190</v>
      </c>
      <c r="O29" s="117">
        <f t="shared" ref="O29:P29" si="45">O26+O28</f>
        <v>54711</v>
      </c>
      <c r="P29" s="117">
        <f t="shared" si="45"/>
        <v>44051</v>
      </c>
      <c r="Q29" s="117">
        <f t="shared" ref="Q29:S29" si="46">Q26+Q28</f>
        <v>56062</v>
      </c>
      <c r="R29" s="117">
        <f t="shared" si="46"/>
        <v>44805</v>
      </c>
      <c r="S29" s="117">
        <f t="shared" si="46"/>
        <v>66076</v>
      </c>
      <c r="T29" s="117">
        <f t="shared" ref="T29:U29" si="47">T26+T28</f>
        <v>164525</v>
      </c>
      <c r="U29" s="117">
        <f t="shared" si="47"/>
        <v>218886</v>
      </c>
      <c r="V29" s="117">
        <f t="shared" ref="V29:W29" si="48">V26+V28</f>
        <v>185979.9</v>
      </c>
      <c r="W29" s="117">
        <f t="shared" si="48"/>
        <v>173997.70499999999</v>
      </c>
      <c r="X29" s="117">
        <f t="shared" ref="X29" si="49">X26+X28</f>
        <v>128465.36400000003</v>
      </c>
    </row>
    <row r="30" spans="1:24" s="134" customFormat="1" ht="14.4" customHeight="1" x14ac:dyDescent="0.3">
      <c r="A30" s="194"/>
      <c r="B30" s="40"/>
      <c r="C30" s="27"/>
      <c r="D30" s="27"/>
      <c r="E30" s="27"/>
      <c r="F30" s="27"/>
      <c r="G30" s="27"/>
      <c r="H30" s="27"/>
      <c r="I30" s="27"/>
      <c r="J30" s="27"/>
      <c r="K30" s="27"/>
      <c r="L30" s="10"/>
      <c r="M30" s="10"/>
      <c r="N30" s="1"/>
      <c r="O30" s="10"/>
      <c r="P30" s="1"/>
      <c r="Q30" s="1"/>
      <c r="R30" s="1"/>
      <c r="S30" s="1"/>
      <c r="T30" s="1"/>
      <c r="U30" s="1"/>
      <c r="V30" s="1"/>
      <c r="W30" s="1"/>
      <c r="X30" s="1"/>
    </row>
    <row r="31" spans="1:24" s="134" customFormat="1" ht="14.4" customHeight="1" x14ac:dyDescent="0.3">
      <c r="A31" s="194"/>
      <c r="B31" t="s">
        <v>154</v>
      </c>
      <c r="C31" s="19">
        <v>14</v>
      </c>
      <c r="D31" s="19">
        <v>459</v>
      </c>
      <c r="E31" s="19">
        <f>SUM(H31:K31)</f>
        <v>44</v>
      </c>
      <c r="F31" s="19">
        <f>SUM(L31:O31)</f>
        <v>83</v>
      </c>
      <c r="G31" s="19">
        <f>SUM(P31:S31)</f>
        <v>-91</v>
      </c>
      <c r="H31" s="19">
        <v>-136</v>
      </c>
      <c r="I31" s="19">
        <v>25</v>
      </c>
      <c r="J31" s="19">
        <v>208</v>
      </c>
      <c r="K31" s="19">
        <v>-53</v>
      </c>
      <c r="L31" s="19">
        <v>181</v>
      </c>
      <c r="M31" s="19">
        <v>143</v>
      </c>
      <c r="N31" s="19">
        <v>-17</v>
      </c>
      <c r="O31" s="19">
        <v>-224</v>
      </c>
      <c r="P31" s="19">
        <v>-71</v>
      </c>
      <c r="Q31" s="19">
        <v>-29</v>
      </c>
      <c r="R31" s="19">
        <v>2</v>
      </c>
      <c r="S31" s="19">
        <v>7</v>
      </c>
      <c r="T31" s="19">
        <v>2</v>
      </c>
      <c r="U31" s="119">
        <v>2</v>
      </c>
      <c r="V31" s="119">
        <v>2</v>
      </c>
      <c r="W31" s="119">
        <v>2</v>
      </c>
      <c r="X31" s="119">
        <v>2</v>
      </c>
    </row>
    <row r="32" spans="1:24" s="134" customFormat="1" ht="14.4" customHeight="1" x14ac:dyDescent="0.3">
      <c r="A32" s="194"/>
      <c r="B32" t="s">
        <v>104</v>
      </c>
      <c r="C32" s="27">
        <f>C29-C31</f>
        <v>-11520</v>
      </c>
      <c r="D32" s="27">
        <f>D29-D31</f>
        <v>61521</v>
      </c>
      <c r="E32" s="27">
        <f>SUM(H32:K32)</f>
        <v>161353</v>
      </c>
      <c r="F32" s="27">
        <f>F29-F31</f>
        <v>181379</v>
      </c>
      <c r="G32" s="27">
        <f>G29-G31</f>
        <v>211085</v>
      </c>
      <c r="H32" s="27">
        <f t="shared" ref="H32:M32" si="50">H29-H31</f>
        <v>38177</v>
      </c>
      <c r="I32" s="27">
        <f t="shared" si="50"/>
        <v>57056</v>
      </c>
      <c r="J32" s="27">
        <f t="shared" si="50"/>
        <v>30759</v>
      </c>
      <c r="K32" s="27">
        <f t="shared" si="50"/>
        <v>35361</v>
      </c>
      <c r="L32" s="27">
        <f t="shared" si="50"/>
        <v>46890</v>
      </c>
      <c r="M32" s="27">
        <f t="shared" si="50"/>
        <v>44347</v>
      </c>
      <c r="N32" s="27">
        <f t="shared" ref="N32:O32" si="51">N29-N31</f>
        <v>35207</v>
      </c>
      <c r="O32" s="27">
        <f t="shared" si="51"/>
        <v>54935</v>
      </c>
      <c r="P32" s="27">
        <f t="shared" ref="P32:Q32" si="52">P29-P31</f>
        <v>44122</v>
      </c>
      <c r="Q32" s="27">
        <f t="shared" si="52"/>
        <v>56091</v>
      </c>
      <c r="R32" s="27">
        <f t="shared" ref="R32:S32" si="53">R29-R31</f>
        <v>44803</v>
      </c>
      <c r="S32" s="27">
        <f t="shared" si="53"/>
        <v>66069</v>
      </c>
      <c r="T32" s="27">
        <f t="shared" ref="T32:U32" si="54">T29-T31</f>
        <v>164523</v>
      </c>
      <c r="U32" s="27">
        <f t="shared" si="54"/>
        <v>218884</v>
      </c>
      <c r="V32" s="27">
        <f t="shared" ref="V32:W32" si="55">V29-V31</f>
        <v>185977.9</v>
      </c>
      <c r="W32" s="27">
        <f t="shared" si="55"/>
        <v>173995.70499999999</v>
      </c>
      <c r="X32" s="27">
        <f t="shared" ref="X32" si="56">X29-X31</f>
        <v>128463.36400000003</v>
      </c>
    </row>
    <row r="33" spans="1:24" s="134" customFormat="1" ht="14.4" customHeight="1" x14ac:dyDescent="0.3">
      <c r="A33" s="194"/>
      <c r="B33"/>
      <c r="C33" s="27"/>
      <c r="D33" s="27"/>
      <c r="E33" s="27"/>
      <c r="F33" s="27"/>
      <c r="G33" s="27"/>
      <c r="H33" s="27"/>
      <c r="I33" s="27"/>
      <c r="J33" s="27"/>
      <c r="K33" s="27"/>
      <c r="L33" s="10"/>
      <c r="M33" s="10"/>
      <c r="N33" s="1"/>
      <c r="O33" s="10"/>
      <c r="P33" s="1"/>
      <c r="Q33" s="1"/>
      <c r="R33" s="1"/>
      <c r="S33" s="1"/>
      <c r="T33" s="1"/>
      <c r="U33" s="1"/>
      <c r="V33" s="1"/>
      <c r="W33" s="1"/>
      <c r="X33" s="1"/>
    </row>
    <row r="34" spans="1:24" s="134" customFormat="1" ht="14.4" customHeight="1" x14ac:dyDescent="0.3">
      <c r="A34" s="194"/>
      <c r="B34" s="40" t="s">
        <v>104</v>
      </c>
      <c r="C34" s="34"/>
      <c r="D34" s="34"/>
      <c r="E34" s="34"/>
      <c r="F34" s="34"/>
      <c r="G34" s="34"/>
      <c r="H34" s="34"/>
      <c r="I34" s="34"/>
      <c r="J34" s="34"/>
      <c r="K34" s="34"/>
      <c r="L34" s="10"/>
      <c r="M34" s="10"/>
      <c r="N34" s="1"/>
      <c r="O34" s="10"/>
      <c r="P34" s="1"/>
      <c r="Q34" s="1"/>
      <c r="R34" s="1"/>
      <c r="S34" s="1"/>
      <c r="T34" s="1"/>
      <c r="U34" s="1"/>
      <c r="V34" s="1"/>
      <c r="W34" s="1"/>
      <c r="X34" s="1"/>
    </row>
    <row r="35" spans="1:24" s="19" customFormat="1" ht="14.4" customHeight="1" x14ac:dyDescent="0.3">
      <c r="A35" s="195"/>
      <c r="B35" s="116" t="s">
        <v>105</v>
      </c>
      <c r="C35" s="132">
        <v>-7.0000000000000007E-2</v>
      </c>
      <c r="D35" s="132">
        <v>0.37</v>
      </c>
      <c r="E35" s="132">
        <f>SUM(H35:K35)</f>
        <v>0.98981453071063596</v>
      </c>
      <c r="F35" s="132">
        <f t="shared" ref="F35:G35" si="57">F32*1000/F38</f>
        <v>1.1241024708408052</v>
      </c>
      <c r="G35" s="132">
        <f t="shared" si="57"/>
        <v>1.3136145957769201</v>
      </c>
      <c r="H35" s="132">
        <v>0.23</v>
      </c>
      <c r="I35" s="132">
        <v>0.35</v>
      </c>
      <c r="J35" s="132">
        <f t="shared" ref="J35:X35" si="58">J32*1000/J38</f>
        <v>0.19018036554015369</v>
      </c>
      <c r="K35" s="132">
        <f t="shared" si="58"/>
        <v>0.21963416517048229</v>
      </c>
      <c r="L35" s="132">
        <f t="shared" si="58"/>
        <v>0.29068031847081993</v>
      </c>
      <c r="M35" s="132">
        <f t="shared" si="58"/>
        <v>0.2748165828442109</v>
      </c>
      <c r="N35" s="132">
        <f t="shared" si="58"/>
        <v>0.21804794759605559</v>
      </c>
      <c r="O35" s="132">
        <f t="shared" si="58"/>
        <v>0.34063452184635806</v>
      </c>
      <c r="P35" s="132">
        <f t="shared" si="58"/>
        <v>0.27491033808856191</v>
      </c>
      <c r="Q35" s="132">
        <f t="shared" si="58"/>
        <v>0.34912530886675586</v>
      </c>
      <c r="R35" s="132">
        <f t="shared" si="58"/>
        <v>0.27862664941295462</v>
      </c>
      <c r="S35" s="132">
        <f t="shared" si="58"/>
        <v>0.4108783809134321</v>
      </c>
      <c r="T35" s="132">
        <f t="shared" si="58"/>
        <v>1.0217031577951139</v>
      </c>
      <c r="U35" s="132">
        <f t="shared" si="58"/>
        <v>1.3592900323409232</v>
      </c>
      <c r="V35" s="132">
        <f t="shared" si="58"/>
        <v>1.1549400856421528</v>
      </c>
      <c r="W35" s="132">
        <f t="shared" si="58"/>
        <v>1.0805295383702405</v>
      </c>
      <c r="X35" s="132">
        <f t="shared" si="58"/>
        <v>0.79776945873697402</v>
      </c>
    </row>
    <row r="36" spans="1:24" s="19" customFormat="1" ht="14.4" customHeight="1" x14ac:dyDescent="0.3">
      <c r="A36" s="195"/>
      <c r="B36" s="116" t="s">
        <v>106</v>
      </c>
      <c r="C36" s="132">
        <v>-7.0000000000000007E-2</v>
      </c>
      <c r="D36" s="132">
        <v>0.37</v>
      </c>
      <c r="E36" s="132">
        <f>SUM(H36:K36)</f>
        <v>0.98933748543870714</v>
      </c>
      <c r="F36" s="132">
        <f>F32*1000/F40</f>
        <v>1.1234947840206571</v>
      </c>
      <c r="G36" s="132">
        <f>G32*1000/G40</f>
        <v>1.3129358392945385</v>
      </c>
      <c r="H36" s="132">
        <v>0.23</v>
      </c>
      <c r="I36" s="132">
        <v>0.35</v>
      </c>
      <c r="J36" s="132">
        <f t="shared" ref="J36:X36" si="59">J32*1000/J40</f>
        <v>0.18998527041276969</v>
      </c>
      <c r="K36" s="132">
        <f t="shared" si="59"/>
        <v>0.21935221502593752</v>
      </c>
      <c r="L36" s="132">
        <f t="shared" si="59"/>
        <v>0.29047535582673556</v>
      </c>
      <c r="M36" s="132">
        <f t="shared" si="59"/>
        <v>0.27461737777552842</v>
      </c>
      <c r="N36" s="132">
        <f t="shared" si="59"/>
        <v>0.21792823211749121</v>
      </c>
      <c r="O36" s="132">
        <f t="shared" si="59"/>
        <v>0.34047641721255639</v>
      </c>
      <c r="P36" s="132">
        <f t="shared" si="59"/>
        <v>0.27480273940999078</v>
      </c>
      <c r="Q36" s="132">
        <f t="shared" si="59"/>
        <v>0.34898529031760966</v>
      </c>
      <c r="R36" s="132">
        <f t="shared" si="59"/>
        <v>0.27847737252164195</v>
      </c>
      <c r="S36" s="132">
        <f t="shared" si="59"/>
        <v>0.41057379684458789</v>
      </c>
      <c r="T36" s="132">
        <f t="shared" si="59"/>
        <v>1.0205130485553822</v>
      </c>
      <c r="U36" s="132">
        <f t="shared" si="59"/>
        <v>1.3577066921949896</v>
      </c>
      <c r="V36" s="132">
        <f t="shared" si="59"/>
        <v>1.1535947781947085</v>
      </c>
      <c r="W36" s="132">
        <f t="shared" si="59"/>
        <v>1.0792709064695694</v>
      </c>
      <c r="X36" s="132">
        <f t="shared" si="59"/>
        <v>0.79684019391404104</v>
      </c>
    </row>
    <row r="37" spans="1:24" s="134" customFormat="1" ht="14.4" customHeight="1" x14ac:dyDescent="0.3">
      <c r="A37" s="194"/>
      <c r="B37"/>
      <c r="C37" s="19"/>
      <c r="D37" s="19"/>
      <c r="E37" s="19"/>
      <c r="F37" s="19"/>
      <c r="G37" s="19"/>
      <c r="H37" s="19"/>
      <c r="I37" s="19"/>
      <c r="J37" s="19"/>
      <c r="K37" s="19"/>
      <c r="L37" s="10"/>
      <c r="M37" s="10"/>
      <c r="N37" s="1"/>
      <c r="O37" s="10"/>
      <c r="P37" s="1"/>
      <c r="Q37" s="1"/>
      <c r="R37" s="1"/>
      <c r="S37" s="1"/>
      <c r="T37" s="1"/>
      <c r="U37" s="1"/>
      <c r="V37" s="1"/>
      <c r="W37" s="1"/>
      <c r="X37" s="1"/>
    </row>
    <row r="38" spans="1:24" s="134" customFormat="1" ht="14.4" customHeight="1" x14ac:dyDescent="0.3">
      <c r="A38" s="194"/>
      <c r="B38" t="s">
        <v>107</v>
      </c>
      <c r="C38" s="19">
        <v>169089325</v>
      </c>
      <c r="D38" s="19">
        <v>164692954</v>
      </c>
      <c r="E38" s="19">
        <v>162178499</v>
      </c>
      <c r="F38" s="19">
        <v>161354507</v>
      </c>
      <c r="G38" s="19">
        <v>160690206</v>
      </c>
      <c r="H38" s="19">
        <v>162967375</v>
      </c>
      <c r="I38" s="19">
        <v>163037628</v>
      </c>
      <c r="J38" s="19">
        <v>161735939</v>
      </c>
      <c r="K38" s="19">
        <v>160999542</v>
      </c>
      <c r="L38" s="19">
        <v>161311231</v>
      </c>
      <c r="M38" s="19">
        <v>161369447</v>
      </c>
      <c r="N38" s="19">
        <v>161464487</v>
      </c>
      <c r="O38" s="19">
        <v>161272556</v>
      </c>
      <c r="P38" s="19">
        <v>160495965</v>
      </c>
      <c r="Q38" s="19">
        <v>160661512</v>
      </c>
      <c r="R38" s="19">
        <v>160799407</v>
      </c>
      <c r="S38" s="19">
        <v>160799407</v>
      </c>
      <c r="T38" s="19">
        <v>161028180</v>
      </c>
      <c r="U38" s="119">
        <v>161028180</v>
      </c>
      <c r="V38" s="119">
        <v>161028180</v>
      </c>
      <c r="W38" s="119">
        <v>161028180</v>
      </c>
      <c r="X38" s="119">
        <v>161028180</v>
      </c>
    </row>
    <row r="39" spans="1:24" s="134" customFormat="1" ht="14.4" customHeight="1" x14ac:dyDescent="0.3">
      <c r="A39" s="194"/>
      <c r="B39"/>
      <c r="C39" s="19"/>
      <c r="D39" s="19"/>
      <c r="E39" s="68">
        <f t="shared" ref="E39:F39" si="60">E38/D38-1</f>
        <v>-1.5267532331711076E-2</v>
      </c>
      <c r="F39" s="68">
        <f t="shared" si="60"/>
        <v>-5.0807721435379705E-3</v>
      </c>
      <c r="G39" s="68">
        <f t="shared" ref="E39:X41" si="61">G38/F38-1</f>
        <v>-4.1170278559371498E-3</v>
      </c>
      <c r="H39" s="19"/>
      <c r="I39" s="68">
        <f t="shared" si="61"/>
        <v>4.3108628337429344E-4</v>
      </c>
      <c r="J39" s="68">
        <f t="shared" si="61"/>
        <v>-7.9839790112746778E-3</v>
      </c>
      <c r="K39" s="68">
        <f t="shared" si="61"/>
        <v>-4.5530820456670673E-3</v>
      </c>
      <c r="L39" s="68">
        <f t="shared" si="61"/>
        <v>1.9359620290100299E-3</v>
      </c>
      <c r="M39" s="68">
        <f t="shared" si="61"/>
        <v>3.6089241672199179E-4</v>
      </c>
      <c r="N39" s="69">
        <f t="shared" si="61"/>
        <v>5.8895907352285448E-4</v>
      </c>
      <c r="O39" s="69">
        <f t="shared" si="61"/>
        <v>-1.1886886309557809E-3</v>
      </c>
      <c r="P39" s="69">
        <f t="shared" si="61"/>
        <v>-4.8153946292015526E-3</v>
      </c>
      <c r="Q39" s="69">
        <f t="shared" si="61"/>
        <v>1.0314714142503068E-3</v>
      </c>
      <c r="R39" s="69">
        <f t="shared" si="61"/>
        <v>8.5829517152813395E-4</v>
      </c>
      <c r="S39" s="69">
        <f t="shared" si="61"/>
        <v>0</v>
      </c>
      <c r="T39" s="69">
        <f t="shared" si="61"/>
        <v>1.4227229084247117E-3</v>
      </c>
      <c r="U39" s="68">
        <f t="shared" si="61"/>
        <v>0</v>
      </c>
      <c r="V39" s="68">
        <f t="shared" si="61"/>
        <v>0</v>
      </c>
      <c r="W39" s="68">
        <f t="shared" si="61"/>
        <v>0</v>
      </c>
      <c r="X39" s="68">
        <f t="shared" si="61"/>
        <v>0</v>
      </c>
    </row>
    <row r="40" spans="1:24" s="134" customFormat="1" ht="14.4" customHeight="1" x14ac:dyDescent="0.3">
      <c r="A40" s="194"/>
      <c r="B40" t="s">
        <v>108</v>
      </c>
      <c r="C40" s="19">
        <v>169089325</v>
      </c>
      <c r="D40" s="19">
        <v>164850097</v>
      </c>
      <c r="E40" s="19">
        <v>162356735</v>
      </c>
      <c r="F40" s="19">
        <v>161441782</v>
      </c>
      <c r="G40" s="19">
        <v>160773279</v>
      </c>
      <c r="H40" s="19">
        <v>163249977</v>
      </c>
      <c r="I40" s="19">
        <v>163172987</v>
      </c>
      <c r="J40" s="19">
        <v>161902025</v>
      </c>
      <c r="K40" s="19">
        <v>161206487</v>
      </c>
      <c r="L40" s="19">
        <v>161425054</v>
      </c>
      <c r="M40" s="19">
        <v>161486503</v>
      </c>
      <c r="N40" s="19">
        <v>161553185</v>
      </c>
      <c r="O40" s="19">
        <v>161347445</v>
      </c>
      <c r="P40" s="19">
        <v>160558807</v>
      </c>
      <c r="Q40" s="19">
        <v>160725972</v>
      </c>
      <c r="R40" s="19">
        <v>160885603</v>
      </c>
      <c r="S40" s="19">
        <v>160918696</v>
      </c>
      <c r="T40" s="19">
        <v>161215969</v>
      </c>
      <c r="U40" s="119">
        <v>161215969</v>
      </c>
      <c r="V40" s="119">
        <v>161215969</v>
      </c>
      <c r="W40" s="119">
        <v>161215969</v>
      </c>
      <c r="X40" s="119">
        <v>161215969</v>
      </c>
    </row>
    <row r="41" spans="1:24" s="134" customFormat="1" ht="14.4" customHeight="1" x14ac:dyDescent="0.3">
      <c r="A41" s="194"/>
      <c r="B41"/>
      <c r="C41" s="19"/>
      <c r="D41" s="19"/>
      <c r="E41" s="68">
        <f t="shared" si="61"/>
        <v>-1.5125025980421425E-2</v>
      </c>
      <c r="F41" s="68">
        <f t="shared" si="61"/>
        <v>-5.6354483846943193E-3</v>
      </c>
      <c r="G41" s="68">
        <f t="shared" si="61"/>
        <v>-4.1408301600635022E-3</v>
      </c>
      <c r="H41" s="19"/>
      <c r="I41" s="68">
        <f t="shared" ref="I41:X41" si="62">I40/H40-1</f>
        <v>-4.7160802969059556E-4</v>
      </c>
      <c r="J41" s="68">
        <f t="shared" si="62"/>
        <v>-7.7890466024256311E-3</v>
      </c>
      <c r="K41" s="68">
        <f t="shared" si="62"/>
        <v>-4.2960426220733927E-3</v>
      </c>
      <c r="L41" s="68">
        <f t="shared" si="62"/>
        <v>1.3558201290000405E-3</v>
      </c>
      <c r="M41" s="68">
        <f t="shared" si="62"/>
        <v>3.8066581659612631E-4</v>
      </c>
      <c r="N41" s="69">
        <f t="shared" si="62"/>
        <v>4.1292615024302037E-4</v>
      </c>
      <c r="O41" s="69">
        <f t="shared" si="62"/>
        <v>-1.2735124968288325E-3</v>
      </c>
      <c r="P41" s="69">
        <f t="shared" si="62"/>
        <v>-4.8878245329512238E-3</v>
      </c>
      <c r="Q41" s="69">
        <f t="shared" si="62"/>
        <v>1.0411450055181071E-3</v>
      </c>
      <c r="R41" s="68">
        <f t="shared" si="62"/>
        <v>9.9318733626940769E-4</v>
      </c>
      <c r="S41" s="68">
        <f t="shared" si="62"/>
        <v>2.0569273684478695E-4</v>
      </c>
      <c r="T41" s="68">
        <f t="shared" si="62"/>
        <v>1.8473490488637445E-3</v>
      </c>
      <c r="U41" s="68">
        <f t="shared" si="62"/>
        <v>0</v>
      </c>
      <c r="V41" s="68">
        <f t="shared" si="62"/>
        <v>0</v>
      </c>
      <c r="W41" s="68">
        <f t="shared" si="62"/>
        <v>0</v>
      </c>
      <c r="X41" s="68">
        <f t="shared" si="62"/>
        <v>0</v>
      </c>
    </row>
    <row r="42" spans="1:24" s="134" customFormat="1" ht="14.4" customHeight="1" x14ac:dyDescent="0.3">
      <c r="A42" s="194"/>
      <c r="B42"/>
      <c r="C42" s="19"/>
      <c r="D42" s="19"/>
      <c r="E42" s="19"/>
      <c r="F42" s="19"/>
      <c r="G42" s="19"/>
      <c r="H42" s="19"/>
      <c r="I42" s="68"/>
      <c r="J42" s="68"/>
      <c r="K42" s="68"/>
      <c r="L42" s="68"/>
      <c r="M42" s="68"/>
      <c r="N42" s="69"/>
      <c r="O42" s="67"/>
      <c r="P42" s="67"/>
      <c r="Q42" s="67"/>
      <c r="R42" s="67"/>
      <c r="S42" s="67"/>
      <c r="T42" s="67"/>
      <c r="U42" s="67"/>
      <c r="V42" s="67"/>
      <c r="W42" s="67"/>
      <c r="X42" s="67"/>
    </row>
    <row r="43" spans="1:24" s="134" customFormat="1" ht="14.4" customHeight="1" x14ac:dyDescent="0.3">
      <c r="A43" s="194"/>
      <c r="B43"/>
      <c r="C43" s="19"/>
      <c r="D43" s="19"/>
      <c r="E43" s="19"/>
      <c r="F43" s="19"/>
      <c r="G43" s="19"/>
      <c r="H43" s="19"/>
      <c r="I43" s="68"/>
      <c r="J43" s="68"/>
      <c r="K43" s="68"/>
      <c r="L43" s="68"/>
      <c r="M43" s="68"/>
      <c r="N43" s="69"/>
      <c r="O43" s="67"/>
      <c r="P43" s="67"/>
      <c r="Q43" s="67"/>
      <c r="R43" s="67"/>
      <c r="S43" s="67"/>
      <c r="T43" s="67"/>
      <c r="U43" s="67"/>
      <c r="V43" s="67"/>
      <c r="W43" s="67"/>
      <c r="X43" s="67"/>
    </row>
    <row r="44" spans="1:24" s="19" customFormat="1" ht="14.4" customHeight="1" x14ac:dyDescent="0.3">
      <c r="A44" s="195"/>
      <c r="B44" s="116" t="s">
        <v>257</v>
      </c>
      <c r="C44" s="117">
        <f t="shared" ref="C44" si="63">C19+C11+C21+C22+C23+C24+C25+C28+C31</f>
        <v>-26645</v>
      </c>
      <c r="D44" s="117">
        <f t="shared" ref="D44" si="64">D19+D11+D21+D22+D23+D24+D25+D28+D31</f>
        <v>42927</v>
      </c>
      <c r="E44" s="117">
        <f t="shared" ref="E44" si="65">E19+E11+E21+E22+E23+E24+E25+E28+E31</f>
        <v>156960</v>
      </c>
      <c r="F44" s="117">
        <f t="shared" ref="F44:G44" si="66">F19+F11+F21+F22+F23+F24+F25+F28+F31</f>
        <v>153636</v>
      </c>
      <c r="G44" s="117">
        <f t="shared" si="66"/>
        <v>156991</v>
      </c>
      <c r="H44" s="117">
        <f t="shared" ref="H44:S44" si="67">H19+H11+H21+H22+H23+H24+H25+H28+H31</f>
        <v>37905</v>
      </c>
      <c r="I44" s="117">
        <f t="shared" si="67"/>
        <v>57106</v>
      </c>
      <c r="J44" s="117">
        <f t="shared" si="67"/>
        <v>31175</v>
      </c>
      <c r="K44" s="117">
        <f t="shared" si="67"/>
        <v>35255</v>
      </c>
      <c r="L44" s="117">
        <f t="shared" si="67"/>
        <v>47252</v>
      </c>
      <c r="M44" s="117">
        <f t="shared" si="67"/>
        <v>44633</v>
      </c>
      <c r="N44" s="117">
        <f t="shared" si="67"/>
        <v>35173</v>
      </c>
      <c r="O44" s="117">
        <f t="shared" si="67"/>
        <v>26578</v>
      </c>
      <c r="P44" s="117">
        <f t="shared" si="67"/>
        <v>24185</v>
      </c>
      <c r="Q44" s="117">
        <f t="shared" si="67"/>
        <v>38574</v>
      </c>
      <c r="R44" s="117">
        <f t="shared" si="67"/>
        <v>28149</v>
      </c>
      <c r="S44" s="117">
        <f t="shared" si="67"/>
        <v>66083</v>
      </c>
      <c r="T44" s="117">
        <f>T19+T11+T21+T22+T23+T24+T25+T28+T31</f>
        <v>104533</v>
      </c>
      <c r="U44" s="117">
        <f>U19+U11+U21+U22+U23+U24+U25+U28+U31</f>
        <v>184688</v>
      </c>
      <c r="V44" s="117">
        <f>V19+V11+V21+V22+V23+V24+V25+V28+V31</f>
        <v>185981.9</v>
      </c>
      <c r="W44" s="117">
        <f>W19+W11+W21+W22+W23+W24+W25+W28+W31</f>
        <v>173999.70499999999</v>
      </c>
      <c r="X44" s="117">
        <f>X19+X11+X21+X22+X23+X24+X25+X28+X31</f>
        <v>128467.36400000003</v>
      </c>
    </row>
    <row r="45" spans="1:24" s="19" customFormat="1" ht="14.4" customHeight="1" x14ac:dyDescent="0.3">
      <c r="A45" s="195"/>
      <c r="B45" s="116" t="s">
        <v>258</v>
      </c>
      <c r="C45" s="132">
        <f t="shared" ref="C45" si="68">C44*1000/C40</f>
        <v>-0.15757943323743234</v>
      </c>
      <c r="D45" s="132">
        <f t="shared" ref="D45" si="69">D44*1000/D40</f>
        <v>0.26040021074418901</v>
      </c>
      <c r="E45" s="132">
        <f t="shared" ref="E45" si="70">E44*1000/E40</f>
        <v>0.96676001768574615</v>
      </c>
      <c r="F45" s="132">
        <f t="shared" ref="F45:G45" si="71">F44*1000/F40</f>
        <v>0.95164955500800896</v>
      </c>
      <c r="G45" s="132">
        <f t="shared" si="71"/>
        <v>0.97647445506165242</v>
      </c>
      <c r="H45" s="132">
        <f t="shared" ref="H45:S45" si="72">H44*1000/H40</f>
        <v>0.23218992551527282</v>
      </c>
      <c r="I45" s="132">
        <f t="shared" si="72"/>
        <v>0.3499721433670881</v>
      </c>
      <c r="J45" s="132">
        <f t="shared" si="72"/>
        <v>0.19255472561260428</v>
      </c>
      <c r="K45" s="132">
        <f t="shared" si="72"/>
        <v>0.21869467324847791</v>
      </c>
      <c r="L45" s="132">
        <f t="shared" si="72"/>
        <v>0.2927178825661102</v>
      </c>
      <c r="M45" s="132">
        <f t="shared" si="72"/>
        <v>0.27638842361952687</v>
      </c>
      <c r="N45" s="132">
        <f t="shared" si="72"/>
        <v>0.21771777510916915</v>
      </c>
      <c r="O45" s="132">
        <f t="shared" si="72"/>
        <v>0.16472526106626603</v>
      </c>
      <c r="P45" s="132">
        <f t="shared" si="72"/>
        <v>0.15063016754976263</v>
      </c>
      <c r="Q45" s="132">
        <f t="shared" si="72"/>
        <v>0.23999854858553912</v>
      </c>
      <c r="R45" s="132">
        <f t="shared" si="72"/>
        <v>0.17496282746940384</v>
      </c>
      <c r="S45" s="132">
        <f t="shared" si="72"/>
        <v>0.41066079730101718</v>
      </c>
      <c r="T45" s="132">
        <f>T44*1000/T40</f>
        <v>0.64840350896008325</v>
      </c>
      <c r="U45" s="132">
        <f t="shared" ref="U45:X45" si="73">U44*1000/U40</f>
        <v>1.1455937097645705</v>
      </c>
      <c r="V45" s="132">
        <f t="shared" si="73"/>
        <v>1.1536195896325878</v>
      </c>
      <c r="W45" s="132">
        <f t="shared" si="73"/>
        <v>1.0792957179074487</v>
      </c>
      <c r="X45" s="132">
        <f t="shared" si="73"/>
        <v>0.7968650053519204</v>
      </c>
    </row>
    <row r="46" spans="1:24" s="134" customFormat="1" ht="14.4" customHeight="1" x14ac:dyDescent="0.3">
      <c r="A46" s="194"/>
      <c r="B46"/>
      <c r="C46" s="19"/>
      <c r="D46" s="19"/>
      <c r="E46" s="19"/>
      <c r="F46" s="19"/>
      <c r="G46" s="19"/>
      <c r="H46" s="19"/>
      <c r="I46" s="68"/>
      <c r="J46" s="68"/>
      <c r="K46" s="68"/>
      <c r="L46" s="68"/>
      <c r="M46" s="68"/>
      <c r="N46" s="69"/>
      <c r="O46" s="67"/>
      <c r="P46" s="67"/>
      <c r="Q46" s="67"/>
      <c r="R46" s="67"/>
      <c r="S46" s="67"/>
      <c r="T46" s="67"/>
      <c r="U46" s="67"/>
      <c r="V46" s="67"/>
      <c r="W46" s="67"/>
      <c r="X46" s="67"/>
    </row>
    <row r="47" spans="1:24" ht="14.4" customHeight="1" x14ac:dyDescent="0.3">
      <c r="B47" s="19"/>
      <c r="C47" s="21"/>
      <c r="D47" s="21"/>
      <c r="E47" s="19"/>
      <c r="F47" s="19"/>
      <c r="G47" s="19"/>
      <c r="H47" s="21"/>
      <c r="I47" s="21"/>
      <c r="J47" s="21"/>
      <c r="K47" s="19"/>
    </row>
    <row r="48" spans="1:24" ht="14.4" customHeight="1" x14ac:dyDescent="0.3">
      <c r="A48" s="194" t="s">
        <v>10</v>
      </c>
      <c r="B48" s="122" t="s">
        <v>157</v>
      </c>
      <c r="C48" s="123"/>
      <c r="D48" s="123"/>
      <c r="E48" s="123"/>
      <c r="F48" s="123"/>
      <c r="G48" s="123"/>
      <c r="H48" s="124" t="s">
        <v>158</v>
      </c>
      <c r="I48" s="124" t="s">
        <v>156</v>
      </c>
      <c r="J48" s="123"/>
      <c r="K48" s="123"/>
      <c r="L48" s="123"/>
      <c r="M48" s="123"/>
      <c r="N48" s="123"/>
      <c r="O48" s="123"/>
      <c r="P48" s="123"/>
      <c r="Q48" s="123"/>
      <c r="R48" s="123"/>
      <c r="S48" s="123"/>
      <c r="T48" s="123"/>
      <c r="U48" s="123"/>
      <c r="V48" s="123"/>
      <c r="W48" s="123"/>
      <c r="X48" s="123"/>
    </row>
    <row r="49" spans="2:24" ht="14.4" customHeight="1" x14ac:dyDescent="0.3">
      <c r="B49" t="s">
        <v>58</v>
      </c>
      <c r="H49" s="31">
        <v>1</v>
      </c>
      <c r="I49" s="31">
        <v>1</v>
      </c>
      <c r="J49" s="1">
        <v>87</v>
      </c>
      <c r="K49" s="1">
        <v>88</v>
      </c>
      <c r="L49" s="1">
        <v>88</v>
      </c>
      <c r="M49" s="1">
        <v>88</v>
      </c>
      <c r="N49" s="25">
        <v>90</v>
      </c>
      <c r="O49" s="25">
        <v>91</v>
      </c>
      <c r="P49" s="25">
        <v>90</v>
      </c>
      <c r="Q49" s="25">
        <v>90</v>
      </c>
      <c r="R49" s="25">
        <v>90</v>
      </c>
      <c r="S49" s="25">
        <v>90</v>
      </c>
      <c r="T49" s="25">
        <v>90</v>
      </c>
      <c r="U49" s="144">
        <v>90</v>
      </c>
      <c r="V49" s="144">
        <v>90</v>
      </c>
      <c r="W49" s="144">
        <v>90</v>
      </c>
      <c r="X49" s="144">
        <v>90</v>
      </c>
    </row>
    <row r="50" spans="2:24" ht="14.4" customHeight="1" x14ac:dyDescent="0.3">
      <c r="B50" t="s">
        <v>59</v>
      </c>
      <c r="H50" s="31">
        <v>1</v>
      </c>
      <c r="I50" s="31">
        <v>1</v>
      </c>
      <c r="J50" s="1">
        <v>87</v>
      </c>
      <c r="K50" s="1">
        <v>88</v>
      </c>
      <c r="L50" s="1">
        <v>88</v>
      </c>
      <c r="M50" s="1">
        <v>88</v>
      </c>
      <c r="N50" s="25">
        <v>90</v>
      </c>
      <c r="O50" s="25">
        <v>91</v>
      </c>
      <c r="P50" s="25">
        <v>90</v>
      </c>
      <c r="Q50" s="25">
        <v>90</v>
      </c>
      <c r="R50" s="25">
        <v>90</v>
      </c>
      <c r="S50" s="25">
        <v>90</v>
      </c>
      <c r="T50" s="25">
        <v>90</v>
      </c>
      <c r="U50" s="144">
        <v>90</v>
      </c>
      <c r="V50" s="144">
        <v>90</v>
      </c>
      <c r="W50" s="144">
        <v>90</v>
      </c>
      <c r="X50" s="144">
        <v>90</v>
      </c>
    </row>
    <row r="51" spans="2:24" ht="14.4" customHeight="1" x14ac:dyDescent="0.3">
      <c r="B51" t="s">
        <v>61</v>
      </c>
      <c r="H51" s="31">
        <v>1</v>
      </c>
      <c r="I51" s="31">
        <v>1</v>
      </c>
      <c r="J51" s="1">
        <v>87</v>
      </c>
      <c r="K51" s="1">
        <v>88</v>
      </c>
      <c r="L51" s="1">
        <v>88</v>
      </c>
      <c r="M51" s="1">
        <v>88</v>
      </c>
      <c r="N51" s="25">
        <v>90</v>
      </c>
      <c r="O51" s="25">
        <v>91</v>
      </c>
      <c r="P51" s="25">
        <v>90</v>
      </c>
      <c r="Q51" s="25">
        <v>90</v>
      </c>
      <c r="R51" s="25">
        <v>90</v>
      </c>
      <c r="S51" s="25">
        <v>90</v>
      </c>
      <c r="T51" s="25">
        <v>90</v>
      </c>
      <c r="U51" s="144">
        <v>90</v>
      </c>
      <c r="V51" s="144">
        <v>90</v>
      </c>
      <c r="W51" s="144">
        <v>90</v>
      </c>
      <c r="X51" s="144">
        <v>90</v>
      </c>
    </row>
    <row r="52" spans="2:24" ht="14.4" customHeight="1" x14ac:dyDescent="0.3">
      <c r="B52" t="s">
        <v>62</v>
      </c>
      <c r="H52" s="31">
        <v>1</v>
      </c>
      <c r="I52" s="31">
        <v>1</v>
      </c>
      <c r="J52" s="1">
        <v>87</v>
      </c>
      <c r="K52" s="1">
        <v>88</v>
      </c>
      <c r="L52" s="1">
        <v>88</v>
      </c>
      <c r="M52" s="1">
        <v>88</v>
      </c>
      <c r="N52" s="25">
        <v>90</v>
      </c>
      <c r="O52" s="25">
        <v>91</v>
      </c>
      <c r="P52" s="25">
        <v>90</v>
      </c>
      <c r="Q52" s="25">
        <v>90</v>
      </c>
      <c r="R52" s="25">
        <v>90</v>
      </c>
      <c r="S52" s="25">
        <v>90</v>
      </c>
      <c r="T52" s="25">
        <v>90</v>
      </c>
      <c r="U52" s="144">
        <v>90</v>
      </c>
      <c r="V52" s="144">
        <v>90</v>
      </c>
      <c r="W52" s="144">
        <v>90</v>
      </c>
      <c r="X52" s="144">
        <v>90</v>
      </c>
    </row>
    <row r="53" spans="2:24" ht="14.4" customHeight="1" x14ac:dyDescent="0.3">
      <c r="B53" t="s">
        <v>63</v>
      </c>
      <c r="H53" s="31">
        <v>1</v>
      </c>
      <c r="I53" s="31">
        <v>1</v>
      </c>
      <c r="J53" s="1">
        <v>87</v>
      </c>
      <c r="K53" s="1">
        <v>88</v>
      </c>
      <c r="L53" s="1">
        <v>88</v>
      </c>
      <c r="M53" s="1">
        <v>88</v>
      </c>
      <c r="N53" s="25">
        <v>90</v>
      </c>
      <c r="O53" s="25">
        <v>91</v>
      </c>
      <c r="P53" s="25">
        <v>90</v>
      </c>
      <c r="Q53" s="25">
        <v>90</v>
      </c>
      <c r="R53" s="25">
        <v>90</v>
      </c>
      <c r="S53" s="25">
        <v>90</v>
      </c>
      <c r="T53" s="25">
        <v>90</v>
      </c>
      <c r="U53" s="144">
        <v>90</v>
      </c>
      <c r="V53" s="144">
        <v>90</v>
      </c>
      <c r="W53" s="144">
        <v>90</v>
      </c>
      <c r="X53" s="144">
        <v>90</v>
      </c>
    </row>
    <row r="54" spans="2:24" ht="14.4" customHeight="1" x14ac:dyDescent="0.3">
      <c r="B54" t="s">
        <v>64</v>
      </c>
      <c r="H54" s="31">
        <v>1</v>
      </c>
      <c r="I54" s="31">
        <v>1</v>
      </c>
      <c r="J54" s="1">
        <v>87</v>
      </c>
      <c r="K54" s="1">
        <v>88</v>
      </c>
      <c r="L54" s="1">
        <v>88</v>
      </c>
      <c r="M54" s="1">
        <v>88</v>
      </c>
      <c r="N54" s="25">
        <v>90</v>
      </c>
      <c r="O54" s="25">
        <v>91</v>
      </c>
      <c r="P54" s="25">
        <v>90</v>
      </c>
      <c r="Q54" s="25">
        <v>90</v>
      </c>
      <c r="R54" s="25">
        <v>90</v>
      </c>
      <c r="S54" s="25">
        <v>90</v>
      </c>
      <c r="T54" s="25">
        <v>90</v>
      </c>
      <c r="U54" s="144">
        <v>90</v>
      </c>
      <c r="V54" s="144">
        <v>90</v>
      </c>
      <c r="W54" s="144">
        <v>90</v>
      </c>
      <c r="X54" s="144">
        <v>90</v>
      </c>
    </row>
    <row r="55" spans="2:24" ht="14.4" customHeight="1" x14ac:dyDescent="0.3">
      <c r="B55" t="s">
        <v>65</v>
      </c>
      <c r="H55" s="31">
        <v>1</v>
      </c>
      <c r="I55" s="31">
        <v>1</v>
      </c>
      <c r="J55" s="1">
        <v>87</v>
      </c>
      <c r="K55" s="1">
        <v>88</v>
      </c>
      <c r="L55" s="1">
        <v>88</v>
      </c>
      <c r="M55" s="1">
        <v>88</v>
      </c>
      <c r="N55" s="25">
        <v>90</v>
      </c>
      <c r="O55" s="25">
        <v>91</v>
      </c>
      <c r="P55" s="25">
        <v>90</v>
      </c>
      <c r="Q55" s="25">
        <v>90</v>
      </c>
      <c r="R55" s="25">
        <v>90</v>
      </c>
      <c r="S55" s="25">
        <v>90</v>
      </c>
      <c r="T55" s="25">
        <v>90</v>
      </c>
      <c r="U55" s="144">
        <v>90</v>
      </c>
      <c r="V55" s="144">
        <v>90</v>
      </c>
      <c r="W55" s="144">
        <v>90</v>
      </c>
      <c r="X55" s="144">
        <v>90</v>
      </c>
    </row>
    <row r="56" spans="2:24" ht="14.4" customHeight="1" x14ac:dyDescent="0.3">
      <c r="B56" t="s">
        <v>66</v>
      </c>
      <c r="H56" s="31">
        <v>1</v>
      </c>
      <c r="I56" s="31">
        <v>1</v>
      </c>
      <c r="J56" s="1">
        <v>87</v>
      </c>
      <c r="K56" s="1">
        <v>88</v>
      </c>
      <c r="L56" s="1">
        <v>88</v>
      </c>
      <c r="M56" s="1">
        <v>88</v>
      </c>
      <c r="N56" s="25">
        <v>90</v>
      </c>
      <c r="O56" s="25">
        <v>91</v>
      </c>
      <c r="P56" s="25">
        <v>90</v>
      </c>
      <c r="Q56" s="25">
        <v>90</v>
      </c>
      <c r="R56" s="25">
        <v>90</v>
      </c>
      <c r="S56" s="25">
        <v>90</v>
      </c>
      <c r="T56" s="25">
        <v>90</v>
      </c>
      <c r="U56" s="144">
        <v>90</v>
      </c>
      <c r="V56" s="144">
        <v>90</v>
      </c>
      <c r="W56" s="144">
        <v>90</v>
      </c>
      <c r="X56" s="144">
        <v>90</v>
      </c>
    </row>
    <row r="57" spans="2:24" ht="14.4" customHeight="1" x14ac:dyDescent="0.3">
      <c r="B57" t="s">
        <v>67</v>
      </c>
      <c r="H57" s="31">
        <v>1</v>
      </c>
      <c r="I57" s="31">
        <v>1</v>
      </c>
      <c r="J57" s="1">
        <v>87</v>
      </c>
      <c r="K57" s="1">
        <v>88</v>
      </c>
      <c r="L57" s="1">
        <v>88</v>
      </c>
      <c r="M57" s="1">
        <v>88</v>
      </c>
      <c r="N57" s="25">
        <v>90</v>
      </c>
      <c r="O57" s="25">
        <v>91</v>
      </c>
      <c r="P57" s="25">
        <v>90</v>
      </c>
      <c r="Q57" s="25">
        <v>90</v>
      </c>
      <c r="R57" s="25">
        <v>90</v>
      </c>
      <c r="S57" s="25">
        <v>90</v>
      </c>
      <c r="T57" s="25">
        <v>90</v>
      </c>
      <c r="U57" s="144">
        <v>90</v>
      </c>
      <c r="V57" s="144">
        <v>90</v>
      </c>
      <c r="W57" s="144">
        <v>90</v>
      </c>
      <c r="X57" s="144">
        <v>90</v>
      </c>
    </row>
    <row r="58" spans="2:24" ht="14.4" customHeight="1" x14ac:dyDescent="0.3">
      <c r="B58" t="s">
        <v>68</v>
      </c>
      <c r="H58" s="31">
        <v>1</v>
      </c>
      <c r="I58" s="31">
        <v>1</v>
      </c>
      <c r="J58" s="1">
        <v>87</v>
      </c>
      <c r="K58" s="1">
        <v>88</v>
      </c>
      <c r="L58" s="1">
        <v>88</v>
      </c>
      <c r="M58" s="1">
        <v>88</v>
      </c>
      <c r="N58" s="25">
        <v>90</v>
      </c>
      <c r="O58" s="25">
        <v>91</v>
      </c>
      <c r="P58" s="25">
        <v>90</v>
      </c>
      <c r="Q58" s="25">
        <v>90</v>
      </c>
      <c r="R58" s="25">
        <v>90</v>
      </c>
      <c r="S58" s="25">
        <v>90</v>
      </c>
      <c r="T58" s="25">
        <v>90</v>
      </c>
      <c r="U58" s="144">
        <v>90</v>
      </c>
      <c r="V58" s="144">
        <v>90</v>
      </c>
      <c r="W58" s="144">
        <v>90</v>
      </c>
      <c r="X58" s="144">
        <v>90</v>
      </c>
    </row>
    <row r="59" spans="2:24" ht="14.4" customHeight="1" x14ac:dyDescent="0.3">
      <c r="B59" t="s">
        <v>69</v>
      </c>
      <c r="H59" s="31">
        <v>1</v>
      </c>
      <c r="I59" s="31">
        <v>1</v>
      </c>
      <c r="J59" s="1">
        <v>87</v>
      </c>
      <c r="K59" s="1">
        <v>88</v>
      </c>
      <c r="L59" s="1">
        <v>88</v>
      </c>
      <c r="M59" s="1">
        <v>88</v>
      </c>
      <c r="N59" s="25">
        <v>90</v>
      </c>
      <c r="O59" s="25">
        <v>91</v>
      </c>
      <c r="P59" s="25">
        <v>90</v>
      </c>
      <c r="Q59" s="25">
        <v>90</v>
      </c>
      <c r="R59" s="25">
        <v>90</v>
      </c>
      <c r="S59" s="25">
        <v>90</v>
      </c>
      <c r="T59" s="25">
        <v>90</v>
      </c>
      <c r="U59" s="144">
        <v>90</v>
      </c>
      <c r="V59" s="144">
        <v>90</v>
      </c>
      <c r="W59" s="144">
        <v>90</v>
      </c>
      <c r="X59" s="144">
        <v>90</v>
      </c>
    </row>
    <row r="60" spans="2:24" ht="14.4" customHeight="1" x14ac:dyDescent="0.3">
      <c r="B60" t="s">
        <v>70</v>
      </c>
      <c r="H60" s="31">
        <v>1</v>
      </c>
      <c r="I60" s="31">
        <v>1</v>
      </c>
      <c r="J60" s="1">
        <v>87</v>
      </c>
      <c r="K60" s="1">
        <v>88</v>
      </c>
      <c r="L60" s="1">
        <v>88</v>
      </c>
      <c r="M60" s="1">
        <v>88</v>
      </c>
      <c r="N60" s="25">
        <v>90</v>
      </c>
      <c r="O60" s="25">
        <v>91</v>
      </c>
      <c r="P60" s="25">
        <v>90</v>
      </c>
      <c r="Q60" s="25">
        <v>90</v>
      </c>
      <c r="R60" s="25">
        <v>90</v>
      </c>
      <c r="S60" s="25">
        <v>90</v>
      </c>
      <c r="T60" s="25">
        <v>90</v>
      </c>
      <c r="U60" s="144">
        <v>90</v>
      </c>
      <c r="V60" s="144">
        <v>90</v>
      </c>
      <c r="W60" s="144">
        <v>90</v>
      </c>
      <c r="X60" s="144">
        <v>90</v>
      </c>
    </row>
    <row r="61" spans="2:24" ht="14.4" customHeight="1" x14ac:dyDescent="0.3">
      <c r="B61" t="s">
        <v>71</v>
      </c>
      <c r="H61" s="31">
        <v>1</v>
      </c>
      <c r="I61" s="31">
        <v>1</v>
      </c>
      <c r="J61" s="1">
        <v>87</v>
      </c>
      <c r="K61" s="1">
        <v>88</v>
      </c>
      <c r="L61" s="1">
        <v>88</v>
      </c>
      <c r="M61" s="1">
        <v>88</v>
      </c>
      <c r="N61" s="25">
        <v>90</v>
      </c>
      <c r="O61" s="25">
        <v>91</v>
      </c>
      <c r="P61" s="25">
        <v>90</v>
      </c>
      <c r="Q61" s="25">
        <v>90</v>
      </c>
      <c r="R61" s="25">
        <v>90</v>
      </c>
      <c r="S61" s="25">
        <v>90</v>
      </c>
      <c r="T61" s="25">
        <v>90</v>
      </c>
      <c r="U61" s="144">
        <v>90</v>
      </c>
      <c r="V61" s="144">
        <v>90</v>
      </c>
      <c r="W61" s="144">
        <v>90</v>
      </c>
      <c r="X61" s="144">
        <v>90</v>
      </c>
    </row>
    <row r="62" spans="2:24" ht="14.4" customHeight="1" x14ac:dyDescent="0.3">
      <c r="B62" t="s">
        <v>72</v>
      </c>
      <c r="H62" s="31">
        <v>1</v>
      </c>
      <c r="I62" s="31">
        <v>1</v>
      </c>
      <c r="J62" s="1">
        <v>87</v>
      </c>
      <c r="K62" s="1">
        <v>88</v>
      </c>
      <c r="L62" s="1">
        <v>88</v>
      </c>
      <c r="M62" s="1">
        <v>88</v>
      </c>
      <c r="N62" s="25">
        <v>90</v>
      </c>
      <c r="O62" s="25">
        <v>91</v>
      </c>
      <c r="P62" s="25">
        <v>90</v>
      </c>
      <c r="Q62" s="25">
        <v>90</v>
      </c>
      <c r="R62" s="25">
        <v>90</v>
      </c>
      <c r="S62" s="25">
        <v>90</v>
      </c>
      <c r="T62" s="25">
        <v>90</v>
      </c>
      <c r="U62" s="144">
        <v>90</v>
      </c>
      <c r="V62" s="144">
        <v>90</v>
      </c>
      <c r="W62" s="144">
        <v>90</v>
      </c>
      <c r="X62" s="144">
        <v>90</v>
      </c>
    </row>
    <row r="63" spans="2:24" ht="14.4" customHeight="1" x14ac:dyDescent="0.3">
      <c r="B63" t="s">
        <v>73</v>
      </c>
      <c r="H63" s="31">
        <v>1</v>
      </c>
      <c r="I63" s="31">
        <v>1</v>
      </c>
      <c r="J63" s="1">
        <v>87</v>
      </c>
      <c r="K63" s="1">
        <v>88</v>
      </c>
      <c r="L63" s="1">
        <v>88</v>
      </c>
      <c r="M63" s="1">
        <v>88</v>
      </c>
      <c r="N63" s="25">
        <v>90</v>
      </c>
      <c r="O63" s="25">
        <v>91</v>
      </c>
      <c r="P63" s="25">
        <v>90</v>
      </c>
      <c r="Q63" s="25">
        <v>90</v>
      </c>
      <c r="R63" s="25">
        <v>90</v>
      </c>
      <c r="S63" s="25">
        <v>90</v>
      </c>
      <c r="T63" s="25">
        <v>90</v>
      </c>
      <c r="U63" s="144">
        <v>90</v>
      </c>
      <c r="V63" s="144">
        <v>90</v>
      </c>
      <c r="W63" s="144">
        <v>90</v>
      </c>
      <c r="X63" s="144">
        <v>90</v>
      </c>
    </row>
    <row r="64" spans="2:24" ht="14.4" customHeight="1" x14ac:dyDescent="0.3">
      <c r="B64" s="196" t="s">
        <v>74</v>
      </c>
      <c r="H64" s="31">
        <v>1</v>
      </c>
      <c r="I64" s="31">
        <v>1</v>
      </c>
      <c r="J64" s="1">
        <v>87</v>
      </c>
      <c r="K64" s="1">
        <v>88</v>
      </c>
      <c r="L64" s="1">
        <v>88</v>
      </c>
      <c r="M64" s="1">
        <v>88</v>
      </c>
      <c r="N64" s="25">
        <v>90</v>
      </c>
      <c r="O64" s="25">
        <v>91</v>
      </c>
      <c r="P64" s="25">
        <v>90</v>
      </c>
      <c r="Q64" s="25">
        <v>0</v>
      </c>
      <c r="R64" s="25">
        <v>0</v>
      </c>
      <c r="S64" s="25">
        <v>0</v>
      </c>
      <c r="T64" s="25">
        <v>0</v>
      </c>
      <c r="U64" s="25">
        <v>0</v>
      </c>
      <c r="V64" s="25">
        <v>0</v>
      </c>
      <c r="W64" s="25">
        <v>0</v>
      </c>
      <c r="X64" s="25">
        <v>0</v>
      </c>
    </row>
    <row r="65" spans="1:24" ht="14.4" customHeight="1" x14ac:dyDescent="0.3">
      <c r="B65" s="196" t="s">
        <v>75</v>
      </c>
      <c r="H65" s="31">
        <v>1</v>
      </c>
      <c r="I65" s="31">
        <v>1</v>
      </c>
      <c r="J65" s="1">
        <v>87</v>
      </c>
      <c r="K65" s="1">
        <v>88</v>
      </c>
      <c r="L65" s="1">
        <v>88</v>
      </c>
      <c r="M65" s="1">
        <v>88</v>
      </c>
      <c r="N65" s="25">
        <v>90</v>
      </c>
      <c r="O65" s="25">
        <v>91</v>
      </c>
      <c r="P65" s="25">
        <v>30</v>
      </c>
      <c r="Q65" s="25">
        <v>90</v>
      </c>
      <c r="R65" s="25">
        <v>30</v>
      </c>
      <c r="S65" s="25">
        <v>0</v>
      </c>
      <c r="T65" s="25">
        <v>0</v>
      </c>
      <c r="U65" s="25">
        <v>0</v>
      </c>
      <c r="V65" s="25">
        <v>0</v>
      </c>
      <c r="W65" s="25">
        <v>0</v>
      </c>
      <c r="X65" s="25">
        <v>0</v>
      </c>
    </row>
    <row r="66" spans="1:24" ht="14.4" customHeight="1" x14ac:dyDescent="0.3">
      <c r="B66" t="s">
        <v>76</v>
      </c>
      <c r="H66" s="31">
        <v>1</v>
      </c>
      <c r="I66" s="31">
        <v>1</v>
      </c>
      <c r="J66" s="1">
        <v>87</v>
      </c>
      <c r="K66" s="1">
        <v>88</v>
      </c>
      <c r="L66" s="1">
        <v>88</v>
      </c>
      <c r="M66" s="1">
        <v>88</v>
      </c>
      <c r="N66" s="25">
        <v>90</v>
      </c>
      <c r="O66" s="25">
        <v>91</v>
      </c>
      <c r="P66" s="25">
        <v>90</v>
      </c>
      <c r="Q66" s="25">
        <v>90</v>
      </c>
      <c r="R66" s="25">
        <v>90</v>
      </c>
      <c r="S66" s="25">
        <v>90</v>
      </c>
      <c r="T66" s="25">
        <v>90</v>
      </c>
      <c r="U66" s="144">
        <v>90</v>
      </c>
      <c r="V66" s="144">
        <v>90</v>
      </c>
      <c r="W66" s="144">
        <v>90</v>
      </c>
      <c r="X66" s="144">
        <v>90</v>
      </c>
    </row>
    <row r="67" spans="1:24" ht="14.4" customHeight="1" x14ac:dyDescent="0.3">
      <c r="B67" t="s">
        <v>77</v>
      </c>
      <c r="H67" s="31">
        <v>1</v>
      </c>
      <c r="I67" s="31">
        <v>1</v>
      </c>
      <c r="J67" s="1">
        <v>87</v>
      </c>
      <c r="K67" s="1">
        <v>88</v>
      </c>
      <c r="L67" s="1">
        <v>88</v>
      </c>
      <c r="M67" s="1">
        <v>88</v>
      </c>
      <c r="N67" s="25">
        <v>90</v>
      </c>
      <c r="O67" s="25">
        <v>91</v>
      </c>
      <c r="P67" s="25">
        <v>90</v>
      </c>
      <c r="Q67" s="25">
        <v>90</v>
      </c>
      <c r="R67" s="25">
        <v>90</v>
      </c>
      <c r="S67" s="25">
        <v>90</v>
      </c>
      <c r="T67" s="25">
        <v>90</v>
      </c>
      <c r="U67" s="144">
        <v>90</v>
      </c>
      <c r="V67" s="144">
        <v>90</v>
      </c>
      <c r="W67" s="144">
        <v>90</v>
      </c>
      <c r="X67" s="144">
        <v>90</v>
      </c>
    </row>
    <row r="68" spans="1:24" ht="14.4" customHeight="1" x14ac:dyDescent="0.3">
      <c r="B68" s="196" t="s">
        <v>78</v>
      </c>
      <c r="H68" s="31">
        <v>1</v>
      </c>
      <c r="I68" s="31"/>
      <c r="J68" s="1">
        <v>87</v>
      </c>
      <c r="K68" s="1">
        <v>88</v>
      </c>
      <c r="L68" s="1">
        <v>88</v>
      </c>
      <c r="M68" s="1">
        <v>30</v>
      </c>
      <c r="N68" s="25">
        <v>90</v>
      </c>
      <c r="O68" s="25">
        <v>91</v>
      </c>
      <c r="P68" s="25">
        <v>90</v>
      </c>
      <c r="Q68" s="25">
        <v>90</v>
      </c>
      <c r="R68" s="25">
        <v>90</v>
      </c>
      <c r="S68" s="25">
        <v>90</v>
      </c>
      <c r="T68" s="25">
        <v>90</v>
      </c>
      <c r="U68" s="25">
        <v>0</v>
      </c>
      <c r="V68" s="25">
        <v>0</v>
      </c>
      <c r="W68" s="25">
        <v>0</v>
      </c>
      <c r="X68" s="25">
        <v>0</v>
      </c>
    </row>
    <row r="69" spans="1:24" ht="14.4" customHeight="1" x14ac:dyDescent="0.3">
      <c r="B69" s="196" t="s">
        <v>79</v>
      </c>
      <c r="H69" s="31">
        <v>1</v>
      </c>
      <c r="I69" s="31"/>
      <c r="J69" s="1">
        <v>87</v>
      </c>
      <c r="K69" s="1">
        <v>88</v>
      </c>
      <c r="L69" s="1">
        <v>88</v>
      </c>
      <c r="M69" s="1">
        <v>88</v>
      </c>
      <c r="N69" s="25">
        <v>90</v>
      </c>
      <c r="O69" s="25">
        <v>91</v>
      </c>
      <c r="P69" s="25">
        <v>90</v>
      </c>
      <c r="Q69" s="25">
        <v>90</v>
      </c>
      <c r="R69" s="25">
        <v>90</v>
      </c>
      <c r="S69" s="25">
        <v>90</v>
      </c>
      <c r="T69" s="25">
        <v>30</v>
      </c>
      <c r="U69" s="25">
        <v>0</v>
      </c>
      <c r="V69" s="25">
        <v>0</v>
      </c>
      <c r="W69" s="25">
        <v>0</v>
      </c>
      <c r="X69" s="25">
        <v>0</v>
      </c>
    </row>
    <row r="70" spans="1:24" ht="14.4" customHeight="1" x14ac:dyDescent="0.3">
      <c r="B70" s="196" t="s">
        <v>80</v>
      </c>
      <c r="H70" s="31">
        <v>1</v>
      </c>
      <c r="I70" s="31"/>
      <c r="J70" s="1">
        <v>87</v>
      </c>
      <c r="K70" s="1">
        <v>88</v>
      </c>
      <c r="L70" s="1">
        <v>88</v>
      </c>
      <c r="M70" s="1">
        <v>88</v>
      </c>
      <c r="N70" s="25">
        <v>90</v>
      </c>
      <c r="O70" s="25">
        <v>91</v>
      </c>
      <c r="P70" s="25">
        <v>90</v>
      </c>
      <c r="Q70" s="25">
        <v>90</v>
      </c>
      <c r="R70" s="25">
        <v>90</v>
      </c>
      <c r="S70" s="25">
        <v>90</v>
      </c>
      <c r="T70" s="25">
        <v>90</v>
      </c>
      <c r="U70" s="144">
        <v>90</v>
      </c>
      <c r="V70" s="25">
        <v>0</v>
      </c>
      <c r="W70" s="25">
        <v>0</v>
      </c>
      <c r="X70" s="25">
        <v>0</v>
      </c>
    </row>
    <row r="71" spans="1:24" ht="14.4" customHeight="1" x14ac:dyDescent="0.3">
      <c r="B71" s="196" t="s">
        <v>81</v>
      </c>
      <c r="H71" s="31">
        <v>1</v>
      </c>
      <c r="I71" s="31"/>
      <c r="J71" s="1">
        <v>87</v>
      </c>
      <c r="K71" s="1">
        <v>88</v>
      </c>
      <c r="L71" s="1">
        <v>88</v>
      </c>
      <c r="M71" s="1">
        <v>88</v>
      </c>
      <c r="N71" s="25">
        <v>90</v>
      </c>
      <c r="O71" s="25">
        <v>91</v>
      </c>
      <c r="P71" s="25">
        <v>0</v>
      </c>
      <c r="Q71" s="25">
        <v>0</v>
      </c>
      <c r="R71" s="25">
        <v>0</v>
      </c>
      <c r="S71" s="25">
        <v>0</v>
      </c>
      <c r="T71" s="25">
        <v>0</v>
      </c>
      <c r="U71" s="25">
        <v>0</v>
      </c>
      <c r="V71" s="25">
        <v>0</v>
      </c>
      <c r="W71" s="25">
        <v>0</v>
      </c>
      <c r="X71" s="25">
        <v>0</v>
      </c>
    </row>
    <row r="72" spans="1:24" ht="14.4" customHeight="1" x14ac:dyDescent="0.3">
      <c r="B72" t="s">
        <v>86</v>
      </c>
      <c r="H72" s="31">
        <v>1</v>
      </c>
      <c r="I72" s="31">
        <v>1</v>
      </c>
      <c r="J72" s="1">
        <v>87</v>
      </c>
      <c r="K72" s="1">
        <v>88</v>
      </c>
      <c r="L72" s="1">
        <v>88</v>
      </c>
      <c r="M72" s="1">
        <v>88</v>
      </c>
      <c r="N72" s="25">
        <v>90</v>
      </c>
      <c r="O72" s="25">
        <v>91</v>
      </c>
      <c r="P72" s="25">
        <v>90</v>
      </c>
      <c r="Q72" s="25">
        <v>90</v>
      </c>
      <c r="R72" s="25">
        <v>90</v>
      </c>
      <c r="S72" s="25">
        <v>90</v>
      </c>
      <c r="T72" s="25">
        <v>90</v>
      </c>
      <c r="U72" s="144">
        <v>90</v>
      </c>
      <c r="V72" s="144">
        <v>90</v>
      </c>
      <c r="W72" s="144">
        <v>90</v>
      </c>
      <c r="X72" s="144">
        <v>90</v>
      </c>
    </row>
    <row r="73" spans="1:24" ht="14.4" customHeight="1" x14ac:dyDescent="0.3">
      <c r="B73" t="s">
        <v>243</v>
      </c>
      <c r="H73" s="31"/>
      <c r="I73" s="31"/>
      <c r="N73" s="25"/>
      <c r="O73" s="25"/>
      <c r="P73" s="25"/>
      <c r="Q73" s="25"/>
      <c r="R73" s="25"/>
      <c r="S73" s="25">
        <v>90</v>
      </c>
      <c r="T73" s="25">
        <v>90</v>
      </c>
      <c r="U73" s="144">
        <v>90</v>
      </c>
      <c r="V73" s="144">
        <v>90</v>
      </c>
      <c r="W73" s="144">
        <v>90</v>
      </c>
      <c r="X73" s="144">
        <v>90</v>
      </c>
    </row>
    <row r="74" spans="1:24" ht="14.4" customHeight="1" x14ac:dyDescent="0.3">
      <c r="B74" s="30" t="s">
        <v>244</v>
      </c>
      <c r="H74" s="31"/>
      <c r="I74" s="31"/>
      <c r="N74" s="25"/>
      <c r="O74" s="25"/>
      <c r="P74" s="25"/>
      <c r="Q74" s="25"/>
      <c r="R74" s="25"/>
      <c r="S74" s="25"/>
      <c r="T74" s="25">
        <v>75</v>
      </c>
      <c r="U74" s="144">
        <v>90</v>
      </c>
      <c r="V74" s="144">
        <v>90</v>
      </c>
      <c r="W74" s="144">
        <v>90</v>
      </c>
      <c r="X74" s="144">
        <v>90</v>
      </c>
    </row>
    <row r="75" spans="1:24" ht="14.4" customHeight="1" x14ac:dyDescent="0.3">
      <c r="B75" s="30" t="s">
        <v>245</v>
      </c>
      <c r="H75" s="31"/>
      <c r="I75" s="31"/>
      <c r="N75" s="25"/>
      <c r="O75" s="25"/>
      <c r="P75" s="25"/>
      <c r="Q75" s="25"/>
      <c r="R75" s="25"/>
      <c r="S75" s="25"/>
      <c r="T75" s="25">
        <v>60</v>
      </c>
      <c r="U75" s="144">
        <v>90</v>
      </c>
      <c r="V75" s="144">
        <v>90</v>
      </c>
      <c r="W75" s="144">
        <v>90</v>
      </c>
      <c r="X75" s="144">
        <v>90</v>
      </c>
    </row>
    <row r="76" spans="1:24" ht="14.4" customHeight="1" x14ac:dyDescent="0.3">
      <c r="B76" s="30" t="s">
        <v>246</v>
      </c>
      <c r="H76" s="31"/>
      <c r="I76" s="31"/>
      <c r="N76" s="25"/>
      <c r="O76" s="25"/>
      <c r="P76" s="25"/>
      <c r="Q76" s="25"/>
      <c r="R76" s="25"/>
      <c r="S76" s="25"/>
      <c r="T76" s="25">
        <v>60</v>
      </c>
      <c r="U76" s="144">
        <v>90</v>
      </c>
      <c r="V76" s="144">
        <v>90</v>
      </c>
      <c r="W76" s="144">
        <v>90</v>
      </c>
      <c r="X76" s="144">
        <v>90</v>
      </c>
    </row>
    <row r="77" spans="1:24" ht="14.4" customHeight="1" x14ac:dyDescent="0.3">
      <c r="B77" s="191" t="s">
        <v>247</v>
      </c>
      <c r="U77" s="144">
        <v>30</v>
      </c>
      <c r="V77" s="144">
        <v>90</v>
      </c>
      <c r="W77" s="144">
        <v>90</v>
      </c>
      <c r="X77" s="144">
        <v>90</v>
      </c>
    </row>
    <row r="78" spans="1:24" ht="14.4" customHeight="1" x14ac:dyDescent="0.3"/>
    <row r="79" spans="1:24" ht="14.4" customHeight="1" x14ac:dyDescent="0.3"/>
    <row r="80" spans="1:24" ht="14.4" customHeight="1" x14ac:dyDescent="0.3">
      <c r="A80" s="194" t="s">
        <v>10</v>
      </c>
      <c r="B80" s="122" t="s">
        <v>306</v>
      </c>
      <c r="C80" s="123"/>
      <c r="D80" s="123"/>
      <c r="E80" s="123"/>
      <c r="F80" s="123"/>
      <c r="G80" s="123"/>
      <c r="H80" s="124" t="s">
        <v>158</v>
      </c>
      <c r="I80" s="124" t="s">
        <v>156</v>
      </c>
      <c r="J80" s="123"/>
      <c r="K80" s="123"/>
      <c r="L80" s="123"/>
      <c r="M80" s="123"/>
      <c r="N80" s="123"/>
      <c r="O80" s="123"/>
      <c r="P80" s="123"/>
      <c r="Q80" s="123"/>
      <c r="R80" s="123"/>
      <c r="S80" s="123"/>
      <c r="T80" s="123"/>
      <c r="U80" s="123"/>
      <c r="V80" s="123"/>
      <c r="W80" s="123"/>
      <c r="X80" s="123"/>
    </row>
    <row r="81" spans="2:24" ht="14.4" customHeight="1" x14ac:dyDescent="0.3">
      <c r="B81" t="s">
        <v>58</v>
      </c>
      <c r="H81" s="31">
        <v>1</v>
      </c>
      <c r="I81" s="31">
        <v>1</v>
      </c>
      <c r="J81" s="1">
        <f>J49*NAV!P$27</f>
        <v>3697500</v>
      </c>
      <c r="K81" s="1">
        <f>K49*NAV!Q$27</f>
        <v>3766400</v>
      </c>
      <c r="L81" s="1">
        <f>L49*NAV!R$27</f>
        <v>4479200</v>
      </c>
      <c r="M81" s="1">
        <f>M49*NAV!S$27</f>
        <v>4320800</v>
      </c>
      <c r="N81" s="1">
        <f>N49*NAV!T$27</f>
        <v>3816000</v>
      </c>
      <c r="O81" s="1">
        <f>O49*NAV!U$27</f>
        <v>3530800</v>
      </c>
      <c r="P81" s="1">
        <f>P49*NAV!V$27</f>
        <v>3438000</v>
      </c>
      <c r="Q81" s="1">
        <f>Q49*NAV!W$27</f>
        <v>4167000</v>
      </c>
      <c r="R81" s="1">
        <f>R49*NAV!X$27</f>
        <v>3645000</v>
      </c>
      <c r="S81" s="1">
        <f>S49*NAV!Y$27</f>
        <v>5427000</v>
      </c>
      <c r="T81" s="1">
        <f>T49*NAV!Z$27</f>
        <v>7092000</v>
      </c>
      <c r="U81" s="1">
        <f>U49*NAV!AA$27</f>
        <v>10215000</v>
      </c>
      <c r="V81" s="1">
        <f>V49*NAV!AB$27</f>
        <v>10419300</v>
      </c>
      <c r="W81" s="1">
        <f>W49*NAV!AC$27</f>
        <v>9898335</v>
      </c>
      <c r="X81" s="1">
        <f>X49*NAV!AD$27</f>
        <v>7918668.0000000009</v>
      </c>
    </row>
    <row r="82" spans="2:24" ht="14.4" customHeight="1" x14ac:dyDescent="0.3">
      <c r="B82" t="s">
        <v>59</v>
      </c>
      <c r="H82" s="31">
        <v>1</v>
      </c>
      <c r="I82" s="31">
        <v>1</v>
      </c>
      <c r="J82" s="1">
        <f>J50*NAV!P$27</f>
        <v>3697500</v>
      </c>
      <c r="K82" s="1">
        <f>K50*NAV!Q$27</f>
        <v>3766400</v>
      </c>
      <c r="L82" s="1">
        <f>L50*NAV!R$27</f>
        <v>4479200</v>
      </c>
      <c r="M82" s="1">
        <f>M50*NAV!S$27</f>
        <v>4320800</v>
      </c>
      <c r="N82" s="1">
        <f>N50*NAV!T$27</f>
        <v>3816000</v>
      </c>
      <c r="O82" s="1">
        <f>O50*NAV!U$27</f>
        <v>3530800</v>
      </c>
      <c r="P82" s="1">
        <f>P50*NAV!V$27</f>
        <v>3438000</v>
      </c>
      <c r="Q82" s="1">
        <f>Q50*NAV!W$27</f>
        <v>4167000</v>
      </c>
      <c r="R82" s="1">
        <f>R50*NAV!X$27</f>
        <v>3645000</v>
      </c>
      <c r="S82" s="1">
        <f>S50*NAV!Y$27</f>
        <v>5427000</v>
      </c>
      <c r="T82" s="1">
        <f>T50*NAV!Z$27</f>
        <v>7092000</v>
      </c>
      <c r="U82" s="1">
        <f>U50*NAV!AA$27</f>
        <v>10215000</v>
      </c>
      <c r="V82" s="1">
        <f>V50*NAV!AB$27</f>
        <v>10419300</v>
      </c>
      <c r="W82" s="1">
        <f>W50*NAV!AC$27</f>
        <v>9898335</v>
      </c>
      <c r="X82" s="1">
        <f>X50*NAV!AD$27</f>
        <v>7918668.0000000009</v>
      </c>
    </row>
    <row r="83" spans="2:24" ht="14.4" customHeight="1" x14ac:dyDescent="0.3">
      <c r="B83" t="s">
        <v>61</v>
      </c>
      <c r="H83" s="31">
        <v>1</v>
      </c>
      <c r="I83" s="31">
        <v>1</v>
      </c>
      <c r="J83" s="1">
        <f>J51*NAV!P$27</f>
        <v>3697500</v>
      </c>
      <c r="K83" s="1">
        <f>K51*NAV!Q$27</f>
        <v>3766400</v>
      </c>
      <c r="L83" s="1">
        <f>L51*NAV!R$27</f>
        <v>4479200</v>
      </c>
      <c r="M83" s="1">
        <f>M51*NAV!S$27</f>
        <v>4320800</v>
      </c>
      <c r="N83" s="1">
        <f>N51*NAV!T$27</f>
        <v>3816000</v>
      </c>
      <c r="O83" s="1">
        <f>O51*NAV!U$27</f>
        <v>3530800</v>
      </c>
      <c r="P83" s="1">
        <f>P51*NAV!V$27</f>
        <v>3438000</v>
      </c>
      <c r="Q83" s="1">
        <f>Q51*NAV!W$27</f>
        <v>4167000</v>
      </c>
      <c r="R83" s="1">
        <f>R51*NAV!X$27</f>
        <v>3645000</v>
      </c>
      <c r="S83" s="1">
        <f>S51*NAV!Y$27</f>
        <v>5427000</v>
      </c>
      <c r="T83" s="1">
        <f>T51*NAV!Z$27</f>
        <v>7092000</v>
      </c>
      <c r="U83" s="1">
        <f>U51*NAV!AA$27</f>
        <v>10215000</v>
      </c>
      <c r="V83" s="1">
        <f>V51*NAV!AB$27</f>
        <v>10419300</v>
      </c>
      <c r="W83" s="1">
        <f>W51*NAV!AC$27</f>
        <v>9898335</v>
      </c>
      <c r="X83" s="1">
        <f>X51*NAV!AD$27</f>
        <v>7918668.0000000009</v>
      </c>
    </row>
    <row r="84" spans="2:24" ht="14.4" customHeight="1" x14ac:dyDescent="0.3">
      <c r="B84" t="s">
        <v>62</v>
      </c>
      <c r="H84" s="31">
        <v>1</v>
      </c>
      <c r="I84" s="31">
        <v>1</v>
      </c>
      <c r="J84" s="1">
        <f>J52*NAV!P$27</f>
        <v>3697500</v>
      </c>
      <c r="K84" s="1">
        <f>K52*NAV!Q$27</f>
        <v>3766400</v>
      </c>
      <c r="L84" s="1">
        <f>L52*NAV!R$27</f>
        <v>4479200</v>
      </c>
      <c r="M84" s="1">
        <f>M52*NAV!S$27</f>
        <v>4320800</v>
      </c>
      <c r="N84" s="1">
        <f>N52*NAV!T$27</f>
        <v>3816000</v>
      </c>
      <c r="O84" s="1">
        <f>O52*NAV!U$27</f>
        <v>3530800</v>
      </c>
      <c r="P84" s="1">
        <f>P52*NAV!V$27</f>
        <v>3438000</v>
      </c>
      <c r="Q84" s="1">
        <f>Q52*NAV!W$27</f>
        <v>4167000</v>
      </c>
      <c r="R84" s="1">
        <f>R52*NAV!X$27</f>
        <v>3645000</v>
      </c>
      <c r="S84" s="1">
        <f>S52*NAV!Y$27</f>
        <v>5427000</v>
      </c>
      <c r="T84" s="1">
        <f>T52*NAV!Z$27</f>
        <v>7092000</v>
      </c>
      <c r="U84" s="1">
        <f>U52*NAV!AA$27</f>
        <v>10215000</v>
      </c>
      <c r="V84" s="1">
        <f>V52*NAV!AB$27</f>
        <v>10419300</v>
      </c>
      <c r="W84" s="1">
        <f>W52*NAV!AC$27</f>
        <v>9898335</v>
      </c>
      <c r="X84" s="1">
        <f>X52*NAV!AD$27</f>
        <v>7918668.0000000009</v>
      </c>
    </row>
    <row r="85" spans="2:24" ht="14.4" customHeight="1" x14ac:dyDescent="0.3">
      <c r="B85" t="s">
        <v>63</v>
      </c>
      <c r="H85" s="31">
        <v>1</v>
      </c>
      <c r="I85" s="31">
        <v>1</v>
      </c>
      <c r="J85" s="1">
        <f>J53*NAV!P$27</f>
        <v>3697500</v>
      </c>
      <c r="K85" s="1">
        <f>K53*NAV!Q$27</f>
        <v>3766400</v>
      </c>
      <c r="L85" s="1">
        <f>L53*NAV!R$27</f>
        <v>4479200</v>
      </c>
      <c r="M85" s="1">
        <f>M53*NAV!S$27</f>
        <v>4320800</v>
      </c>
      <c r="N85" s="1">
        <f>N53*NAV!T$27</f>
        <v>3816000</v>
      </c>
      <c r="O85" s="1">
        <f>O53*NAV!U$27</f>
        <v>3530800</v>
      </c>
      <c r="P85" s="1">
        <f>P53*NAV!V$27</f>
        <v>3438000</v>
      </c>
      <c r="Q85" s="1">
        <f>Q53*NAV!W$27</f>
        <v>4167000</v>
      </c>
      <c r="R85" s="1">
        <f>R53*NAV!X$27</f>
        <v>3645000</v>
      </c>
      <c r="S85" s="1">
        <f>S53*NAV!Y$27</f>
        <v>5427000</v>
      </c>
      <c r="T85" s="1">
        <f>T53*NAV!Z$27</f>
        <v>7092000</v>
      </c>
      <c r="U85" s="1">
        <f>U53*NAV!AA$27</f>
        <v>10215000</v>
      </c>
      <c r="V85" s="1">
        <f>V53*NAV!AB$27</f>
        <v>10419300</v>
      </c>
      <c r="W85" s="1">
        <f>W53*NAV!AC$27</f>
        <v>9898335</v>
      </c>
      <c r="X85" s="1">
        <f>X53*NAV!AD$27</f>
        <v>7918668.0000000009</v>
      </c>
    </row>
    <row r="86" spans="2:24" ht="14.4" customHeight="1" x14ac:dyDescent="0.3">
      <c r="B86" t="s">
        <v>64</v>
      </c>
      <c r="H86" s="31">
        <v>1</v>
      </c>
      <c r="I86" s="31">
        <v>1</v>
      </c>
      <c r="J86" s="1">
        <f>J54*NAV!P$27</f>
        <v>3697500</v>
      </c>
      <c r="K86" s="1">
        <f>K54*NAV!Q$27</f>
        <v>3766400</v>
      </c>
      <c r="L86" s="1">
        <f>L54*NAV!R$27</f>
        <v>4479200</v>
      </c>
      <c r="M86" s="1">
        <f>M54*NAV!S$27</f>
        <v>4320800</v>
      </c>
      <c r="N86" s="1">
        <f>N54*NAV!T$27</f>
        <v>3816000</v>
      </c>
      <c r="O86" s="1">
        <f>O54*NAV!U$27</f>
        <v>3530800</v>
      </c>
      <c r="P86" s="1">
        <f>P54*NAV!V$27</f>
        <v>3438000</v>
      </c>
      <c r="Q86" s="1">
        <f>Q54*NAV!W$27</f>
        <v>4167000</v>
      </c>
      <c r="R86" s="1">
        <f>R54*NAV!X$27</f>
        <v>3645000</v>
      </c>
      <c r="S86" s="1">
        <f>S54*NAV!Y$27</f>
        <v>5427000</v>
      </c>
      <c r="T86" s="1">
        <f>T54*NAV!Z$27</f>
        <v>7092000</v>
      </c>
      <c r="U86" s="1">
        <f>U54*NAV!AA$27</f>
        <v>10215000</v>
      </c>
      <c r="V86" s="1">
        <f>V54*NAV!AB$27</f>
        <v>10419300</v>
      </c>
      <c r="W86" s="1">
        <f>W54*NAV!AC$27</f>
        <v>9898335</v>
      </c>
      <c r="X86" s="1">
        <f>X54*NAV!AD$27</f>
        <v>7918668.0000000009</v>
      </c>
    </row>
    <row r="87" spans="2:24" ht="14.4" customHeight="1" x14ac:dyDescent="0.3">
      <c r="B87" t="s">
        <v>65</v>
      </c>
      <c r="H87" s="31">
        <v>1</v>
      </c>
      <c r="I87" s="31">
        <v>1</v>
      </c>
      <c r="J87" s="1">
        <f>J55*NAV!P$27</f>
        <v>3697500</v>
      </c>
      <c r="K87" s="1">
        <f>K55*NAV!Q$27</f>
        <v>3766400</v>
      </c>
      <c r="L87" s="1">
        <f>L55*NAV!R$27</f>
        <v>4479200</v>
      </c>
      <c r="M87" s="1">
        <f>M55*NAV!S$27</f>
        <v>4320800</v>
      </c>
      <c r="N87" s="1">
        <f>N55*NAV!T$27</f>
        <v>3816000</v>
      </c>
      <c r="O87" s="1">
        <f>O55*NAV!U$27</f>
        <v>3530800</v>
      </c>
      <c r="P87" s="1">
        <f>P55*NAV!V$27</f>
        <v>3438000</v>
      </c>
      <c r="Q87" s="1">
        <f>Q55*NAV!W$27</f>
        <v>4167000</v>
      </c>
      <c r="R87" s="1">
        <f>R55*NAV!X$27</f>
        <v>3645000</v>
      </c>
      <c r="S87" s="1">
        <f>S55*NAV!Y$27</f>
        <v>5427000</v>
      </c>
      <c r="T87" s="1">
        <f>T55*NAV!Z$27</f>
        <v>7092000</v>
      </c>
      <c r="U87" s="1">
        <f>U55*NAV!AA$27</f>
        <v>10215000</v>
      </c>
      <c r="V87" s="1">
        <f>V55*NAV!AB$27</f>
        <v>10419300</v>
      </c>
      <c r="W87" s="1">
        <f>W55*NAV!AC$27</f>
        <v>9898335</v>
      </c>
      <c r="X87" s="1">
        <f>X55*NAV!AD$27</f>
        <v>7918668.0000000009</v>
      </c>
    </row>
    <row r="88" spans="2:24" ht="14.4" customHeight="1" x14ac:dyDescent="0.3">
      <c r="B88" t="s">
        <v>66</v>
      </c>
      <c r="H88" s="31">
        <v>1</v>
      </c>
      <c r="I88" s="31">
        <v>1</v>
      </c>
      <c r="J88" s="1">
        <f>J56*NAV!P$27</f>
        <v>3697500</v>
      </c>
      <c r="K88" s="1">
        <f>K56*NAV!Q$27</f>
        <v>3766400</v>
      </c>
      <c r="L88" s="1">
        <f>L56*NAV!R$27</f>
        <v>4479200</v>
      </c>
      <c r="M88" s="1">
        <f>M56*NAV!S$27</f>
        <v>4320800</v>
      </c>
      <c r="N88" s="1">
        <f>N56*NAV!T$27</f>
        <v>3816000</v>
      </c>
      <c r="O88" s="1">
        <f>O56*NAV!U$27</f>
        <v>3530800</v>
      </c>
      <c r="P88" s="1">
        <f>P56*NAV!V$27</f>
        <v>3438000</v>
      </c>
      <c r="Q88" s="1">
        <f>Q56*NAV!W$27</f>
        <v>4167000</v>
      </c>
      <c r="R88" s="1">
        <f>R56*NAV!X$27</f>
        <v>3645000</v>
      </c>
      <c r="S88" s="1">
        <f>S56*NAV!Y$27</f>
        <v>5427000</v>
      </c>
      <c r="T88" s="1">
        <f>T56*NAV!Z$27</f>
        <v>7092000</v>
      </c>
      <c r="U88" s="1">
        <f>U56*NAV!AA$27</f>
        <v>10215000</v>
      </c>
      <c r="V88" s="1">
        <f>V56*NAV!AB$27</f>
        <v>10419300</v>
      </c>
      <c r="W88" s="1">
        <f>W56*NAV!AC$27</f>
        <v>9898335</v>
      </c>
      <c r="X88" s="1">
        <f>X56*NAV!AD$27</f>
        <v>7918668.0000000009</v>
      </c>
    </row>
    <row r="89" spans="2:24" ht="14.4" customHeight="1" x14ac:dyDescent="0.3">
      <c r="B89" t="s">
        <v>67</v>
      </c>
      <c r="H89" s="31">
        <v>1</v>
      </c>
      <c r="I89" s="31">
        <v>1</v>
      </c>
      <c r="J89" s="1">
        <f>J57*NAV!P$27</f>
        <v>3697500</v>
      </c>
      <c r="K89" s="1">
        <f>K57*NAV!Q$27</f>
        <v>3766400</v>
      </c>
      <c r="L89" s="1">
        <f>L57*NAV!R$27</f>
        <v>4479200</v>
      </c>
      <c r="M89" s="1">
        <f>M57*NAV!S$27</f>
        <v>4320800</v>
      </c>
      <c r="N89" s="1">
        <f>N57*NAV!T$27</f>
        <v>3816000</v>
      </c>
      <c r="O89" s="1">
        <f>O57*NAV!U$27</f>
        <v>3530800</v>
      </c>
      <c r="P89" s="1">
        <f>P57*NAV!V$27</f>
        <v>3438000</v>
      </c>
      <c r="Q89" s="1">
        <f>Q57*NAV!W$27</f>
        <v>4167000</v>
      </c>
      <c r="R89" s="1">
        <f>R57*NAV!X$27</f>
        <v>3645000</v>
      </c>
      <c r="S89" s="1">
        <f>S57*NAV!Y$27</f>
        <v>5427000</v>
      </c>
      <c r="T89" s="1">
        <f>T57*NAV!Z$27</f>
        <v>7092000</v>
      </c>
      <c r="U89" s="1">
        <f>U57*NAV!AA$27</f>
        <v>10215000</v>
      </c>
      <c r="V89" s="1">
        <f>V57*NAV!AB$27</f>
        <v>10419300</v>
      </c>
      <c r="W89" s="1">
        <f>W57*NAV!AC$27</f>
        <v>9898335</v>
      </c>
      <c r="X89" s="1">
        <f>X57*NAV!AD$27</f>
        <v>7918668.0000000009</v>
      </c>
    </row>
    <row r="90" spans="2:24" ht="14.4" customHeight="1" x14ac:dyDescent="0.3">
      <c r="B90" t="s">
        <v>68</v>
      </c>
      <c r="H90" s="31">
        <v>1</v>
      </c>
      <c r="I90" s="31">
        <v>1</v>
      </c>
      <c r="J90" s="1">
        <f>J58*NAV!P$27</f>
        <v>3697500</v>
      </c>
      <c r="K90" s="1">
        <f>K58*NAV!Q$27</f>
        <v>3766400</v>
      </c>
      <c r="L90" s="1">
        <f>L58*NAV!R$27</f>
        <v>4479200</v>
      </c>
      <c r="M90" s="1">
        <f>M58*NAV!S$27</f>
        <v>4320800</v>
      </c>
      <c r="N90" s="1">
        <f>N58*NAV!T$27</f>
        <v>3816000</v>
      </c>
      <c r="O90" s="1">
        <f>O58*NAV!U$27</f>
        <v>3530800</v>
      </c>
      <c r="P90" s="1">
        <f>P58*NAV!V$27</f>
        <v>3438000</v>
      </c>
      <c r="Q90" s="1">
        <f>Q58*NAV!W$27</f>
        <v>4167000</v>
      </c>
      <c r="R90" s="1">
        <f>R58*NAV!X$27</f>
        <v>3645000</v>
      </c>
      <c r="S90" s="1">
        <f>S58*NAV!Y$27</f>
        <v>5427000</v>
      </c>
      <c r="T90" s="1">
        <f>T58*NAV!Z$27</f>
        <v>7092000</v>
      </c>
      <c r="U90" s="1">
        <f>U58*NAV!AA$27</f>
        <v>10215000</v>
      </c>
      <c r="V90" s="1">
        <f>V58*NAV!AB$27</f>
        <v>10419300</v>
      </c>
      <c r="W90" s="1">
        <f>W58*NAV!AC$27</f>
        <v>9898335</v>
      </c>
      <c r="X90" s="1">
        <f>X58*NAV!AD$27</f>
        <v>7918668.0000000009</v>
      </c>
    </row>
    <row r="91" spans="2:24" ht="14.4" customHeight="1" x14ac:dyDescent="0.3">
      <c r="B91" t="s">
        <v>69</v>
      </c>
      <c r="H91" s="31">
        <v>1</v>
      </c>
      <c r="I91" s="31">
        <v>1</v>
      </c>
      <c r="J91" s="1">
        <f>J59*NAV!P$27</f>
        <v>3697500</v>
      </c>
      <c r="K91" s="1">
        <f>K59*NAV!Q$27</f>
        <v>3766400</v>
      </c>
      <c r="L91" s="1">
        <f>L59*NAV!R$27</f>
        <v>4479200</v>
      </c>
      <c r="M91" s="1">
        <f>M59*NAV!S$27</f>
        <v>4320800</v>
      </c>
      <c r="N91" s="1">
        <f>N59*NAV!T$27</f>
        <v>3816000</v>
      </c>
      <c r="O91" s="1">
        <f>O59*NAV!U$27</f>
        <v>3530800</v>
      </c>
      <c r="P91" s="1">
        <f>P59*NAV!V$27</f>
        <v>3438000</v>
      </c>
      <c r="Q91" s="1">
        <f>Q59*NAV!W$27</f>
        <v>4167000</v>
      </c>
      <c r="R91" s="1">
        <f>R59*NAV!X$27</f>
        <v>3645000</v>
      </c>
      <c r="S91" s="1">
        <f>S59*NAV!Y$27</f>
        <v>5427000</v>
      </c>
      <c r="T91" s="1">
        <f>T59*NAV!Z$27</f>
        <v>7092000</v>
      </c>
      <c r="U91" s="1">
        <f>U59*NAV!AA$27</f>
        <v>10215000</v>
      </c>
      <c r="V91" s="1">
        <f>V59*NAV!AB$27</f>
        <v>10419300</v>
      </c>
      <c r="W91" s="1">
        <f>W59*NAV!AC$27</f>
        <v>9898335</v>
      </c>
      <c r="X91" s="1">
        <f>X59*NAV!AD$27</f>
        <v>7918668.0000000009</v>
      </c>
    </row>
    <row r="92" spans="2:24" ht="14.4" customHeight="1" x14ac:dyDescent="0.3">
      <c r="B92" t="s">
        <v>70</v>
      </c>
      <c r="H92" s="31">
        <v>1</v>
      </c>
      <c r="I92" s="31">
        <v>1</v>
      </c>
      <c r="J92" s="1">
        <f>J60*NAV!P$27</f>
        <v>3697500</v>
      </c>
      <c r="K92" s="1">
        <f>K60*NAV!Q$27</f>
        <v>3766400</v>
      </c>
      <c r="L92" s="1">
        <f>L60*NAV!R$27</f>
        <v>4479200</v>
      </c>
      <c r="M92" s="1">
        <f>M60*NAV!S$27</f>
        <v>4320800</v>
      </c>
      <c r="N92" s="1">
        <f>N60*NAV!T$27</f>
        <v>3816000</v>
      </c>
      <c r="O92" s="1">
        <f>O60*NAV!U$27</f>
        <v>3530800</v>
      </c>
      <c r="P92" s="1">
        <f>P60*NAV!V$27</f>
        <v>3438000</v>
      </c>
      <c r="Q92" s="1">
        <f>Q60*NAV!W$27</f>
        <v>4167000</v>
      </c>
      <c r="R92" s="1">
        <f>R60*NAV!X$27</f>
        <v>3645000</v>
      </c>
      <c r="S92" s="1">
        <f>S60*NAV!Y$27</f>
        <v>5427000</v>
      </c>
      <c r="T92" s="1">
        <f>T60*NAV!Z$27</f>
        <v>7092000</v>
      </c>
      <c r="U92" s="1">
        <f>U60*NAV!AA$27</f>
        <v>10215000</v>
      </c>
      <c r="V92" s="1">
        <f>V60*NAV!AB$27</f>
        <v>10419300</v>
      </c>
      <c r="W92" s="1">
        <f>W60*NAV!AC$27</f>
        <v>9898335</v>
      </c>
      <c r="X92" s="1">
        <f>X60*NAV!AD$27</f>
        <v>7918668.0000000009</v>
      </c>
    </row>
    <row r="93" spans="2:24" ht="14.4" customHeight="1" x14ac:dyDescent="0.3">
      <c r="B93" t="s">
        <v>71</v>
      </c>
      <c r="H93" s="31">
        <v>1</v>
      </c>
      <c r="I93" s="31">
        <v>1</v>
      </c>
      <c r="J93" s="1">
        <f>J61*NAV!P$27</f>
        <v>3697500</v>
      </c>
      <c r="K93" s="1">
        <f>K61*NAV!Q$27</f>
        <v>3766400</v>
      </c>
      <c r="L93" s="1">
        <f>L61*NAV!R$27</f>
        <v>4479200</v>
      </c>
      <c r="M93" s="1">
        <f>M61*NAV!S$27</f>
        <v>4320800</v>
      </c>
      <c r="N93" s="1">
        <f>N61*NAV!T$27</f>
        <v>3816000</v>
      </c>
      <c r="O93" s="1">
        <f>O61*NAV!U$27</f>
        <v>3530800</v>
      </c>
      <c r="P93" s="1">
        <f>P61*NAV!V$27</f>
        <v>3438000</v>
      </c>
      <c r="Q93" s="1">
        <f>Q61*NAV!W$27</f>
        <v>4167000</v>
      </c>
      <c r="R93" s="1">
        <f>R61*NAV!X$27</f>
        <v>3645000</v>
      </c>
      <c r="S93" s="1">
        <f>S61*NAV!Y$27</f>
        <v>5427000</v>
      </c>
      <c r="T93" s="1">
        <f>T61*NAV!Z$27</f>
        <v>7092000</v>
      </c>
      <c r="U93" s="1">
        <f>U61*NAV!AA$27</f>
        <v>10215000</v>
      </c>
      <c r="V93" s="1">
        <f>V61*NAV!AB$27</f>
        <v>10419300</v>
      </c>
      <c r="W93" s="1">
        <f>W61*NAV!AC$27</f>
        <v>9898335</v>
      </c>
      <c r="X93" s="1">
        <f>X61*NAV!AD$27</f>
        <v>7918668.0000000009</v>
      </c>
    </row>
    <row r="94" spans="2:24" ht="14.4" customHeight="1" x14ac:dyDescent="0.3">
      <c r="B94" t="s">
        <v>72</v>
      </c>
      <c r="H94" s="31">
        <v>1</v>
      </c>
      <c r="I94" s="31">
        <v>1</v>
      </c>
      <c r="J94" s="1">
        <f>J62*NAV!P$27</f>
        <v>3697500</v>
      </c>
      <c r="K94" s="1">
        <f>K62*NAV!Q$27</f>
        <v>3766400</v>
      </c>
      <c r="L94" s="1">
        <f>L62*NAV!R$27</f>
        <v>4479200</v>
      </c>
      <c r="M94" s="1">
        <f>M62*NAV!S$27</f>
        <v>4320800</v>
      </c>
      <c r="N94" s="1">
        <f>N62*NAV!T$27</f>
        <v>3816000</v>
      </c>
      <c r="O94" s="1">
        <f>O62*NAV!U$27</f>
        <v>3530800</v>
      </c>
      <c r="P94" s="1">
        <f>P62*NAV!V$27</f>
        <v>3438000</v>
      </c>
      <c r="Q94" s="1">
        <f>Q62*NAV!W$27</f>
        <v>4167000</v>
      </c>
      <c r="R94" s="1">
        <f>R62*NAV!X$27</f>
        <v>3645000</v>
      </c>
      <c r="S94" s="1">
        <f>S62*NAV!Y$27</f>
        <v>5427000</v>
      </c>
      <c r="T94" s="1">
        <f>T62*NAV!Z$27</f>
        <v>7092000</v>
      </c>
      <c r="U94" s="1">
        <f>U62*NAV!AA$27</f>
        <v>10215000</v>
      </c>
      <c r="V94" s="1">
        <f>V62*NAV!AB$27</f>
        <v>10419300</v>
      </c>
      <c r="W94" s="1">
        <f>W62*NAV!AC$27</f>
        <v>9898335</v>
      </c>
      <c r="X94" s="1">
        <f>X62*NAV!AD$27</f>
        <v>7918668.0000000009</v>
      </c>
    </row>
    <row r="95" spans="2:24" ht="14.4" customHeight="1" x14ac:dyDescent="0.3">
      <c r="B95" t="s">
        <v>73</v>
      </c>
      <c r="H95" s="31">
        <v>1</v>
      </c>
      <c r="I95" s="31">
        <v>1</v>
      </c>
      <c r="J95" s="1">
        <f>J63*NAV!P$27</f>
        <v>3697500</v>
      </c>
      <c r="K95" s="1">
        <f>K63*NAV!Q$27</f>
        <v>3766400</v>
      </c>
      <c r="L95" s="1">
        <f>L63*NAV!R$27</f>
        <v>4479200</v>
      </c>
      <c r="M95" s="1">
        <f>M63*NAV!S$27</f>
        <v>4320800</v>
      </c>
      <c r="N95" s="1">
        <f>N63*NAV!T$27</f>
        <v>3816000</v>
      </c>
      <c r="O95" s="1">
        <f>O63*NAV!U$27</f>
        <v>3530800</v>
      </c>
      <c r="P95" s="1">
        <f>P63*NAV!V$27</f>
        <v>3438000</v>
      </c>
      <c r="Q95" s="1">
        <f>Q63*NAV!W$27</f>
        <v>4167000</v>
      </c>
      <c r="R95" s="1">
        <f>R63*NAV!X$27</f>
        <v>3645000</v>
      </c>
      <c r="S95" s="1">
        <f>S63*NAV!Y$27</f>
        <v>5427000</v>
      </c>
      <c r="T95" s="1">
        <f>T63*NAV!Z$27</f>
        <v>7092000</v>
      </c>
      <c r="U95" s="1">
        <f>U63*NAV!AA$27</f>
        <v>10215000</v>
      </c>
      <c r="V95" s="1">
        <f>V63*NAV!AB$27</f>
        <v>10419300</v>
      </c>
      <c r="W95" s="1">
        <f>W63*NAV!AC$27</f>
        <v>9898335</v>
      </c>
      <c r="X95" s="1">
        <f>X63*NAV!AD$27</f>
        <v>7918668.0000000009</v>
      </c>
    </row>
    <row r="96" spans="2:24" ht="14.4" customHeight="1" x14ac:dyDescent="0.3">
      <c r="B96" s="196" t="s">
        <v>74</v>
      </c>
      <c r="H96" s="31">
        <v>1</v>
      </c>
      <c r="I96" s="31">
        <v>1</v>
      </c>
      <c r="J96" s="1">
        <f>J64*NAV!P$27</f>
        <v>3697500</v>
      </c>
      <c r="K96" s="1">
        <f>K64*NAV!Q$27</f>
        <v>3766400</v>
      </c>
      <c r="L96" s="1">
        <f>L64*NAV!R$27</f>
        <v>4479200</v>
      </c>
      <c r="M96" s="1">
        <f>M64*NAV!S$27</f>
        <v>4320800</v>
      </c>
      <c r="N96" s="1">
        <f>N64*NAV!T$27</f>
        <v>3816000</v>
      </c>
      <c r="O96" s="1">
        <f>O64*NAV!U$27</f>
        <v>3530800</v>
      </c>
      <c r="P96" s="1">
        <f>P64*NAV!V$27</f>
        <v>3438000</v>
      </c>
      <c r="Q96" s="1">
        <f>Q64*NAV!W$27</f>
        <v>0</v>
      </c>
      <c r="R96" s="1">
        <f>R64*NAV!X$27</f>
        <v>0</v>
      </c>
      <c r="S96" s="1">
        <f>S64*NAV!Y$27</f>
        <v>0</v>
      </c>
      <c r="T96" s="1">
        <f>T64*NAV!Z$27</f>
        <v>0</v>
      </c>
      <c r="U96" s="1">
        <f>U64*NAV!AA$27</f>
        <v>0</v>
      </c>
      <c r="V96" s="1">
        <f>V64*NAV!AB$27</f>
        <v>0</v>
      </c>
      <c r="W96" s="1">
        <f>W64*NAV!AC$27</f>
        <v>0</v>
      </c>
      <c r="X96" s="1">
        <f>X64*NAV!AD$27</f>
        <v>0</v>
      </c>
    </row>
    <row r="97" spans="2:24" ht="14.4" customHeight="1" x14ac:dyDescent="0.3">
      <c r="B97" s="196" t="s">
        <v>75</v>
      </c>
      <c r="H97" s="31">
        <v>1</v>
      </c>
      <c r="I97" s="31">
        <v>1</v>
      </c>
      <c r="J97" s="1">
        <f>J65*NAV!P$27</f>
        <v>3697500</v>
      </c>
      <c r="K97" s="1">
        <f>K65*NAV!Q$27</f>
        <v>3766400</v>
      </c>
      <c r="L97" s="1">
        <f>L65*NAV!R$27</f>
        <v>4479200</v>
      </c>
      <c r="M97" s="1">
        <f>M65*NAV!S$27</f>
        <v>4320800</v>
      </c>
      <c r="N97" s="1">
        <f>N65*NAV!T$27</f>
        <v>3816000</v>
      </c>
      <c r="O97" s="1">
        <f>O65*NAV!U$27</f>
        <v>3530800</v>
      </c>
      <c r="P97" s="1">
        <f>P65*NAV!V$27</f>
        <v>1146000</v>
      </c>
      <c r="Q97" s="1">
        <f>Q65*NAV!W$27</f>
        <v>4167000</v>
      </c>
      <c r="R97" s="1">
        <f>R65*NAV!X$27</f>
        <v>1215000</v>
      </c>
      <c r="S97" s="1">
        <f>S65*NAV!Y$27</f>
        <v>0</v>
      </c>
      <c r="T97" s="1">
        <f>T65*NAV!Z$27</f>
        <v>0</v>
      </c>
      <c r="U97" s="1">
        <f>U65*NAV!AA$27</f>
        <v>0</v>
      </c>
      <c r="V97" s="1">
        <f>V65*NAV!AB$27</f>
        <v>0</v>
      </c>
      <c r="W97" s="1">
        <f>W65*NAV!AC$27</f>
        <v>0</v>
      </c>
      <c r="X97" s="1">
        <f>X65*NAV!AD$27</f>
        <v>0</v>
      </c>
    </row>
    <row r="98" spans="2:24" ht="14.4" customHeight="1" x14ac:dyDescent="0.3">
      <c r="B98" t="s">
        <v>76</v>
      </c>
      <c r="H98" s="31">
        <v>1</v>
      </c>
      <c r="I98" s="31">
        <v>1</v>
      </c>
      <c r="J98" s="1">
        <f>J66*NAV!P$27</f>
        <v>3697500</v>
      </c>
      <c r="K98" s="1">
        <f>K66*NAV!Q$27</f>
        <v>3766400</v>
      </c>
      <c r="L98" s="1">
        <f>L66*NAV!R$27</f>
        <v>4479200</v>
      </c>
      <c r="M98" s="1">
        <f>M66*NAV!S$27</f>
        <v>4320800</v>
      </c>
      <c r="N98" s="1">
        <f>N66*NAV!T$27</f>
        <v>3816000</v>
      </c>
      <c r="O98" s="1">
        <f>O66*NAV!U$27</f>
        <v>3530800</v>
      </c>
      <c r="P98" s="1">
        <f>P66*NAV!V$27</f>
        <v>3438000</v>
      </c>
      <c r="Q98" s="1">
        <f>Q66*NAV!W$27</f>
        <v>4167000</v>
      </c>
      <c r="R98" s="1">
        <f>R66*NAV!X$27</f>
        <v>3645000</v>
      </c>
      <c r="S98" s="1">
        <f>S66*NAV!Y$27</f>
        <v>5427000</v>
      </c>
      <c r="T98" s="1">
        <f>T66*NAV!Z$27</f>
        <v>7092000</v>
      </c>
      <c r="U98" s="1">
        <f>U66*NAV!AA$27</f>
        <v>10215000</v>
      </c>
      <c r="V98" s="1">
        <f>V66*NAV!AB$27</f>
        <v>10419300</v>
      </c>
      <c r="W98" s="1">
        <f>W66*NAV!AC$27</f>
        <v>9898335</v>
      </c>
      <c r="X98" s="1">
        <f>X66*NAV!AD$27</f>
        <v>7918668.0000000009</v>
      </c>
    </row>
    <row r="99" spans="2:24" ht="14.4" customHeight="1" x14ac:dyDescent="0.3">
      <c r="B99" t="s">
        <v>77</v>
      </c>
      <c r="H99" s="31">
        <v>1</v>
      </c>
      <c r="I99" s="31">
        <v>1</v>
      </c>
      <c r="J99" s="1">
        <f>J67*NAV!P$27</f>
        <v>3697500</v>
      </c>
      <c r="K99" s="1">
        <f>K67*NAV!Q$27</f>
        <v>3766400</v>
      </c>
      <c r="L99" s="1">
        <f>L67*NAV!R$27</f>
        <v>4479200</v>
      </c>
      <c r="M99" s="1">
        <f>M67*NAV!S$27</f>
        <v>4320800</v>
      </c>
      <c r="N99" s="1">
        <f>N67*NAV!T$27</f>
        <v>3816000</v>
      </c>
      <c r="O99" s="1">
        <f>O67*NAV!U$27</f>
        <v>3530800</v>
      </c>
      <c r="P99" s="1">
        <f>P67*NAV!V$27</f>
        <v>3438000</v>
      </c>
      <c r="Q99" s="1">
        <f>Q67*NAV!W$27</f>
        <v>4167000</v>
      </c>
      <c r="R99" s="1">
        <f>R67*NAV!X$27</f>
        <v>3645000</v>
      </c>
      <c r="S99" s="1">
        <f>S67*NAV!Y$27</f>
        <v>5427000</v>
      </c>
      <c r="T99" s="1">
        <f>T67*NAV!Z$27</f>
        <v>7092000</v>
      </c>
      <c r="U99" s="1">
        <f>U67*NAV!AA$27</f>
        <v>10215000</v>
      </c>
      <c r="V99" s="1">
        <f>V67*NAV!AB$27</f>
        <v>10419300</v>
      </c>
      <c r="W99" s="1">
        <f>W67*NAV!AC$27</f>
        <v>9898335</v>
      </c>
      <c r="X99" s="1">
        <f>X67*NAV!AD$27</f>
        <v>7918668.0000000009</v>
      </c>
    </row>
    <row r="100" spans="2:24" ht="14.4" customHeight="1" x14ac:dyDescent="0.3">
      <c r="B100" s="196" t="s">
        <v>78</v>
      </c>
      <c r="H100" s="31">
        <v>1</v>
      </c>
      <c r="I100" s="31"/>
      <c r="J100" s="1">
        <f>J68*NAV!P$27</f>
        <v>3697500</v>
      </c>
      <c r="K100" s="1">
        <f>K68*NAV!Q$27</f>
        <v>3766400</v>
      </c>
      <c r="L100" s="1">
        <f>L68*NAV!R$27</f>
        <v>4479200</v>
      </c>
      <c r="M100" s="1">
        <f>M68*NAV!S$27</f>
        <v>1473000</v>
      </c>
      <c r="N100" s="1">
        <f>N68*NAV!T$27</f>
        <v>3816000</v>
      </c>
      <c r="O100" s="1">
        <f>O68*NAV!U$27</f>
        <v>3530800</v>
      </c>
      <c r="P100" s="1">
        <f>P68*NAV!V$27</f>
        <v>3438000</v>
      </c>
      <c r="Q100" s="1">
        <f>Q68*NAV!W$27</f>
        <v>4167000</v>
      </c>
      <c r="R100" s="1">
        <f>R68*NAV!X$27</f>
        <v>3645000</v>
      </c>
      <c r="S100" s="1">
        <f>S68*NAV!Y$27</f>
        <v>5427000</v>
      </c>
      <c r="T100" s="1">
        <f>T68*NAV!Z$27</f>
        <v>7092000</v>
      </c>
      <c r="U100" s="1">
        <f>U68*NAV!AA$27</f>
        <v>0</v>
      </c>
      <c r="V100" s="1">
        <f>V68*NAV!AB$27</f>
        <v>0</v>
      </c>
      <c r="W100" s="1">
        <f>W68*NAV!AC$27</f>
        <v>0</v>
      </c>
      <c r="X100" s="1">
        <f>X68*NAV!AD$27</f>
        <v>0</v>
      </c>
    </row>
    <row r="101" spans="2:24" ht="14.4" customHeight="1" x14ac:dyDescent="0.3">
      <c r="B101" s="196" t="s">
        <v>79</v>
      </c>
      <c r="H101" s="31">
        <v>1</v>
      </c>
      <c r="I101" s="31"/>
      <c r="J101" s="1">
        <f>J69*NAV!P$27</f>
        <v>3697500</v>
      </c>
      <c r="K101" s="1">
        <f>K69*NAV!Q$27</f>
        <v>3766400</v>
      </c>
      <c r="L101" s="1">
        <f>L69*NAV!R$27</f>
        <v>4479200</v>
      </c>
      <c r="M101" s="1">
        <f>M69*NAV!S$27</f>
        <v>4320800</v>
      </c>
      <c r="N101" s="1">
        <f>N69*NAV!T$27</f>
        <v>3816000</v>
      </c>
      <c r="O101" s="1">
        <f>O69*NAV!U$27</f>
        <v>3530800</v>
      </c>
      <c r="P101" s="1">
        <f>P69*NAV!V$27</f>
        <v>3438000</v>
      </c>
      <c r="Q101" s="1">
        <f>Q69*NAV!W$27</f>
        <v>4167000</v>
      </c>
      <c r="R101" s="1">
        <f>R69*NAV!X$27</f>
        <v>3645000</v>
      </c>
      <c r="S101" s="1">
        <f>S69*NAV!Y$27</f>
        <v>5427000</v>
      </c>
      <c r="T101" s="1">
        <f>T69*NAV!Z$27</f>
        <v>2364000</v>
      </c>
      <c r="U101" s="1">
        <f>U69*NAV!AA$27</f>
        <v>0</v>
      </c>
      <c r="V101" s="1">
        <f>V69*NAV!AB$27</f>
        <v>0</v>
      </c>
      <c r="W101" s="1">
        <f>W69*NAV!AC$27</f>
        <v>0</v>
      </c>
      <c r="X101" s="1">
        <f>X69*NAV!AD$27</f>
        <v>0</v>
      </c>
    </row>
    <row r="102" spans="2:24" ht="14.4" customHeight="1" x14ac:dyDescent="0.3">
      <c r="B102" s="196" t="s">
        <v>80</v>
      </c>
      <c r="H102" s="31">
        <v>1</v>
      </c>
      <c r="I102" s="31"/>
      <c r="J102" s="1">
        <f>J70*NAV!P$27</f>
        <v>3697500</v>
      </c>
      <c r="K102" s="1">
        <f>K70*NAV!Q$27</f>
        <v>3766400</v>
      </c>
      <c r="L102" s="1">
        <f>L70*NAV!R$27</f>
        <v>4479200</v>
      </c>
      <c r="M102" s="1">
        <f>M70*NAV!S$27</f>
        <v>4320800</v>
      </c>
      <c r="N102" s="1">
        <f>N70*NAV!T$27</f>
        <v>3816000</v>
      </c>
      <c r="O102" s="1">
        <f>O70*NAV!U$27</f>
        <v>3530800</v>
      </c>
      <c r="P102" s="1">
        <f>P70*NAV!V$27</f>
        <v>3438000</v>
      </c>
      <c r="Q102" s="1">
        <f>Q70*NAV!W$27</f>
        <v>4167000</v>
      </c>
      <c r="R102" s="1">
        <f>R70*NAV!X$27</f>
        <v>3645000</v>
      </c>
      <c r="S102" s="1">
        <f>S70*NAV!Y$27</f>
        <v>5427000</v>
      </c>
      <c r="T102" s="1">
        <f>T70*NAV!Z$27</f>
        <v>7092000</v>
      </c>
      <c r="U102" s="1">
        <f>U70*NAV!AA$27</f>
        <v>10215000</v>
      </c>
      <c r="V102" s="1">
        <f>V70*NAV!AB$27</f>
        <v>0</v>
      </c>
      <c r="W102" s="1">
        <f>W70*NAV!AC$27</f>
        <v>0</v>
      </c>
      <c r="X102" s="1">
        <f>X70*NAV!AD$27</f>
        <v>0</v>
      </c>
    </row>
    <row r="103" spans="2:24" ht="14.4" customHeight="1" x14ac:dyDescent="0.3">
      <c r="B103" s="196" t="s">
        <v>81</v>
      </c>
      <c r="H103" s="31">
        <v>1</v>
      </c>
      <c r="I103" s="31"/>
      <c r="J103" s="1">
        <f>J71*NAV!P$27</f>
        <v>3697500</v>
      </c>
      <c r="K103" s="1">
        <f>K71*NAV!Q$27</f>
        <v>3766400</v>
      </c>
      <c r="L103" s="1">
        <f>L71*NAV!R$27</f>
        <v>4479200</v>
      </c>
      <c r="M103" s="1">
        <f>M71*NAV!S$27</f>
        <v>4320800</v>
      </c>
      <c r="N103" s="1">
        <f>N71*NAV!T$27</f>
        <v>3816000</v>
      </c>
      <c r="O103" s="1">
        <f>O71*NAV!U$27</f>
        <v>3530800</v>
      </c>
      <c r="P103" s="1">
        <f>P71*NAV!V$27</f>
        <v>0</v>
      </c>
      <c r="Q103" s="1">
        <f>Q71*NAV!W$27</f>
        <v>0</v>
      </c>
      <c r="R103" s="1">
        <f>R71*NAV!X$27</f>
        <v>0</v>
      </c>
      <c r="S103" s="1">
        <f>S71*NAV!Y$27</f>
        <v>0</v>
      </c>
      <c r="T103" s="1">
        <f>T71*NAV!Z$27</f>
        <v>0</v>
      </c>
      <c r="U103" s="1">
        <f>U71*NAV!AA$27</f>
        <v>0</v>
      </c>
      <c r="V103" s="1">
        <f>V71*NAV!AB$27</f>
        <v>0</v>
      </c>
      <c r="W103" s="1">
        <f>W71*NAV!AC$27</f>
        <v>0</v>
      </c>
      <c r="X103" s="1">
        <f>X71*NAV!AD$27</f>
        <v>0</v>
      </c>
    </row>
    <row r="104" spans="2:24" ht="14.4" customHeight="1" x14ac:dyDescent="0.3">
      <c r="B104" t="s">
        <v>86</v>
      </c>
      <c r="H104" s="31">
        <v>1</v>
      </c>
      <c r="I104" s="31">
        <v>1</v>
      </c>
      <c r="J104" s="1">
        <f>J72*NAV!P$27</f>
        <v>3697500</v>
      </c>
      <c r="K104" s="1">
        <f>K72*NAV!Q$27</f>
        <v>3766400</v>
      </c>
      <c r="L104" s="1">
        <f>L72*NAV!R$27</f>
        <v>4479200</v>
      </c>
      <c r="M104" s="1">
        <f>M72*NAV!S$27</f>
        <v>4320800</v>
      </c>
      <c r="N104" s="1">
        <f>N72*NAV!T$27</f>
        <v>3816000</v>
      </c>
      <c r="O104" s="1">
        <f>O72*NAV!U$27</f>
        <v>3530800</v>
      </c>
      <c r="P104" s="1">
        <f>P72*NAV!V$27</f>
        <v>3438000</v>
      </c>
      <c r="Q104" s="1">
        <f>Q72*NAV!W$27</f>
        <v>4167000</v>
      </c>
      <c r="R104" s="1">
        <f>R72*NAV!X$27</f>
        <v>3645000</v>
      </c>
      <c r="S104" s="1">
        <f>S72*NAV!Y$27</f>
        <v>5427000</v>
      </c>
      <c r="T104" s="1">
        <f>T72*NAV!Z$27</f>
        <v>7092000</v>
      </c>
      <c r="U104" s="1">
        <f>U72*NAV!AA$27</f>
        <v>10215000</v>
      </c>
      <c r="V104" s="1">
        <f>V72*NAV!AB$27</f>
        <v>10419300</v>
      </c>
      <c r="W104" s="1">
        <f>W72*NAV!AC$27</f>
        <v>9898335</v>
      </c>
      <c r="X104" s="1">
        <f>X72*NAV!AD$27</f>
        <v>7918668.0000000009</v>
      </c>
    </row>
    <row r="105" spans="2:24" ht="14.4" customHeight="1" x14ac:dyDescent="0.3">
      <c r="B105" t="s">
        <v>243</v>
      </c>
      <c r="H105" s="31"/>
      <c r="I105" s="31"/>
      <c r="J105" s="1">
        <f>J73*NAV!P$27</f>
        <v>0</v>
      </c>
      <c r="K105" s="1">
        <f>K73*NAV!Q$27</f>
        <v>0</v>
      </c>
      <c r="L105" s="1">
        <f>L73*NAV!R$27</f>
        <v>0</v>
      </c>
      <c r="M105" s="1">
        <f>M73*NAV!S$27</f>
        <v>0</v>
      </c>
      <c r="N105" s="1">
        <f>N73*NAV!T$27</f>
        <v>0</v>
      </c>
      <c r="O105" s="1">
        <f>O73*NAV!U$27</f>
        <v>0</v>
      </c>
      <c r="P105" s="1">
        <f>P73*NAV!V$27</f>
        <v>0</v>
      </c>
      <c r="Q105" s="1">
        <f>Q73*NAV!W$27</f>
        <v>0</v>
      </c>
      <c r="R105" s="1">
        <f>R73*NAV!X$27</f>
        <v>0</v>
      </c>
      <c r="S105" s="1">
        <f>S73*NAV!Y$27</f>
        <v>5427000</v>
      </c>
      <c r="T105" s="1">
        <f>T73*NAV!Z$27</f>
        <v>7092000</v>
      </c>
      <c r="U105" s="1">
        <f>U73*NAV!AA$27</f>
        <v>10215000</v>
      </c>
      <c r="V105" s="1">
        <f>V73*NAV!AB$27</f>
        <v>10419300</v>
      </c>
      <c r="W105" s="1">
        <f>W73*NAV!AC$27</f>
        <v>9898335</v>
      </c>
      <c r="X105" s="1">
        <f>X73*NAV!AD$27</f>
        <v>7918668.0000000009</v>
      </c>
    </row>
    <row r="106" spans="2:24" ht="14.4" customHeight="1" x14ac:dyDescent="0.3">
      <c r="B106" s="30" t="s">
        <v>244</v>
      </c>
      <c r="H106" s="31"/>
      <c r="I106" s="31"/>
      <c r="J106" s="1">
        <f>J74*NAV!P$27</f>
        <v>0</v>
      </c>
      <c r="K106" s="1">
        <f>K74*NAV!Q$27</f>
        <v>0</v>
      </c>
      <c r="L106" s="1">
        <f>L74*NAV!R$27</f>
        <v>0</v>
      </c>
      <c r="M106" s="1">
        <f>M74*NAV!S$27</f>
        <v>0</v>
      </c>
      <c r="N106" s="1">
        <f>N74*NAV!T$27</f>
        <v>0</v>
      </c>
      <c r="O106" s="1">
        <f>O74*NAV!U$27</f>
        <v>0</v>
      </c>
      <c r="P106" s="1">
        <f>P74*NAV!V$27</f>
        <v>0</v>
      </c>
      <c r="Q106" s="1">
        <f>Q74*NAV!W$27</f>
        <v>0</v>
      </c>
      <c r="R106" s="1">
        <f>R74*NAV!X$27</f>
        <v>0</v>
      </c>
      <c r="S106" s="1">
        <f>S74*NAV!Y$27</f>
        <v>0</v>
      </c>
      <c r="T106" s="1">
        <f>T74*NAV!Z$27</f>
        <v>5910000</v>
      </c>
      <c r="U106" s="1">
        <f>U74*NAV!AA$27</f>
        <v>10215000</v>
      </c>
      <c r="V106" s="1">
        <f>V74*NAV!AB$27</f>
        <v>10419300</v>
      </c>
      <c r="W106" s="1">
        <f>W74*NAV!AC$27</f>
        <v>9898335</v>
      </c>
      <c r="X106" s="1">
        <f>X74*NAV!AD$27</f>
        <v>7918668.0000000009</v>
      </c>
    </row>
    <row r="107" spans="2:24" ht="14.4" customHeight="1" x14ac:dyDescent="0.3">
      <c r="B107" s="30" t="s">
        <v>245</v>
      </c>
      <c r="H107" s="31"/>
      <c r="I107" s="31"/>
      <c r="J107" s="1">
        <f>J75*NAV!P$27</f>
        <v>0</v>
      </c>
      <c r="K107" s="1">
        <f>K75*NAV!Q$27</f>
        <v>0</v>
      </c>
      <c r="L107" s="1">
        <f>L75*NAV!R$27</f>
        <v>0</v>
      </c>
      <c r="M107" s="1">
        <f>M75*NAV!S$27</f>
        <v>0</v>
      </c>
      <c r="N107" s="1">
        <f>N75*NAV!T$27</f>
        <v>0</v>
      </c>
      <c r="O107" s="1">
        <f>O75*NAV!U$27</f>
        <v>0</v>
      </c>
      <c r="P107" s="1">
        <f>P75*NAV!V$27</f>
        <v>0</v>
      </c>
      <c r="Q107" s="1">
        <f>Q75*NAV!W$27</f>
        <v>0</v>
      </c>
      <c r="R107" s="1">
        <f>R75*NAV!X$27</f>
        <v>0</v>
      </c>
      <c r="S107" s="1">
        <f>S75*NAV!Y$27</f>
        <v>0</v>
      </c>
      <c r="T107" s="1">
        <f>T75*NAV!Z$27</f>
        <v>4728000</v>
      </c>
      <c r="U107" s="1">
        <f>U75*NAV!AA$27</f>
        <v>10215000</v>
      </c>
      <c r="V107" s="1">
        <f>V75*NAV!AB$27</f>
        <v>10419300</v>
      </c>
      <c r="W107" s="1">
        <f>W75*NAV!AC$27</f>
        <v>9898335</v>
      </c>
      <c r="X107" s="1">
        <f>X75*NAV!AD$27</f>
        <v>7918668.0000000009</v>
      </c>
    </row>
    <row r="108" spans="2:24" ht="14.4" customHeight="1" x14ac:dyDescent="0.3">
      <c r="B108" s="30" t="s">
        <v>246</v>
      </c>
      <c r="H108" s="31"/>
      <c r="I108" s="31"/>
      <c r="J108" s="1">
        <f>J76*NAV!P$27</f>
        <v>0</v>
      </c>
      <c r="K108" s="1">
        <f>K76*NAV!Q$27</f>
        <v>0</v>
      </c>
      <c r="L108" s="1">
        <f>L76*NAV!R$27</f>
        <v>0</v>
      </c>
      <c r="M108" s="1">
        <f>M76*NAV!S$27</f>
        <v>0</v>
      </c>
      <c r="N108" s="1">
        <f>N76*NAV!T$27</f>
        <v>0</v>
      </c>
      <c r="O108" s="1">
        <f>O76*NAV!U$27</f>
        <v>0</v>
      </c>
      <c r="P108" s="1">
        <f>P76*NAV!V$27</f>
        <v>0</v>
      </c>
      <c r="Q108" s="1">
        <f>Q76*NAV!W$27</f>
        <v>0</v>
      </c>
      <c r="R108" s="1">
        <f>R76*NAV!X$27</f>
        <v>0</v>
      </c>
      <c r="S108" s="1">
        <f>S76*NAV!Y$27</f>
        <v>0</v>
      </c>
      <c r="T108" s="1">
        <f>T76*NAV!Z$27</f>
        <v>4728000</v>
      </c>
      <c r="U108" s="1">
        <f>U76*NAV!AA$27</f>
        <v>10215000</v>
      </c>
      <c r="V108" s="1">
        <f>V76*NAV!AB$27</f>
        <v>10419300</v>
      </c>
      <c r="W108" s="1">
        <f>W76*NAV!AC$27</f>
        <v>9898335</v>
      </c>
      <c r="X108" s="1">
        <f>X76*NAV!AD$27</f>
        <v>7918668.0000000009</v>
      </c>
    </row>
    <row r="109" spans="2:24" ht="14.4" customHeight="1" x14ac:dyDescent="0.3">
      <c r="B109" s="191" t="s">
        <v>247</v>
      </c>
      <c r="H109" s="31"/>
      <c r="I109" s="31"/>
      <c r="J109" s="1">
        <f>J77*NAV!P$27</f>
        <v>0</v>
      </c>
      <c r="K109" s="1">
        <f>K77*NAV!Q$27</f>
        <v>0</v>
      </c>
      <c r="L109" s="1">
        <f>L77*NAV!R$27</f>
        <v>0</v>
      </c>
      <c r="M109" s="1">
        <f>M77*NAV!S$27</f>
        <v>0</v>
      </c>
      <c r="N109" s="1">
        <f>N77*NAV!T$27</f>
        <v>0</v>
      </c>
      <c r="O109" s="1">
        <f>O77*NAV!U$27</f>
        <v>0</v>
      </c>
      <c r="P109" s="1">
        <f>P77*NAV!V$27</f>
        <v>0</v>
      </c>
      <c r="Q109" s="1">
        <f>Q77*NAV!W$27</f>
        <v>0</v>
      </c>
      <c r="R109" s="1">
        <f>R77*NAV!X$27</f>
        <v>0</v>
      </c>
      <c r="S109" s="1">
        <f>S77*NAV!Y$27</f>
        <v>0</v>
      </c>
      <c r="T109" s="1">
        <f>T77*NAV!Z$27</f>
        <v>0</v>
      </c>
      <c r="U109" s="1">
        <f>U77*NAV!AA$27</f>
        <v>3405000</v>
      </c>
      <c r="V109" s="1">
        <f>V77*NAV!AB$27</f>
        <v>10419300</v>
      </c>
      <c r="W109" s="1">
        <f>W77*NAV!AC$27</f>
        <v>9898335</v>
      </c>
      <c r="X109" s="1">
        <f>X77*NAV!AD$27</f>
        <v>7918668.0000000009</v>
      </c>
    </row>
    <row r="110" spans="2:24" ht="14.4" customHeight="1" x14ac:dyDescent="0.3"/>
    <row r="111" spans="2:24" ht="14.4" customHeight="1" x14ac:dyDescent="0.3"/>
    <row r="112" spans="2:24" ht="14.4" customHeight="1" x14ac:dyDescent="0.3"/>
    <row r="113" ht="14.4" customHeight="1" x14ac:dyDescent="0.3"/>
    <row r="114" ht="14.4" customHeight="1" x14ac:dyDescent="0.3"/>
    <row r="115" ht="14.4" customHeight="1" x14ac:dyDescent="0.3"/>
    <row r="116" ht="14.4" hidden="1" customHeight="1" x14ac:dyDescent="0.3"/>
    <row r="117" ht="14.4" hidden="1" customHeight="1" x14ac:dyDescent="0.3"/>
    <row r="118" ht="14.4" hidden="1" customHeight="1" x14ac:dyDescent="0.3"/>
    <row r="119" ht="14.4" hidden="1" customHeight="1" x14ac:dyDescent="0.3"/>
  </sheetData>
  <pageMargins left="0.7" right="0.7" top="0.75" bottom="0.75" header="0.3" footer="0.3"/>
  <pageSetup paperSize="9" orientation="portrait" horizontalDpi="0" verticalDpi="0" r:id="rId1"/>
  <ignoredErrors>
    <ignoredError sqref="D4 E2:E5 E33 F2:F5 E7:E31 F7:F31" formulaRange="1"/>
    <ignoredError sqref="E32" formula="1" formulaRange="1"/>
  </ignoredError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4"/>
  <dimension ref="A1:JO70"/>
  <sheetViews>
    <sheetView showGridLines="0" zoomScale="70" zoomScaleNormal="70" workbookViewId="0">
      <pane xSplit="2" ySplit="1" topLeftCell="C2" activePane="bottomRight" state="frozen"/>
      <selection pane="topRight" activeCell="C1" sqref="C1"/>
      <selection pane="bottomLeft" activeCell="A2" sqref="A2"/>
      <selection pane="bottomRight" activeCell="V8" sqref="V8"/>
    </sheetView>
  </sheetViews>
  <sheetFormatPr baseColWidth="10" defaultColWidth="0" defaultRowHeight="14.4" customHeight="1" zeroHeight="1" outlineLevelCol="1" x14ac:dyDescent="0.3"/>
  <cols>
    <col min="1" max="1" width="2.77734375" style="35" customWidth="1"/>
    <col min="2" max="2" width="50.77734375" style="1" customWidth="1"/>
    <col min="3" max="14" width="12.77734375" style="1" hidden="1" customWidth="1" outlineLevel="1"/>
    <col min="15" max="15" width="12.77734375" style="1" customWidth="1" collapsed="1"/>
    <col min="16" max="23" width="12.77734375" style="1" customWidth="1"/>
    <col min="24" max="24" width="14.77734375" style="1" hidden="1" customWidth="1"/>
    <col min="25" max="273" width="0" style="1" hidden="1" customWidth="1"/>
    <col min="274" max="275" width="0" style="1" hidden="1"/>
    <col min="276" max="16384" width="14.77734375" style="1" hidden="1"/>
  </cols>
  <sheetData>
    <row r="1" spans="1:273" customFormat="1" ht="14.4" customHeight="1" x14ac:dyDescent="0.3">
      <c r="A1" s="31"/>
      <c r="B1" s="8" t="s">
        <v>153</v>
      </c>
      <c r="C1" s="9" t="s">
        <v>12</v>
      </c>
      <c r="D1" s="9" t="s">
        <v>13</v>
      </c>
      <c r="E1" s="9" t="s">
        <v>11</v>
      </c>
      <c r="F1" s="9" t="s">
        <v>14</v>
      </c>
      <c r="G1" s="9" t="s">
        <v>49</v>
      </c>
      <c r="H1" s="9" t="s">
        <v>50</v>
      </c>
      <c r="I1" s="9" t="s">
        <v>51</v>
      </c>
      <c r="J1" s="9" t="s">
        <v>29</v>
      </c>
      <c r="K1" s="9" t="s">
        <v>168</v>
      </c>
      <c r="L1" s="9" t="s">
        <v>169</v>
      </c>
      <c r="M1" s="9" t="s">
        <v>170</v>
      </c>
      <c r="N1" s="9" t="s">
        <v>171</v>
      </c>
      <c r="O1" s="9" t="s">
        <v>186</v>
      </c>
      <c r="P1" s="2" t="s">
        <v>187</v>
      </c>
      <c r="Q1" s="2" t="s">
        <v>188</v>
      </c>
      <c r="R1" s="2" t="s">
        <v>189</v>
      </c>
      <c r="S1" s="2" t="s">
        <v>285</v>
      </c>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row>
    <row r="2" spans="1:273" ht="14.4" customHeight="1" x14ac:dyDescent="0.3">
      <c r="B2" s="5" t="s">
        <v>15</v>
      </c>
      <c r="C2" s="5">
        <f t="shared" ref="C2:F2" si="0">SUM(C3:C8)</f>
        <v>213214</v>
      </c>
      <c r="D2" s="5">
        <f t="shared" si="0"/>
        <v>234317</v>
      </c>
      <c r="E2" s="5">
        <f t="shared" si="0"/>
        <v>179227</v>
      </c>
      <c r="F2" s="5">
        <f t="shared" si="0"/>
        <v>200498</v>
      </c>
      <c r="G2" s="5">
        <f t="shared" ref="G2:H2" si="1">SUM(G3:G8)</f>
        <v>203397</v>
      </c>
      <c r="H2" s="5">
        <f t="shared" si="1"/>
        <v>195748</v>
      </c>
      <c r="I2" s="5">
        <f t="shared" ref="I2" si="2">SUM(I3:I8)</f>
        <v>181528</v>
      </c>
      <c r="J2" s="5">
        <f>SUM(J3:J9)</f>
        <v>201889</v>
      </c>
      <c r="K2" s="5">
        <f t="shared" ref="K2:N2" si="3">SUM(K3:K9)</f>
        <v>172035</v>
      </c>
      <c r="L2" s="5">
        <f t="shared" si="3"/>
        <v>193704</v>
      </c>
      <c r="M2" s="5">
        <f t="shared" si="3"/>
        <v>146592</v>
      </c>
      <c r="N2" s="5">
        <f t="shared" si="3"/>
        <v>208914</v>
      </c>
      <c r="O2" s="5">
        <f t="shared" ref="O2:P2" si="4">SUM(O3:O9)</f>
        <v>267109</v>
      </c>
      <c r="P2" s="5">
        <f t="shared" si="4"/>
        <v>322257.46386000002</v>
      </c>
      <c r="Q2" s="5">
        <f t="shared" ref="Q2:R2" si="5">SUM(Q3:Q9)</f>
        <v>323249.74375716294</v>
      </c>
      <c r="R2" s="5">
        <f t="shared" si="5"/>
        <v>310967.4358262805</v>
      </c>
      <c r="S2" s="5">
        <f t="shared" ref="S2" si="6">SUM(S3:S9)</f>
        <v>265121.02468985063</v>
      </c>
    </row>
    <row r="3" spans="1:273" ht="14.4" customHeight="1" x14ac:dyDescent="0.3">
      <c r="B3" s="43" t="s">
        <v>40</v>
      </c>
      <c r="C3" s="23">
        <v>117549</v>
      </c>
      <c r="D3" s="23">
        <v>130649</v>
      </c>
      <c r="E3" s="23">
        <v>73920</v>
      </c>
      <c r="F3" s="23">
        <v>74738</v>
      </c>
      <c r="G3" s="23">
        <v>73076</v>
      </c>
      <c r="H3" s="23">
        <v>72642</v>
      </c>
      <c r="I3" s="23">
        <v>73829</v>
      </c>
      <c r="J3" s="23">
        <v>78143</v>
      </c>
      <c r="K3" s="23">
        <v>80510</v>
      </c>
      <c r="L3" s="23">
        <v>82660</v>
      </c>
      <c r="M3" s="23">
        <v>81250</v>
      </c>
      <c r="N3" s="23">
        <v>79034</v>
      </c>
      <c r="O3" s="23">
        <v>126246</v>
      </c>
      <c r="P3" s="23">
        <f>CashFlow!U63</f>
        <v>181394.46385999999</v>
      </c>
      <c r="Q3" s="23">
        <f>CashFlow!V63</f>
        <v>182386.74375716297</v>
      </c>
      <c r="R3" s="23">
        <f>CashFlow!W63</f>
        <v>170104.43582628047</v>
      </c>
      <c r="S3" s="23">
        <f>CashFlow!X63</f>
        <v>124258.02468985063</v>
      </c>
    </row>
    <row r="4" spans="1:273" ht="14.4" customHeight="1" x14ac:dyDescent="0.3">
      <c r="B4" s="43" t="s">
        <v>109</v>
      </c>
      <c r="C4" s="23">
        <v>55010</v>
      </c>
      <c r="D4" s="23">
        <v>56831</v>
      </c>
      <c r="E4" s="23">
        <v>55684</v>
      </c>
      <c r="F4" s="57">
        <v>75848</v>
      </c>
      <c r="G4" s="57">
        <v>80561</v>
      </c>
      <c r="H4" s="57">
        <v>70355</v>
      </c>
      <c r="I4" s="57">
        <v>58553</v>
      </c>
      <c r="J4" s="57">
        <v>53715</v>
      </c>
      <c r="K4" s="57">
        <v>50520</v>
      </c>
      <c r="L4" s="57">
        <v>40047</v>
      </c>
      <c r="M4" s="57">
        <v>33953</v>
      </c>
      <c r="N4" s="57">
        <v>53338</v>
      </c>
      <c r="O4" s="57">
        <v>85288</v>
      </c>
      <c r="P4" s="118">
        <v>85288</v>
      </c>
      <c r="Q4" s="118">
        <v>85288</v>
      </c>
      <c r="R4" s="118">
        <v>85288</v>
      </c>
      <c r="S4" s="118">
        <v>85288</v>
      </c>
    </row>
    <row r="5" spans="1:273" ht="14.4" customHeight="1" x14ac:dyDescent="0.3">
      <c r="B5" s="43" t="s">
        <v>110</v>
      </c>
      <c r="C5" s="23">
        <v>3487</v>
      </c>
      <c r="D5" s="23">
        <v>2192</v>
      </c>
      <c r="E5" s="23">
        <v>2817</v>
      </c>
      <c r="F5" s="57">
        <v>2549</v>
      </c>
      <c r="G5" s="57">
        <v>4679</v>
      </c>
      <c r="H5" s="57">
        <v>6051</v>
      </c>
      <c r="I5" s="57">
        <v>2848</v>
      </c>
      <c r="J5" s="57">
        <v>2450</v>
      </c>
      <c r="K5" s="57">
        <v>2645</v>
      </c>
      <c r="L5" s="57">
        <v>1568</v>
      </c>
      <c r="M5" s="57">
        <v>1465</v>
      </c>
      <c r="N5" s="57">
        <v>1684</v>
      </c>
      <c r="O5" s="57">
        <v>1701</v>
      </c>
      <c r="P5" s="118">
        <v>1701</v>
      </c>
      <c r="Q5" s="118">
        <v>1701</v>
      </c>
      <c r="R5" s="118">
        <v>1701</v>
      </c>
      <c r="S5" s="118">
        <v>1701</v>
      </c>
    </row>
    <row r="6" spans="1:273" ht="14.4" customHeight="1" x14ac:dyDescent="0.3">
      <c r="B6" s="43" t="s">
        <v>111</v>
      </c>
      <c r="C6" s="23">
        <v>9440</v>
      </c>
      <c r="D6" s="23">
        <v>10287</v>
      </c>
      <c r="E6" s="23">
        <v>9023</v>
      </c>
      <c r="F6" s="57">
        <v>13557</v>
      </c>
      <c r="G6" s="57">
        <v>7650</v>
      </c>
      <c r="H6" s="57">
        <v>9894</v>
      </c>
      <c r="I6" s="57">
        <v>12999</v>
      </c>
      <c r="J6" s="57">
        <v>7200</v>
      </c>
      <c r="K6" s="57">
        <v>5327</v>
      </c>
      <c r="L6" s="57">
        <v>4326</v>
      </c>
      <c r="M6" s="57">
        <v>6426</v>
      </c>
      <c r="N6" s="57">
        <v>9678</v>
      </c>
      <c r="O6" s="57">
        <v>6501</v>
      </c>
      <c r="P6" s="118">
        <v>6501</v>
      </c>
      <c r="Q6" s="118">
        <v>6501</v>
      </c>
      <c r="R6" s="118">
        <v>6501</v>
      </c>
      <c r="S6" s="118">
        <v>6501</v>
      </c>
    </row>
    <row r="7" spans="1:273" ht="14.4" customHeight="1" x14ac:dyDescent="0.3">
      <c r="B7" s="43" t="s">
        <v>112</v>
      </c>
      <c r="C7" s="23">
        <v>70</v>
      </c>
      <c r="D7" s="23"/>
      <c r="E7" s="23">
        <v>0</v>
      </c>
      <c r="F7" s="57">
        <v>0</v>
      </c>
      <c r="G7" s="57">
        <v>0</v>
      </c>
      <c r="H7" s="57">
        <v>0</v>
      </c>
      <c r="I7" s="57">
        <v>0</v>
      </c>
      <c r="J7" s="57">
        <v>0</v>
      </c>
      <c r="K7" s="57">
        <v>0</v>
      </c>
      <c r="L7" s="57">
        <v>0</v>
      </c>
      <c r="M7" s="57">
        <v>0</v>
      </c>
      <c r="N7" s="57">
        <v>10</v>
      </c>
      <c r="O7" s="57">
        <v>355</v>
      </c>
      <c r="P7" s="118">
        <v>355</v>
      </c>
      <c r="Q7" s="118">
        <v>355</v>
      </c>
      <c r="R7" s="118">
        <v>355</v>
      </c>
      <c r="S7" s="118">
        <v>355</v>
      </c>
    </row>
    <row r="8" spans="1:273" ht="14.4" customHeight="1" x14ac:dyDescent="0.3">
      <c r="B8" s="43" t="s">
        <v>177</v>
      </c>
      <c r="C8" s="23">
        <v>27658</v>
      </c>
      <c r="D8" s="23">
        <v>34358</v>
      </c>
      <c r="E8" s="23">
        <v>37783</v>
      </c>
      <c r="F8" s="57">
        <v>33806</v>
      </c>
      <c r="G8" s="57">
        <v>37431</v>
      </c>
      <c r="H8" s="57">
        <v>36806</v>
      </c>
      <c r="I8" s="57">
        <v>33299</v>
      </c>
      <c r="J8" s="57">
        <v>37688</v>
      </c>
      <c r="K8" s="57">
        <v>33033</v>
      </c>
      <c r="L8" s="57">
        <v>30679</v>
      </c>
      <c r="M8" s="57">
        <v>23498</v>
      </c>
      <c r="N8" s="57">
        <v>24682</v>
      </c>
      <c r="O8" s="57">
        <v>30241</v>
      </c>
      <c r="P8" s="118">
        <v>30241</v>
      </c>
      <c r="Q8" s="118">
        <v>30241</v>
      </c>
      <c r="R8" s="118">
        <v>30241</v>
      </c>
      <c r="S8" s="118">
        <v>30241</v>
      </c>
    </row>
    <row r="9" spans="1:273" ht="14.4" customHeight="1" x14ac:dyDescent="0.3">
      <c r="B9" s="43" t="s">
        <v>178</v>
      </c>
      <c r="C9" s="23"/>
      <c r="D9" s="23"/>
      <c r="E9" s="23"/>
      <c r="F9" s="57"/>
      <c r="G9" s="57"/>
      <c r="H9" s="57"/>
      <c r="I9" s="57"/>
      <c r="J9" s="57">
        <v>22693</v>
      </c>
      <c r="K9" s="57"/>
      <c r="L9" s="57">
        <v>34424</v>
      </c>
      <c r="M9" s="57">
        <v>0</v>
      </c>
      <c r="N9" s="57">
        <v>40488</v>
      </c>
      <c r="O9" s="57">
        <v>16777</v>
      </c>
      <c r="P9" s="118">
        <v>16777</v>
      </c>
      <c r="Q9" s="118">
        <v>16777</v>
      </c>
      <c r="R9" s="118">
        <v>16777</v>
      </c>
      <c r="S9" s="118">
        <v>16777</v>
      </c>
    </row>
    <row r="10" spans="1:273" ht="14.4" customHeight="1" x14ac:dyDescent="0.3">
      <c r="B10" s="22"/>
      <c r="C10" s="23"/>
      <c r="D10" s="23"/>
      <c r="E10" s="23"/>
      <c r="F10" s="23"/>
      <c r="G10" s="10"/>
      <c r="H10" s="10"/>
      <c r="I10" s="10"/>
      <c r="M10" s="10"/>
    </row>
    <row r="11" spans="1:273" ht="14.4" customHeight="1" x14ac:dyDescent="0.3">
      <c r="B11" s="5" t="s">
        <v>39</v>
      </c>
      <c r="C11" s="5">
        <f t="shared" ref="C11:F11" si="7">SUM(C12:C18)</f>
        <v>1264323</v>
      </c>
      <c r="D11" s="5">
        <f t="shared" si="7"/>
        <v>1255535</v>
      </c>
      <c r="E11" s="5">
        <f t="shared" si="7"/>
        <v>1318248</v>
      </c>
      <c r="F11" s="5">
        <f t="shared" si="7"/>
        <v>1291725</v>
      </c>
      <c r="G11" s="5">
        <f t="shared" ref="G11:H11" si="8">SUM(G12:G18)</f>
        <v>1268933</v>
      </c>
      <c r="H11" s="5">
        <f t="shared" si="8"/>
        <v>1292295</v>
      </c>
      <c r="I11" s="5">
        <f t="shared" ref="I11:J11" si="9">SUM(I12:I18)</f>
        <v>1293022</v>
      </c>
      <c r="J11" s="5">
        <f t="shared" si="9"/>
        <v>1284699</v>
      </c>
      <c r="K11" s="5">
        <f t="shared" ref="K11:L11" si="10">SUM(K12:K18)</f>
        <v>1286003</v>
      </c>
      <c r="L11" s="5">
        <f t="shared" si="10"/>
        <v>1236703</v>
      </c>
      <c r="M11" s="5">
        <f t="shared" ref="M11:N11" si="11">SUM(M12:M18)</f>
        <v>1251455</v>
      </c>
      <c r="N11" s="5">
        <f t="shared" si="11"/>
        <v>1394034</v>
      </c>
      <c r="O11" s="5">
        <f t="shared" ref="O11:P11" si="12">SUM(O12:O18)</f>
        <v>1517981</v>
      </c>
      <c r="P11" s="5">
        <f t="shared" si="12"/>
        <v>1569834</v>
      </c>
      <c r="Q11" s="5">
        <f t="shared" ref="Q11:R11" si="13">SUM(Q12:Q18)</f>
        <v>1544187</v>
      </c>
      <c r="R11" s="5">
        <f t="shared" si="13"/>
        <v>1518540</v>
      </c>
      <c r="S11" s="5">
        <f t="shared" ref="S11" si="14">SUM(S12:S18)</f>
        <v>1492893</v>
      </c>
    </row>
    <row r="12" spans="1:273" ht="14.4" customHeight="1" x14ac:dyDescent="0.3">
      <c r="B12" s="43" t="s">
        <v>52</v>
      </c>
      <c r="C12" s="23">
        <v>1254056</v>
      </c>
      <c r="D12" s="23">
        <v>1237411</v>
      </c>
      <c r="E12" s="23">
        <v>1311892</v>
      </c>
      <c r="F12" s="23">
        <v>1283710</v>
      </c>
      <c r="G12" s="23">
        <v>1261388</v>
      </c>
      <c r="H12" s="57">
        <v>1233164</v>
      </c>
      <c r="I12" s="57">
        <v>1207533</v>
      </c>
      <c r="J12" s="23">
        <v>1185576</v>
      </c>
      <c r="K12" s="23">
        <v>1158750</v>
      </c>
      <c r="L12" s="23">
        <v>1067472</v>
      </c>
      <c r="M12" s="57">
        <v>1042035</v>
      </c>
      <c r="N12" s="23">
        <v>1083891</v>
      </c>
      <c r="O12" s="23">
        <v>1452955</v>
      </c>
      <c r="P12" s="23">
        <f>O12+'P&amp;L'!U11+Balance!P59</f>
        <v>1504808</v>
      </c>
      <c r="Q12" s="23">
        <f>P12+'P&amp;L'!V11+Balance!Q59</f>
        <v>1479161</v>
      </c>
      <c r="R12" s="23">
        <f>Q12+'P&amp;L'!W11+Balance!R59</f>
        <v>1453514</v>
      </c>
      <c r="S12" s="23">
        <f>R12+'P&amp;L'!X11+Balance!S59</f>
        <v>1427867</v>
      </c>
    </row>
    <row r="13" spans="1:273" ht="14.4" customHeight="1" x14ac:dyDescent="0.3">
      <c r="B13" s="43" t="s">
        <v>165</v>
      </c>
      <c r="C13" s="23"/>
      <c r="D13" s="23"/>
      <c r="E13" s="23"/>
      <c r="F13" s="23"/>
      <c r="G13" s="57">
        <v>43</v>
      </c>
      <c r="H13" s="57">
        <v>51866</v>
      </c>
      <c r="I13" s="57">
        <v>78870</v>
      </c>
      <c r="J13" s="57">
        <v>93178</v>
      </c>
      <c r="K13" s="57">
        <v>120679</v>
      </c>
      <c r="L13" s="57">
        <v>161326</v>
      </c>
      <c r="M13" s="57">
        <v>190884</v>
      </c>
      <c r="N13" s="57">
        <v>301651</v>
      </c>
      <c r="O13" s="57">
        <v>55676</v>
      </c>
      <c r="P13" s="118">
        <v>55676</v>
      </c>
      <c r="Q13" s="118">
        <v>55676</v>
      </c>
      <c r="R13" s="118">
        <v>55676</v>
      </c>
      <c r="S13" s="118">
        <v>55676</v>
      </c>
    </row>
    <row r="14" spans="1:273" ht="14.4" customHeight="1" x14ac:dyDescent="0.3">
      <c r="B14" s="43" t="s">
        <v>114</v>
      </c>
      <c r="C14" s="23">
        <v>4594</v>
      </c>
      <c r="D14" s="23">
        <v>11369</v>
      </c>
      <c r="E14" s="23">
        <v>15</v>
      </c>
      <c r="F14" s="57">
        <v>10</v>
      </c>
      <c r="G14" s="57">
        <v>160</v>
      </c>
      <c r="H14" s="57">
        <v>382</v>
      </c>
      <c r="I14" s="57">
        <v>0</v>
      </c>
      <c r="J14" s="57">
        <v>0</v>
      </c>
      <c r="K14" s="57">
        <v>0</v>
      </c>
      <c r="L14" s="57">
        <v>0</v>
      </c>
      <c r="M14" s="57">
        <v>11924</v>
      </c>
      <c r="N14" s="57">
        <v>7117</v>
      </c>
      <c r="O14" s="57">
        <v>7399</v>
      </c>
      <c r="P14" s="118">
        <v>7399</v>
      </c>
      <c r="Q14" s="118">
        <v>7399</v>
      </c>
      <c r="R14" s="118">
        <v>7399</v>
      </c>
      <c r="S14" s="118">
        <v>7399</v>
      </c>
    </row>
    <row r="15" spans="1:273" ht="14.4" customHeight="1" x14ac:dyDescent="0.3">
      <c r="B15" s="43" t="s">
        <v>115</v>
      </c>
      <c r="C15" s="23">
        <v>4317</v>
      </c>
      <c r="D15" s="23">
        <v>5399</v>
      </c>
      <c r="E15" s="23">
        <v>4985</v>
      </c>
      <c r="F15" s="57">
        <v>6649</v>
      </c>
      <c r="G15" s="57">
        <v>5986</v>
      </c>
      <c r="H15" s="57">
        <v>5527</v>
      </c>
      <c r="I15" s="57">
        <v>5263</v>
      </c>
      <c r="J15" s="57">
        <v>4589</v>
      </c>
      <c r="K15" s="57">
        <v>5218</v>
      </c>
      <c r="L15" s="57">
        <v>6549</v>
      </c>
      <c r="M15" s="57">
        <v>5256</v>
      </c>
      <c r="N15" s="57">
        <v>1356</v>
      </c>
      <c r="O15" s="57">
        <v>1356</v>
      </c>
      <c r="P15" s="118">
        <v>1356</v>
      </c>
      <c r="Q15" s="118">
        <v>1356</v>
      </c>
      <c r="R15" s="118">
        <v>1356</v>
      </c>
      <c r="S15" s="118">
        <v>1356</v>
      </c>
    </row>
    <row r="16" spans="1:273" ht="14.4" customHeight="1" x14ac:dyDescent="0.3">
      <c r="B16" s="43" t="s">
        <v>116</v>
      </c>
      <c r="C16" s="23"/>
      <c r="D16" s="23"/>
      <c r="E16" s="23"/>
      <c r="F16" s="57"/>
      <c r="G16" s="57"/>
      <c r="H16" s="57"/>
      <c r="I16" s="57"/>
      <c r="J16" s="57"/>
      <c r="K16" s="57"/>
      <c r="L16" s="57"/>
      <c r="M16" s="57"/>
      <c r="N16" s="57"/>
      <c r="O16" s="57"/>
      <c r="P16" s="118"/>
      <c r="Q16" s="118"/>
      <c r="R16" s="118"/>
      <c r="S16" s="118"/>
    </row>
    <row r="17" spans="2:19" ht="14.4" customHeight="1" x14ac:dyDescent="0.3">
      <c r="B17" s="43" t="s">
        <v>41</v>
      </c>
      <c r="C17" s="23">
        <v>1356</v>
      </c>
      <c r="D17" s="23">
        <v>1356</v>
      </c>
      <c r="E17" s="23">
        <v>1356</v>
      </c>
      <c r="F17" s="57">
        <v>1356</v>
      </c>
      <c r="G17" s="57">
        <v>1356</v>
      </c>
      <c r="H17" s="57">
        <v>1356</v>
      </c>
      <c r="I17" s="57">
        <v>1356</v>
      </c>
      <c r="J17" s="57">
        <v>1356</v>
      </c>
      <c r="K17" s="57">
        <v>1356</v>
      </c>
      <c r="L17" s="57">
        <v>1356</v>
      </c>
      <c r="M17" s="57">
        <v>1356</v>
      </c>
      <c r="N17" s="57">
        <v>19</v>
      </c>
      <c r="O17" s="57">
        <v>595</v>
      </c>
      <c r="P17" s="118">
        <v>595</v>
      </c>
      <c r="Q17" s="118">
        <v>595</v>
      </c>
      <c r="R17" s="118">
        <v>595</v>
      </c>
      <c r="S17" s="118">
        <v>595</v>
      </c>
    </row>
    <row r="18" spans="2:19" ht="14.4" customHeight="1" x14ac:dyDescent="0.3">
      <c r="B18" s="43" t="s">
        <v>112</v>
      </c>
      <c r="C18" s="23"/>
      <c r="D18" s="23"/>
      <c r="E18" s="23"/>
      <c r="F18" s="23"/>
      <c r="H18" s="10"/>
      <c r="I18" s="10"/>
      <c r="M18" s="10"/>
    </row>
    <row r="19" spans="2:19" ht="14.4" customHeight="1" x14ac:dyDescent="0.3">
      <c r="B19" s="22"/>
      <c r="C19" s="23"/>
      <c r="D19" s="23"/>
      <c r="E19" s="23"/>
      <c r="F19" s="23"/>
      <c r="I19" s="10"/>
      <c r="M19" s="10"/>
    </row>
    <row r="20" spans="2:19" ht="14.4" customHeight="1" x14ac:dyDescent="0.3">
      <c r="B20" s="117" t="s">
        <v>16</v>
      </c>
      <c r="C20" s="117">
        <f t="shared" ref="C20:G20" si="15">SUM(C2+C11)</f>
        <v>1477537</v>
      </c>
      <c r="D20" s="117">
        <f t="shared" si="15"/>
        <v>1489852</v>
      </c>
      <c r="E20" s="117">
        <f t="shared" si="15"/>
        <v>1497475</v>
      </c>
      <c r="F20" s="117">
        <f t="shared" si="15"/>
        <v>1492223</v>
      </c>
      <c r="G20" s="117">
        <f t="shared" si="15"/>
        <v>1472330</v>
      </c>
      <c r="H20" s="117">
        <f t="shared" ref="H20:I20" si="16">SUM(H2+H11)</f>
        <v>1488043</v>
      </c>
      <c r="I20" s="117">
        <f t="shared" si="16"/>
        <v>1474550</v>
      </c>
      <c r="J20" s="117">
        <f t="shared" ref="J20:N20" si="17">SUM(J2+J11)</f>
        <v>1486588</v>
      </c>
      <c r="K20" s="117">
        <f t="shared" si="17"/>
        <v>1458038</v>
      </c>
      <c r="L20" s="117">
        <f t="shared" si="17"/>
        <v>1430407</v>
      </c>
      <c r="M20" s="117">
        <f t="shared" si="17"/>
        <v>1398047</v>
      </c>
      <c r="N20" s="117">
        <f t="shared" si="17"/>
        <v>1602948</v>
      </c>
      <c r="O20" s="117">
        <f t="shared" ref="O20:P20" si="18">SUM(O2+O11)</f>
        <v>1785090</v>
      </c>
      <c r="P20" s="117">
        <f t="shared" si="18"/>
        <v>1892091.46386</v>
      </c>
      <c r="Q20" s="117">
        <f t="shared" ref="Q20:R20" si="19">SUM(Q2+Q11)</f>
        <v>1867436.7437571629</v>
      </c>
      <c r="R20" s="117">
        <f t="shared" si="19"/>
        <v>1829507.4358262806</v>
      </c>
      <c r="S20" s="117">
        <f t="shared" ref="S20" si="20">SUM(S2+S11)</f>
        <v>1758014.0246898506</v>
      </c>
    </row>
    <row r="21" spans="2:19" ht="14.4" customHeight="1" x14ac:dyDescent="0.3">
      <c r="B21" s="27"/>
      <c r="C21" s="27"/>
      <c r="D21" s="27"/>
      <c r="E21" s="27"/>
      <c r="F21" s="27"/>
      <c r="I21" s="10"/>
    </row>
    <row r="22" spans="2:19" ht="14.4" customHeight="1" x14ac:dyDescent="0.3">
      <c r="I22" s="10"/>
    </row>
    <row r="23" spans="2:19" ht="14.4" customHeight="1" x14ac:dyDescent="0.3">
      <c r="B23" s="5" t="s">
        <v>42</v>
      </c>
      <c r="C23" s="5">
        <f t="shared" ref="C23:F23" si="21">SUM(C24:C28)</f>
        <v>61243</v>
      </c>
      <c r="D23" s="5">
        <f t="shared" si="21"/>
        <v>75160</v>
      </c>
      <c r="E23" s="5">
        <f t="shared" si="21"/>
        <v>78755</v>
      </c>
      <c r="F23" s="5">
        <f t="shared" si="21"/>
        <v>56605</v>
      </c>
      <c r="G23" s="5">
        <f t="shared" ref="G23:H23" si="22">SUM(G24:G28)</f>
        <v>61723</v>
      </c>
      <c r="H23" s="5">
        <f t="shared" si="22"/>
        <v>68204</v>
      </c>
      <c r="I23" s="5">
        <f t="shared" ref="I23:J23" si="23">SUM(I24:I28)</f>
        <v>75271</v>
      </c>
      <c r="J23" s="5">
        <f t="shared" si="23"/>
        <v>109613</v>
      </c>
      <c r="K23" s="5">
        <f t="shared" ref="K23:L23" si="24">SUM(K24:K28)</f>
        <v>107928</v>
      </c>
      <c r="L23" s="5">
        <f t="shared" si="24"/>
        <v>83279</v>
      </c>
      <c r="M23" s="5">
        <f t="shared" ref="M23:N23" si="25">SUM(M24:M28)</f>
        <v>60802</v>
      </c>
      <c r="N23" s="5">
        <f t="shared" si="25"/>
        <v>74720</v>
      </c>
      <c r="O23" s="5">
        <f t="shared" ref="O23:P23" si="26">SUM(O24:O28)</f>
        <v>146087</v>
      </c>
      <c r="P23" s="5">
        <f t="shared" si="26"/>
        <v>41440</v>
      </c>
      <c r="Q23" s="5">
        <f t="shared" ref="Q23:R23" si="27">SUM(Q24:Q28)</f>
        <v>41440</v>
      </c>
      <c r="R23" s="5">
        <f t="shared" si="27"/>
        <v>41440</v>
      </c>
      <c r="S23" s="5">
        <f t="shared" ref="S23" si="28">SUM(S24:S28)</f>
        <v>41440</v>
      </c>
    </row>
    <row r="24" spans="2:19" ht="14.4" customHeight="1" x14ac:dyDescent="0.3">
      <c r="B24" s="18" t="s">
        <v>117</v>
      </c>
      <c r="C24" s="57">
        <v>22020</v>
      </c>
      <c r="D24" s="57">
        <v>29302</v>
      </c>
      <c r="E24" s="57">
        <v>25111</v>
      </c>
      <c r="F24" s="57">
        <v>20493</v>
      </c>
      <c r="G24" s="57">
        <v>24150</v>
      </c>
      <c r="H24" s="57">
        <v>21495</v>
      </c>
      <c r="I24" s="57">
        <v>22711</v>
      </c>
      <c r="J24" s="57">
        <v>23436</v>
      </c>
      <c r="K24" s="57">
        <v>20303</v>
      </c>
      <c r="L24" s="57">
        <v>25092</v>
      </c>
      <c r="M24" s="57">
        <v>21505</v>
      </c>
      <c r="N24" s="57">
        <v>22761</v>
      </c>
      <c r="O24" s="57">
        <v>33933</v>
      </c>
      <c r="P24" s="118">
        <v>33933</v>
      </c>
      <c r="Q24" s="118">
        <v>33933</v>
      </c>
      <c r="R24" s="118">
        <v>33933</v>
      </c>
      <c r="S24" s="118">
        <v>33933</v>
      </c>
    </row>
    <row r="25" spans="2:19" ht="14.4" customHeight="1" x14ac:dyDescent="0.3">
      <c r="B25" s="18" t="s">
        <v>118</v>
      </c>
      <c r="C25" s="57"/>
      <c r="D25" s="57"/>
      <c r="E25" s="57"/>
      <c r="F25" s="57"/>
      <c r="G25" s="57"/>
      <c r="H25" s="57"/>
      <c r="I25" s="57"/>
      <c r="J25" s="57"/>
      <c r="K25" s="57"/>
      <c r="L25" s="57"/>
      <c r="M25" s="57">
        <v>111</v>
      </c>
      <c r="N25" s="57">
        <v>68</v>
      </c>
      <c r="O25" s="57">
        <v>0</v>
      </c>
      <c r="P25" s="57"/>
      <c r="Q25" s="57"/>
      <c r="R25" s="57"/>
      <c r="S25" s="57"/>
    </row>
    <row r="26" spans="2:19" ht="14.4" customHeight="1" x14ac:dyDescent="0.3">
      <c r="B26" s="18" t="s">
        <v>119</v>
      </c>
      <c r="C26" s="57">
        <v>33109</v>
      </c>
      <c r="D26" s="57">
        <v>38947</v>
      </c>
      <c r="E26" s="57">
        <v>47933</v>
      </c>
      <c r="F26" s="57">
        <v>30300</v>
      </c>
      <c r="G26" s="57">
        <v>36161</v>
      </c>
      <c r="H26" s="57">
        <v>42025</v>
      </c>
      <c r="I26" s="57">
        <v>48340</v>
      </c>
      <c r="J26" s="57">
        <v>78649</v>
      </c>
      <c r="K26" s="57">
        <v>78774</v>
      </c>
      <c r="L26" s="57">
        <v>49074</v>
      </c>
      <c r="M26" s="57">
        <v>31551</v>
      </c>
      <c r="N26" s="57">
        <v>39500</v>
      </c>
      <c r="O26" s="57">
        <v>104647</v>
      </c>
      <c r="P26" s="48"/>
      <c r="Q26" s="48"/>
      <c r="R26" s="48"/>
      <c r="S26" s="48"/>
    </row>
    <row r="27" spans="2:19" ht="14.4" customHeight="1" x14ac:dyDescent="0.3">
      <c r="B27" s="18" t="s">
        <v>46</v>
      </c>
      <c r="C27" s="57">
        <v>1022</v>
      </c>
      <c r="D27" s="57">
        <v>1401</v>
      </c>
      <c r="E27" s="57">
        <v>1317</v>
      </c>
      <c r="F27" s="57">
        <v>1418</v>
      </c>
      <c r="G27" s="57">
        <v>1412</v>
      </c>
      <c r="H27" s="57">
        <v>1437</v>
      </c>
      <c r="I27" s="57">
        <v>1509</v>
      </c>
      <c r="J27" s="57">
        <v>1389</v>
      </c>
      <c r="K27" s="57">
        <v>1350</v>
      </c>
      <c r="L27" s="57">
        <v>1150</v>
      </c>
      <c r="M27" s="57">
        <v>925</v>
      </c>
      <c r="N27" s="57">
        <v>994</v>
      </c>
      <c r="O27" s="57">
        <v>914</v>
      </c>
      <c r="P27" s="118">
        <v>914</v>
      </c>
      <c r="Q27" s="118">
        <v>914</v>
      </c>
      <c r="R27" s="118">
        <v>914</v>
      </c>
      <c r="S27" s="118">
        <v>914</v>
      </c>
    </row>
    <row r="28" spans="2:19" ht="14.4" customHeight="1" x14ac:dyDescent="0.3">
      <c r="B28" s="18" t="s">
        <v>120</v>
      </c>
      <c r="C28" s="57">
        <v>5092</v>
      </c>
      <c r="D28" s="57">
        <v>5510</v>
      </c>
      <c r="E28" s="57">
        <v>4394</v>
      </c>
      <c r="F28" s="57">
        <v>4394</v>
      </c>
      <c r="G28" s="57">
        <v>0</v>
      </c>
      <c r="H28" s="57">
        <v>3247</v>
      </c>
      <c r="I28" s="57">
        <v>2711</v>
      </c>
      <c r="J28" s="57">
        <v>6139</v>
      </c>
      <c r="K28" s="57">
        <v>7501</v>
      </c>
      <c r="L28" s="57">
        <v>7963</v>
      </c>
      <c r="M28" s="57">
        <v>6710</v>
      </c>
      <c r="N28" s="57">
        <v>11397</v>
      </c>
      <c r="O28" s="57">
        <v>6593</v>
      </c>
      <c r="P28" s="118">
        <v>6593</v>
      </c>
      <c r="Q28" s="118">
        <v>6593</v>
      </c>
      <c r="R28" s="118">
        <v>6593</v>
      </c>
      <c r="S28" s="118">
        <v>6593</v>
      </c>
    </row>
    <row r="29" spans="2:19" ht="14.4" customHeight="1" x14ac:dyDescent="0.3">
      <c r="B29" s="10"/>
      <c r="C29" s="10"/>
      <c r="D29" s="10"/>
      <c r="E29" s="10"/>
      <c r="F29" s="10"/>
      <c r="G29" s="10"/>
      <c r="H29" s="10"/>
      <c r="I29" s="10"/>
      <c r="J29" s="10"/>
      <c r="K29" s="10"/>
      <c r="L29" s="10"/>
      <c r="M29" s="10"/>
      <c r="N29" s="10"/>
      <c r="O29" s="10"/>
    </row>
    <row r="30" spans="2:19" ht="14.4" customHeight="1" x14ac:dyDescent="0.3">
      <c r="B30" s="5" t="s">
        <v>43</v>
      </c>
      <c r="C30" s="5">
        <f t="shared" ref="C30:F30" si="29">SUM(C31:C33)</f>
        <v>365740</v>
      </c>
      <c r="D30" s="5">
        <f t="shared" si="29"/>
        <v>353152</v>
      </c>
      <c r="E30" s="5">
        <f t="shared" si="29"/>
        <v>392204</v>
      </c>
      <c r="F30" s="5">
        <f t="shared" si="29"/>
        <v>403952</v>
      </c>
      <c r="G30" s="5">
        <f t="shared" ref="G30:H30" si="30">SUM(G31:G33)</f>
        <v>366547</v>
      </c>
      <c r="H30" s="5">
        <f t="shared" si="30"/>
        <v>377113</v>
      </c>
      <c r="I30" s="5">
        <f t="shared" ref="I30:J30" si="31">SUM(I31:I33)</f>
        <v>363594</v>
      </c>
      <c r="J30" s="5">
        <f t="shared" si="31"/>
        <v>334272</v>
      </c>
      <c r="K30" s="5">
        <f t="shared" ref="K30:L30" si="32">SUM(K31:K33)</f>
        <v>288653</v>
      </c>
      <c r="L30" s="5">
        <f t="shared" si="32"/>
        <v>258188</v>
      </c>
      <c r="M30" s="5">
        <f t="shared" ref="M30:N30" si="33">SUM(M31:M33)</f>
        <v>241576</v>
      </c>
      <c r="N30" s="5">
        <f t="shared" si="33"/>
        <v>394973</v>
      </c>
      <c r="O30" s="5">
        <f t="shared" ref="O30:P30" si="34">SUM(O31:O33)</f>
        <v>406224</v>
      </c>
      <c r="P30" s="5">
        <f t="shared" si="34"/>
        <v>484709.25</v>
      </c>
      <c r="Q30" s="5">
        <f t="shared" ref="Q30:R30" si="35">SUM(Q31:Q33)</f>
        <v>458547.5</v>
      </c>
      <c r="R30" s="5">
        <f t="shared" si="35"/>
        <v>432385.75</v>
      </c>
      <c r="S30" s="5">
        <f t="shared" ref="S30" si="36">SUM(S31:S33)</f>
        <v>406224</v>
      </c>
    </row>
    <row r="31" spans="2:19" ht="14.4" customHeight="1" x14ac:dyDescent="0.3">
      <c r="B31" s="18" t="s">
        <v>44</v>
      </c>
      <c r="C31" s="57">
        <v>362616</v>
      </c>
      <c r="D31" s="57">
        <v>349352</v>
      </c>
      <c r="E31" s="57">
        <v>388647</v>
      </c>
      <c r="F31" s="57">
        <v>398425</v>
      </c>
      <c r="G31" s="57">
        <v>361619</v>
      </c>
      <c r="H31" s="57">
        <v>372579</v>
      </c>
      <c r="I31" s="57">
        <v>359289</v>
      </c>
      <c r="J31" s="57">
        <v>330775</v>
      </c>
      <c r="K31" s="57">
        <v>285298</v>
      </c>
      <c r="L31" s="57">
        <v>253731</v>
      </c>
      <c r="M31" s="57">
        <v>236976</v>
      </c>
      <c r="N31" s="57">
        <v>389244</v>
      </c>
      <c r="O31" s="57">
        <v>400696</v>
      </c>
      <c r="P31" s="23">
        <f>(O31+O26)-(104647/4)</f>
        <v>479181.25</v>
      </c>
      <c r="Q31" s="23">
        <f>(P31+P26)-(104647/4)</f>
        <v>453019.5</v>
      </c>
      <c r="R31" s="23">
        <f>(Q31+Q26)-(104647/4)</f>
        <v>426857.75</v>
      </c>
      <c r="S31" s="23">
        <f>(R31+R26)-(104647/4)</f>
        <v>400696</v>
      </c>
    </row>
    <row r="32" spans="2:19" ht="14.4" customHeight="1" x14ac:dyDescent="0.3">
      <c r="B32" s="18" t="s">
        <v>118</v>
      </c>
      <c r="C32" s="57"/>
      <c r="D32" s="57"/>
      <c r="E32" s="57"/>
      <c r="F32" s="57"/>
      <c r="G32" s="57"/>
      <c r="H32" s="57"/>
      <c r="I32" s="57"/>
      <c r="J32" s="57"/>
      <c r="K32" s="57"/>
      <c r="L32" s="57"/>
      <c r="M32" s="57">
        <v>243</v>
      </c>
      <c r="N32" s="57">
        <v>131</v>
      </c>
      <c r="O32" s="57">
        <v>0</v>
      </c>
      <c r="P32" s="23"/>
      <c r="Q32" s="23"/>
      <c r="R32" s="23"/>
      <c r="S32" s="23"/>
    </row>
    <row r="33" spans="1:19" ht="14.4" customHeight="1" x14ac:dyDescent="0.3">
      <c r="B33" s="18" t="s">
        <v>121</v>
      </c>
      <c r="C33" s="57">
        <v>3124</v>
      </c>
      <c r="D33" s="57">
        <v>3800</v>
      </c>
      <c r="E33" s="57">
        <v>3557</v>
      </c>
      <c r="F33" s="57">
        <v>5527</v>
      </c>
      <c r="G33" s="57">
        <v>4928</v>
      </c>
      <c r="H33" s="57">
        <v>4534</v>
      </c>
      <c r="I33" s="57">
        <v>4305</v>
      </c>
      <c r="J33" s="57">
        <v>3497</v>
      </c>
      <c r="K33" s="57">
        <v>3355</v>
      </c>
      <c r="L33" s="57">
        <v>4457</v>
      </c>
      <c r="M33" s="57">
        <v>4357</v>
      </c>
      <c r="N33" s="57">
        <v>5598</v>
      </c>
      <c r="O33" s="57">
        <v>5528</v>
      </c>
      <c r="P33" s="118">
        <v>5528</v>
      </c>
      <c r="Q33" s="118">
        <v>5528</v>
      </c>
      <c r="R33" s="118">
        <v>5528</v>
      </c>
      <c r="S33" s="118">
        <v>5528</v>
      </c>
    </row>
    <row r="34" spans="1:19" ht="14.4" customHeight="1" x14ac:dyDescent="0.3">
      <c r="B34" s="22"/>
      <c r="C34" s="23"/>
      <c r="D34" s="23"/>
      <c r="E34" s="23"/>
      <c r="F34" s="23"/>
      <c r="I34" s="10"/>
    </row>
    <row r="35" spans="1:19" ht="14.4" customHeight="1" x14ac:dyDescent="0.3">
      <c r="B35" s="117" t="s">
        <v>18</v>
      </c>
      <c r="C35" s="117">
        <f t="shared" ref="C35:G35" si="37">C23+C30</f>
        <v>426983</v>
      </c>
      <c r="D35" s="117">
        <f t="shared" si="37"/>
        <v>428312</v>
      </c>
      <c r="E35" s="117">
        <f t="shared" si="37"/>
        <v>470959</v>
      </c>
      <c r="F35" s="117">
        <f t="shared" si="37"/>
        <v>460557</v>
      </c>
      <c r="G35" s="117">
        <f t="shared" si="37"/>
        <v>428270</v>
      </c>
      <c r="H35" s="117">
        <f t="shared" ref="H35:I35" si="38">H23+H30</f>
        <v>445317</v>
      </c>
      <c r="I35" s="117">
        <f t="shared" si="38"/>
        <v>438865</v>
      </c>
      <c r="J35" s="117">
        <f t="shared" ref="J35:K35" si="39">J23+J30</f>
        <v>443885</v>
      </c>
      <c r="K35" s="117">
        <f t="shared" si="39"/>
        <v>396581</v>
      </c>
      <c r="L35" s="117">
        <f t="shared" ref="L35:N35" si="40">L23+L30</f>
        <v>341467</v>
      </c>
      <c r="M35" s="117">
        <f t="shared" si="40"/>
        <v>302378</v>
      </c>
      <c r="N35" s="117">
        <f t="shared" si="40"/>
        <v>469693</v>
      </c>
      <c r="O35" s="117">
        <f t="shared" ref="O35:P35" si="41">O23+O30</f>
        <v>552311</v>
      </c>
      <c r="P35" s="117">
        <f t="shared" si="41"/>
        <v>526149.25</v>
      </c>
      <c r="Q35" s="117">
        <f t="shared" ref="Q35:R35" si="42">Q23+Q30</f>
        <v>499987.5</v>
      </c>
      <c r="R35" s="117">
        <f t="shared" si="42"/>
        <v>473825.75</v>
      </c>
      <c r="S35" s="117">
        <f t="shared" ref="S35" si="43">S23+S30</f>
        <v>447664</v>
      </c>
    </row>
    <row r="36" spans="1:19" ht="14.4" customHeight="1" x14ac:dyDescent="0.3">
      <c r="B36" s="27"/>
      <c r="C36" s="27"/>
      <c r="D36" s="27"/>
      <c r="E36" s="27"/>
      <c r="F36" s="27"/>
    </row>
    <row r="37" spans="1:19" ht="14.4" customHeight="1" x14ac:dyDescent="0.3">
      <c r="B37" s="27"/>
      <c r="C37" s="27"/>
      <c r="D37" s="27"/>
      <c r="E37" s="27"/>
      <c r="F37" s="27"/>
    </row>
    <row r="38" spans="1:19" ht="14.4" customHeight="1" x14ac:dyDescent="0.3">
      <c r="B38" s="117" t="s">
        <v>17</v>
      </c>
      <c r="C38" s="117">
        <v>1050553</v>
      </c>
      <c r="D38" s="117">
        <v>1061542</v>
      </c>
      <c r="E38" s="117">
        <v>1026515</v>
      </c>
      <c r="F38" s="117">
        <v>1031667</v>
      </c>
      <c r="G38" s="117">
        <v>1044060</v>
      </c>
      <c r="H38" s="117">
        <v>1042727</v>
      </c>
      <c r="I38" s="117">
        <v>1035686</v>
      </c>
      <c r="J38" s="117">
        <v>1042701</v>
      </c>
      <c r="K38" s="117">
        <v>1061457</v>
      </c>
      <c r="L38" s="117">
        <v>1088938</v>
      </c>
      <c r="M38" s="117">
        <v>1095669</v>
      </c>
      <c r="N38" s="117">
        <v>1133257</v>
      </c>
      <c r="O38" s="117">
        <v>1232779</v>
      </c>
      <c r="P38" s="117">
        <f>O38+'P&amp;L'!U29+CashFlow!U45+CashFlow!U50+CashFlow!U10+CashFlow!U33</f>
        <v>1365906.9648</v>
      </c>
      <c r="Q38" s="117">
        <f>P38+'P&amp;L'!V29+CashFlow!V45+CashFlow!V50+CashFlow!V10+CashFlow!V33</f>
        <v>1367413.9946971629</v>
      </c>
      <c r="R38" s="117">
        <f>Q38+'P&amp;L'!W29+CashFlow!W45+CashFlow!W50+CashFlow!W10+CashFlow!W33</f>
        <v>1355646.4367662806</v>
      </c>
      <c r="S38" s="117">
        <f>R38+'P&amp;L'!X29+CashFlow!X45+CashFlow!X50+CashFlow!X10+CashFlow!X33</f>
        <v>1310314.7756298508</v>
      </c>
    </row>
    <row r="39" spans="1:19" ht="14.4" customHeight="1" x14ac:dyDescent="0.3"/>
    <row r="40" spans="1:19" ht="14.4" customHeight="1" x14ac:dyDescent="0.3">
      <c r="B40" s="117" t="s">
        <v>19</v>
      </c>
      <c r="C40" s="117">
        <f t="shared" ref="C40:S40" si="44">C38+C35</f>
        <v>1477536</v>
      </c>
      <c r="D40" s="117">
        <f t="shared" si="44"/>
        <v>1489854</v>
      </c>
      <c r="E40" s="117">
        <f t="shared" si="44"/>
        <v>1497474</v>
      </c>
      <c r="F40" s="117">
        <f t="shared" si="44"/>
        <v>1492224</v>
      </c>
      <c r="G40" s="117">
        <f t="shared" si="44"/>
        <v>1472330</v>
      </c>
      <c r="H40" s="117">
        <f t="shared" si="44"/>
        <v>1488044</v>
      </c>
      <c r="I40" s="117">
        <f t="shared" si="44"/>
        <v>1474551</v>
      </c>
      <c r="J40" s="117">
        <f t="shared" si="44"/>
        <v>1486586</v>
      </c>
      <c r="K40" s="117">
        <f t="shared" si="44"/>
        <v>1458038</v>
      </c>
      <c r="L40" s="117">
        <f t="shared" si="44"/>
        <v>1430405</v>
      </c>
      <c r="M40" s="117">
        <f t="shared" si="44"/>
        <v>1398047</v>
      </c>
      <c r="N40" s="117">
        <f t="shared" si="44"/>
        <v>1602950</v>
      </c>
      <c r="O40" s="117">
        <f t="shared" si="44"/>
        <v>1785090</v>
      </c>
      <c r="P40" s="117">
        <f t="shared" si="44"/>
        <v>1892056.2148</v>
      </c>
      <c r="Q40" s="117">
        <f t="shared" si="44"/>
        <v>1867401.4946971629</v>
      </c>
      <c r="R40" s="117">
        <f t="shared" si="44"/>
        <v>1829472.1867662806</v>
      </c>
      <c r="S40" s="117">
        <f t="shared" si="44"/>
        <v>1757978.7756298508</v>
      </c>
    </row>
    <row r="41" spans="1:19" ht="14.4" customHeight="1" x14ac:dyDescent="0.3">
      <c r="B41" s="1" t="s">
        <v>3</v>
      </c>
      <c r="C41" s="1">
        <f t="shared" ref="C41:S41" si="45">C20-C40</f>
        <v>1</v>
      </c>
      <c r="D41" s="1">
        <f t="shared" si="45"/>
        <v>-2</v>
      </c>
      <c r="E41" s="1">
        <f t="shared" si="45"/>
        <v>1</v>
      </c>
      <c r="F41" s="1">
        <f t="shared" si="45"/>
        <v>-1</v>
      </c>
      <c r="G41" s="1">
        <f t="shared" si="45"/>
        <v>0</v>
      </c>
      <c r="H41" s="1">
        <f t="shared" si="45"/>
        <v>-1</v>
      </c>
      <c r="I41" s="1">
        <f t="shared" si="45"/>
        <v>-1</v>
      </c>
      <c r="J41" s="1">
        <f t="shared" si="45"/>
        <v>2</v>
      </c>
      <c r="K41" s="1">
        <f t="shared" si="45"/>
        <v>0</v>
      </c>
      <c r="L41" s="1">
        <f t="shared" si="45"/>
        <v>2</v>
      </c>
      <c r="M41" s="1">
        <f t="shared" si="45"/>
        <v>0</v>
      </c>
      <c r="N41" s="1">
        <f t="shared" si="45"/>
        <v>-2</v>
      </c>
      <c r="O41" s="1">
        <f t="shared" si="45"/>
        <v>0</v>
      </c>
      <c r="P41" s="1">
        <f t="shared" si="45"/>
        <v>35.249060000060126</v>
      </c>
      <c r="Q41" s="1">
        <f t="shared" si="45"/>
        <v>35.249060000060126</v>
      </c>
      <c r="R41" s="1">
        <f t="shared" si="45"/>
        <v>35.249060000060126</v>
      </c>
      <c r="S41" s="1">
        <f t="shared" si="45"/>
        <v>35.249059999827296</v>
      </c>
    </row>
    <row r="42" spans="1:19" ht="14.4" customHeight="1" x14ac:dyDescent="0.3"/>
    <row r="43" spans="1:19" ht="14.4" customHeight="1" x14ac:dyDescent="0.3"/>
    <row r="44" spans="1:19" ht="14.4" customHeight="1" x14ac:dyDescent="0.3">
      <c r="A44" s="35" t="s">
        <v>10</v>
      </c>
      <c r="B44" s="8" t="s">
        <v>309</v>
      </c>
      <c r="C44" s="9"/>
      <c r="D44" s="9"/>
      <c r="E44" s="9"/>
      <c r="F44" s="9"/>
      <c r="G44" s="9"/>
      <c r="H44" s="9"/>
      <c r="I44" s="9"/>
      <c r="J44" s="9"/>
      <c r="K44" s="9"/>
      <c r="L44" s="9"/>
      <c r="M44" s="9"/>
      <c r="N44" s="9"/>
      <c r="O44" s="9"/>
      <c r="P44" s="2"/>
      <c r="Q44" s="2"/>
      <c r="R44" s="2"/>
      <c r="S44" s="2"/>
    </row>
    <row r="45" spans="1:19" ht="14.4" customHeight="1" x14ac:dyDescent="0.3">
      <c r="B45" t="s">
        <v>20</v>
      </c>
      <c r="C45" s="23">
        <f t="shared" ref="C45:S45" si="46">C26+C31</f>
        <v>395725</v>
      </c>
      <c r="D45" s="23">
        <f t="shared" si="46"/>
        <v>388299</v>
      </c>
      <c r="E45" s="23">
        <f t="shared" si="46"/>
        <v>436580</v>
      </c>
      <c r="F45" s="23">
        <f t="shared" si="46"/>
        <v>428725</v>
      </c>
      <c r="G45" s="23">
        <f t="shared" si="46"/>
        <v>397780</v>
      </c>
      <c r="H45" s="23">
        <f t="shared" si="46"/>
        <v>414604</v>
      </c>
      <c r="I45" s="23">
        <f t="shared" si="46"/>
        <v>407629</v>
      </c>
      <c r="J45" s="23">
        <f t="shared" si="46"/>
        <v>409424</v>
      </c>
      <c r="K45" s="23">
        <f t="shared" si="46"/>
        <v>364072</v>
      </c>
      <c r="L45" s="23">
        <f t="shared" si="46"/>
        <v>302805</v>
      </c>
      <c r="M45" s="23">
        <f t="shared" si="46"/>
        <v>268527</v>
      </c>
      <c r="N45" s="23">
        <f t="shared" si="46"/>
        <v>428744</v>
      </c>
      <c r="O45" s="23">
        <f t="shared" si="46"/>
        <v>505343</v>
      </c>
      <c r="P45" s="23">
        <f t="shared" si="46"/>
        <v>479181.25</v>
      </c>
      <c r="Q45" s="23">
        <f t="shared" si="46"/>
        <v>453019.5</v>
      </c>
      <c r="R45" s="23">
        <f t="shared" si="46"/>
        <v>426857.75</v>
      </c>
      <c r="S45" s="23">
        <f t="shared" si="46"/>
        <v>400696</v>
      </c>
    </row>
    <row r="46" spans="1:19" ht="14.4" customHeight="1" x14ac:dyDescent="0.3">
      <c r="B46" s="28" t="s">
        <v>4</v>
      </c>
      <c r="C46" s="24" t="e">
        <f>C45/#REF!-1</f>
        <v>#REF!</v>
      </c>
      <c r="D46" s="24">
        <f>D45/C45-1</f>
        <v>-1.8765556889253854E-2</v>
      </c>
      <c r="E46" s="24">
        <f t="shared" ref="E46:S46" si="47">E45/D45-1</f>
        <v>0.12433974849278528</v>
      </c>
      <c r="F46" s="24">
        <f t="shared" si="47"/>
        <v>-1.7992120573548931E-2</v>
      </c>
      <c r="G46" s="24">
        <f t="shared" si="47"/>
        <v>-7.2179135809668171E-2</v>
      </c>
      <c r="H46" s="24">
        <f t="shared" si="47"/>
        <v>4.2294735783598991E-2</v>
      </c>
      <c r="I46" s="24">
        <f t="shared" si="47"/>
        <v>-1.6823281975089532E-2</v>
      </c>
      <c r="J46" s="24">
        <f t="shared" si="47"/>
        <v>4.4035139796236855E-3</v>
      </c>
      <c r="K46" s="24">
        <f t="shared" si="47"/>
        <v>-0.11077025284301845</v>
      </c>
      <c r="L46" s="24">
        <f t="shared" si="47"/>
        <v>-0.16828264738842869</v>
      </c>
      <c r="M46" s="24">
        <f t="shared" si="47"/>
        <v>-0.11320156536384807</v>
      </c>
      <c r="N46" s="24">
        <f t="shared" si="47"/>
        <v>0.5966513609432198</v>
      </c>
      <c r="O46" s="24">
        <f t="shared" si="47"/>
        <v>0.17865905995185938</v>
      </c>
      <c r="P46" s="24">
        <f t="shared" si="47"/>
        <v>-5.1770282758443309E-2</v>
      </c>
      <c r="Q46" s="24">
        <f t="shared" si="47"/>
        <v>-5.4596773141686983E-2</v>
      </c>
      <c r="R46" s="24">
        <f t="shared" si="47"/>
        <v>-5.7749721590350966E-2</v>
      </c>
      <c r="S46" s="24">
        <f t="shared" si="47"/>
        <v>-6.1289153119511108E-2</v>
      </c>
    </row>
    <row r="47" spans="1:19" ht="14.4" customHeight="1" x14ac:dyDescent="0.3">
      <c r="B47" t="s">
        <v>21</v>
      </c>
      <c r="C47" s="23">
        <f t="shared" ref="C47:S47" si="48">C45-C3</f>
        <v>278176</v>
      </c>
      <c r="D47" s="23">
        <f t="shared" si="48"/>
        <v>257650</v>
      </c>
      <c r="E47" s="23">
        <f t="shared" si="48"/>
        <v>362660</v>
      </c>
      <c r="F47" s="23">
        <f t="shared" si="48"/>
        <v>353987</v>
      </c>
      <c r="G47" s="23">
        <f t="shared" si="48"/>
        <v>324704</v>
      </c>
      <c r="H47" s="23">
        <f t="shared" si="48"/>
        <v>341962</v>
      </c>
      <c r="I47" s="23">
        <f t="shared" si="48"/>
        <v>333800</v>
      </c>
      <c r="J47" s="23">
        <f t="shared" si="48"/>
        <v>331281</v>
      </c>
      <c r="K47" s="23">
        <f t="shared" si="48"/>
        <v>283562</v>
      </c>
      <c r="L47" s="23">
        <f t="shared" si="48"/>
        <v>220145</v>
      </c>
      <c r="M47" s="23">
        <f t="shared" si="48"/>
        <v>187277</v>
      </c>
      <c r="N47" s="23">
        <f t="shared" si="48"/>
        <v>349710</v>
      </c>
      <c r="O47" s="23">
        <f t="shared" si="48"/>
        <v>379097</v>
      </c>
      <c r="P47" s="23">
        <f t="shared" si="48"/>
        <v>297786.78613999998</v>
      </c>
      <c r="Q47" s="23">
        <f t="shared" si="48"/>
        <v>270632.75624283706</v>
      </c>
      <c r="R47" s="23">
        <f t="shared" si="48"/>
        <v>256753.31417371953</v>
      </c>
      <c r="S47" s="23">
        <f t="shared" si="48"/>
        <v>276437.97531014937</v>
      </c>
    </row>
    <row r="48" spans="1:19" ht="14.4" customHeight="1" x14ac:dyDescent="0.3">
      <c r="B48" s="28" t="s">
        <v>5</v>
      </c>
      <c r="C48" s="24"/>
      <c r="D48" s="24"/>
      <c r="E48" s="24"/>
    </row>
    <row r="49" spans="1:19" ht="14.4" customHeight="1" x14ac:dyDescent="0.3">
      <c r="B49"/>
    </row>
    <row r="50" spans="1:19" ht="14.4" customHeight="1" x14ac:dyDescent="0.3">
      <c r="B50"/>
    </row>
    <row r="51" spans="1:19" ht="14.4" customHeight="1" x14ac:dyDescent="0.3">
      <c r="A51" s="35" t="s">
        <v>10</v>
      </c>
      <c r="B51" s="8" t="s">
        <v>8</v>
      </c>
      <c r="C51" s="9"/>
      <c r="D51" s="9"/>
      <c r="E51" s="9"/>
      <c r="F51" s="9"/>
      <c r="G51" s="9"/>
      <c r="H51" s="9"/>
      <c r="I51" s="9"/>
      <c r="J51" s="9"/>
      <c r="K51" s="9"/>
      <c r="L51" s="9"/>
      <c r="M51" s="9"/>
      <c r="N51" s="9"/>
      <c r="O51" s="9"/>
      <c r="P51" s="2"/>
      <c r="Q51" s="2"/>
      <c r="R51" s="2"/>
      <c r="S51" s="2"/>
    </row>
    <row r="52" spans="1:19" ht="14.4" customHeight="1" x14ac:dyDescent="0.3">
      <c r="B52"/>
    </row>
    <row r="53" spans="1:19" ht="14.4" customHeight="1" x14ac:dyDescent="0.3">
      <c r="B53" s="17" t="s">
        <v>8</v>
      </c>
      <c r="C53" s="16">
        <f t="shared" ref="C53:J53" si="49">(C4+C5+C6+C8+C13+C14)-(C24+C28-C27-C33)</f>
        <v>77223</v>
      </c>
      <c r="D53" s="16">
        <f t="shared" si="49"/>
        <v>85426</v>
      </c>
      <c r="E53" s="16">
        <f t="shared" si="49"/>
        <v>80691</v>
      </c>
      <c r="F53" s="16">
        <f t="shared" si="49"/>
        <v>107828</v>
      </c>
      <c r="G53" s="16">
        <f t="shared" si="49"/>
        <v>112714</v>
      </c>
      <c r="H53" s="16">
        <f t="shared" si="49"/>
        <v>156583</v>
      </c>
      <c r="I53" s="16">
        <f t="shared" si="49"/>
        <v>166961</v>
      </c>
      <c r="J53" s="16">
        <f t="shared" si="49"/>
        <v>169542</v>
      </c>
      <c r="K53" s="16">
        <f t="shared" ref="K53:N53" si="50">(K4+K5+K6+K8+K13+K14)-(K24+K28-K27-K33)</f>
        <v>189105</v>
      </c>
      <c r="L53" s="16">
        <f t="shared" si="50"/>
        <v>210498</v>
      </c>
      <c r="M53" s="16">
        <f t="shared" si="50"/>
        <v>245217</v>
      </c>
      <c r="N53" s="16">
        <f t="shared" si="50"/>
        <v>370584</v>
      </c>
      <c r="O53" s="16">
        <f t="shared" ref="O53:P53" si="51">(O4+O5+O6+O8+O13+O14)-(O24+O28-O27-O33)</f>
        <v>152722</v>
      </c>
      <c r="P53" s="16">
        <f t="shared" si="51"/>
        <v>152722</v>
      </c>
      <c r="Q53" s="16">
        <f t="shared" ref="Q53:R53" si="52">(Q4+Q5+Q6+Q8+Q13+Q14)-(Q24+Q28-Q27-Q33)</f>
        <v>152722</v>
      </c>
      <c r="R53" s="16">
        <f t="shared" si="52"/>
        <v>152722</v>
      </c>
      <c r="S53" s="16">
        <f t="shared" ref="S53" si="53">(S4+S5+S6+S8+S13+S14)-(S24+S28-S27-S33)</f>
        <v>152722</v>
      </c>
    </row>
    <row r="54" spans="1:19" ht="14.4" customHeight="1" x14ac:dyDescent="0.3">
      <c r="B54" s="28" t="s">
        <v>6</v>
      </c>
      <c r="C54" s="11"/>
      <c r="D54" s="11"/>
      <c r="E54" s="11"/>
    </row>
    <row r="55" spans="1:19" ht="14.4" customHeight="1" x14ac:dyDescent="0.3">
      <c r="B55" s="28" t="s">
        <v>7</v>
      </c>
      <c r="C55" s="11"/>
      <c r="D55" s="11"/>
      <c r="E55" s="11"/>
    </row>
    <row r="56" spans="1:19" ht="14.4" customHeight="1" x14ac:dyDescent="0.3">
      <c r="B56" s="12"/>
    </row>
    <row r="57" spans="1:19" ht="14.4" customHeight="1" x14ac:dyDescent="0.3"/>
    <row r="58" spans="1:19" ht="14.4" customHeight="1" x14ac:dyDescent="0.3">
      <c r="A58" s="35" t="s">
        <v>10</v>
      </c>
      <c r="B58" s="8" t="s">
        <v>1</v>
      </c>
      <c r="C58" s="9"/>
      <c r="D58" s="9"/>
      <c r="E58" s="9"/>
      <c r="F58" s="9"/>
      <c r="G58" s="9"/>
      <c r="H58" s="9"/>
      <c r="I58" s="9"/>
      <c r="J58" s="9"/>
      <c r="K58" s="9"/>
      <c r="L58" s="9"/>
      <c r="M58" s="9"/>
      <c r="N58" s="9"/>
      <c r="O58" s="9"/>
      <c r="P58" s="2"/>
      <c r="Q58" s="2"/>
      <c r="R58" s="2"/>
      <c r="S58" s="2"/>
    </row>
    <row r="59" spans="1:19" ht="14.4" customHeight="1" x14ac:dyDescent="0.3">
      <c r="B59" s="1" t="s">
        <v>1</v>
      </c>
      <c r="E59" s="1">
        <v>0</v>
      </c>
      <c r="F59" s="1">
        <v>0</v>
      </c>
      <c r="P59" s="120">
        <v>77500</v>
      </c>
      <c r="Q59" s="120">
        <v>0</v>
      </c>
      <c r="R59" s="120">
        <v>0</v>
      </c>
      <c r="S59" s="120">
        <v>0</v>
      </c>
    </row>
    <row r="60" spans="1:19" ht="14.4" customHeight="1" x14ac:dyDescent="0.3"/>
    <row r="61" spans="1:19" ht="14.4" customHeight="1" x14ac:dyDescent="0.3">
      <c r="G61" s="55"/>
    </row>
    <row r="62" spans="1:19" ht="14.4" customHeight="1" x14ac:dyDescent="0.3"/>
    <row r="63" spans="1:19" ht="14.4" customHeight="1" x14ac:dyDescent="0.3"/>
    <row r="64" spans="1:19" ht="14.4" customHeight="1" x14ac:dyDescent="0.3"/>
    <row r="65" ht="14.4" customHeight="1" x14ac:dyDescent="0.3"/>
    <row r="66" ht="14.4" customHeight="1" x14ac:dyDescent="0.3"/>
    <row r="67" ht="14.4" customHeight="1" x14ac:dyDescent="0.3"/>
    <row r="68" ht="14.4" customHeight="1" x14ac:dyDescent="0.3"/>
    <row r="69" ht="14.4" customHeight="1" x14ac:dyDescent="0.3"/>
    <row r="70" ht="14.4" customHeight="1" x14ac:dyDescent="0.3"/>
  </sheetData>
  <pageMargins left="0.7" right="0.7" top="0.75" bottom="0.75" header="0.3" footer="0.3"/>
  <pageSetup paperSize="9" orientation="portrait" horizontalDpi="0" verticalDpi="0"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5"/>
  <dimension ref="A1:JR70"/>
  <sheetViews>
    <sheetView showGridLines="0" zoomScale="85" zoomScaleNormal="85" workbookViewId="0">
      <pane xSplit="2" ySplit="1" topLeftCell="H47" activePane="bottomRight" state="frozen"/>
      <selection pane="topRight" activeCell="C1" sqref="C1"/>
      <selection pane="bottomLeft" activeCell="A2" sqref="A2"/>
      <selection pane="bottomRight" activeCell="R67" sqref="R67"/>
    </sheetView>
  </sheetViews>
  <sheetFormatPr baseColWidth="10" defaultColWidth="0" defaultRowHeight="15" customHeight="1" zeroHeight="1" outlineLevelCol="1" x14ac:dyDescent="0.3"/>
  <cols>
    <col min="1" max="1" width="2.77734375" style="35" customWidth="1"/>
    <col min="2" max="2" width="55.77734375" style="1" customWidth="1"/>
    <col min="3" max="15" width="11.5546875" style="1" hidden="1" customWidth="1" outlineLevel="1"/>
    <col min="16" max="16" width="12.77734375" style="1" customWidth="1" collapsed="1"/>
    <col min="17" max="28" width="12.77734375" style="1" customWidth="1"/>
    <col min="29" max="278" width="0" style="1" hidden="1" customWidth="1"/>
    <col min="279" max="16384" width="12.77734375" style="1" hidden="1"/>
  </cols>
  <sheetData>
    <row r="1" spans="1:278" customFormat="1" ht="14.4" x14ac:dyDescent="0.3">
      <c r="A1" s="31"/>
      <c r="B1" s="8" t="s">
        <v>153</v>
      </c>
      <c r="C1" s="9">
        <f>D1-1</f>
        <v>2021</v>
      </c>
      <c r="D1" s="9">
        <v>2022</v>
      </c>
      <c r="E1" s="9">
        <v>2023</v>
      </c>
      <c r="F1" s="9">
        <v>2024</v>
      </c>
      <c r="G1" s="9">
        <v>2025</v>
      </c>
      <c r="H1" s="9" t="s">
        <v>12</v>
      </c>
      <c r="I1" s="9" t="s">
        <v>13</v>
      </c>
      <c r="J1" s="9" t="s">
        <v>11</v>
      </c>
      <c r="K1" s="9" t="s">
        <v>14</v>
      </c>
      <c r="L1" s="9" t="s">
        <v>49</v>
      </c>
      <c r="M1" s="9" t="s">
        <v>50</v>
      </c>
      <c r="N1" s="9" t="s">
        <v>51</v>
      </c>
      <c r="O1" s="9" t="s">
        <v>29</v>
      </c>
      <c r="P1" s="9" t="s">
        <v>168</v>
      </c>
      <c r="Q1" s="9" t="s">
        <v>169</v>
      </c>
      <c r="R1" s="9" t="s">
        <v>170</v>
      </c>
      <c r="S1" s="9" t="s">
        <v>171</v>
      </c>
      <c r="T1" s="9" t="s">
        <v>186</v>
      </c>
      <c r="U1" s="2" t="s">
        <v>187</v>
      </c>
      <c r="V1" s="2" t="s">
        <v>188</v>
      </c>
      <c r="W1" s="2" t="s">
        <v>189</v>
      </c>
      <c r="X1" s="2" t="s">
        <v>285</v>
      </c>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row>
    <row r="2" spans="1:278" ht="15" customHeight="1" x14ac:dyDescent="0.3">
      <c r="B2" s="40" t="s">
        <v>103</v>
      </c>
      <c r="C2" s="4">
        <f>'P&amp;L'!C29</f>
        <v>-11506</v>
      </c>
      <c r="D2" s="4">
        <f>'P&amp;L'!D29</f>
        <v>61980</v>
      </c>
      <c r="E2" s="4">
        <f>SUM(H2:K2)</f>
        <v>161397</v>
      </c>
      <c r="F2" s="4">
        <f>SUM(L2:O2)</f>
        <v>181462</v>
      </c>
      <c r="G2" s="4">
        <f>SUM(P2:S2)</f>
        <v>210994</v>
      </c>
      <c r="H2" s="4">
        <f>'P&amp;L'!H29</f>
        <v>38041</v>
      </c>
      <c r="I2" s="4">
        <f>'P&amp;L'!I29</f>
        <v>57081</v>
      </c>
      <c r="J2" s="4">
        <f>'P&amp;L'!J29</f>
        <v>30967</v>
      </c>
      <c r="K2" s="4">
        <f>'P&amp;L'!K29</f>
        <v>35308</v>
      </c>
      <c r="L2" s="4">
        <f>'P&amp;L'!L29</f>
        <v>47071</v>
      </c>
      <c r="M2" s="4">
        <f>'P&amp;L'!M29</f>
        <v>44490</v>
      </c>
      <c r="N2" s="4">
        <f>'P&amp;L'!N29</f>
        <v>35190</v>
      </c>
      <c r="O2" s="4">
        <f>'P&amp;L'!O29</f>
        <v>54711</v>
      </c>
      <c r="P2" s="4">
        <f>'P&amp;L'!P29</f>
        <v>44051</v>
      </c>
      <c r="Q2" s="4">
        <f>'P&amp;L'!Q29</f>
        <v>56062</v>
      </c>
      <c r="R2" s="4">
        <f>'P&amp;L'!R29</f>
        <v>44805</v>
      </c>
      <c r="S2" s="4">
        <f>'P&amp;L'!S29</f>
        <v>66076</v>
      </c>
      <c r="T2" s="4">
        <f>'P&amp;L'!T29</f>
        <v>164525</v>
      </c>
      <c r="U2" s="4">
        <f>'P&amp;L'!U29</f>
        <v>218886</v>
      </c>
      <c r="V2" s="4">
        <f>'P&amp;L'!V29</f>
        <v>185979.9</v>
      </c>
      <c r="W2" s="4">
        <f>'P&amp;L'!W29</f>
        <v>173997.70499999999</v>
      </c>
      <c r="X2" s="4">
        <f>'P&amp;L'!X29</f>
        <v>128465.36400000003</v>
      </c>
    </row>
    <row r="3" spans="1:278" ht="15" customHeight="1" x14ac:dyDescent="0.3">
      <c r="B3"/>
      <c r="C3" s="10"/>
      <c r="D3" s="10"/>
      <c r="E3" s="57"/>
      <c r="F3" s="57"/>
      <c r="G3" s="57"/>
      <c r="H3" s="10"/>
      <c r="I3" s="10"/>
      <c r="J3" s="10"/>
      <c r="K3" s="10"/>
    </row>
    <row r="4" spans="1:278" ht="15" customHeight="1" x14ac:dyDescent="0.3">
      <c r="B4" s="40" t="s">
        <v>122</v>
      </c>
      <c r="C4" s="4">
        <f>SUM(C5:C17)</f>
        <v>103606</v>
      </c>
      <c r="D4" s="4">
        <f t="shared" ref="D4:O4" si="0">SUM(D5:D17)</f>
        <v>94232</v>
      </c>
      <c r="E4" s="36">
        <f t="shared" si="0"/>
        <v>114902</v>
      </c>
      <c r="F4" s="36">
        <f t="shared" si="0"/>
        <v>90902</v>
      </c>
      <c r="G4" s="36">
        <f t="shared" si="0"/>
        <v>60748</v>
      </c>
      <c r="H4" s="4">
        <f t="shared" si="0"/>
        <v>27204</v>
      </c>
      <c r="I4" s="4">
        <f t="shared" si="0"/>
        <v>28140</v>
      </c>
      <c r="J4" s="4">
        <f t="shared" si="0"/>
        <v>29705</v>
      </c>
      <c r="K4" s="4">
        <f t="shared" si="0"/>
        <v>29853</v>
      </c>
      <c r="L4" s="4">
        <f t="shared" si="0"/>
        <v>29956</v>
      </c>
      <c r="M4" s="4">
        <f t="shared" si="0"/>
        <v>29554</v>
      </c>
      <c r="N4" s="4">
        <f t="shared" si="0"/>
        <v>29632</v>
      </c>
      <c r="O4" s="4">
        <f t="shared" si="0"/>
        <v>1760</v>
      </c>
      <c r="P4" s="4">
        <f t="shared" ref="P4" si="1">SUM(P5:P17)</f>
        <v>9996</v>
      </c>
      <c r="Q4" s="4">
        <f t="shared" ref="Q4:S4" si="2">SUM(Q5:Q17)</f>
        <v>11000</v>
      </c>
      <c r="R4" s="4">
        <f t="shared" si="2"/>
        <v>11750</v>
      </c>
      <c r="S4" s="4">
        <f t="shared" si="2"/>
        <v>28002</v>
      </c>
      <c r="T4" s="4">
        <v>-35959</v>
      </c>
      <c r="U4" s="4">
        <f>SUM(U5:U17)</f>
        <v>-8553</v>
      </c>
      <c r="V4" s="4">
        <f t="shared" ref="V4:W4" si="3">SUM(V5:V17)</f>
        <v>25647</v>
      </c>
      <c r="W4" s="4">
        <f t="shared" si="3"/>
        <v>25647</v>
      </c>
      <c r="X4" s="4">
        <f t="shared" ref="X4" si="4">SUM(X5:X17)</f>
        <v>25647</v>
      </c>
    </row>
    <row r="5" spans="1:278" ht="15" customHeight="1" x14ac:dyDescent="0.3">
      <c r="B5" s="43" t="s">
        <v>0</v>
      </c>
      <c r="C5" s="10">
        <v>128639</v>
      </c>
      <c r="D5" s="10">
        <v>123255</v>
      </c>
      <c r="E5" s="57">
        <f t="shared" ref="E5:E17" si="5">SUM(H5:K5)</f>
        <v>108903</v>
      </c>
      <c r="F5" s="57">
        <f>SUM(L5:O5)</f>
        <v>111884</v>
      </c>
      <c r="G5" s="10">
        <f>SUM(P5:S5)</f>
        <v>106369</v>
      </c>
      <c r="H5" s="10">
        <v>25726</v>
      </c>
      <c r="I5" s="10">
        <v>26376</v>
      </c>
      <c r="J5" s="10">
        <v>28326</v>
      </c>
      <c r="K5" s="10">
        <v>28475</v>
      </c>
      <c r="L5" s="1">
        <v>28250</v>
      </c>
      <c r="M5" s="1">
        <f>-'P&amp;L'!M11</f>
        <v>27878</v>
      </c>
      <c r="N5" s="1">
        <f>-'P&amp;L'!N11</f>
        <v>28135</v>
      </c>
      <c r="O5" s="1">
        <f>-'P&amp;L'!O11</f>
        <v>27621</v>
      </c>
      <c r="P5" s="1">
        <f>-'P&amp;L'!P11</f>
        <v>27270</v>
      </c>
      <c r="Q5" s="1">
        <v>26139</v>
      </c>
      <c r="R5" s="10">
        <f>-'P&amp;L'!R11</f>
        <v>25969</v>
      </c>
      <c r="S5" s="1">
        <v>26991</v>
      </c>
      <c r="T5" s="1">
        <f>-'P&amp;L'!T11</f>
        <v>25647</v>
      </c>
      <c r="U5" s="66">
        <f>-'P&amp;L'!U11</f>
        <v>25647</v>
      </c>
      <c r="V5" s="66">
        <f>-'P&amp;L'!V11</f>
        <v>25647</v>
      </c>
      <c r="W5" s="66">
        <f>-'P&amp;L'!W11</f>
        <v>25647</v>
      </c>
      <c r="X5" s="66">
        <f>-'P&amp;L'!X11</f>
        <v>25647</v>
      </c>
    </row>
    <row r="6" spans="1:278" ht="15" customHeight="1" x14ac:dyDescent="0.3">
      <c r="B6" s="43" t="s">
        <v>93</v>
      </c>
      <c r="C6" s="10"/>
      <c r="D6" s="10"/>
      <c r="E6" s="57">
        <f t="shared" si="5"/>
        <v>0</v>
      </c>
      <c r="F6" s="57">
        <f>SUM(L6:O6)</f>
        <v>-27909</v>
      </c>
      <c r="G6" s="10">
        <f t="shared" ref="G6:G17" si="6">SUM(P6:S6)</f>
        <v>0</v>
      </c>
      <c r="H6" s="10"/>
      <c r="I6" s="10"/>
      <c r="J6" s="10"/>
      <c r="K6" s="10"/>
      <c r="O6" s="1">
        <v>-27909</v>
      </c>
      <c r="R6" s="10"/>
      <c r="U6" s="189">
        <v>0</v>
      </c>
      <c r="V6" s="189">
        <v>0</v>
      </c>
      <c r="W6" s="189">
        <v>0</v>
      </c>
      <c r="X6" s="189">
        <v>0</v>
      </c>
    </row>
    <row r="7" spans="1:278" ht="15" customHeight="1" x14ac:dyDescent="0.3">
      <c r="B7" s="43" t="s">
        <v>123</v>
      </c>
      <c r="C7" s="10">
        <v>2550</v>
      </c>
      <c r="D7" s="10">
        <v>2281</v>
      </c>
      <c r="E7" s="57">
        <f t="shared" si="5"/>
        <v>0</v>
      </c>
      <c r="F7" s="57">
        <f>SUM(L7:O7)</f>
        <v>0</v>
      </c>
      <c r="G7" s="10">
        <f t="shared" si="6"/>
        <v>0</v>
      </c>
      <c r="H7" s="10"/>
      <c r="I7" s="10"/>
      <c r="J7" s="10"/>
      <c r="K7" s="10"/>
      <c r="R7" s="10"/>
      <c r="S7" s="10"/>
      <c r="T7" s="1">
        <v>581</v>
      </c>
      <c r="U7" s="189">
        <v>0</v>
      </c>
      <c r="V7" s="189">
        <v>0</v>
      </c>
      <c r="W7" s="189">
        <v>0</v>
      </c>
      <c r="X7" s="189">
        <v>0</v>
      </c>
    </row>
    <row r="8" spans="1:278" ht="15" customHeight="1" x14ac:dyDescent="0.3">
      <c r="B8" s="43" t="s">
        <v>124</v>
      </c>
      <c r="C8" s="10"/>
      <c r="D8" s="10">
        <v>621</v>
      </c>
      <c r="E8" s="57">
        <f t="shared" si="5"/>
        <v>2971</v>
      </c>
      <c r="F8" s="57">
        <f>SUM(L8:O8)</f>
        <v>2627</v>
      </c>
      <c r="G8" s="10">
        <f t="shared" si="6"/>
        <v>2452</v>
      </c>
      <c r="H8" s="10">
        <v>836</v>
      </c>
      <c r="I8" s="10">
        <v>722</v>
      </c>
      <c r="J8" s="10">
        <v>664</v>
      </c>
      <c r="K8" s="10">
        <v>749</v>
      </c>
      <c r="L8" s="1">
        <v>680</v>
      </c>
      <c r="M8" s="10">
        <v>662</v>
      </c>
      <c r="N8" s="10">
        <v>652</v>
      </c>
      <c r="O8" s="10">
        <v>633</v>
      </c>
      <c r="P8" s="10">
        <v>601</v>
      </c>
      <c r="Q8" s="10">
        <v>816</v>
      </c>
      <c r="R8" s="10">
        <v>544</v>
      </c>
      <c r="S8" s="10">
        <v>491</v>
      </c>
      <c r="T8" s="66">
        <v>0</v>
      </c>
      <c r="U8" s="189">
        <v>0</v>
      </c>
      <c r="V8" s="189">
        <v>0</v>
      </c>
      <c r="W8" s="189">
        <v>0</v>
      </c>
      <c r="X8" s="189">
        <v>0</v>
      </c>
    </row>
    <row r="9" spans="1:278" ht="15" customHeight="1" x14ac:dyDescent="0.3">
      <c r="B9" s="43" t="s">
        <v>125</v>
      </c>
      <c r="C9" s="10"/>
      <c r="D9" s="10"/>
      <c r="E9" s="57">
        <f t="shared" si="5"/>
        <v>17</v>
      </c>
      <c r="F9" s="57">
        <f>SUM(L9:O9)</f>
        <v>0</v>
      </c>
      <c r="G9" s="10">
        <f t="shared" si="6"/>
        <v>0</v>
      </c>
      <c r="H9" s="10">
        <v>9</v>
      </c>
      <c r="I9" s="10"/>
      <c r="J9" s="10">
        <v>8</v>
      </c>
      <c r="K9" s="10"/>
      <c r="L9" s="1">
        <v>0</v>
      </c>
      <c r="M9" s="66">
        <v>0</v>
      </c>
      <c r="N9" s="66">
        <v>0</v>
      </c>
      <c r="O9" s="66">
        <v>0</v>
      </c>
      <c r="P9" s="10">
        <v>0</v>
      </c>
      <c r="Q9" s="10">
        <v>0</v>
      </c>
      <c r="R9" s="10">
        <v>0</v>
      </c>
      <c r="S9" s="10">
        <v>0</v>
      </c>
      <c r="T9" s="66">
        <v>0</v>
      </c>
      <c r="U9" s="189">
        <v>0</v>
      </c>
      <c r="V9" s="189">
        <v>0</v>
      </c>
      <c r="W9" s="189">
        <v>0</v>
      </c>
      <c r="X9" s="189">
        <v>0</v>
      </c>
    </row>
    <row r="10" spans="1:278" ht="15" customHeight="1" x14ac:dyDescent="0.3">
      <c r="B10" s="43" t="s">
        <v>126</v>
      </c>
      <c r="C10" s="10">
        <v>-15153</v>
      </c>
      <c r="D10" s="10">
        <v>-19512</v>
      </c>
      <c r="E10" s="57">
        <f t="shared" si="5"/>
        <v>0</v>
      </c>
      <c r="F10" s="57">
        <f>SUM(L10:O10)</f>
        <v>0</v>
      </c>
      <c r="G10" s="10">
        <f t="shared" si="6"/>
        <v>-52942</v>
      </c>
      <c r="H10" s="10"/>
      <c r="I10" s="10"/>
      <c r="J10" s="10"/>
      <c r="K10" s="10"/>
      <c r="L10" s="1">
        <v>0</v>
      </c>
      <c r="M10" s="66">
        <v>0</v>
      </c>
      <c r="N10" s="66">
        <v>0</v>
      </c>
      <c r="O10" s="66">
        <v>0</v>
      </c>
      <c r="P10" s="10">
        <v>-19795</v>
      </c>
      <c r="Q10" s="10">
        <v>-17459</v>
      </c>
      <c r="R10" s="10">
        <v>-15688</v>
      </c>
      <c r="S10" s="10">
        <v>0</v>
      </c>
      <c r="T10" s="10">
        <v>-59994</v>
      </c>
      <c r="U10" s="66">
        <v>-34200</v>
      </c>
      <c r="V10" s="189">
        <v>0</v>
      </c>
      <c r="W10" s="189">
        <v>0</v>
      </c>
      <c r="X10" s="189">
        <v>0</v>
      </c>
    </row>
    <row r="11" spans="1:278" ht="15" customHeight="1" x14ac:dyDescent="0.3">
      <c r="B11" s="43" t="s">
        <v>193</v>
      </c>
      <c r="C11" s="10"/>
      <c r="D11" s="10"/>
      <c r="E11" s="57"/>
      <c r="F11" s="57">
        <f>SUM(L11:O11)</f>
        <v>0</v>
      </c>
      <c r="G11" s="10">
        <f t="shared" si="6"/>
        <v>0</v>
      </c>
      <c r="H11" s="10"/>
      <c r="I11" s="10"/>
      <c r="J11" s="10"/>
      <c r="K11" s="10"/>
      <c r="M11" s="66"/>
      <c r="N11" s="66"/>
      <c r="O11" s="66"/>
      <c r="P11" s="10"/>
      <c r="Q11" s="10"/>
      <c r="R11" s="10"/>
      <c r="S11" s="10"/>
      <c r="T11" s="10">
        <v>-2170</v>
      </c>
      <c r="U11" s="189">
        <v>0</v>
      </c>
      <c r="V11" s="189">
        <v>0</v>
      </c>
      <c r="W11" s="189">
        <v>0</v>
      </c>
      <c r="X11" s="189">
        <v>0</v>
      </c>
    </row>
    <row r="12" spans="1:278" ht="15" customHeight="1" x14ac:dyDescent="0.3">
      <c r="B12" s="43" t="s">
        <v>127</v>
      </c>
      <c r="C12" s="10">
        <v>-12450</v>
      </c>
      <c r="D12" s="10">
        <v>-14983</v>
      </c>
      <c r="E12" s="57">
        <f t="shared" si="5"/>
        <v>503</v>
      </c>
      <c r="F12" s="57">
        <f>SUM(L12:O12)</f>
        <v>0</v>
      </c>
      <c r="G12" s="10">
        <f t="shared" si="6"/>
        <v>169</v>
      </c>
      <c r="H12" s="10">
        <v>433</v>
      </c>
      <c r="I12" s="10">
        <v>70</v>
      </c>
      <c r="J12" s="10"/>
      <c r="K12" s="10"/>
      <c r="L12" s="1">
        <v>0</v>
      </c>
      <c r="M12" s="66">
        <v>0</v>
      </c>
      <c r="N12" s="66">
        <v>0</v>
      </c>
      <c r="O12" s="66">
        <v>0</v>
      </c>
      <c r="P12" s="66">
        <v>0</v>
      </c>
      <c r="Q12" s="10">
        <v>0</v>
      </c>
      <c r="R12" s="10">
        <v>354</v>
      </c>
      <c r="S12" s="10">
        <v>-185</v>
      </c>
      <c r="T12" s="10">
        <v>-1119</v>
      </c>
      <c r="U12" s="189">
        <v>0</v>
      </c>
      <c r="V12" s="189">
        <v>0</v>
      </c>
      <c r="W12" s="189">
        <v>0</v>
      </c>
      <c r="X12" s="189">
        <v>0</v>
      </c>
    </row>
    <row r="13" spans="1:278" ht="15" customHeight="1" x14ac:dyDescent="0.3">
      <c r="B13" s="43" t="s">
        <v>128</v>
      </c>
      <c r="C13" s="10"/>
      <c r="D13" s="10">
        <v>637</v>
      </c>
      <c r="E13" s="57">
        <f t="shared" si="5"/>
        <v>0</v>
      </c>
      <c r="F13" s="57">
        <f>SUM(L13:O13)</f>
        <v>0</v>
      </c>
      <c r="G13" s="10">
        <f t="shared" si="6"/>
        <v>0</v>
      </c>
      <c r="H13" s="10"/>
      <c r="I13" s="10"/>
      <c r="J13" s="10"/>
      <c r="K13" s="10"/>
      <c r="Q13" s="10"/>
      <c r="R13" s="10"/>
      <c r="S13" s="10"/>
      <c r="U13" s="189">
        <v>0</v>
      </c>
      <c r="V13" s="189">
        <v>0</v>
      </c>
      <c r="W13" s="189">
        <v>0</v>
      </c>
      <c r="X13" s="189">
        <v>0</v>
      </c>
    </row>
    <row r="14" spans="1:278" ht="15" customHeight="1" x14ac:dyDescent="0.3">
      <c r="B14" s="43" t="s">
        <v>129</v>
      </c>
      <c r="C14" s="10">
        <v>4347</v>
      </c>
      <c r="D14" s="10">
        <v>4133</v>
      </c>
      <c r="E14" s="57">
        <f t="shared" si="5"/>
        <v>3233</v>
      </c>
      <c r="F14" s="57">
        <f>SUM(L14:O14)</f>
        <v>4291</v>
      </c>
      <c r="G14" s="10">
        <f t="shared" si="6"/>
        <v>4380</v>
      </c>
      <c r="H14" s="10">
        <v>891</v>
      </c>
      <c r="I14" s="10">
        <v>976</v>
      </c>
      <c r="J14" s="10">
        <v>716</v>
      </c>
      <c r="K14" s="10">
        <v>650</v>
      </c>
      <c r="L14" s="1">
        <v>991</v>
      </c>
      <c r="M14" s="1">
        <v>1005</v>
      </c>
      <c r="N14" s="1">
        <v>903</v>
      </c>
      <c r="O14" s="1">
        <v>1392</v>
      </c>
      <c r="P14" s="1">
        <v>1850</v>
      </c>
      <c r="Q14" s="10">
        <v>1208</v>
      </c>
      <c r="R14" s="10">
        <v>661</v>
      </c>
      <c r="S14" s="10">
        <v>661</v>
      </c>
      <c r="T14" s="1">
        <v>989</v>
      </c>
      <c r="U14" s="189">
        <v>0</v>
      </c>
      <c r="V14" s="189">
        <v>0</v>
      </c>
      <c r="W14" s="189">
        <v>0</v>
      </c>
      <c r="X14" s="189">
        <v>0</v>
      </c>
    </row>
    <row r="15" spans="1:278" ht="15" customHeight="1" x14ac:dyDescent="0.3">
      <c r="B15" s="43" t="s">
        <v>130</v>
      </c>
      <c r="C15" s="10"/>
      <c r="D15" s="10">
        <v>-204</v>
      </c>
      <c r="E15" s="57">
        <f t="shared" si="5"/>
        <v>-32</v>
      </c>
      <c r="F15" s="57">
        <f>SUM(L15:O15)</f>
        <v>9</v>
      </c>
      <c r="G15" s="10">
        <f t="shared" si="6"/>
        <v>320</v>
      </c>
      <c r="H15" s="10">
        <v>2</v>
      </c>
      <c r="I15" s="10">
        <v>-4</v>
      </c>
      <c r="J15" s="10">
        <v>-9</v>
      </c>
      <c r="K15" s="10">
        <v>-21</v>
      </c>
      <c r="L15" s="1">
        <v>35</v>
      </c>
      <c r="M15" s="1">
        <v>9</v>
      </c>
      <c r="N15" s="1">
        <v>-58</v>
      </c>
      <c r="O15" s="1">
        <v>23</v>
      </c>
      <c r="P15" s="1">
        <v>70</v>
      </c>
      <c r="Q15" s="10">
        <v>296</v>
      </c>
      <c r="R15" s="10">
        <v>-90</v>
      </c>
      <c r="S15" s="10">
        <v>44</v>
      </c>
      <c r="T15" s="1">
        <v>108</v>
      </c>
      <c r="U15" s="189">
        <v>0</v>
      </c>
      <c r="V15" s="189">
        <v>0</v>
      </c>
      <c r="W15" s="189">
        <v>0</v>
      </c>
      <c r="X15" s="189">
        <v>0</v>
      </c>
    </row>
    <row r="16" spans="1:278" ht="15" customHeight="1" x14ac:dyDescent="0.3">
      <c r="B16" s="43" t="s">
        <v>131</v>
      </c>
      <c r="C16" s="10">
        <v>-3049</v>
      </c>
      <c r="D16" s="10">
        <v>-669</v>
      </c>
      <c r="E16" s="57">
        <f t="shared" si="5"/>
        <v>-693</v>
      </c>
      <c r="F16" s="57">
        <f>SUM(L16:O16)</f>
        <v>0</v>
      </c>
      <c r="G16" s="10">
        <f t="shared" si="6"/>
        <v>0</v>
      </c>
      <c r="H16" s="10">
        <v>-693</v>
      </c>
      <c r="I16" s="10"/>
      <c r="J16" s="10"/>
      <c r="K16" s="10"/>
      <c r="L16" s="1">
        <v>0</v>
      </c>
      <c r="Q16" s="10"/>
      <c r="R16" s="10"/>
    </row>
    <row r="17" spans="1:24" ht="15" customHeight="1" x14ac:dyDescent="0.3">
      <c r="B17" s="43" t="s">
        <v>132</v>
      </c>
      <c r="C17" s="10">
        <v>-1278</v>
      </c>
      <c r="D17" s="10">
        <v>-1327</v>
      </c>
      <c r="E17" s="57">
        <f t="shared" si="5"/>
        <v>0</v>
      </c>
      <c r="F17" s="57">
        <f>SUM(L17:O17)</f>
        <v>0</v>
      </c>
      <c r="G17" s="10">
        <f t="shared" si="6"/>
        <v>0</v>
      </c>
      <c r="H17" s="10"/>
      <c r="I17" s="10"/>
      <c r="J17" s="10"/>
      <c r="K17" s="10"/>
    </row>
    <row r="18" spans="1:24" ht="15" customHeight="1" x14ac:dyDescent="0.3">
      <c r="B18" s="14" t="s">
        <v>133</v>
      </c>
      <c r="C18" s="6">
        <f>C2+C4</f>
        <v>92100</v>
      </c>
      <c r="D18" s="6">
        <f t="shared" ref="D18:N18" si="7">D2+D4</f>
        <v>156212</v>
      </c>
      <c r="E18" s="26">
        <f t="shared" si="7"/>
        <v>276299</v>
      </c>
      <c r="F18" s="26">
        <f t="shared" si="7"/>
        <v>272364</v>
      </c>
      <c r="G18" s="26">
        <f t="shared" si="7"/>
        <v>271742</v>
      </c>
      <c r="H18" s="6">
        <f t="shared" si="7"/>
        <v>65245</v>
      </c>
      <c r="I18" s="6">
        <f t="shared" si="7"/>
        <v>85221</v>
      </c>
      <c r="J18" s="6">
        <f t="shared" si="7"/>
        <v>60672</v>
      </c>
      <c r="K18" s="6">
        <f t="shared" si="7"/>
        <v>65161</v>
      </c>
      <c r="L18" s="6">
        <f t="shared" si="7"/>
        <v>77027</v>
      </c>
      <c r="M18" s="6">
        <f t="shared" si="7"/>
        <v>74044</v>
      </c>
      <c r="N18" s="6">
        <f t="shared" si="7"/>
        <v>64822</v>
      </c>
      <c r="O18" s="6">
        <f t="shared" ref="O18:P18" si="8">O2+O4</f>
        <v>56471</v>
      </c>
      <c r="P18" s="6">
        <f t="shared" si="8"/>
        <v>54047</v>
      </c>
      <c r="Q18" s="6">
        <f t="shared" ref="Q18:S18" si="9">Q2+Q4</f>
        <v>67062</v>
      </c>
      <c r="R18" s="6">
        <f t="shared" si="9"/>
        <v>56555</v>
      </c>
      <c r="S18" s="6">
        <f t="shared" si="9"/>
        <v>94078</v>
      </c>
      <c r="T18" s="6">
        <f t="shared" ref="T18:U18" si="10">T2+T4</f>
        <v>128566</v>
      </c>
      <c r="U18" s="6">
        <f t="shared" si="10"/>
        <v>210333</v>
      </c>
      <c r="V18" s="6">
        <f t="shared" ref="V18:W18" si="11">V2+V4</f>
        <v>211626.9</v>
      </c>
      <c r="W18" s="6">
        <f t="shared" si="11"/>
        <v>199644.70499999999</v>
      </c>
      <c r="X18" s="6">
        <f t="shared" ref="X18" si="12">X2+X4</f>
        <v>154112.36400000003</v>
      </c>
    </row>
    <row r="19" spans="1:24" ht="15" customHeight="1" x14ac:dyDescent="0.3">
      <c r="B19" s="43"/>
      <c r="C19" s="10"/>
      <c r="D19" s="10"/>
      <c r="E19" s="57"/>
      <c r="F19" s="57"/>
      <c r="G19" s="57"/>
      <c r="H19" s="10"/>
      <c r="I19" s="10"/>
      <c r="J19" s="10"/>
      <c r="K19" s="10"/>
    </row>
    <row r="20" spans="1:24" ht="15" customHeight="1" x14ac:dyDescent="0.3">
      <c r="B20" s="40" t="s">
        <v>45</v>
      </c>
      <c r="C20" s="4">
        <f>SUM(C21:C27)</f>
        <v>-31538</v>
      </c>
      <c r="D20" s="4">
        <f t="shared" ref="D20:N20" si="13">SUM(D21:D27)</f>
        <v>-28436</v>
      </c>
      <c r="E20" s="36">
        <f t="shared" si="13"/>
        <v>-24890</v>
      </c>
      <c r="F20" s="36">
        <f t="shared" si="13"/>
        <v>26293</v>
      </c>
      <c r="G20" s="36">
        <f>SUM(G21:G27)</f>
        <v>4941</v>
      </c>
      <c r="H20" s="4">
        <f t="shared" si="13"/>
        <v>1209</v>
      </c>
      <c r="I20" s="4">
        <f t="shared" si="13"/>
        <v>1744</v>
      </c>
      <c r="J20" s="4">
        <f t="shared" si="13"/>
        <v>-4948</v>
      </c>
      <c r="K20" s="4">
        <f t="shared" si="13"/>
        <v>-22895</v>
      </c>
      <c r="L20" s="4">
        <f t="shared" si="13"/>
        <v>-7160</v>
      </c>
      <c r="M20" s="4">
        <f t="shared" si="13"/>
        <v>8815</v>
      </c>
      <c r="N20" s="4">
        <f t="shared" si="13"/>
        <v>15323</v>
      </c>
      <c r="O20" s="4">
        <f t="shared" ref="O20:W20" si="14">SUM(O21:O27)</f>
        <v>9315</v>
      </c>
      <c r="P20" s="4">
        <f t="shared" si="14"/>
        <v>5165</v>
      </c>
      <c r="Q20" s="4">
        <f t="shared" si="14"/>
        <v>16545</v>
      </c>
      <c r="R20" s="4">
        <f t="shared" si="14"/>
        <v>4341</v>
      </c>
      <c r="S20" s="4">
        <f t="shared" si="14"/>
        <v>-21110</v>
      </c>
      <c r="T20" s="4">
        <f t="shared" si="14"/>
        <v>-29830</v>
      </c>
      <c r="U20" s="4">
        <f t="shared" si="14"/>
        <v>0</v>
      </c>
      <c r="V20" s="4">
        <f t="shared" si="14"/>
        <v>0</v>
      </c>
      <c r="W20" s="4">
        <f t="shared" si="14"/>
        <v>0</v>
      </c>
      <c r="X20" s="4">
        <f t="shared" ref="X20" si="15">SUM(X21:X27)</f>
        <v>0</v>
      </c>
    </row>
    <row r="21" spans="1:24" ht="15" customHeight="1" x14ac:dyDescent="0.3">
      <c r="B21" s="43" t="s">
        <v>109</v>
      </c>
      <c r="C21" s="10">
        <v>-301</v>
      </c>
      <c r="D21" s="10">
        <v>-28702</v>
      </c>
      <c r="E21" s="57">
        <f t="shared" ref="E21:E27" si="16">SUM(H21:K21)</f>
        <v>-16383</v>
      </c>
      <c r="F21" s="57">
        <f>SUM(L21:O21)</f>
        <v>22133</v>
      </c>
      <c r="G21" s="10">
        <f t="shared" ref="G21:G27" si="17">SUM(P21:S21)</f>
        <v>-405</v>
      </c>
      <c r="H21" s="10">
        <v>4454</v>
      </c>
      <c r="I21" s="10">
        <v>-1820</v>
      </c>
      <c r="J21" s="10">
        <v>1147</v>
      </c>
      <c r="K21" s="10">
        <v>-20164</v>
      </c>
      <c r="L21" s="1">
        <v>-4713</v>
      </c>
      <c r="M21" s="1">
        <v>10206</v>
      </c>
      <c r="N21" s="1">
        <v>11802</v>
      </c>
      <c r="O21" s="1">
        <v>4838</v>
      </c>
      <c r="P21" s="1">
        <v>2517</v>
      </c>
      <c r="Q21" s="1">
        <v>10655</v>
      </c>
      <c r="R21" s="1">
        <v>6153</v>
      </c>
      <c r="S21" s="1">
        <v>-19730</v>
      </c>
      <c r="T21" s="1">
        <v>-30418</v>
      </c>
    </row>
    <row r="22" spans="1:24" ht="15" customHeight="1" x14ac:dyDescent="0.3">
      <c r="B22" s="43" t="s">
        <v>110</v>
      </c>
      <c r="C22" s="10">
        <v>-356</v>
      </c>
      <c r="D22" s="10">
        <v>-1403</v>
      </c>
      <c r="E22" s="57">
        <f t="shared" si="16"/>
        <v>250</v>
      </c>
      <c r="F22" s="57">
        <f>SUM(L22:O22)</f>
        <v>99</v>
      </c>
      <c r="G22" s="10">
        <f t="shared" si="17"/>
        <v>767</v>
      </c>
      <c r="H22" s="10">
        <v>-688</v>
      </c>
      <c r="I22" s="10">
        <v>1295</v>
      </c>
      <c r="J22" s="10">
        <v>-625</v>
      </c>
      <c r="K22" s="10">
        <v>268</v>
      </c>
      <c r="L22" s="1">
        <v>-2129</v>
      </c>
      <c r="M22" s="1">
        <v>-1373</v>
      </c>
      <c r="N22" s="1">
        <v>3203</v>
      </c>
      <c r="O22" s="1">
        <v>398</v>
      </c>
      <c r="P22" s="1">
        <v>-195</v>
      </c>
      <c r="Q22" s="1">
        <v>1078</v>
      </c>
      <c r="R22" s="1">
        <v>106</v>
      </c>
      <c r="S22" s="1">
        <v>-222</v>
      </c>
      <c r="T22" s="1">
        <v>-18</v>
      </c>
    </row>
    <row r="23" spans="1:24" ht="15" customHeight="1" x14ac:dyDescent="0.3">
      <c r="B23" s="43" t="s">
        <v>111</v>
      </c>
      <c r="C23" s="10">
        <v>523</v>
      </c>
      <c r="D23" s="10">
        <v>-3538</v>
      </c>
      <c r="E23" s="57">
        <f t="shared" si="16"/>
        <v>-3009</v>
      </c>
      <c r="F23" s="57">
        <f>SUM(L23:O23)</f>
        <v>6358</v>
      </c>
      <c r="G23" s="10">
        <f t="shared" si="17"/>
        <v>-2478</v>
      </c>
      <c r="H23" s="10">
        <v>1109</v>
      </c>
      <c r="I23" s="10">
        <v>-847</v>
      </c>
      <c r="J23" s="10">
        <v>1264</v>
      </c>
      <c r="K23" s="10">
        <v>-4535</v>
      </c>
      <c r="L23" s="1">
        <v>5907</v>
      </c>
      <c r="M23" s="1">
        <v>-2244</v>
      </c>
      <c r="N23" s="1">
        <v>-3105</v>
      </c>
      <c r="O23" s="1">
        <v>5800</v>
      </c>
      <c r="P23" s="1">
        <v>1873</v>
      </c>
      <c r="Q23" s="1">
        <v>1001</v>
      </c>
      <c r="R23" s="1">
        <v>-2100</v>
      </c>
      <c r="S23" s="1">
        <v>-3252</v>
      </c>
      <c r="T23" s="1">
        <v>3177</v>
      </c>
    </row>
    <row r="24" spans="1:24" ht="15" customHeight="1" x14ac:dyDescent="0.3">
      <c r="B24" s="43" t="s">
        <v>117</v>
      </c>
      <c r="C24" s="10">
        <v>1510</v>
      </c>
      <c r="D24" s="10">
        <v>5641</v>
      </c>
      <c r="E24" s="57">
        <f t="shared" si="16"/>
        <v>-4938</v>
      </c>
      <c r="F24" s="57">
        <f>SUM(L24:O24)</f>
        <v>33</v>
      </c>
      <c r="G24" s="10">
        <f t="shared" si="17"/>
        <v>-11206</v>
      </c>
      <c r="H24" s="10">
        <v>-9932</v>
      </c>
      <c r="I24" s="10">
        <v>9506</v>
      </c>
      <c r="J24" s="10">
        <v>-2214</v>
      </c>
      <c r="K24" s="10">
        <v>-2298</v>
      </c>
      <c r="L24" s="1">
        <v>1894</v>
      </c>
      <c r="M24" s="1">
        <v>-1626</v>
      </c>
      <c r="N24" s="1">
        <v>410</v>
      </c>
      <c r="O24" s="1">
        <v>-645</v>
      </c>
      <c r="P24" s="1">
        <v>-5047</v>
      </c>
      <c r="Q24" s="1">
        <v>995</v>
      </c>
      <c r="R24" s="1">
        <v>-5745</v>
      </c>
      <c r="S24" s="1">
        <v>-1409</v>
      </c>
      <c r="T24" s="1">
        <v>7792</v>
      </c>
    </row>
    <row r="25" spans="1:24" ht="15" customHeight="1" x14ac:dyDescent="0.3">
      <c r="B25" s="43" t="s">
        <v>120</v>
      </c>
      <c r="C25" s="10">
        <v>-11372</v>
      </c>
      <c r="D25" s="10">
        <v>-692</v>
      </c>
      <c r="E25" s="57">
        <f t="shared" si="16"/>
        <v>222</v>
      </c>
      <c r="F25" s="57">
        <f>SUM(L25:O25)</f>
        <v>1745</v>
      </c>
      <c r="G25" s="10">
        <f t="shared" si="17"/>
        <v>5258</v>
      </c>
      <c r="H25" s="10">
        <v>920</v>
      </c>
      <c r="I25" s="10">
        <v>418</v>
      </c>
      <c r="J25" s="10">
        <v>-1116</v>
      </c>
      <c r="K25" s="10">
        <v>0</v>
      </c>
      <c r="L25" s="1">
        <v>-4394</v>
      </c>
      <c r="M25" s="1">
        <v>3247</v>
      </c>
      <c r="N25" s="1">
        <v>-535</v>
      </c>
      <c r="O25" s="1">
        <v>3427</v>
      </c>
      <c r="P25" s="1">
        <v>1362</v>
      </c>
      <c r="Q25" s="1">
        <v>462</v>
      </c>
      <c r="R25" s="1">
        <v>-1253</v>
      </c>
      <c r="S25" s="1">
        <v>4687</v>
      </c>
      <c r="T25" s="1">
        <v>-4804</v>
      </c>
    </row>
    <row r="26" spans="1:24" ht="15" customHeight="1" x14ac:dyDescent="0.3">
      <c r="B26" s="43" t="s">
        <v>113</v>
      </c>
      <c r="C26" s="10">
        <v>-21542</v>
      </c>
      <c r="D26" s="10">
        <v>327</v>
      </c>
      <c r="E26" s="57">
        <f t="shared" si="16"/>
        <v>-737</v>
      </c>
      <c r="F26" s="57">
        <f>SUM(L26:O26)</f>
        <v>-3881</v>
      </c>
      <c r="G26" s="10">
        <f t="shared" si="17"/>
        <v>13005</v>
      </c>
      <c r="H26" s="10">
        <v>5411</v>
      </c>
      <c r="I26" s="10">
        <v>-6700</v>
      </c>
      <c r="J26" s="10">
        <v>-3425</v>
      </c>
      <c r="K26" s="10">
        <v>3977</v>
      </c>
      <c r="L26" s="1">
        <v>-3625</v>
      </c>
      <c r="M26" s="1">
        <v>625</v>
      </c>
      <c r="N26" s="1">
        <v>3508</v>
      </c>
      <c r="O26" s="1">
        <v>-4389</v>
      </c>
      <c r="P26" s="1">
        <v>4655</v>
      </c>
      <c r="Q26" s="1">
        <v>2354</v>
      </c>
      <c r="R26" s="1">
        <v>7180</v>
      </c>
      <c r="S26" s="1">
        <v>-1184</v>
      </c>
      <c r="T26" s="1">
        <v>-5559</v>
      </c>
    </row>
    <row r="27" spans="1:24" ht="15" customHeight="1" x14ac:dyDescent="0.3">
      <c r="B27" s="43" t="s">
        <v>134</v>
      </c>
      <c r="C27" s="10"/>
      <c r="D27" s="10">
        <v>-69</v>
      </c>
      <c r="E27" s="57">
        <f t="shared" si="16"/>
        <v>-295</v>
      </c>
      <c r="F27" s="57">
        <f>SUM(L27:O27)</f>
        <v>-194</v>
      </c>
      <c r="G27" s="10">
        <f t="shared" si="17"/>
        <v>0</v>
      </c>
      <c r="H27" s="10">
        <v>-65</v>
      </c>
      <c r="I27" s="10">
        <v>-108</v>
      </c>
      <c r="J27" s="10">
        <v>21</v>
      </c>
      <c r="K27" s="10">
        <v>-143</v>
      </c>
      <c r="L27" s="1">
        <v>-100</v>
      </c>
      <c r="M27" s="1">
        <v>-20</v>
      </c>
      <c r="N27" s="1">
        <v>40</v>
      </c>
      <c r="O27" s="1">
        <v>-114</v>
      </c>
      <c r="P27" s="1">
        <v>0</v>
      </c>
    </row>
    <row r="28" spans="1:24" ht="15" customHeight="1" x14ac:dyDescent="0.3">
      <c r="A28" s="35" t="s">
        <v>10</v>
      </c>
      <c r="B28" s="116" t="s">
        <v>135</v>
      </c>
      <c r="C28" s="117">
        <f>C18+C20</f>
        <v>60562</v>
      </c>
      <c r="D28" s="117">
        <f t="shared" ref="D28:N28" si="18">D18+D20</f>
        <v>127776</v>
      </c>
      <c r="E28" s="117">
        <f t="shared" si="18"/>
        <v>251409</v>
      </c>
      <c r="F28" s="117">
        <f t="shared" si="18"/>
        <v>298657</v>
      </c>
      <c r="G28" s="117">
        <f t="shared" si="18"/>
        <v>276683</v>
      </c>
      <c r="H28" s="117">
        <f t="shared" si="18"/>
        <v>66454</v>
      </c>
      <c r="I28" s="117">
        <f t="shared" si="18"/>
        <v>86965</v>
      </c>
      <c r="J28" s="117">
        <f t="shared" si="18"/>
        <v>55724</v>
      </c>
      <c r="K28" s="117">
        <f t="shared" si="18"/>
        <v>42266</v>
      </c>
      <c r="L28" s="117">
        <f t="shared" si="18"/>
        <v>69867</v>
      </c>
      <c r="M28" s="117">
        <f t="shared" si="18"/>
        <v>82859</v>
      </c>
      <c r="N28" s="117">
        <f t="shared" si="18"/>
        <v>80145</v>
      </c>
      <c r="O28" s="117">
        <f t="shared" ref="O28:S28" si="19">O18+O20</f>
        <v>65786</v>
      </c>
      <c r="P28" s="117">
        <f t="shared" si="19"/>
        <v>59212</v>
      </c>
      <c r="Q28" s="117">
        <f t="shared" si="19"/>
        <v>83607</v>
      </c>
      <c r="R28" s="117">
        <f t="shared" si="19"/>
        <v>60896</v>
      </c>
      <c r="S28" s="117">
        <f t="shared" si="19"/>
        <v>72968</v>
      </c>
      <c r="T28" s="117">
        <f t="shared" ref="T28:U28" si="20">T18+T20</f>
        <v>98736</v>
      </c>
      <c r="U28" s="117">
        <f t="shared" si="20"/>
        <v>210333</v>
      </c>
      <c r="V28" s="117">
        <f t="shared" ref="V28:W28" si="21">V18+V20</f>
        <v>211626.9</v>
      </c>
      <c r="W28" s="117">
        <f t="shared" si="21"/>
        <v>199644.70499999999</v>
      </c>
      <c r="X28" s="117">
        <f t="shared" ref="X28" si="22">X18+X20</f>
        <v>154112.36400000003</v>
      </c>
    </row>
    <row r="29" spans="1:24" ht="15" customHeight="1" x14ac:dyDescent="0.3">
      <c r="C29" s="29"/>
      <c r="D29" s="29"/>
      <c r="E29" s="134"/>
      <c r="F29" s="134"/>
      <c r="G29" s="134"/>
      <c r="H29" s="29"/>
      <c r="I29" s="29"/>
      <c r="J29" s="29"/>
      <c r="K29" s="29"/>
    </row>
    <row r="30" spans="1:24" ht="15" customHeight="1" x14ac:dyDescent="0.3">
      <c r="E30" s="23"/>
      <c r="F30" s="23"/>
      <c r="G30" s="23"/>
    </row>
    <row r="31" spans="1:24" ht="15" customHeight="1" x14ac:dyDescent="0.3">
      <c r="B31" t="s">
        <v>136</v>
      </c>
      <c r="C31" s="1">
        <v>-174558</v>
      </c>
      <c r="D31" s="1">
        <v>-9902</v>
      </c>
      <c r="E31" s="57">
        <f t="shared" ref="E31:E37" si="23">SUM(H31:K31)</f>
        <v>-128082</v>
      </c>
      <c r="F31" s="57">
        <f>SUM(L31:O31)</f>
        <v>-6688</v>
      </c>
      <c r="G31" s="10">
        <f t="shared" ref="G31:G37" si="24">SUM(P31:S31)</f>
        <v>-136934</v>
      </c>
      <c r="H31" s="1">
        <v>-14829</v>
      </c>
      <c r="I31" s="1">
        <v>-18125</v>
      </c>
      <c r="J31" s="1">
        <v>-92943</v>
      </c>
      <c r="K31" s="1">
        <v>-2185</v>
      </c>
      <c r="L31" s="1">
        <v>-3832</v>
      </c>
      <c r="M31" s="1">
        <v>-798</v>
      </c>
      <c r="N31" s="1">
        <v>-2004</v>
      </c>
      <c r="O31" s="1">
        <v>-54</v>
      </c>
      <c r="P31" s="1">
        <v>-25809</v>
      </c>
      <c r="Q31" s="1">
        <v>-1146</v>
      </c>
      <c r="R31" s="1">
        <v>-12350</v>
      </c>
      <c r="S31" s="1">
        <v>-97629</v>
      </c>
      <c r="T31" s="1">
        <v>-2849</v>
      </c>
      <c r="U31" s="1">
        <f>-Balance!P59</f>
        <v>-77500</v>
      </c>
      <c r="V31" s="1">
        <f>-Balance!Q59</f>
        <v>0</v>
      </c>
      <c r="W31" s="1">
        <f>-Balance!R59</f>
        <v>0</v>
      </c>
      <c r="X31" s="1">
        <f>-Balance!S59</f>
        <v>0</v>
      </c>
    </row>
    <row r="32" spans="1:24" ht="15" customHeight="1" x14ac:dyDescent="0.3">
      <c r="B32" t="s">
        <v>166</v>
      </c>
      <c r="E32" s="57"/>
      <c r="F32" s="57">
        <f>SUM(L32:O32)</f>
        <v>-90195</v>
      </c>
      <c r="G32" s="10">
        <f t="shared" si="24"/>
        <v>-172702</v>
      </c>
      <c r="L32" s="1">
        <v>-43</v>
      </c>
      <c r="M32" s="1">
        <v>-51454</v>
      </c>
      <c r="N32" s="1">
        <v>-25840</v>
      </c>
      <c r="O32" s="1">
        <v>-12858</v>
      </c>
      <c r="Q32" s="1">
        <v>-38714</v>
      </c>
      <c r="R32" s="1">
        <v>-26167</v>
      </c>
      <c r="S32" s="1">
        <v>-107821</v>
      </c>
      <c r="T32" s="1">
        <v>-159971</v>
      </c>
      <c r="U32" s="120">
        <v>0</v>
      </c>
      <c r="V32" s="189">
        <v>0</v>
      </c>
      <c r="W32" s="189">
        <v>0</v>
      </c>
      <c r="X32" s="189">
        <v>0</v>
      </c>
    </row>
    <row r="33" spans="1:24" ht="15" customHeight="1" x14ac:dyDescent="0.3">
      <c r="B33" t="s">
        <v>47</v>
      </c>
      <c r="C33" s="1">
        <v>87062</v>
      </c>
      <c r="D33" s="1">
        <v>112399</v>
      </c>
      <c r="E33" s="57">
        <f t="shared" si="23"/>
        <v>0</v>
      </c>
      <c r="F33" s="57">
        <f>SUM(L33:O33)</f>
        <v>0</v>
      </c>
      <c r="G33" s="10">
        <f t="shared" si="24"/>
        <v>143521</v>
      </c>
      <c r="L33" s="1">
        <v>0</v>
      </c>
      <c r="P33" s="1">
        <v>42489</v>
      </c>
      <c r="Q33" s="1">
        <v>50942</v>
      </c>
      <c r="R33" s="1">
        <v>50090</v>
      </c>
      <c r="S33" s="1">
        <v>0</v>
      </c>
      <c r="T33" s="1">
        <v>101009</v>
      </c>
      <c r="U33" s="118">
        <v>51500</v>
      </c>
      <c r="V33" s="118">
        <v>0</v>
      </c>
      <c r="W33" s="118">
        <v>0</v>
      </c>
      <c r="X33" s="118">
        <v>0</v>
      </c>
    </row>
    <row r="34" spans="1:24" ht="15" customHeight="1" x14ac:dyDescent="0.3">
      <c r="B34" t="s">
        <v>137</v>
      </c>
      <c r="D34" s="1">
        <v>-2</v>
      </c>
      <c r="E34" s="57">
        <f t="shared" si="23"/>
        <v>0</v>
      </c>
      <c r="F34" s="57">
        <f>SUM(L34:O34)</f>
        <v>0</v>
      </c>
      <c r="G34" s="10">
        <f t="shared" si="24"/>
        <v>0</v>
      </c>
      <c r="U34" s="120">
        <v>0</v>
      </c>
      <c r="V34" s="189">
        <v>0</v>
      </c>
      <c r="W34" s="189">
        <v>0</v>
      </c>
      <c r="X34" s="189">
        <v>0</v>
      </c>
    </row>
    <row r="35" spans="1:24" ht="15" customHeight="1" x14ac:dyDescent="0.3">
      <c r="B35" t="s">
        <v>138</v>
      </c>
      <c r="D35" s="1">
        <v>8267</v>
      </c>
      <c r="E35" s="57">
        <f t="shared" si="23"/>
        <v>0</v>
      </c>
      <c r="F35" s="57">
        <f>SUM(L35:O35)</f>
        <v>0</v>
      </c>
      <c r="G35" s="10">
        <f t="shared" si="24"/>
        <v>0</v>
      </c>
      <c r="U35" s="120">
        <v>0</v>
      </c>
      <c r="V35" s="189">
        <v>0</v>
      </c>
      <c r="W35" s="189">
        <v>0</v>
      </c>
      <c r="X35" s="189">
        <v>0</v>
      </c>
    </row>
    <row r="36" spans="1:24" ht="15" customHeight="1" x14ac:dyDescent="0.3">
      <c r="B36" t="s">
        <v>139</v>
      </c>
      <c r="C36" s="1">
        <v>1031</v>
      </c>
      <c r="D36" s="1">
        <v>0</v>
      </c>
      <c r="E36" s="57">
        <f t="shared" si="23"/>
        <v>0</v>
      </c>
      <c r="F36" s="57">
        <f>SUM(L36:O36)</f>
        <v>0</v>
      </c>
      <c r="G36" s="10">
        <f t="shared" si="24"/>
        <v>0</v>
      </c>
      <c r="U36" s="120">
        <v>0</v>
      </c>
      <c r="V36" s="189">
        <v>0</v>
      </c>
      <c r="W36" s="189">
        <v>0</v>
      </c>
      <c r="X36" s="189">
        <v>0</v>
      </c>
    </row>
    <row r="37" spans="1:24" ht="15" customHeight="1" x14ac:dyDescent="0.3">
      <c r="B37" t="s">
        <v>140</v>
      </c>
      <c r="C37" s="1">
        <v>-48</v>
      </c>
      <c r="D37" s="1">
        <v>-243</v>
      </c>
      <c r="E37" s="57">
        <f t="shared" si="23"/>
        <v>-151</v>
      </c>
      <c r="F37" s="57">
        <f>SUM(L37:O37)</f>
        <v>-149</v>
      </c>
      <c r="G37" s="10">
        <f t="shared" si="24"/>
        <v>-306</v>
      </c>
      <c r="H37" s="1">
        <v>-35</v>
      </c>
      <c r="I37" s="1">
        <v>-10</v>
      </c>
      <c r="J37" s="1">
        <v>-89</v>
      </c>
      <c r="K37" s="1">
        <v>-17</v>
      </c>
      <c r="L37" s="1">
        <v>-3</v>
      </c>
      <c r="M37" s="1">
        <v>-19</v>
      </c>
      <c r="N37" s="1">
        <v>-47</v>
      </c>
      <c r="O37" s="1">
        <v>-80</v>
      </c>
      <c r="P37" s="1">
        <v>-5</v>
      </c>
      <c r="Q37" s="1">
        <v>-18</v>
      </c>
      <c r="R37" s="1">
        <v>-65</v>
      </c>
      <c r="S37" s="1">
        <v>-218</v>
      </c>
      <c r="T37" s="1">
        <v>-166</v>
      </c>
      <c r="U37" s="120">
        <v>0</v>
      </c>
      <c r="V37" s="189">
        <v>0</v>
      </c>
      <c r="W37" s="189">
        <v>0</v>
      </c>
      <c r="X37" s="189">
        <v>0</v>
      </c>
    </row>
    <row r="38" spans="1:24" ht="15" customHeight="1" x14ac:dyDescent="0.3">
      <c r="A38" s="35" t="s">
        <v>10</v>
      </c>
      <c r="B38" s="117" t="s">
        <v>22</v>
      </c>
      <c r="C38" s="117">
        <f>SUM(C31:C37)</f>
        <v>-86513</v>
      </c>
      <c r="D38" s="117">
        <f>SUM(D31:D37)</f>
        <v>110519</v>
      </c>
      <c r="E38" s="117">
        <f>SUM(E31:E37)</f>
        <v>-128233</v>
      </c>
      <c r="F38" s="117">
        <f>SUM(F31:F37)</f>
        <v>-97032</v>
      </c>
      <c r="G38" s="117">
        <f>SUM(G31:G37)</f>
        <v>-166421</v>
      </c>
      <c r="H38" s="117">
        <f t="shared" ref="H38:N38" si="25">SUM(H31:H37)</f>
        <v>-14864</v>
      </c>
      <c r="I38" s="117">
        <f t="shared" si="25"/>
        <v>-18135</v>
      </c>
      <c r="J38" s="117">
        <f t="shared" si="25"/>
        <v>-93032</v>
      </c>
      <c r="K38" s="117">
        <f t="shared" si="25"/>
        <v>-2202</v>
      </c>
      <c r="L38" s="117">
        <f t="shared" si="25"/>
        <v>-3878</v>
      </c>
      <c r="M38" s="117">
        <f t="shared" si="25"/>
        <v>-52271</v>
      </c>
      <c r="N38" s="117">
        <f t="shared" si="25"/>
        <v>-27891</v>
      </c>
      <c r="O38" s="117">
        <f t="shared" ref="O38:P38" si="26">SUM(O31:O37)</f>
        <v>-12992</v>
      </c>
      <c r="P38" s="117">
        <f t="shared" si="26"/>
        <v>16675</v>
      </c>
      <c r="Q38" s="117">
        <f t="shared" ref="Q38:S38" si="27">SUM(Q31:Q37)</f>
        <v>11064</v>
      </c>
      <c r="R38" s="117">
        <f t="shared" si="27"/>
        <v>11508</v>
      </c>
      <c r="S38" s="117">
        <f t="shared" si="27"/>
        <v>-205668</v>
      </c>
      <c r="T38" s="117">
        <f t="shared" ref="T38:U38" si="28">SUM(T31:T37)</f>
        <v>-61977</v>
      </c>
      <c r="U38" s="117">
        <f t="shared" si="28"/>
        <v>-26000</v>
      </c>
      <c r="V38" s="117">
        <f t="shared" ref="V38:W38" si="29">SUM(V31:V37)</f>
        <v>0</v>
      </c>
      <c r="W38" s="117">
        <f t="shared" si="29"/>
        <v>0</v>
      </c>
      <c r="X38" s="117">
        <f t="shared" ref="X38" si="30">SUM(X31:X37)</f>
        <v>0</v>
      </c>
    </row>
    <row r="39" spans="1:24" ht="15" customHeight="1" x14ac:dyDescent="0.3">
      <c r="E39" s="23"/>
      <c r="F39" s="23"/>
      <c r="G39" s="23"/>
    </row>
    <row r="40" spans="1:24" ht="15" customHeight="1" x14ac:dyDescent="0.3">
      <c r="E40" s="23"/>
      <c r="F40" s="23"/>
      <c r="G40" s="23"/>
    </row>
    <row r="41" spans="1:24" ht="15" customHeight="1" x14ac:dyDescent="0.3">
      <c r="B41" s="117" t="s">
        <v>2</v>
      </c>
      <c r="C41" s="117">
        <f>C28+C31+C37</f>
        <v>-114044</v>
      </c>
      <c r="D41" s="117">
        <f>D28+D31+D37</f>
        <v>117631</v>
      </c>
      <c r="E41" s="117">
        <f>SUM(H41:K41)</f>
        <v>123176</v>
      </c>
      <c r="F41" s="117">
        <f>SUM(I41:L41)</f>
        <v>137618</v>
      </c>
      <c r="G41" s="117">
        <f>SUM(J41:M41)</f>
        <v>150830</v>
      </c>
      <c r="H41" s="117">
        <f t="shared" ref="H41:N41" si="31">H28+H31+H37</f>
        <v>51590</v>
      </c>
      <c r="I41" s="117">
        <f t="shared" si="31"/>
        <v>68830</v>
      </c>
      <c r="J41" s="117">
        <f t="shared" si="31"/>
        <v>-37308</v>
      </c>
      <c r="K41" s="117">
        <f t="shared" si="31"/>
        <v>40064</v>
      </c>
      <c r="L41" s="117">
        <f t="shared" si="31"/>
        <v>66032</v>
      </c>
      <c r="M41" s="117">
        <f t="shared" si="31"/>
        <v>82042</v>
      </c>
      <c r="N41" s="117">
        <f t="shared" si="31"/>
        <v>78094</v>
      </c>
      <c r="O41" s="117">
        <f t="shared" ref="O41:P41" si="32">O28+O31+O37</f>
        <v>65652</v>
      </c>
      <c r="P41" s="117">
        <f t="shared" si="32"/>
        <v>33398</v>
      </c>
      <c r="Q41" s="117">
        <f t="shared" ref="Q41:S41" si="33">Q28+Q31+Q37</f>
        <v>82443</v>
      </c>
      <c r="R41" s="117">
        <f t="shared" si="33"/>
        <v>48481</v>
      </c>
      <c r="S41" s="117">
        <f t="shared" si="33"/>
        <v>-24879</v>
      </c>
      <c r="T41" s="117">
        <f t="shared" ref="T41:U41" si="34">T28+T31+T37</f>
        <v>95721</v>
      </c>
      <c r="U41" s="117">
        <f t="shared" si="34"/>
        <v>132833</v>
      </c>
      <c r="V41" s="117">
        <f t="shared" ref="V41:W41" si="35">V28+V31+V37</f>
        <v>211626.9</v>
      </c>
      <c r="W41" s="117">
        <f t="shared" si="35"/>
        <v>199644.70499999999</v>
      </c>
      <c r="X41" s="117">
        <f t="shared" ref="X41" si="36">X28+X31+X37</f>
        <v>154112.36400000003</v>
      </c>
    </row>
    <row r="42" spans="1:24" ht="15" customHeight="1" x14ac:dyDescent="0.3">
      <c r="B42" s="117" t="s">
        <v>155</v>
      </c>
      <c r="C42" s="117">
        <f>C41-'P&amp;L'!C23-'P&amp;L'!C22</f>
        <v>-88323</v>
      </c>
      <c r="D42" s="117">
        <f>D41-'P&amp;L'!D23-'P&amp;L'!D22</f>
        <v>140043</v>
      </c>
      <c r="E42" s="117">
        <f>E41-'P&amp;L'!E23-'P&amp;L'!E22</f>
        <v>151752</v>
      </c>
      <c r="F42" s="117">
        <f>F41-'P&amp;L'!F23-'P&amp;L'!F22</f>
        <v>164098</v>
      </c>
      <c r="G42" s="117">
        <f>G41-'P&amp;L'!G23-'P&amp;L'!G22</f>
        <v>161859</v>
      </c>
      <c r="H42" s="117">
        <f>H41-'P&amp;L'!H23-'P&amp;L'!H22</f>
        <v>58778</v>
      </c>
      <c r="I42" s="117">
        <f>I41-'P&amp;L'!I23-'P&amp;L'!I22</f>
        <v>74356</v>
      </c>
      <c r="J42" s="117">
        <f>J41-'P&amp;L'!J23-'P&amp;L'!J22</f>
        <v>-29732</v>
      </c>
      <c r="K42" s="117">
        <f>K41-'P&amp;L'!K23-'P&amp;L'!K22</f>
        <v>48350</v>
      </c>
      <c r="L42" s="117">
        <f>L41-'P&amp;L'!L23-'P&amp;L'!L22</f>
        <v>73716</v>
      </c>
      <c r="M42" s="117">
        <f>M41-'P&amp;L'!M23-'P&amp;L'!M22</f>
        <v>89028</v>
      </c>
      <c r="N42" s="117">
        <f>N41-'P&amp;L'!N23-'P&amp;L'!N22</f>
        <v>84377</v>
      </c>
      <c r="O42" s="117">
        <f>O41-'P&amp;L'!O23-'P&amp;L'!O22</f>
        <v>71179</v>
      </c>
      <c r="P42" s="117">
        <f>P41-'P&amp;L'!P23-'P&amp;L'!P22</f>
        <v>37711</v>
      </c>
      <c r="Q42" s="117">
        <f>Q41-'P&amp;L'!Q23-'P&amp;L'!Q22</f>
        <v>85809</v>
      </c>
      <c r="R42" s="117">
        <f>R41-'P&amp;L'!R23-'P&amp;L'!R22</f>
        <v>50131</v>
      </c>
      <c r="S42" s="117">
        <f>S41-'P&amp;L'!S23-'P&amp;L'!S22</f>
        <v>-23179</v>
      </c>
      <c r="T42" s="117">
        <f>T41-'P&amp;L'!T23-'P&amp;L'!T22</f>
        <v>99361</v>
      </c>
      <c r="U42" s="117">
        <f>U41-'P&amp;L'!U23-'P&amp;L'!U22</f>
        <v>136473</v>
      </c>
      <c r="V42" s="117">
        <f>V41-'P&amp;L'!V23-'P&amp;L'!V22</f>
        <v>215266.9</v>
      </c>
      <c r="W42" s="117">
        <f>W41-'P&amp;L'!W23-'P&amp;L'!W22</f>
        <v>203284.70499999999</v>
      </c>
      <c r="X42" s="117">
        <f>X41-'P&amp;L'!X23-'P&amp;L'!X22</f>
        <v>157752.36400000003</v>
      </c>
    </row>
    <row r="43" spans="1:24" ht="15" customHeight="1" x14ac:dyDescent="0.3">
      <c r="E43" s="23"/>
      <c r="F43" s="23"/>
      <c r="G43" s="23"/>
    </row>
    <row r="44" spans="1:24" ht="15" customHeight="1" x14ac:dyDescent="0.3">
      <c r="E44" s="23"/>
      <c r="F44" s="23"/>
      <c r="G44" s="23"/>
    </row>
    <row r="45" spans="1:24" ht="15" customHeight="1" x14ac:dyDescent="0.3">
      <c r="B45" t="s">
        <v>48</v>
      </c>
      <c r="C45" s="1">
        <v>-22083</v>
      </c>
      <c r="D45" s="1">
        <v>-19678</v>
      </c>
      <c r="E45" s="23">
        <f t="shared" ref="E45:E57" si="37">SUM(H45:K45)</f>
        <v>-186673</v>
      </c>
      <c r="F45" s="57">
        <f>SUM(L45:O45)</f>
        <v>-161395</v>
      </c>
      <c r="G45" s="10">
        <f t="shared" ref="G45:G57" si="38">SUM(P45:S45)</f>
        <v>-118912.75094</v>
      </c>
      <c r="H45" s="1">
        <v>-61935</v>
      </c>
      <c r="I45" s="1">
        <v>-37487</v>
      </c>
      <c r="J45" s="1">
        <v>-56661</v>
      </c>
      <c r="K45" s="1">
        <v>-30590</v>
      </c>
      <c r="L45" s="1">
        <v>-35492</v>
      </c>
      <c r="M45" s="1">
        <v>-46786</v>
      </c>
      <c r="N45" s="1">
        <v>-43595</v>
      </c>
      <c r="O45" s="1">
        <v>-35522</v>
      </c>
      <c r="P45" s="1">
        <v>-27286</v>
      </c>
      <c r="Q45" s="1">
        <v>-24091</v>
      </c>
      <c r="R45" s="1">
        <f>-(0.24*('P&amp;L'!R38/1000))</f>
        <v>-38591.857680000001</v>
      </c>
      <c r="S45" s="1">
        <f>-(0.18*('P&amp;L'!S38/1000))</f>
        <v>-28943.893260000001</v>
      </c>
      <c r="T45" s="1">
        <v>-66027</v>
      </c>
      <c r="U45" s="118">
        <f>-(0.64*('P&amp;L'!U38/1000))</f>
        <v>-103058.0352</v>
      </c>
      <c r="V45" s="118">
        <f>-('P&amp;L'!U45*('P&amp;L'!V38/1000))</f>
        <v>-184472.87010283701</v>
      </c>
      <c r="W45" s="118">
        <f>-('P&amp;L'!V45*('P&amp;L'!W38/1000))</f>
        <v>-185765.26293088248</v>
      </c>
      <c r="X45" s="118">
        <f>-('P&amp;L'!W45*('P&amp;L'!X38/1000))</f>
        <v>-173797.02513642987</v>
      </c>
    </row>
    <row r="46" spans="1:24" ht="15" customHeight="1" x14ac:dyDescent="0.3">
      <c r="B46" t="s">
        <v>183</v>
      </c>
      <c r="E46" s="23"/>
      <c r="F46" s="57">
        <f>SUM(L46:O46)</f>
        <v>0</v>
      </c>
      <c r="G46" s="10">
        <f t="shared" si="38"/>
        <v>-6131</v>
      </c>
      <c r="Q46" s="1">
        <v>-6131</v>
      </c>
      <c r="R46" s="1">
        <v>0</v>
      </c>
      <c r="U46" s="120"/>
      <c r="V46" s="120"/>
      <c r="W46" s="120"/>
      <c r="X46" s="120"/>
    </row>
    <row r="47" spans="1:24" ht="15" customHeight="1" x14ac:dyDescent="0.3">
      <c r="B47" t="s">
        <v>141</v>
      </c>
      <c r="D47" s="1">
        <v>0</v>
      </c>
      <c r="E47" s="23">
        <f t="shared" si="37"/>
        <v>-590</v>
      </c>
      <c r="F47" s="57">
        <f>SUM(L47:O47)</f>
        <v>0</v>
      </c>
      <c r="G47" s="10">
        <f t="shared" si="38"/>
        <v>0</v>
      </c>
      <c r="I47" s="1">
        <v>-590</v>
      </c>
      <c r="K47" s="1">
        <v>0</v>
      </c>
      <c r="R47" s="1">
        <v>0</v>
      </c>
      <c r="U47" s="120"/>
      <c r="V47" s="120"/>
      <c r="W47" s="120"/>
      <c r="X47" s="120"/>
    </row>
    <row r="48" spans="1:24" ht="15" customHeight="1" x14ac:dyDescent="0.3">
      <c r="B48" t="s">
        <v>142</v>
      </c>
      <c r="C48" s="1">
        <v>-611</v>
      </c>
      <c r="D48" s="1">
        <v>-1089</v>
      </c>
      <c r="E48" s="23">
        <f t="shared" si="37"/>
        <v>-1424</v>
      </c>
      <c r="F48" s="57">
        <f>SUM(L48:O48)</f>
        <v>-1391</v>
      </c>
      <c r="G48" s="10">
        <f t="shared" si="38"/>
        <v>-1406</v>
      </c>
      <c r="H48" s="1">
        <v>-386</v>
      </c>
      <c r="I48" s="1">
        <v>-350</v>
      </c>
      <c r="J48" s="1">
        <v>-346</v>
      </c>
      <c r="K48" s="1">
        <v>-342</v>
      </c>
      <c r="L48" s="1">
        <v>-340</v>
      </c>
      <c r="M48" s="1">
        <v>-340</v>
      </c>
      <c r="N48" s="1">
        <v>-354</v>
      </c>
      <c r="O48" s="1">
        <v>-357</v>
      </c>
      <c r="P48" s="1">
        <v>-353</v>
      </c>
      <c r="Q48" s="1">
        <v>-351</v>
      </c>
      <c r="R48" s="1">
        <v>-364</v>
      </c>
      <c r="S48" s="1">
        <v>-338</v>
      </c>
      <c r="T48" s="1">
        <v>-340</v>
      </c>
      <c r="U48" s="120"/>
      <c r="V48" s="120"/>
      <c r="W48" s="120"/>
      <c r="X48" s="120"/>
    </row>
    <row r="49" spans="1:24" ht="15" customHeight="1" x14ac:dyDescent="0.3">
      <c r="B49" t="s">
        <v>143</v>
      </c>
      <c r="C49" s="1">
        <v>355840</v>
      </c>
      <c r="D49" s="1">
        <v>4008</v>
      </c>
      <c r="E49" s="23">
        <f t="shared" si="37"/>
        <v>339633</v>
      </c>
      <c r="F49" s="57">
        <f>SUM(L49:O49)</f>
        <v>84999</v>
      </c>
      <c r="G49" s="10">
        <f t="shared" si="38"/>
        <v>298023</v>
      </c>
      <c r="H49" s="1">
        <v>216399</v>
      </c>
      <c r="I49" s="1">
        <v>-208</v>
      </c>
      <c r="J49" s="1">
        <v>99492</v>
      </c>
      <c r="K49" s="1">
        <v>23950</v>
      </c>
      <c r="L49" s="1">
        <v>49999</v>
      </c>
      <c r="M49" s="1">
        <v>25000</v>
      </c>
      <c r="N49" s="1">
        <v>0</v>
      </c>
      <c r="O49" s="1">
        <v>10000</v>
      </c>
      <c r="P49" s="1">
        <v>10000</v>
      </c>
      <c r="Q49" s="1">
        <v>54663</v>
      </c>
      <c r="R49" s="1">
        <v>0</v>
      </c>
      <c r="S49" s="1">
        <v>233360</v>
      </c>
      <c r="T49" s="1">
        <v>316462</v>
      </c>
      <c r="U49" s="120"/>
      <c r="V49" s="120"/>
      <c r="W49" s="120"/>
      <c r="X49" s="120"/>
    </row>
    <row r="50" spans="1:24" ht="15" customHeight="1" x14ac:dyDescent="0.3">
      <c r="B50" t="s">
        <v>144</v>
      </c>
      <c r="C50" s="1">
        <v>-32178</v>
      </c>
      <c r="D50" s="1">
        <v>-24758</v>
      </c>
      <c r="E50" s="23">
        <f t="shared" si="37"/>
        <v>-18808</v>
      </c>
      <c r="F50" s="57">
        <f>SUM(L50:O50)</f>
        <v>-13196</v>
      </c>
      <c r="G50" s="10">
        <f t="shared" si="38"/>
        <v>0</v>
      </c>
      <c r="I50" s="1">
        <v>-8866</v>
      </c>
      <c r="J50" s="1">
        <v>-9942</v>
      </c>
      <c r="O50" s="1">
        <v>-13196</v>
      </c>
      <c r="R50" s="1">
        <v>0</v>
      </c>
      <c r="U50" s="120"/>
      <c r="V50" s="120"/>
      <c r="W50" s="120"/>
      <c r="X50" s="120"/>
    </row>
    <row r="51" spans="1:24" ht="15" customHeight="1" x14ac:dyDescent="0.3">
      <c r="B51" t="s">
        <v>145</v>
      </c>
      <c r="D51" s="1">
        <v>0</v>
      </c>
      <c r="E51" s="23">
        <f t="shared" si="37"/>
        <v>0</v>
      </c>
      <c r="F51" s="57">
        <f>SUM(L51:O51)</f>
        <v>0</v>
      </c>
      <c r="G51" s="10">
        <f t="shared" si="38"/>
        <v>0</v>
      </c>
      <c r="R51" s="1">
        <v>0</v>
      </c>
      <c r="U51" s="120"/>
      <c r="V51" s="120"/>
      <c r="W51" s="120"/>
      <c r="X51" s="120"/>
    </row>
    <row r="52" spans="1:24" ht="15" customHeight="1" x14ac:dyDescent="0.3">
      <c r="B52" t="s">
        <v>146</v>
      </c>
      <c r="D52" s="1">
        <v>0</v>
      </c>
      <c r="E52" s="23">
        <f t="shared" si="37"/>
        <v>-4832</v>
      </c>
      <c r="F52" s="57">
        <f>SUM(L52:O52)</f>
        <v>0</v>
      </c>
      <c r="G52" s="10">
        <f t="shared" si="38"/>
        <v>0</v>
      </c>
      <c r="H52" s="1">
        <v>3256</v>
      </c>
      <c r="I52" s="1">
        <v>-8088</v>
      </c>
      <c r="R52" s="1">
        <v>0</v>
      </c>
      <c r="U52" s="120"/>
      <c r="V52" s="120"/>
      <c r="W52" s="120"/>
      <c r="X52" s="120"/>
    </row>
    <row r="53" spans="1:24" ht="15" customHeight="1" x14ac:dyDescent="0.3">
      <c r="B53" t="s">
        <v>147</v>
      </c>
      <c r="C53" s="1">
        <v>-283000</v>
      </c>
      <c r="D53" s="1">
        <v>-9454</v>
      </c>
      <c r="E53" s="23">
        <f t="shared" si="37"/>
        <v>-16338</v>
      </c>
      <c r="F53" s="57">
        <f>SUM(L53:O53)</f>
        <v>-32926</v>
      </c>
      <c r="G53" s="10">
        <f t="shared" si="38"/>
        <v>-49874</v>
      </c>
      <c r="H53" s="1">
        <v>-625</v>
      </c>
      <c r="J53" s="1">
        <v>-6875</v>
      </c>
      <c r="K53" s="1">
        <v>-8838</v>
      </c>
      <c r="L53" s="1">
        <v>-7625</v>
      </c>
      <c r="M53" s="1">
        <v>-8838</v>
      </c>
      <c r="N53" s="1">
        <v>-7625</v>
      </c>
      <c r="O53" s="1">
        <v>-8838</v>
      </c>
      <c r="P53" s="1">
        <v>-13554</v>
      </c>
      <c r="Q53" s="1">
        <v>-14008</v>
      </c>
      <c r="R53" s="1">
        <v>-12746</v>
      </c>
      <c r="S53" s="1">
        <v>-9566</v>
      </c>
      <c r="T53" s="1">
        <v>-8941</v>
      </c>
      <c r="U53" s="23">
        <f>(Balance!P31+Balance!P26)-(Balance!O31+Balance!O26)</f>
        <v>-26161.75</v>
      </c>
      <c r="V53" s="23">
        <f>(Balance!Q31+Balance!Q26)-(Balance!P31+Balance!P26)</f>
        <v>-26161.75</v>
      </c>
      <c r="W53" s="23">
        <f>(Balance!R31+Balance!R26)-(Balance!Q31+Balance!Q26)</f>
        <v>-26161.75</v>
      </c>
      <c r="X53" s="23">
        <f>(Balance!S31+Balance!S26)-(Balance!R31+Balance!R26)</f>
        <v>-26161.75</v>
      </c>
    </row>
    <row r="54" spans="1:24" ht="15" customHeight="1" x14ac:dyDescent="0.3">
      <c r="B54" t="s">
        <v>148</v>
      </c>
      <c r="D54" s="1">
        <v>-96840</v>
      </c>
      <c r="E54" s="23">
        <f t="shared" si="37"/>
        <v>-68715</v>
      </c>
      <c r="F54" s="57">
        <f>SUM(L54:O54)</f>
        <v>-74000</v>
      </c>
      <c r="G54" s="10">
        <f t="shared" si="38"/>
        <v>-194330</v>
      </c>
      <c r="J54" s="1">
        <v>-45000</v>
      </c>
      <c r="K54" s="1">
        <v>-23715</v>
      </c>
      <c r="L54" s="1">
        <v>-74000</v>
      </c>
      <c r="P54" s="1">
        <v>-42400</v>
      </c>
      <c r="Q54" s="1">
        <v>-65875</v>
      </c>
      <c r="R54" s="1">
        <v>-22055</v>
      </c>
      <c r="S54" s="1">
        <v>-64000</v>
      </c>
      <c r="T54" s="1">
        <v>-225000</v>
      </c>
      <c r="U54" s="120"/>
      <c r="V54" s="120"/>
      <c r="W54" s="120"/>
      <c r="X54" s="120"/>
    </row>
    <row r="55" spans="1:24" ht="15" customHeight="1" x14ac:dyDescent="0.3">
      <c r="B55" t="s">
        <v>149</v>
      </c>
      <c r="D55" s="1">
        <v>0</v>
      </c>
      <c r="E55" s="23">
        <f t="shared" si="37"/>
        <v>-216761</v>
      </c>
      <c r="F55" s="57">
        <f>SUM(L55:O55)</f>
        <v>0</v>
      </c>
      <c r="G55" s="10">
        <f t="shared" si="38"/>
        <v>-25480</v>
      </c>
      <c r="H55" s="1">
        <v>-216761</v>
      </c>
      <c r="Q55" s="1">
        <v>-25480</v>
      </c>
      <c r="R55" s="1">
        <v>0</v>
      </c>
      <c r="U55" s="120"/>
      <c r="V55" s="120"/>
      <c r="W55" s="120"/>
      <c r="X55" s="120"/>
    </row>
    <row r="56" spans="1:24" ht="15" customHeight="1" x14ac:dyDescent="0.3">
      <c r="B56" t="s">
        <v>150</v>
      </c>
      <c r="D56" s="1">
        <v>-25531</v>
      </c>
      <c r="E56" s="23">
        <f t="shared" si="37"/>
        <v>0</v>
      </c>
      <c r="F56" s="57">
        <f>SUM(L56:O56)</f>
        <v>0</v>
      </c>
      <c r="G56" s="10">
        <f t="shared" si="38"/>
        <v>-11382</v>
      </c>
      <c r="Q56" s="1">
        <v>-11382</v>
      </c>
      <c r="R56" s="1">
        <v>0</v>
      </c>
      <c r="T56" s="1">
        <v>-5625</v>
      </c>
      <c r="U56" s="120"/>
      <c r="V56" s="120"/>
      <c r="W56" s="120"/>
      <c r="X56" s="120"/>
    </row>
    <row r="57" spans="1:24" ht="15" customHeight="1" x14ac:dyDescent="0.3">
      <c r="B57" t="s">
        <v>151</v>
      </c>
      <c r="D57" s="1">
        <v>0</v>
      </c>
      <c r="E57" s="23">
        <f t="shared" si="37"/>
        <v>0</v>
      </c>
      <c r="F57" s="57">
        <f>SUM(L57:O57)</f>
        <v>0</v>
      </c>
      <c r="G57" s="10">
        <f t="shared" si="38"/>
        <v>0</v>
      </c>
      <c r="U57" s="120"/>
      <c r="V57" s="120"/>
      <c r="W57" s="120"/>
      <c r="X57" s="120"/>
    </row>
    <row r="58" spans="1:24" ht="15" customHeight="1" x14ac:dyDescent="0.3">
      <c r="A58" s="35" t="s">
        <v>10</v>
      </c>
      <c r="B58" s="117" t="s">
        <v>23</v>
      </c>
      <c r="C58" s="117">
        <f>SUM(C45:C57)</f>
        <v>17968</v>
      </c>
      <c r="D58" s="117">
        <f>SUM(D45:D57)</f>
        <v>-173342</v>
      </c>
      <c r="E58" s="117">
        <f>SUM(E45:E57)</f>
        <v>-174508</v>
      </c>
      <c r="F58" s="117">
        <f>SUM(F45:F57)</f>
        <v>-197909</v>
      </c>
      <c r="G58" s="117">
        <f>SUM(G45:G57)</f>
        <v>-109492.75094</v>
      </c>
      <c r="H58" s="117">
        <f t="shared" ref="H58:N58" si="39">SUM(H45:H57)</f>
        <v>-60052</v>
      </c>
      <c r="I58" s="117">
        <f t="shared" si="39"/>
        <v>-55589</v>
      </c>
      <c r="J58" s="117">
        <f t="shared" si="39"/>
        <v>-19332</v>
      </c>
      <c r="K58" s="117">
        <f t="shared" si="39"/>
        <v>-39535</v>
      </c>
      <c r="L58" s="117">
        <f t="shared" si="39"/>
        <v>-67458</v>
      </c>
      <c r="M58" s="117">
        <f t="shared" si="39"/>
        <v>-30964</v>
      </c>
      <c r="N58" s="117">
        <f t="shared" si="39"/>
        <v>-51574</v>
      </c>
      <c r="O58" s="117">
        <f t="shared" ref="O58:P58" si="40">SUM(O45:O57)</f>
        <v>-47913</v>
      </c>
      <c r="P58" s="117">
        <f t="shared" si="40"/>
        <v>-73593</v>
      </c>
      <c r="Q58" s="117">
        <f t="shared" ref="Q58:S58" si="41">SUM(Q45:Q57)</f>
        <v>-92655</v>
      </c>
      <c r="R58" s="117">
        <f t="shared" si="41"/>
        <v>-73756.857680000001</v>
      </c>
      <c r="S58" s="117">
        <f t="shared" si="41"/>
        <v>130512.10673999999</v>
      </c>
      <c r="T58" s="117">
        <f t="shared" ref="T58:U58" si="42">SUM(T45:T57)</f>
        <v>10529</v>
      </c>
      <c r="U58" s="117">
        <f t="shared" si="42"/>
        <v>-129219.7852</v>
      </c>
      <c r="V58" s="117">
        <f t="shared" ref="V58:W58" si="43">SUM(V45:V57)</f>
        <v>-210634.62010283701</v>
      </c>
      <c r="W58" s="117">
        <f t="shared" si="43"/>
        <v>-211927.01293088248</v>
      </c>
      <c r="X58" s="117">
        <f t="shared" ref="X58" si="44">SUM(X45:X57)</f>
        <v>-199958.77513642987</v>
      </c>
    </row>
    <row r="59" spans="1:24" ht="15" customHeight="1" x14ac:dyDescent="0.3">
      <c r="E59" s="23"/>
      <c r="F59" s="23"/>
      <c r="G59" s="23"/>
    </row>
    <row r="60" spans="1:24" ht="15" customHeight="1" x14ac:dyDescent="0.3">
      <c r="B60" s="4" t="s">
        <v>24</v>
      </c>
      <c r="C60" s="4">
        <f t="shared" ref="C60:N60" si="45">C28+C38+C58</f>
        <v>-7983</v>
      </c>
      <c r="D60" s="4">
        <f t="shared" si="45"/>
        <v>64953</v>
      </c>
      <c r="E60" s="36">
        <f t="shared" si="45"/>
        <v>-51332</v>
      </c>
      <c r="F60" s="36">
        <f t="shared" ref="F60:G60" si="46">F28+F38+F58</f>
        <v>3716</v>
      </c>
      <c r="G60" s="36">
        <f t="shared" si="46"/>
        <v>769.24906000000192</v>
      </c>
      <c r="H60" s="4">
        <f t="shared" si="45"/>
        <v>-8462</v>
      </c>
      <c r="I60" s="4">
        <f t="shared" si="45"/>
        <v>13241</v>
      </c>
      <c r="J60" s="4">
        <f t="shared" si="45"/>
        <v>-56640</v>
      </c>
      <c r="K60" s="4">
        <f t="shared" si="45"/>
        <v>529</v>
      </c>
      <c r="L60" s="4">
        <f t="shared" si="45"/>
        <v>-1469</v>
      </c>
      <c r="M60" s="4">
        <f t="shared" si="45"/>
        <v>-376</v>
      </c>
      <c r="N60" s="4">
        <f t="shared" si="45"/>
        <v>680</v>
      </c>
      <c r="O60" s="4">
        <f t="shared" ref="O60:P60" si="47">O28+O38+O58</f>
        <v>4881</v>
      </c>
      <c r="P60" s="4">
        <f t="shared" si="47"/>
        <v>2294</v>
      </c>
      <c r="Q60" s="4">
        <f t="shared" ref="Q60:S60" si="48">Q28+Q38+Q58</f>
        <v>2016</v>
      </c>
      <c r="R60" s="4">
        <f t="shared" si="48"/>
        <v>-1352.857680000001</v>
      </c>
      <c r="S60" s="4">
        <f t="shared" si="48"/>
        <v>-2187.8932600000117</v>
      </c>
      <c r="T60" s="4">
        <f t="shared" ref="T60:U60" si="49">T28+T38+T58</f>
        <v>47288</v>
      </c>
      <c r="U60" s="4">
        <f t="shared" si="49"/>
        <v>55113.214800000002</v>
      </c>
      <c r="V60" s="4">
        <f t="shared" ref="V60" si="50">V28+V38+V58</f>
        <v>992.2798971629818</v>
      </c>
      <c r="W60" s="4">
        <f>W28+W38+W58</f>
        <v>-12282.307930882496</v>
      </c>
      <c r="X60" s="4">
        <f>X28+X38+X58</f>
        <v>-45846.411136429844</v>
      </c>
    </row>
    <row r="61" spans="1:24" ht="15" customHeight="1" x14ac:dyDescent="0.3">
      <c r="B61" t="s">
        <v>152</v>
      </c>
      <c r="C61" s="10"/>
      <c r="D61" s="10">
        <v>340</v>
      </c>
      <c r="E61" s="23">
        <f t="shared" ref="E61" si="51">SUM(H61:K61)</f>
        <v>119</v>
      </c>
      <c r="F61" s="57">
        <f>SUM(L61:O61)</f>
        <v>-307</v>
      </c>
      <c r="G61" s="10">
        <f>SUM(P61:S61)</f>
        <v>157</v>
      </c>
      <c r="H61" s="10">
        <v>61</v>
      </c>
      <c r="I61" s="10">
        <v>-141</v>
      </c>
      <c r="J61" s="10">
        <v>-90</v>
      </c>
      <c r="K61" s="10">
        <v>289</v>
      </c>
      <c r="L61" s="1">
        <v>-194</v>
      </c>
      <c r="M61" s="1">
        <v>-56</v>
      </c>
      <c r="N61" s="1">
        <v>509</v>
      </c>
      <c r="O61" s="1">
        <v>-566</v>
      </c>
      <c r="P61" s="1">
        <v>73</v>
      </c>
      <c r="Q61" s="1">
        <v>165</v>
      </c>
      <c r="R61" s="1">
        <v>-55</v>
      </c>
      <c r="S61" s="1">
        <v>-26</v>
      </c>
      <c r="T61" s="1">
        <v>-80</v>
      </c>
      <c r="U61" s="121"/>
      <c r="V61" s="121"/>
      <c r="W61" s="121"/>
      <c r="X61" s="121"/>
    </row>
    <row r="62" spans="1:24" ht="15" customHeight="1" x14ac:dyDescent="0.3">
      <c r="B62" s="4" t="s">
        <v>25</v>
      </c>
      <c r="C62" s="4">
        <v>68641</v>
      </c>
      <c r="D62" s="4">
        <f>C63</f>
        <v>60658</v>
      </c>
      <c r="E62" s="36">
        <f>D63</f>
        <v>125951</v>
      </c>
      <c r="F62" s="36">
        <f>E63</f>
        <v>74738</v>
      </c>
      <c r="G62" s="36">
        <f>F63</f>
        <v>78147</v>
      </c>
      <c r="H62" s="4">
        <v>125951</v>
      </c>
      <c r="I62" s="4">
        <f t="shared" ref="I62:V62" si="52">H63</f>
        <v>117550</v>
      </c>
      <c r="J62" s="4">
        <f t="shared" si="52"/>
        <v>130650</v>
      </c>
      <c r="K62" s="4">
        <f t="shared" si="52"/>
        <v>73920</v>
      </c>
      <c r="L62" s="4">
        <f t="shared" si="52"/>
        <v>74738</v>
      </c>
      <c r="M62" s="4">
        <f t="shared" si="52"/>
        <v>73075</v>
      </c>
      <c r="N62" s="4">
        <f t="shared" si="52"/>
        <v>72643</v>
      </c>
      <c r="O62" s="4">
        <f t="shared" si="52"/>
        <v>73832</v>
      </c>
      <c r="P62" s="4">
        <f t="shared" si="52"/>
        <v>78147</v>
      </c>
      <c r="Q62" s="4">
        <f t="shared" si="52"/>
        <v>80514</v>
      </c>
      <c r="R62" s="4">
        <f t="shared" si="52"/>
        <v>82695</v>
      </c>
      <c r="S62" s="4">
        <f t="shared" si="52"/>
        <v>81287.142319999999</v>
      </c>
      <c r="T62" s="4">
        <f t="shared" si="52"/>
        <v>79073.249059999987</v>
      </c>
      <c r="U62" s="4">
        <f t="shared" si="52"/>
        <v>126281.24905999999</v>
      </c>
      <c r="V62" s="4">
        <f t="shared" si="52"/>
        <v>181394.46385999999</v>
      </c>
      <c r="W62" s="4">
        <f>V63</f>
        <v>182386.74375716297</v>
      </c>
      <c r="X62" s="4">
        <f>W63</f>
        <v>170104.43582628047</v>
      </c>
    </row>
    <row r="63" spans="1:24" ht="15" customHeight="1" x14ac:dyDescent="0.3">
      <c r="B63" s="4" t="s">
        <v>26</v>
      </c>
      <c r="C63" s="4">
        <f>SUM(C60:C62)</f>
        <v>60658</v>
      </c>
      <c r="D63" s="4">
        <f>SUM(D60:D62)</f>
        <v>125951</v>
      </c>
      <c r="E63" s="36">
        <f>SUM(E60:E62)</f>
        <v>74738</v>
      </c>
      <c r="F63" s="36">
        <f>SUM(F60:F62)</f>
        <v>78147</v>
      </c>
      <c r="G63" s="36">
        <f>SUM(G60:G62)</f>
        <v>79073.249060000002</v>
      </c>
      <c r="H63" s="4">
        <f t="shared" ref="H63:K63" si="53">SUM(H60:H62)</f>
        <v>117550</v>
      </c>
      <c r="I63" s="4">
        <f t="shared" si="53"/>
        <v>130650</v>
      </c>
      <c r="J63" s="4">
        <f t="shared" si="53"/>
        <v>73920</v>
      </c>
      <c r="K63" s="4">
        <f t="shared" si="53"/>
        <v>74738</v>
      </c>
      <c r="L63" s="4">
        <f t="shared" ref="L63:M63" si="54">SUM(L60:L62)</f>
        <v>73075</v>
      </c>
      <c r="M63" s="4">
        <f t="shared" si="54"/>
        <v>72643</v>
      </c>
      <c r="N63" s="4">
        <f t="shared" ref="N63:O63" si="55">SUM(N60:N62)</f>
        <v>73832</v>
      </c>
      <c r="O63" s="4">
        <f t="shared" si="55"/>
        <v>78147</v>
      </c>
      <c r="P63" s="4">
        <f t="shared" ref="P63:Q63" si="56">SUM(P60:P62)</f>
        <v>80514</v>
      </c>
      <c r="Q63" s="4">
        <f t="shared" si="56"/>
        <v>82695</v>
      </c>
      <c r="R63" s="4">
        <f t="shared" ref="R63:S63" si="57">SUM(R60:R62)</f>
        <v>81287.142319999999</v>
      </c>
      <c r="S63" s="4">
        <f t="shared" si="57"/>
        <v>79073.249059999987</v>
      </c>
      <c r="T63" s="4">
        <f t="shared" ref="T63:U63" si="58">SUM(T60:T62)</f>
        <v>126281.24905999999</v>
      </c>
      <c r="U63" s="4">
        <f t="shared" si="58"/>
        <v>181394.46385999999</v>
      </c>
      <c r="V63" s="4">
        <f t="shared" ref="V63:W63" si="59">SUM(V60:V62)</f>
        <v>182386.74375716297</v>
      </c>
      <c r="W63" s="4">
        <f t="shared" si="59"/>
        <v>170104.43582628047</v>
      </c>
      <c r="X63" s="4">
        <f t="shared" ref="X63" si="60">SUM(X60:X62)</f>
        <v>124258.02468985063</v>
      </c>
    </row>
    <row r="64" spans="1:24" ht="15" customHeight="1" x14ac:dyDescent="0.3"/>
    <row r="65" ht="15" customHeight="1" x14ac:dyDescent="0.3"/>
    <row r="66" ht="15" customHeight="1" x14ac:dyDescent="0.3"/>
    <row r="67" ht="15" customHeight="1" x14ac:dyDescent="0.3"/>
    <row r="68" ht="15" customHeight="1" x14ac:dyDescent="0.3"/>
    <row r="69" ht="15" customHeight="1" x14ac:dyDescent="0.3"/>
    <row r="70" ht="15" customHeight="1" x14ac:dyDescent="0.3"/>
  </sheetData>
  <pageMargins left="0.7" right="0.7" top="0.75" bottom="0.75" header="0.3" footer="0.3"/>
  <pageSetup paperSize="9" orientation="portrait" horizontalDpi="0" verticalDpi="0" r:id="rId1"/>
  <ignoredErrors>
    <ignoredError sqref="E5:E40 F8:F27" formulaRange="1"/>
    <ignoredError sqref="E41 E45:E54" formula="1" formulaRange="1"/>
    <ignoredError sqref="E42:E44 E55:E60 E62:E64" formula="1"/>
  </ignoredErrors>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7"/>
  <dimension ref="B1:K1360"/>
  <sheetViews>
    <sheetView showGridLines="0" topLeftCell="A1353" workbookViewId="0">
      <selection activeCell="A1360" sqref="A1360"/>
    </sheetView>
  </sheetViews>
  <sheetFormatPr baseColWidth="10" defaultColWidth="12.77734375" defaultRowHeight="15" customHeight="1" x14ac:dyDescent="0.3"/>
  <cols>
    <col min="1" max="1" width="2.77734375" style="1" customWidth="1"/>
    <col min="2" max="16384" width="12.77734375" style="1"/>
  </cols>
  <sheetData>
    <row r="1" spans="2:2" ht="15" customHeight="1" x14ac:dyDescent="0.3">
      <c r="B1" s="7" t="s">
        <v>87</v>
      </c>
    </row>
    <row r="35" spans="2:2" ht="15" customHeight="1" x14ac:dyDescent="0.3">
      <c r="B35" s="7" t="s">
        <v>11</v>
      </c>
    </row>
    <row r="82" spans="2:11" ht="15" customHeight="1" x14ac:dyDescent="0.3">
      <c r="B82" s="7" t="s">
        <v>159</v>
      </c>
    </row>
    <row r="94" spans="2:11" ht="15" customHeight="1" x14ac:dyDescent="0.3">
      <c r="B94" s="7"/>
      <c r="K94" s="4" t="s">
        <v>160</v>
      </c>
    </row>
    <row r="108" spans="2:2" ht="15" customHeight="1" x14ac:dyDescent="0.3">
      <c r="B108" s="7" t="s">
        <v>161</v>
      </c>
    </row>
    <row r="177" spans="2:2" ht="15" customHeight="1" x14ac:dyDescent="0.3">
      <c r="B177" s="7" t="s">
        <v>14</v>
      </c>
    </row>
    <row r="215" spans="2:2" ht="15" customHeight="1" x14ac:dyDescent="0.3">
      <c r="B215" s="7"/>
    </row>
    <row r="340" spans="2:2" ht="15" customHeight="1" x14ac:dyDescent="0.3">
      <c r="B340" s="7" t="s">
        <v>162</v>
      </c>
    </row>
    <row r="359" spans="2:2" ht="15" customHeight="1" x14ac:dyDescent="0.3">
      <c r="B359" s="7" t="s">
        <v>163</v>
      </c>
    </row>
    <row r="386" spans="2:2" ht="15" customHeight="1" x14ac:dyDescent="0.3">
      <c r="B386" s="7" t="s">
        <v>49</v>
      </c>
    </row>
    <row r="497" spans="2:2" ht="15" customHeight="1" x14ac:dyDescent="0.3">
      <c r="B497" s="7" t="s">
        <v>167</v>
      </c>
    </row>
    <row r="514" spans="2:2" ht="15" customHeight="1" x14ac:dyDescent="0.3">
      <c r="B514" s="7" t="s">
        <v>50</v>
      </c>
    </row>
    <row r="607" spans="2:2" ht="15" customHeight="1" x14ac:dyDescent="0.3">
      <c r="B607" s="7" t="s">
        <v>51</v>
      </c>
    </row>
    <row r="711" spans="2:2" ht="15" customHeight="1" x14ac:dyDescent="0.3">
      <c r="B711" s="7" t="s">
        <v>176</v>
      </c>
    </row>
    <row r="729" spans="2:2" ht="15" customHeight="1" x14ac:dyDescent="0.3">
      <c r="B729" s="7" t="s">
        <v>29</v>
      </c>
    </row>
    <row r="816" spans="2:2" ht="15" customHeight="1" x14ac:dyDescent="0.3">
      <c r="B816" s="7" t="s">
        <v>180</v>
      </c>
    </row>
    <row r="833" spans="2:2" ht="15" customHeight="1" x14ac:dyDescent="0.3">
      <c r="B833" s="7" t="s">
        <v>179</v>
      </c>
    </row>
    <row r="842" spans="2:2" ht="15" customHeight="1" x14ac:dyDescent="0.3">
      <c r="B842" s="7" t="s">
        <v>168</v>
      </c>
    </row>
    <row r="960" spans="2:2" ht="15" customHeight="1" x14ac:dyDescent="0.3">
      <c r="B960" s="7" t="s">
        <v>181</v>
      </c>
    </row>
    <row r="972" spans="2:2" ht="15" customHeight="1" x14ac:dyDescent="0.3">
      <c r="B972" s="7" t="s">
        <v>169</v>
      </c>
    </row>
    <row r="1059" spans="2:2" ht="15" customHeight="1" x14ac:dyDescent="0.3">
      <c r="B1059" s="7" t="s">
        <v>184</v>
      </c>
    </row>
    <row r="1081" spans="2:2" ht="15" customHeight="1" x14ac:dyDescent="0.3">
      <c r="B1081" s="7" t="s">
        <v>185</v>
      </c>
    </row>
    <row r="1088" spans="2:2" ht="15" customHeight="1" x14ac:dyDescent="0.3">
      <c r="B1088" s="7" t="s">
        <v>170</v>
      </c>
    </row>
    <row r="1203" spans="2:2" ht="15" customHeight="1" x14ac:dyDescent="0.3">
      <c r="B1203" s="7" t="s">
        <v>190</v>
      </c>
    </row>
    <row r="1228" spans="2:2" ht="15" customHeight="1" x14ac:dyDescent="0.3">
      <c r="B1228" s="7" t="s">
        <v>191</v>
      </c>
    </row>
    <row r="1240" spans="2:2" ht="15" customHeight="1" x14ac:dyDescent="0.3">
      <c r="B1240" s="7" t="s">
        <v>171</v>
      </c>
    </row>
    <row r="1242" spans="2:2" ht="15" customHeight="1" x14ac:dyDescent="0.3">
      <c r="B1242"/>
    </row>
    <row r="1265" spans="2:2" ht="15" customHeight="1" x14ac:dyDescent="0.3">
      <c r="B1265"/>
    </row>
    <row r="1344" spans="2:2" ht="15" customHeight="1" x14ac:dyDescent="0.3">
      <c r="B1344" s="7" t="s">
        <v>192</v>
      </c>
    </row>
    <row r="1360" spans="2:2" ht="15" customHeight="1" x14ac:dyDescent="0.3">
      <c r="B1360" s="7" t="s">
        <v>186</v>
      </c>
    </row>
  </sheetData>
  <pageMargins left="0.7" right="0.7" top="0.75" bottom="0.75" header="0.3" footer="0.3"/>
  <pageSetup paperSize="9"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Cover</vt:lpstr>
      <vt:lpstr>NAV</vt:lpstr>
      <vt:lpstr>P&amp;L</vt:lpstr>
      <vt:lpstr>Balance</vt:lpstr>
      <vt:lpstr>CashFlow</vt:lpstr>
      <vt:lpstr>Notes</vt:lpstr>
    </vt:vector>
  </TitlesOfParts>
  <Company>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Full name</dc:creator>
  <cp:lastModifiedBy>Full name</cp:lastModifiedBy>
  <dcterms:created xsi:type="dcterms:W3CDTF">2023-09-26T09:00:29Z</dcterms:created>
  <dcterms:modified xsi:type="dcterms:W3CDTF">2026-05-07T09:24:23Z</dcterms:modified>
</cp:coreProperties>
</file>