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 yWindow="-12" windowWidth="11616" windowHeight="9660" tabRatio="890" activeTab="1"/>
  </bookViews>
  <sheets>
    <sheet name="NAV" sheetId="19" r:id="rId1"/>
    <sheet name="Scenarios" sheetId="25" r:id="rId2"/>
    <sheet name="P&amp;L" sheetId="22" r:id="rId3"/>
    <sheet name="Balance" sheetId="23" r:id="rId4"/>
    <sheet name="CashFlow" sheetId="24" r:id="rId5"/>
    <sheet name="Debt" sheetId="5" r:id="rId6"/>
    <sheet name="Notes" sheetId="4" r:id="rId7"/>
    <sheet name="Dudas" sheetId="14" r:id="rId8"/>
  </sheets>
  <externalReferences>
    <externalReference r:id="rId9"/>
  </externalReferences>
  <calcPr calcId="144525"/>
</workbook>
</file>

<file path=xl/calcChain.xml><?xml version="1.0" encoding="utf-8"?>
<calcChain xmlns="http://schemas.openxmlformats.org/spreadsheetml/2006/main">
  <c r="M19" i="25" l="1"/>
  <c r="U10" i="19" l="1"/>
  <c r="T10" i="19"/>
  <c r="K38" i="23"/>
  <c r="K40" i="23"/>
  <c r="U13" i="19" l="1"/>
  <c r="M31" i="24"/>
  <c r="M38" i="24" s="1"/>
  <c r="M20" i="24"/>
  <c r="M6" i="24"/>
  <c r="M5" i="24" s="1"/>
  <c r="M70" i="23"/>
  <c r="U9" i="19" s="1"/>
  <c r="M23" i="23"/>
  <c r="M16" i="22"/>
  <c r="M70" i="22"/>
  <c r="M71" i="22"/>
  <c r="M72" i="22"/>
  <c r="M73" i="22"/>
  <c r="M74" i="22"/>
  <c r="M75" i="22"/>
  <c r="M76" i="22"/>
  <c r="M77" i="22"/>
  <c r="M78" i="22"/>
  <c r="M79" i="22"/>
  <c r="M80" i="22"/>
  <c r="M81" i="22"/>
  <c r="M82" i="22"/>
  <c r="M83" i="22"/>
  <c r="M84" i="22"/>
  <c r="M85" i="22"/>
  <c r="M86" i="22"/>
  <c r="M87" i="22"/>
  <c r="M88" i="22"/>
  <c r="M89" i="22"/>
  <c r="M90" i="22"/>
  <c r="M91" i="22"/>
  <c r="M92" i="22"/>
  <c r="M93" i="22"/>
  <c r="M3" i="22" l="1"/>
  <c r="M5" i="22" s="1"/>
  <c r="M18" i="22" s="1"/>
  <c r="K81" i="24"/>
  <c r="L38" i="24"/>
  <c r="K38" i="24"/>
  <c r="L31" i="24"/>
  <c r="L20" i="24"/>
  <c r="K20" i="24"/>
  <c r="L6" i="24"/>
  <c r="L5" i="24" s="1"/>
  <c r="K6" i="24"/>
  <c r="K5" i="24" s="1"/>
  <c r="J57" i="24"/>
  <c r="J38" i="24"/>
  <c r="J20" i="24"/>
  <c r="C70" i="23"/>
  <c r="D70" i="23"/>
  <c r="F70" i="23"/>
  <c r="G70" i="23"/>
  <c r="H70" i="23"/>
  <c r="I70" i="23"/>
  <c r="L70" i="23"/>
  <c r="K70" i="23"/>
  <c r="J70" i="23"/>
  <c r="J5" i="24"/>
  <c r="J38" i="23" l="1"/>
  <c r="J40" i="23"/>
  <c r="L83" i="24" l="1"/>
  <c r="K83" i="24"/>
  <c r="J83" i="24"/>
  <c r="L93" i="22" l="1"/>
  <c r="L92" i="22"/>
  <c r="L91" i="22"/>
  <c r="L90" i="22"/>
  <c r="L89" i="22"/>
  <c r="L88" i="22"/>
  <c r="L87" i="22"/>
  <c r="L86" i="22"/>
  <c r="L85" i="22"/>
  <c r="L84" i="22"/>
  <c r="L83" i="22"/>
  <c r="L82" i="22"/>
  <c r="L81" i="22"/>
  <c r="L80" i="22"/>
  <c r="L79" i="22"/>
  <c r="L78" i="22"/>
  <c r="L77" i="22"/>
  <c r="L76" i="22"/>
  <c r="L75" i="22"/>
  <c r="L74" i="22"/>
  <c r="L73" i="22"/>
  <c r="L72" i="22"/>
  <c r="L71" i="22"/>
  <c r="L70" i="22"/>
  <c r="R23" i="19" l="1"/>
  <c r="Q23" i="19"/>
  <c r="P23" i="19"/>
  <c r="O23" i="19"/>
  <c r="L67" i="24" l="1"/>
  <c r="L72" i="24"/>
  <c r="L74" i="24" s="1"/>
  <c r="L23" i="23"/>
  <c r="L16" i="22"/>
  <c r="T9" i="19"/>
  <c r="T13" i="19"/>
  <c r="L3" i="22" l="1"/>
  <c r="L5" i="22" s="1"/>
  <c r="L18" i="22" s="1"/>
  <c r="L31" i="23"/>
  <c r="E14" i="5"/>
  <c r="G17" i="5"/>
  <c r="G16" i="5"/>
  <c r="G15" i="5"/>
  <c r="G14" i="5"/>
  <c r="G13" i="5"/>
  <c r="Q8" i="5"/>
  <c r="P8" i="5"/>
  <c r="O8" i="5"/>
  <c r="N8" i="5"/>
  <c r="M8" i="5"/>
  <c r="L8" i="5"/>
  <c r="K8" i="5"/>
  <c r="K7" i="5"/>
  <c r="I20" i="24"/>
  <c r="I5" i="24"/>
  <c r="I40" i="23"/>
  <c r="I38" i="23" s="1"/>
  <c r="M31" i="23" l="1"/>
  <c r="L81" i="24"/>
  <c r="L85" i="24" s="1"/>
  <c r="L52" i="24"/>
  <c r="L30" i="23"/>
  <c r="L35" i="23" s="1"/>
  <c r="L53" i="23"/>
  <c r="I19" i="25"/>
  <c r="M30" i="23" l="1"/>
  <c r="M35" i="23" s="1"/>
  <c r="M52" i="24"/>
  <c r="M53" i="23"/>
  <c r="T5" i="19"/>
  <c r="I72" i="24"/>
  <c r="K72" i="24"/>
  <c r="J72" i="24"/>
  <c r="U5" i="19" l="1"/>
  <c r="M54" i="23"/>
  <c r="O1" i="19"/>
  <c r="K71" i="22" l="1"/>
  <c r="S13" i="19"/>
  <c r="K74" i="24"/>
  <c r="K67" i="24"/>
  <c r="S9" i="19"/>
  <c r="K23" i="23"/>
  <c r="K16" i="22"/>
  <c r="K73" i="22"/>
  <c r="K78" i="22"/>
  <c r="K81" i="22"/>
  <c r="K84" i="22"/>
  <c r="K86" i="22"/>
  <c r="K90" i="22"/>
  <c r="K93" i="22"/>
  <c r="K70" i="22" l="1"/>
  <c r="K85" i="22"/>
  <c r="K77" i="22"/>
  <c r="K89" i="22"/>
  <c r="K82" i="22"/>
  <c r="K74" i="22"/>
  <c r="K80" i="22"/>
  <c r="K76" i="22"/>
  <c r="K72" i="22"/>
  <c r="K92" i="22"/>
  <c r="K88" i="22"/>
  <c r="K91" i="22"/>
  <c r="K87" i="22"/>
  <c r="K83" i="22"/>
  <c r="K79" i="22"/>
  <c r="K75" i="22"/>
  <c r="C22" i="5"/>
  <c r="K5" i="22" l="1"/>
  <c r="K18" i="22" s="1"/>
  <c r="R13" i="19"/>
  <c r="J74" i="24"/>
  <c r="J67" i="24"/>
  <c r="R9" i="19"/>
  <c r="J23" i="23"/>
  <c r="J16" i="22"/>
  <c r="J93" i="22"/>
  <c r="J92" i="22"/>
  <c r="J91" i="22"/>
  <c r="J90" i="22"/>
  <c r="J89" i="22"/>
  <c r="J88" i="22"/>
  <c r="J87" i="22"/>
  <c r="J86" i="22"/>
  <c r="J85" i="22"/>
  <c r="J84" i="22"/>
  <c r="J83" i="22"/>
  <c r="J82" i="22"/>
  <c r="J81" i="22"/>
  <c r="J80" i="22"/>
  <c r="J79" i="22"/>
  <c r="J78" i="22"/>
  <c r="J77" i="22"/>
  <c r="J76" i="22"/>
  <c r="J75" i="22"/>
  <c r="J74" i="22"/>
  <c r="J73" i="22"/>
  <c r="J72" i="22"/>
  <c r="J71" i="22"/>
  <c r="J70" i="22"/>
  <c r="Q13" i="19"/>
  <c r="Q9" i="19"/>
  <c r="I74" i="24"/>
  <c r="I67" i="24"/>
  <c r="F17" i="5"/>
  <c r="F16" i="5"/>
  <c r="F15" i="5"/>
  <c r="F14" i="5"/>
  <c r="F13" i="5"/>
  <c r="F6" i="5"/>
  <c r="F5" i="5"/>
  <c r="F4" i="5"/>
  <c r="F3" i="5"/>
  <c r="F2" i="5"/>
  <c r="E17" i="5"/>
  <c r="E6" i="5"/>
  <c r="I71" i="22"/>
  <c r="I72" i="22"/>
  <c r="I73" i="22"/>
  <c r="I74" i="22"/>
  <c r="I75" i="22"/>
  <c r="I76" i="22"/>
  <c r="I77" i="22"/>
  <c r="I78" i="22"/>
  <c r="I79" i="22"/>
  <c r="I80" i="22"/>
  <c r="I81" i="22"/>
  <c r="I82" i="22"/>
  <c r="I83" i="22"/>
  <c r="I84" i="22"/>
  <c r="I85" i="22"/>
  <c r="I86" i="22"/>
  <c r="I87" i="22"/>
  <c r="I88" i="22"/>
  <c r="I89" i="22"/>
  <c r="I90" i="22"/>
  <c r="I91" i="22"/>
  <c r="I92" i="22"/>
  <c r="I93" i="22"/>
  <c r="I70" i="22"/>
  <c r="I200" i="22"/>
  <c r="I199" i="22"/>
  <c r="I198" i="22"/>
  <c r="I197" i="22"/>
  <c r="I179" i="22"/>
  <c r="I180" i="22"/>
  <c r="I181" i="22"/>
  <c r="I182" i="22"/>
  <c r="I183" i="22"/>
  <c r="I184" i="22"/>
  <c r="I185" i="22"/>
  <c r="I186" i="22"/>
  <c r="I187" i="22"/>
  <c r="I188" i="22"/>
  <c r="I189" i="22"/>
  <c r="I190" i="22"/>
  <c r="I191" i="22"/>
  <c r="I192" i="22"/>
  <c r="I193" i="22"/>
  <c r="I194" i="22"/>
  <c r="I195" i="22"/>
  <c r="I196" i="22"/>
  <c r="I201" i="22"/>
  <c r="I178" i="22"/>
  <c r="H71" i="22"/>
  <c r="H72" i="22"/>
  <c r="H73" i="22"/>
  <c r="H74" i="22"/>
  <c r="H75" i="22"/>
  <c r="H76" i="22"/>
  <c r="H77" i="22"/>
  <c r="H78" i="22"/>
  <c r="H79" i="22"/>
  <c r="H80" i="22"/>
  <c r="H81" i="22"/>
  <c r="H82" i="22"/>
  <c r="H83" i="22"/>
  <c r="H84" i="22"/>
  <c r="H85" i="22"/>
  <c r="H86" i="22"/>
  <c r="H87" i="22"/>
  <c r="H88" i="22"/>
  <c r="H89" i="22"/>
  <c r="H90" i="22"/>
  <c r="H91" i="22"/>
  <c r="H92" i="22"/>
  <c r="H93" i="22"/>
  <c r="H70" i="22"/>
  <c r="P9" i="19"/>
  <c r="O9" i="19"/>
  <c r="P6" i="19"/>
  <c r="O6" i="19"/>
  <c r="F55" i="23"/>
  <c r="C53" i="23"/>
  <c r="C55" i="23" s="1"/>
  <c r="D53" i="23"/>
  <c r="D55" i="23" s="1"/>
  <c r="F53" i="23"/>
  <c r="H53" i="23"/>
  <c r="H55" i="23" s="1"/>
  <c r="G53" i="23"/>
  <c r="G55" i="23" s="1"/>
  <c r="P13" i="19"/>
  <c r="O13" i="19"/>
  <c r="K41" i="25"/>
  <c r="J41" i="25"/>
  <c r="I41" i="25"/>
  <c r="H41" i="25"/>
  <c r="K40" i="25"/>
  <c r="J40" i="25"/>
  <c r="I40" i="25"/>
  <c r="H40" i="25"/>
  <c r="K39" i="25"/>
  <c r="J39" i="25"/>
  <c r="I39" i="25"/>
  <c r="H39" i="25"/>
  <c r="K36" i="25"/>
  <c r="J36" i="25"/>
  <c r="I36" i="25"/>
  <c r="H36" i="25"/>
  <c r="K35" i="25"/>
  <c r="J35" i="25"/>
  <c r="I35" i="25"/>
  <c r="H35" i="25"/>
  <c r="K34" i="25"/>
  <c r="J34" i="25"/>
  <c r="I34" i="25"/>
  <c r="H34" i="25"/>
  <c r="H9" i="25"/>
  <c r="H8" i="25"/>
  <c r="K15" i="5" l="1"/>
  <c r="L15" i="5"/>
  <c r="J16" i="5"/>
  <c r="K16" i="5"/>
  <c r="L16" i="5"/>
  <c r="K13" i="5"/>
  <c r="L13" i="5"/>
  <c r="K17" i="5"/>
  <c r="L17" i="5"/>
  <c r="K14" i="5"/>
  <c r="L14" i="5"/>
  <c r="J11" i="23"/>
  <c r="J17" i="5"/>
  <c r="J14" i="5"/>
  <c r="J15" i="5"/>
  <c r="H13" i="5"/>
  <c r="I13" i="5" s="1"/>
  <c r="H14" i="5"/>
  <c r="I14" i="5" s="1"/>
  <c r="H15" i="5"/>
  <c r="I15" i="5" s="1"/>
  <c r="H16" i="5"/>
  <c r="I16" i="5" s="1"/>
  <c r="H17" i="5"/>
  <c r="I17" i="5" s="1"/>
  <c r="J13" i="5"/>
  <c r="J5" i="22"/>
  <c r="J18" i="22" s="1"/>
  <c r="F54" i="23"/>
  <c r="G54" i="23"/>
  <c r="D54" i="23"/>
  <c r="H54" i="23"/>
  <c r="O5" i="19"/>
  <c r="P5" i="19"/>
  <c r="H13" i="25"/>
  <c r="H11" i="25"/>
  <c r="K11" i="23" l="1"/>
  <c r="L12" i="23"/>
  <c r="H15" i="25"/>
  <c r="L11" i="23" l="1"/>
  <c r="M12" i="23"/>
  <c r="M11" i="23" s="1"/>
  <c r="I57" i="24"/>
  <c r="H57" i="24"/>
  <c r="G57" i="24"/>
  <c r="F57" i="24"/>
  <c r="D57" i="24"/>
  <c r="C57" i="24"/>
  <c r="E56" i="24"/>
  <c r="E55" i="24"/>
  <c r="E54" i="24"/>
  <c r="E53" i="24"/>
  <c r="E52" i="24"/>
  <c r="E51" i="24"/>
  <c r="E50" i="24"/>
  <c r="E49" i="24"/>
  <c r="E48" i="24"/>
  <c r="E47" i="24"/>
  <c r="E46" i="24"/>
  <c r="E45" i="24"/>
  <c r="I38" i="24"/>
  <c r="H38" i="24"/>
  <c r="G38" i="24"/>
  <c r="F38" i="24"/>
  <c r="D38" i="24"/>
  <c r="C38" i="24"/>
  <c r="E37" i="24"/>
  <c r="E36" i="24"/>
  <c r="E35" i="24"/>
  <c r="E34" i="24"/>
  <c r="E33" i="24"/>
  <c r="E31" i="24"/>
  <c r="E27" i="24"/>
  <c r="E26" i="24"/>
  <c r="E25" i="24"/>
  <c r="E24" i="24"/>
  <c r="E23" i="24"/>
  <c r="E22" i="24"/>
  <c r="E21" i="24"/>
  <c r="H20" i="24"/>
  <c r="G20" i="24"/>
  <c r="F20" i="24"/>
  <c r="D20" i="24"/>
  <c r="C20" i="24"/>
  <c r="E17" i="24"/>
  <c r="E16" i="24"/>
  <c r="E15" i="24"/>
  <c r="E14" i="24"/>
  <c r="E13" i="24"/>
  <c r="E12" i="24"/>
  <c r="E11" i="24"/>
  <c r="E10" i="24"/>
  <c r="E9" i="24"/>
  <c r="E8" i="24"/>
  <c r="E7" i="24"/>
  <c r="E6" i="24"/>
  <c r="H5" i="24"/>
  <c r="G5" i="24"/>
  <c r="F5" i="24"/>
  <c r="D5" i="24"/>
  <c r="C5" i="24"/>
  <c r="C1" i="24"/>
  <c r="F68" i="23"/>
  <c r="D68" i="23"/>
  <c r="C68" i="23"/>
  <c r="H40" i="23"/>
  <c r="H38" i="23" s="1"/>
  <c r="G40" i="23"/>
  <c r="G38" i="23" s="1"/>
  <c r="F40" i="23"/>
  <c r="F38" i="23" s="1"/>
  <c r="E40" i="23"/>
  <c r="E38" i="23" s="1"/>
  <c r="D40" i="23"/>
  <c r="D38" i="23" s="1"/>
  <c r="C40" i="23"/>
  <c r="C38" i="23" s="1"/>
  <c r="H30" i="23"/>
  <c r="G30" i="23"/>
  <c r="F30" i="23"/>
  <c r="E30" i="23"/>
  <c r="D30" i="23"/>
  <c r="C30" i="23"/>
  <c r="I23" i="23"/>
  <c r="H23" i="23"/>
  <c r="G23" i="23"/>
  <c r="F23" i="23"/>
  <c r="E23" i="23"/>
  <c r="D23" i="23"/>
  <c r="C23" i="23"/>
  <c r="I11" i="23"/>
  <c r="H11" i="23"/>
  <c r="G11" i="23"/>
  <c r="F11" i="23"/>
  <c r="E11" i="23"/>
  <c r="D11" i="23"/>
  <c r="C11" i="23"/>
  <c r="H3" i="23"/>
  <c r="G3" i="23"/>
  <c r="F3" i="23"/>
  <c r="E3" i="23"/>
  <c r="D3" i="23"/>
  <c r="C3" i="23"/>
  <c r="C1" i="23"/>
  <c r="E35" i="23" l="1"/>
  <c r="E49" i="23" s="1"/>
  <c r="E5" i="24"/>
  <c r="E38" i="24"/>
  <c r="E57" i="24"/>
  <c r="E20" i="24"/>
  <c r="D20" i="23"/>
  <c r="H20" i="23"/>
  <c r="E20" i="23"/>
  <c r="C35" i="23"/>
  <c r="C49" i="23" s="1"/>
  <c r="G35" i="23"/>
  <c r="G49" i="23" s="1"/>
  <c r="F20" i="23"/>
  <c r="D35" i="23"/>
  <c r="D49" i="23" s="1"/>
  <c r="H35" i="23"/>
  <c r="H49" i="23" s="1"/>
  <c r="C20" i="23"/>
  <c r="G20" i="23"/>
  <c r="F35" i="23"/>
  <c r="F49" i="23" s="1"/>
  <c r="O10" i="19"/>
  <c r="P10" i="19" s="1"/>
  <c r="G50" i="23" l="1"/>
  <c r="D50" i="23"/>
  <c r="H50" i="23"/>
  <c r="C50" i="23"/>
  <c r="F50" i="23"/>
  <c r="E30" i="22"/>
  <c r="E27" i="22"/>
  <c r="E24" i="22"/>
  <c r="E23" i="22"/>
  <c r="E21" i="22"/>
  <c r="E20" i="22"/>
  <c r="E15" i="22"/>
  <c r="E14" i="22"/>
  <c r="E13" i="22"/>
  <c r="E12" i="22"/>
  <c r="E11" i="22"/>
  <c r="E10" i="22"/>
  <c r="E3" i="22"/>
  <c r="E5" i="22" s="1"/>
  <c r="I16" i="22"/>
  <c r="H16" i="22"/>
  <c r="G16" i="22"/>
  <c r="F16" i="22"/>
  <c r="D16" i="22"/>
  <c r="C16" i="22"/>
  <c r="I5" i="22"/>
  <c r="H5" i="22"/>
  <c r="G5" i="22"/>
  <c r="F5" i="22"/>
  <c r="D5" i="22"/>
  <c r="C5" i="22"/>
  <c r="C1" i="22"/>
  <c r="C18" i="22" l="1"/>
  <c r="C25" i="22" s="1"/>
  <c r="C28" i="22" s="1"/>
  <c r="C3" i="24" s="1"/>
  <c r="C18" i="24" s="1"/>
  <c r="C28" i="24" s="1"/>
  <c r="E16" i="22"/>
  <c r="E18" i="22" s="1"/>
  <c r="D18" i="22"/>
  <c r="D25" i="22" s="1"/>
  <c r="D28" i="22" s="1"/>
  <c r="G18" i="22"/>
  <c r="G25" i="22" s="1"/>
  <c r="G28" i="22" s="1"/>
  <c r="F18" i="22"/>
  <c r="F25" i="22" s="1"/>
  <c r="F28" i="22" s="1"/>
  <c r="F3" i="24" s="1"/>
  <c r="F18" i="24" s="1"/>
  <c r="F28" i="24" s="1"/>
  <c r="F59" i="24" s="1"/>
  <c r="I18" i="22"/>
  <c r="H18" i="22"/>
  <c r="H25" i="22" s="1"/>
  <c r="H28" i="22" s="1"/>
  <c r="H3" i="24" s="1"/>
  <c r="H18" i="24" s="1"/>
  <c r="H28" i="24" s="1"/>
  <c r="H41" i="24" s="1"/>
  <c r="H42" i="24" s="1"/>
  <c r="F41" i="24" l="1"/>
  <c r="F42" i="24" s="1"/>
  <c r="D31" i="22"/>
  <c r="D3" i="24"/>
  <c r="D18" i="24" s="1"/>
  <c r="D28" i="24" s="1"/>
  <c r="C59" i="24"/>
  <c r="C62" i="24" s="1"/>
  <c r="D61" i="24" s="1"/>
  <c r="C41" i="24"/>
  <c r="C42" i="24" s="1"/>
  <c r="H59" i="24"/>
  <c r="C31" i="22"/>
  <c r="G31" i="22"/>
  <c r="G3" i="24"/>
  <c r="G18" i="24" s="1"/>
  <c r="G28" i="24" s="1"/>
  <c r="F31" i="22"/>
  <c r="H31" i="22"/>
  <c r="H34" i="22" l="1"/>
  <c r="I83" i="24" s="1"/>
  <c r="H35" i="22"/>
  <c r="D59" i="24"/>
  <c r="D62" i="24" s="1"/>
  <c r="D41" i="24"/>
  <c r="D42" i="24" s="1"/>
  <c r="G41" i="24"/>
  <c r="G59" i="24"/>
  <c r="F61" i="24" l="1"/>
  <c r="F62" i="24" s="1"/>
  <c r="G61" i="24" s="1"/>
  <c r="G62" i="24" s="1"/>
  <c r="H61" i="24" s="1"/>
  <c r="H62" i="24" s="1"/>
  <c r="E61" i="24"/>
  <c r="G42" i="24"/>
  <c r="G25" i="19"/>
  <c r="G24" i="19"/>
  <c r="G23" i="19"/>
  <c r="G22" i="19"/>
  <c r="G21" i="19"/>
  <c r="G20" i="19"/>
  <c r="G19" i="19"/>
  <c r="G18" i="19"/>
  <c r="G17" i="19"/>
  <c r="G16" i="19"/>
  <c r="G15" i="19"/>
  <c r="G14" i="19"/>
  <c r="G13" i="19"/>
  <c r="G12" i="19"/>
  <c r="G11" i="19"/>
  <c r="G10" i="19"/>
  <c r="G9" i="19"/>
  <c r="G8" i="19"/>
  <c r="G7" i="19"/>
  <c r="G6" i="19"/>
  <c r="G5" i="19"/>
  <c r="G4" i="19"/>
  <c r="G3" i="19"/>
  <c r="G2" i="19"/>
  <c r="I61" i="24" l="1"/>
  <c r="I89" i="24"/>
  <c r="H7" i="19"/>
  <c r="H11" i="19"/>
  <c r="H15" i="19"/>
  <c r="H19" i="19"/>
  <c r="H23" i="19"/>
  <c r="H4" i="19"/>
  <c r="H8" i="19"/>
  <c r="H12" i="19"/>
  <c r="H16" i="19"/>
  <c r="H20" i="19"/>
  <c r="H24" i="19"/>
  <c r="H25" i="19"/>
  <c r="H5" i="19"/>
  <c r="H9" i="19"/>
  <c r="H13" i="19"/>
  <c r="H17" i="19"/>
  <c r="H21" i="19"/>
  <c r="H6" i="19"/>
  <c r="H10" i="19"/>
  <c r="H14" i="19"/>
  <c r="H18" i="19"/>
  <c r="H22" i="19"/>
  <c r="H3" i="19"/>
  <c r="H2" i="19"/>
  <c r="O11" i="19" l="1"/>
  <c r="O15" i="19" s="1"/>
  <c r="O17" i="19" s="1"/>
  <c r="P11" i="19" l="1"/>
  <c r="P15" i="19" s="1"/>
  <c r="P17" i="19" s="1"/>
  <c r="T18" i="5"/>
  <c r="S18" i="5"/>
  <c r="U7" i="5"/>
  <c r="T7" i="5"/>
  <c r="P7" i="5"/>
  <c r="Q7" i="5" l="1"/>
  <c r="I7" i="5"/>
  <c r="R18" i="5"/>
  <c r="H7" i="5"/>
  <c r="O7" i="5"/>
  <c r="R7" i="5"/>
  <c r="S7" i="5"/>
  <c r="I53" i="23" l="1"/>
  <c r="I81" i="24"/>
  <c r="I85" i="24" s="1"/>
  <c r="I30" i="23"/>
  <c r="I35" i="23" s="1"/>
  <c r="L18" i="5"/>
  <c r="J7" i="5"/>
  <c r="L7" i="5"/>
  <c r="H18" i="5"/>
  <c r="N7" i="5"/>
  <c r="K18" i="5"/>
  <c r="I18" i="5"/>
  <c r="Q18" i="5"/>
  <c r="N18" i="5"/>
  <c r="O18" i="5"/>
  <c r="M18" i="5"/>
  <c r="J18" i="5"/>
  <c r="P18" i="5"/>
  <c r="H8" i="5"/>
  <c r="I8" i="5" s="1"/>
  <c r="J8" i="5" s="1"/>
  <c r="M7" i="5"/>
  <c r="K25" i="22" l="1"/>
  <c r="K28" i="22" s="1"/>
  <c r="K3" i="24" s="1"/>
  <c r="K18" i="24" s="1"/>
  <c r="K28" i="24" s="1"/>
  <c r="L25" i="22"/>
  <c r="L28" i="22" s="1"/>
  <c r="M25" i="22"/>
  <c r="M28" i="22" s="1"/>
  <c r="J30" i="23"/>
  <c r="J35" i="23" s="1"/>
  <c r="J53" i="23"/>
  <c r="J54" i="23" s="1"/>
  <c r="J81" i="24"/>
  <c r="Q5" i="19"/>
  <c r="I54" i="23"/>
  <c r="K53" i="23"/>
  <c r="L54" i="23" s="1"/>
  <c r="K30" i="23"/>
  <c r="K35" i="23" s="1"/>
  <c r="J25" i="22"/>
  <c r="J28" i="22" s="1"/>
  <c r="J3" i="24" s="1"/>
  <c r="J18" i="24" s="1"/>
  <c r="J28" i="24" s="1"/>
  <c r="E22" i="22"/>
  <c r="I25" i="22"/>
  <c r="I28" i="22" s="1"/>
  <c r="I3" i="24" s="1"/>
  <c r="I18" i="24" s="1"/>
  <c r="I28" i="24" s="1"/>
  <c r="R8" i="5"/>
  <c r="S8" i="5" s="1"/>
  <c r="T8" i="5" s="1"/>
  <c r="L3" i="24" l="1"/>
  <c r="L18" i="24" s="1"/>
  <c r="L28" i="24" s="1"/>
  <c r="L41" i="24" s="1"/>
  <c r="L42" i="24" s="1"/>
  <c r="L38" i="23"/>
  <c r="M31" i="22"/>
  <c r="M3" i="24"/>
  <c r="M18" i="24" s="1"/>
  <c r="M28" i="24" s="1"/>
  <c r="I41" i="24"/>
  <c r="I59" i="24"/>
  <c r="I62" i="24" s="1"/>
  <c r="J59" i="24"/>
  <c r="J41" i="24"/>
  <c r="J42" i="24" s="1"/>
  <c r="K41" i="24"/>
  <c r="K42" i="24" s="1"/>
  <c r="L31" i="22"/>
  <c r="L66" i="24"/>
  <c r="L69" i="24" s="1"/>
  <c r="R5" i="19"/>
  <c r="S5" i="19"/>
  <c r="K54" i="23"/>
  <c r="J66" i="24"/>
  <c r="J69" i="24" s="1"/>
  <c r="J77" i="24" s="1"/>
  <c r="J78" i="24" s="1"/>
  <c r="J31" i="22"/>
  <c r="J35" i="22" s="1"/>
  <c r="K31" i="22"/>
  <c r="K66" i="24"/>
  <c r="K69" i="24" s="1"/>
  <c r="K77" i="24" s="1"/>
  <c r="K78" i="24" s="1"/>
  <c r="I31" i="22"/>
  <c r="I66" i="24"/>
  <c r="I69" i="24" s="1"/>
  <c r="E25" i="22"/>
  <c r="E28" i="22" s="1"/>
  <c r="E3" i="24" s="1"/>
  <c r="E18" i="24" s="1"/>
  <c r="E28" i="24" s="1"/>
  <c r="E59" i="24" s="1"/>
  <c r="E62" i="24" s="1"/>
  <c r="K12" i="5"/>
  <c r="M41" i="24" l="1"/>
  <c r="M42" i="24" s="1"/>
  <c r="M34" i="22"/>
  <c r="M35" i="22"/>
  <c r="J61" i="24"/>
  <c r="J62" i="24" s="1"/>
  <c r="J89" i="24"/>
  <c r="I42" i="24"/>
  <c r="E41" i="24"/>
  <c r="E42" i="24" s="1"/>
  <c r="L77" i="24"/>
  <c r="L78" i="24" s="1"/>
  <c r="L88" i="24"/>
  <c r="L34" i="22"/>
  <c r="M45" i="24" s="1"/>
  <c r="M57" i="24" s="1"/>
  <c r="M59" i="24" s="1"/>
  <c r="L35" i="22"/>
  <c r="J34" i="22"/>
  <c r="K34" i="22"/>
  <c r="L45" i="24" s="1"/>
  <c r="L57" i="24" s="1"/>
  <c r="L59" i="24" s="1"/>
  <c r="K35" i="22"/>
  <c r="I34" i="22"/>
  <c r="I35" i="22"/>
  <c r="E35" i="22" s="1"/>
  <c r="E31" i="22"/>
  <c r="I88" i="24"/>
  <c r="I90" i="24" s="1"/>
  <c r="I77" i="24"/>
  <c r="I78" i="24" s="1"/>
  <c r="I49" i="23"/>
  <c r="M38" i="23" l="1"/>
  <c r="K61" i="24"/>
  <c r="K89" i="24"/>
  <c r="K85" i="24"/>
  <c r="K88" i="24" s="1"/>
  <c r="K57" i="24"/>
  <c r="K59" i="24" s="1"/>
  <c r="E34" i="22"/>
  <c r="K62" i="24" l="1"/>
  <c r="I55" i="23"/>
  <c r="I3" i="23"/>
  <c r="I20" i="23" s="1"/>
  <c r="I50" i="23" s="1"/>
  <c r="Q6" i="19"/>
  <c r="Q11" i="19" s="1"/>
  <c r="Q15" i="19" s="1"/>
  <c r="Q17" i="19" s="1"/>
  <c r="J85" i="24"/>
  <c r="J88" i="24" s="1"/>
  <c r="J90" i="24" s="1"/>
  <c r="L61" i="24" l="1"/>
  <c r="L62" i="24" s="1"/>
  <c r="J55" i="23"/>
  <c r="K90" i="24"/>
  <c r="J49" i="23"/>
  <c r="L4" i="23" l="1"/>
  <c r="M61" i="24"/>
  <c r="M62" i="24" s="1"/>
  <c r="M4" i="23" s="1"/>
  <c r="L89" i="24"/>
  <c r="L90" i="24" s="1"/>
  <c r="K49" i="23"/>
  <c r="R6" i="19"/>
  <c r="J3" i="23"/>
  <c r="J20" i="23" s="1"/>
  <c r="J50" i="23" s="1"/>
  <c r="M3" i="23" l="1"/>
  <c r="M20" i="23" s="1"/>
  <c r="M55" i="23"/>
  <c r="U6" i="19"/>
  <c r="L49" i="23"/>
  <c r="M49" i="23"/>
  <c r="S6" i="19"/>
  <c r="K55" i="23"/>
  <c r="K3" i="23"/>
  <c r="K20" i="23" s="1"/>
  <c r="K50" i="23" s="1"/>
  <c r="L55" i="23"/>
  <c r="T6" i="19"/>
  <c r="L3" i="23"/>
  <c r="L20" i="23" s="1"/>
  <c r="L50" i="23" l="1"/>
  <c r="M50" i="23"/>
  <c r="K10" i="19"/>
  <c r="K19" i="19"/>
  <c r="K11" i="19"/>
  <c r="K16" i="19"/>
  <c r="K14" i="19"/>
  <c r="K13" i="19"/>
  <c r="K3" i="19"/>
  <c r="K6" i="19"/>
  <c r="K8" i="19"/>
  <c r="K5" i="19"/>
  <c r="K15" i="19"/>
  <c r="K2" i="19"/>
  <c r="K25" i="19"/>
  <c r="K18" i="19"/>
  <c r="K23" i="19"/>
  <c r="K4" i="19"/>
  <c r="K20" i="19"/>
  <c r="K7" i="19"/>
  <c r="K17" i="19"/>
  <c r="K24" i="19"/>
  <c r="K21" i="19"/>
  <c r="K22" i="19"/>
  <c r="K12" i="19"/>
  <c r="K9" i="19"/>
  <c r="L21" i="19"/>
  <c r="L17" i="19"/>
  <c r="L15" i="19"/>
  <c r="L14" i="19"/>
  <c r="L13" i="19"/>
  <c r="L9" i="19"/>
  <c r="L5" i="19"/>
  <c r="L12" i="19"/>
  <c r="L18" i="19"/>
  <c r="L25" i="19"/>
  <c r="L8" i="19"/>
  <c r="L20" i="19"/>
  <c r="L7" i="19"/>
  <c r="L3" i="19"/>
  <c r="L16" i="19"/>
  <c r="L19" i="19"/>
  <c r="L22" i="19"/>
  <c r="L4" i="19"/>
  <c r="L2" i="19"/>
  <c r="L24" i="19"/>
  <c r="L23" i="19"/>
  <c r="L10" i="19"/>
  <c r="L6" i="19"/>
  <c r="L11" i="19"/>
  <c r="U4" i="19" l="1"/>
  <c r="U11" i="19" s="1"/>
  <c r="U15" i="19" s="1"/>
  <c r="U17" i="19" s="1"/>
  <c r="T4" i="19"/>
  <c r="T11" i="19" s="1"/>
  <c r="T15" i="19" s="1"/>
  <c r="T17" i="19" s="1"/>
  <c r="R11" i="19"/>
  <c r="R15" i="19" s="1"/>
  <c r="R17" i="19" s="1"/>
  <c r="S11" i="19"/>
  <c r="S15" i="19" s="1"/>
  <c r="S17" i="19" s="1"/>
</calcChain>
</file>

<file path=xl/comments1.xml><?xml version="1.0" encoding="utf-8"?>
<comments xmlns="http://schemas.openxmlformats.org/spreadsheetml/2006/main">
  <authors>
    <author>Full name</author>
  </authors>
  <commentList>
    <comment ref="N26" authorId="0">
      <text>
        <r>
          <rPr>
            <b/>
            <sz val="9"/>
            <color indexed="81"/>
            <rFont val="Tahoma"/>
            <family val="2"/>
          </rPr>
          <t>100% Quaterly EPS</t>
        </r>
      </text>
    </comment>
  </commentList>
</comments>
</file>

<file path=xl/comments2.xml><?xml version="1.0" encoding="utf-8"?>
<comments xmlns="http://schemas.openxmlformats.org/spreadsheetml/2006/main">
  <authors>
    <author>Full name</author>
  </authors>
  <commentList>
    <comment ref="B13" authorId="0">
      <text>
        <r>
          <rPr>
            <b/>
            <sz val="9"/>
            <color indexed="81"/>
            <rFont val="Tahoma"/>
            <family val="2"/>
          </rPr>
          <t>Advances related to exhaust gas cleaning system</t>
        </r>
        <r>
          <rPr>
            <sz val="9"/>
            <color indexed="81"/>
            <rFont val="Tahoma"/>
            <family val="2"/>
          </rPr>
          <t xml:space="preserve">
</t>
        </r>
      </text>
    </comment>
    <comment ref="B14" authorId="0">
      <text>
        <r>
          <rPr>
            <b/>
            <sz val="9"/>
            <color indexed="81"/>
            <rFont val="Tahoma"/>
            <family val="2"/>
          </rPr>
          <t>Advances related to exhaust gas cleaning system</t>
        </r>
        <r>
          <rPr>
            <sz val="9"/>
            <color indexed="81"/>
            <rFont val="Tahoma"/>
            <family val="2"/>
          </rPr>
          <t xml:space="preserve">
</t>
        </r>
      </text>
    </comment>
  </commentList>
</comments>
</file>

<file path=xl/comments3.xml><?xml version="1.0" encoding="utf-8"?>
<comments xmlns="http://schemas.openxmlformats.org/spreadsheetml/2006/main">
  <authors>
    <author>Full name</author>
  </authors>
  <commentList>
    <comment ref="B26" authorId="0">
      <text>
        <r>
          <rPr>
            <b/>
            <sz val="9"/>
            <color indexed="81"/>
            <rFont val="Tahoma"/>
            <family val="2"/>
          </rPr>
          <t>Bunker inventory is stated at the lower of cost and net realizable value. Cost is determined using the first-in, first-out (“FIFO”) method and includes expenditures incurred in acquiring
the bunkers and delivery cost less discounts. Bunker expenses are recognized as part of voyage expenses in the consolidated income statement upon consumption</t>
        </r>
        <r>
          <rPr>
            <sz val="9"/>
            <color indexed="81"/>
            <rFont val="Tahoma"/>
            <family val="2"/>
          </rPr>
          <t xml:space="preserve">
</t>
        </r>
      </text>
    </comment>
  </commentList>
</comments>
</file>

<file path=xl/sharedStrings.xml><?xml version="1.0" encoding="utf-8"?>
<sst xmlns="http://schemas.openxmlformats.org/spreadsheetml/2006/main" count="643" uniqueCount="279">
  <si>
    <t>P&amp;L</t>
  </si>
  <si>
    <t>Balance</t>
  </si>
  <si>
    <t>D&amp;A</t>
  </si>
  <si>
    <t>CapEx</t>
  </si>
  <si>
    <t>Change in WC:</t>
  </si>
  <si>
    <t>Net Income</t>
  </si>
  <si>
    <t>Levered FCF</t>
  </si>
  <si>
    <t>Check</t>
  </si>
  <si>
    <t>Growth rate YoY %</t>
  </si>
  <si>
    <t>Growth rate YoY%</t>
  </si>
  <si>
    <t>WC as % of RevenuesYoY%</t>
  </si>
  <si>
    <t>Growth WC %</t>
  </si>
  <si>
    <t>Operating Cash Flow</t>
  </si>
  <si>
    <t>Working Capital</t>
  </si>
  <si>
    <t>Shares Outstanding</t>
  </si>
  <si>
    <t>Maturity</t>
  </si>
  <si>
    <t>Fixed</t>
  </si>
  <si>
    <t>Variable</t>
  </si>
  <si>
    <t>x</t>
  </si>
  <si>
    <t>Total:</t>
  </si>
  <si>
    <t>Q3 2023</t>
  </si>
  <si>
    <t>Q3 2022</t>
  </si>
  <si>
    <t>Q4 2022</t>
  </si>
  <si>
    <t>Q1 2023</t>
  </si>
  <si>
    <t>Q2 2023</t>
  </si>
  <si>
    <t>Q4 2023</t>
  </si>
  <si>
    <t>Current Assets</t>
  </si>
  <si>
    <t>Total Assets</t>
  </si>
  <si>
    <t>Equity</t>
  </si>
  <si>
    <t>Total Liabilities</t>
  </si>
  <si>
    <t>Total Equity and Liabilities</t>
  </si>
  <si>
    <t>Balance analyses</t>
  </si>
  <si>
    <t>Financial Debt</t>
  </si>
  <si>
    <t>Net Financial Debt</t>
  </si>
  <si>
    <t>Net Financial Debt/EBITDA</t>
  </si>
  <si>
    <t>Net Financial Position (including WC)</t>
  </si>
  <si>
    <t>Net Financial Position/EBITDA</t>
  </si>
  <si>
    <t>Working Capital Analyses</t>
  </si>
  <si>
    <t>Cash Flow</t>
  </si>
  <si>
    <t>Investing Cash Flow</t>
  </si>
  <si>
    <t>Financing Cash Flow</t>
  </si>
  <si>
    <t>Change in cash and cash equivalents</t>
  </si>
  <si>
    <t>Cash BoP</t>
  </si>
  <si>
    <t>Cash EoP</t>
  </si>
  <si>
    <t>Cash Flow Forecast</t>
  </si>
  <si>
    <t>Changes in WC</t>
  </si>
  <si>
    <t>Maintanance CapEx</t>
  </si>
  <si>
    <t>Growth CapEx</t>
  </si>
  <si>
    <t>Change in debt</t>
  </si>
  <si>
    <t>Increase in capital</t>
  </si>
  <si>
    <t>Dividends</t>
  </si>
  <si>
    <t>Share buybacks</t>
  </si>
  <si>
    <t>Financing cash flow</t>
  </si>
  <si>
    <t>Debt Analyse Thousands €</t>
  </si>
  <si>
    <t>Interest Analyse Thousands €</t>
  </si>
  <si>
    <t>Pending Debt</t>
  </si>
  <si>
    <t>Cotización:</t>
  </si>
  <si>
    <t>VLCC</t>
  </si>
  <si>
    <t>Net Asset Value</t>
  </si>
  <si>
    <t>Q4 2024</t>
  </si>
  <si>
    <t>Fleet Value</t>
  </si>
  <si>
    <t>Cash</t>
  </si>
  <si>
    <t>Net Assets</t>
  </si>
  <si>
    <t>Net Asset Value $/sh</t>
  </si>
  <si>
    <t>P / NAV</t>
  </si>
  <si>
    <t>Suscrito alertas noticias:</t>
  </si>
  <si>
    <t>Other income</t>
  </si>
  <si>
    <t>Operating expenses</t>
  </si>
  <si>
    <t>Total operating expenses</t>
  </si>
  <si>
    <t>Income tax expense</t>
  </si>
  <si>
    <t>Non-Current Assets</t>
  </si>
  <si>
    <t>Cash and cash equivalents</t>
  </si>
  <si>
    <t>Goodwill</t>
  </si>
  <si>
    <t>Current liabilities</t>
  </si>
  <si>
    <t>Non-Current Liabilities</t>
  </si>
  <si>
    <t>Long-term debt</t>
  </si>
  <si>
    <t>Non-controlling interest</t>
  </si>
  <si>
    <t>Changes in operating assets and liabilities:</t>
  </si>
  <si>
    <t>Other current liabilities</t>
  </si>
  <si>
    <t>Proceeds from sale of vessels</t>
  </si>
  <si>
    <t>Cash dividends paid</t>
  </si>
  <si>
    <t>Bull Case</t>
  </si>
  <si>
    <t>Q1 2024</t>
  </si>
  <si>
    <t>Q2 2024</t>
  </si>
  <si>
    <t>Q3 2024</t>
  </si>
  <si>
    <t>Date</t>
  </si>
  <si>
    <t>SOFR:</t>
  </si>
  <si>
    <t>Vessels</t>
  </si>
  <si>
    <t>Pending</t>
  </si>
  <si>
    <t>Total paid</t>
  </si>
  <si>
    <t>Scrubbers</t>
  </si>
  <si>
    <t>Vessel</t>
  </si>
  <si>
    <t>Built</t>
  </si>
  <si>
    <t>DWT</t>
  </si>
  <si>
    <t>Class</t>
  </si>
  <si>
    <t>Employment</t>
  </si>
  <si>
    <t>Ownership</t>
  </si>
  <si>
    <t>DHT Mustang</t>
  </si>
  <si>
    <t>ABS</t>
  </si>
  <si>
    <t>DHT Bronco</t>
  </si>
  <si>
    <t>Spot</t>
  </si>
  <si>
    <t>DHT Colt</t>
  </si>
  <si>
    <t>LR</t>
  </si>
  <si>
    <t>DHT Stallion</t>
  </si>
  <si>
    <t>DHT Tiger</t>
  </si>
  <si>
    <t>DHT Harrier</t>
  </si>
  <si>
    <t>DHT Osprey</t>
  </si>
  <si>
    <t>DHT Puma</t>
  </si>
  <si>
    <t>DHT Panther</t>
  </si>
  <si>
    <t>DHT Lion</t>
  </si>
  <si>
    <t>DHT Leopard</t>
  </si>
  <si>
    <t>DHT Jaguar</t>
  </si>
  <si>
    <t>DHT Opal</t>
  </si>
  <si>
    <t>DHT Sundarbans</t>
  </si>
  <si>
    <t>DHT Taiga</t>
  </si>
  <si>
    <t>DHT Peony</t>
  </si>
  <si>
    <t>DHT Lotus</t>
  </si>
  <si>
    <t>DHT Amazon</t>
  </si>
  <si>
    <t>DHT Redwood</t>
  </si>
  <si>
    <t>DHT China</t>
  </si>
  <si>
    <t>DHT Europe</t>
  </si>
  <si>
    <t>DHT Bauhinia</t>
  </si>
  <si>
    <t>DHT Scandinavia</t>
  </si>
  <si>
    <t>Scrubber</t>
  </si>
  <si>
    <t>Payments on NB</t>
  </si>
  <si>
    <t>Bunker</t>
  </si>
  <si>
    <t>sí</t>
  </si>
  <si>
    <t>Dividends:</t>
  </si>
  <si>
    <t>2 - 5 - 8 - 11</t>
  </si>
  <si>
    <t>Calendar:</t>
  </si>
  <si>
    <t>TCE</t>
  </si>
  <si>
    <t>DHT Appaloosa</t>
  </si>
  <si>
    <t>WEB</t>
  </si>
  <si>
    <t>Q2 2027</t>
  </si>
  <si>
    <t>Q4 2027</t>
  </si>
  <si>
    <t>Q1 2026 sharing</t>
  </si>
  <si>
    <t>Shipping Revenues</t>
  </si>
  <si>
    <t>Other revenues</t>
  </si>
  <si>
    <t>Total Revenues</t>
  </si>
  <si>
    <t>Voyage expenses</t>
  </si>
  <si>
    <t>Vessel operating expenses</t>
  </si>
  <si>
    <t>Impairment charges</t>
  </si>
  <si>
    <t>Gain/(loss) sale of vessels</t>
  </si>
  <si>
    <t>G&amp;A</t>
  </si>
  <si>
    <t>Operating (loss)/income</t>
  </si>
  <si>
    <t>Share of profit from associated companies</t>
  </si>
  <si>
    <t>Interest income</t>
  </si>
  <si>
    <t>Interest expense</t>
  </si>
  <si>
    <t>Fair value gain/(loss) on derivative financial liabilities</t>
  </si>
  <si>
    <t>Other financial (expense)/income</t>
  </si>
  <si>
    <t>Profit/(loss) before tax</t>
  </si>
  <si>
    <t>Profit/(loss) after tax</t>
  </si>
  <si>
    <t>Attributable to the owners of parent</t>
  </si>
  <si>
    <t>Basic earnings/(loss) per share</t>
  </si>
  <si>
    <t>Diluted earnings/(loss) per share</t>
  </si>
  <si>
    <t>Weighted average number of shares (basic)</t>
  </si>
  <si>
    <t>Weighted average number of shares (diluted)</t>
  </si>
  <si>
    <t>Accounts receivable and accrued revenues</t>
  </si>
  <si>
    <t>Capitalized voyage expenses</t>
  </si>
  <si>
    <t>Prepaid expenses</t>
  </si>
  <si>
    <t>Derivative financial assets</t>
  </si>
  <si>
    <t>Bunker inventory</t>
  </si>
  <si>
    <t>Advances for vessel upgrades</t>
  </si>
  <si>
    <t>Other PPE</t>
  </si>
  <si>
    <t>Investment in associate company</t>
  </si>
  <si>
    <t>Accounts payable and accrued expenses</t>
  </si>
  <si>
    <t>Derivative financial liabilities</t>
  </si>
  <si>
    <t>Current portion long-term debt</t>
  </si>
  <si>
    <t>Deferred shipping revenues</t>
  </si>
  <si>
    <t>Other non-current liabilities</t>
  </si>
  <si>
    <t>Common stock ar par value</t>
  </si>
  <si>
    <t>Additional paid-in-capital</t>
  </si>
  <si>
    <t>Treasury shares</t>
  </si>
  <si>
    <t>Accumulated deficit</t>
  </si>
  <si>
    <t>Translation differences</t>
  </si>
  <si>
    <t>Other reserves</t>
  </si>
  <si>
    <t>Total Equity attributable to the Company</t>
  </si>
  <si>
    <t>items included in net income not affecting cash flows</t>
  </si>
  <si>
    <t>Amortization of upfront fees</t>
  </si>
  <si>
    <t>Amortization of deferred debt issuance cost</t>
  </si>
  <si>
    <t>(Gain)/loss, disposal of PPE</t>
  </si>
  <si>
    <t>(Gain)/loss, disposal of vessel</t>
  </si>
  <si>
    <t>Fair value (gain)/loss on derivative financial instruments</t>
  </si>
  <si>
    <t>Impairment of equity accounted investment</t>
  </si>
  <si>
    <t>Compensation related to options and restricted stock</t>
  </si>
  <si>
    <t>Net foreign exchange differences</t>
  </si>
  <si>
    <t>(Gain)/loss modification of debt</t>
  </si>
  <si>
    <t>Share of profit in associated companies</t>
  </si>
  <si>
    <t>Income adjusted for non-cash items</t>
  </si>
  <si>
    <t>Pension liability</t>
  </si>
  <si>
    <t>Net Cash provided by operating activities</t>
  </si>
  <si>
    <t>Investment in vessels</t>
  </si>
  <si>
    <t>Investment in subsidiaries</t>
  </si>
  <si>
    <t>Acquisition of subsidiary, net of cash paid</t>
  </si>
  <si>
    <t>Dividend received from associated company</t>
  </si>
  <si>
    <t>Investment in other PPE</t>
  </si>
  <si>
    <t>Dividends paid to non-controlling interest</t>
  </si>
  <si>
    <t>Repayment principal element of lease liability</t>
  </si>
  <si>
    <t>Issuance of long-term debt</t>
  </si>
  <si>
    <t>Purchase of treasury shares</t>
  </si>
  <si>
    <t>Issuance of convertible bonds</t>
  </si>
  <si>
    <t>Proceeds from sale of derivatives</t>
  </si>
  <si>
    <t>Scheduled repayment of long-term debt</t>
  </si>
  <si>
    <t>Prepayment of long-term debt</t>
  </si>
  <si>
    <t>Repayment of long-term debt refinancing</t>
  </si>
  <si>
    <t>Repayment of long-term debt, sale of vessels</t>
  </si>
  <si>
    <t>Repayment of convertible bonds</t>
  </si>
  <si>
    <t>Net foreign exchange difference</t>
  </si>
  <si>
    <t>DHT (Thousands $)</t>
  </si>
  <si>
    <t>Attributable to owners of non-controlling interest</t>
  </si>
  <si>
    <t>Estimación lineal:</t>
  </si>
  <si>
    <t>Value 2024</t>
  </si>
  <si>
    <t>UnLevered FCF</t>
  </si>
  <si>
    <t>Bunker Fuel Consumption (50% laden / 50% ballast)</t>
  </si>
  <si>
    <t>Sailing Days VLCC</t>
  </si>
  <si>
    <t>Eco + Scrubber VLCC</t>
  </si>
  <si>
    <t>tons/day</t>
  </si>
  <si>
    <t>Non-Eco, Non-Scrubber VLCC</t>
  </si>
  <si>
    <t>Incremental for Scrubber VLCC</t>
  </si>
  <si>
    <t>Bunker Fuel Prices</t>
  </si>
  <si>
    <t>High Sulphur Fuel Oil (HSFO), Average 20 Ports</t>
  </si>
  <si>
    <t>$/ton</t>
  </si>
  <si>
    <t>Very Low Sulphur Fuel Oil (VLSFO), Average 20 Ports</t>
  </si>
  <si>
    <t>Eco Savings</t>
  </si>
  <si>
    <t>Eco Daily Savings VLCC</t>
  </si>
  <si>
    <t>$/d</t>
  </si>
  <si>
    <t>Scrubber Savings</t>
  </si>
  <si>
    <t>Suezmax</t>
  </si>
  <si>
    <t>Aframax/LR2</t>
  </si>
  <si>
    <t>Scrubber + Eco Savings</t>
  </si>
  <si>
    <t>October:</t>
  </si>
  <si>
    <t>November</t>
  </si>
  <si>
    <t>December</t>
  </si>
  <si>
    <t>January</t>
  </si>
  <si>
    <t>February</t>
  </si>
  <si>
    <t>March</t>
  </si>
  <si>
    <t>April</t>
  </si>
  <si>
    <t>May</t>
  </si>
  <si>
    <t>June</t>
  </si>
  <si>
    <t>July</t>
  </si>
  <si>
    <t>August</t>
  </si>
  <si>
    <t>September</t>
  </si>
  <si>
    <t>October</t>
  </si>
  <si>
    <t>BASE</t>
  </si>
  <si>
    <t>TC</t>
  </si>
  <si>
    <t>LOW</t>
  </si>
  <si>
    <t>HIGH</t>
  </si>
  <si>
    <t>VLCC Opex / vessel $/d</t>
  </si>
  <si>
    <t>Dividend Pay-Out</t>
  </si>
  <si>
    <t>Fleewide G&amp;A</t>
  </si>
  <si>
    <t>N.A.</t>
  </si>
  <si>
    <t>ECO</t>
  </si>
  <si>
    <t>Operating Days</t>
  </si>
  <si>
    <t>SCRUBBER</t>
  </si>
  <si>
    <t>Basce Case</t>
  </si>
  <si>
    <t>Bear case</t>
  </si>
  <si>
    <t>Fleetwide OPEX</t>
  </si>
  <si>
    <t>Credit Agricole Credit Facility</t>
  </si>
  <si>
    <t>Danish Ship Finance Credit Facility</t>
  </si>
  <si>
    <t>ING Credit Facility</t>
  </si>
  <si>
    <t>Nordea Credit Facility</t>
  </si>
  <si>
    <t>Thereafter</t>
  </si>
  <si>
    <t>Change in cash flow</t>
  </si>
  <si>
    <t>Age 2024</t>
  </si>
  <si>
    <t>Age 2025</t>
  </si>
  <si>
    <t>Value 2025</t>
  </si>
  <si>
    <t>Presentation Q3 2023</t>
  </si>
  <si>
    <t>17/01/24: Sacan update bajando su cash breakeven rates a $18600 y a 13800 en spot</t>
  </si>
  <si>
    <t>Interesting geneal information</t>
  </si>
  <si>
    <t>3 DD durante 2024, por lo que pongo 2m de capex en 3 trimestres</t>
  </si>
  <si>
    <t>NB VLCC</t>
  </si>
  <si>
    <t>Q2-Q4 2024</t>
  </si>
  <si>
    <t>Fees Ban Loan</t>
  </si>
  <si>
    <t>Press release 28/02/24</t>
  </si>
  <si>
    <t>20-F 2023</t>
  </si>
  <si>
    <t>Más DIVI</t>
  </si>
  <si>
    <t>Advances for vessels under construction</t>
  </si>
  <si>
    <t>Investment in vessels under construction</t>
  </si>
  <si>
    <t>Update 11/07/24</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</si>
</sst>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164" formatCode="#,##0;\(#,##0\);&quot;-&quot;"/>
    <numFmt numFmtId="165" formatCode="#,##0.00;\(#,##0.00\);&quot;-&quot;"/>
    <numFmt numFmtId="166" formatCode="0.0%"/>
    <numFmt numFmtId="167" formatCode="#,##0.00\x;\(#,##0.00\x\);&quot;-&quot;"/>
    <numFmt numFmtId="168" formatCode="#,##0.0;\(#,##0.0\);&quot;-&quot;"/>
    <numFmt numFmtId="169" formatCode="0.0"/>
    <numFmt numFmtId="170" formatCode="0.00_);\(0.00\)"/>
    <numFmt numFmtId="171" formatCode="_-* #,##0.00_-;\-* #,##0.00_-;_-* &quot;-&quot;??_-;_-@_-"/>
    <numFmt numFmtId="172" formatCode="_ * #,##0.00_ ;_ * \-#,##0.00_ ;_ * &quot;-&quot;??_ ;_ @_ "/>
    <numFmt numFmtId="173" formatCode="_ &quot;kr.&quot;\ * #,##0.00_ ;_ &quot;kr.&quot;\ * \-#,##0.00_ ;_ &quot;kr.&quot;\ * &quot;-&quot;??_ ;_ @_ "/>
    <numFmt numFmtId="174" formatCode="#,##0.0_);\(#,##0.0\)"/>
    <numFmt numFmtId="175" formatCode="_-* #,##0.00\ &quot;€&quot;_-;\-* #,##0.00\ &quot;€&quot;_-;_-* &quot;-&quot;??\ &quot;€&quot;_-;_-@_-"/>
    <numFmt numFmtId="176" formatCode="_-* #,##0.00\ _€_-;\-* #,##0.00\ _€_-;_-* &quot;-&quot;??\ _€_-;_-@_-"/>
    <numFmt numFmtId="177" formatCode="0.00000"/>
    <numFmt numFmtId="178" formatCode="_-* #,##0_-;\-* #,##0_-;_-* &quot;-&quot;??_-;_-@_-"/>
    <numFmt numFmtId="179" formatCode="0_);\(0\)"/>
  </numFmts>
  <fonts count="32"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
      <i/>
      <sz val="9.5"/>
      <color theme="1"/>
      <name val="Calibri"/>
      <family val="2"/>
      <scheme val="minor"/>
    </font>
    <font>
      <sz val="9"/>
      <color indexed="81"/>
      <name val="Tahoma"/>
      <family val="2"/>
    </font>
    <font>
      <b/>
      <sz val="9"/>
      <color indexed="81"/>
      <name val="Tahoma"/>
      <family val="2"/>
    </font>
    <font>
      <sz val="12"/>
      <color theme="1"/>
      <name val="Calibri"/>
      <family val="2"/>
      <scheme val="minor"/>
    </font>
    <font>
      <b/>
      <sz val="9"/>
      <color rgb="FF002060"/>
      <name val="Arial"/>
      <family val="2"/>
      <charset val="204"/>
    </font>
    <font>
      <b/>
      <sz val="9"/>
      <color rgb="FF002060"/>
      <name val="Arial"/>
      <family val="2"/>
    </font>
    <font>
      <sz val="8"/>
      <name val="Arial"/>
      <family val="2"/>
    </font>
    <font>
      <sz val="9"/>
      <color theme="1"/>
      <name val="Arial"/>
      <family val="2"/>
      <charset val="204"/>
    </font>
    <font>
      <sz val="11"/>
      <color theme="1"/>
      <name val="Calibri"/>
      <family val="2"/>
      <charset val="204"/>
      <scheme val="minor"/>
    </font>
    <font>
      <sz val="10"/>
      <name val="Tahoma"/>
      <family val="2"/>
    </font>
    <font>
      <sz val="11"/>
      <color rgb="FF00B050"/>
      <name val="Calibri"/>
      <family val="2"/>
      <scheme val="minor"/>
    </font>
    <font>
      <b/>
      <i/>
      <sz val="11"/>
      <color theme="1"/>
      <name val="Calibri"/>
      <family val="2"/>
      <scheme val="minor"/>
    </font>
    <font>
      <b/>
      <sz val="9"/>
      <color theme="0"/>
      <name val="Arial"/>
      <family val="2"/>
    </font>
    <font>
      <sz val="9"/>
      <color theme="1"/>
      <name val="Arial"/>
      <family val="2"/>
    </font>
    <font>
      <i/>
      <sz val="9"/>
      <color theme="1"/>
      <name val="Arial"/>
      <family val="2"/>
    </font>
    <font>
      <i/>
      <sz val="9"/>
      <color rgb="FF00B050"/>
      <name val="Arial"/>
      <family val="2"/>
    </font>
    <font>
      <u/>
      <sz val="11"/>
      <color theme="10"/>
      <name val="Calibri"/>
      <family val="2"/>
      <scheme val="minor"/>
    </font>
    <font>
      <i/>
      <sz val="9"/>
      <name val="Arial"/>
      <family val="2"/>
    </font>
    <font>
      <sz val="9"/>
      <name val="Arial"/>
      <family val="2"/>
    </font>
    <font>
      <b/>
      <sz val="9"/>
      <color theme="0"/>
      <name val="Arial"/>
      <family val="2"/>
      <charset val="204"/>
    </font>
    <font>
      <b/>
      <sz val="9"/>
      <color theme="1"/>
      <name val="Arial"/>
      <family val="2"/>
    </font>
    <font>
      <sz val="9"/>
      <color rgb="FF0000FF"/>
      <name val="Arial"/>
      <family val="2"/>
    </font>
    <font>
      <b/>
      <sz val="11"/>
      <color rgb="FF00B050"/>
      <name val="Calibri"/>
      <family val="2"/>
      <scheme val="minor"/>
    </font>
    <font>
      <b/>
      <sz val="9"/>
      <color rgb="FF0000FF"/>
      <name val="Arial"/>
      <family val="2"/>
    </font>
    <font>
      <sz val="11"/>
      <color rgb="FFFF0000"/>
      <name val="Calibri"/>
      <family val="2"/>
      <scheme val="minor"/>
    </font>
    <font>
      <sz val="11"/>
      <name val="Calibri"/>
      <family val="2"/>
      <scheme val="minor"/>
    </font>
    <font>
      <sz val="11"/>
      <color rgb="FF0000FF"/>
      <name val="Calibri"/>
      <family val="2"/>
      <scheme val="minor"/>
    </font>
  </fonts>
  <fills count="18">
    <fill>
      <patternFill patternType="none"/>
    </fill>
    <fill>
      <patternFill patternType="gray125"/>
    </fill>
    <fill>
      <patternFill patternType="solid">
        <fgColor theme="0" tint="-0.249977111117893"/>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rgb="FFFFFF00"/>
        <bgColor indexed="64"/>
      </patternFill>
    </fill>
    <fill>
      <patternFill patternType="solid">
        <fgColor rgb="FF0070C0"/>
        <bgColor indexed="64"/>
      </patternFill>
    </fill>
    <fill>
      <patternFill patternType="solid">
        <fgColor theme="0"/>
        <bgColor indexed="64"/>
      </patternFill>
    </fill>
    <fill>
      <patternFill patternType="solid">
        <fgColor rgb="FF002060"/>
        <bgColor indexed="64"/>
      </patternFill>
    </fill>
    <fill>
      <patternFill patternType="solid">
        <fgColor rgb="FF92D050"/>
        <bgColor indexed="64"/>
      </patternFill>
    </fill>
    <fill>
      <patternFill patternType="solid">
        <fgColor theme="2"/>
        <bgColor indexed="64"/>
      </patternFill>
    </fill>
    <fill>
      <patternFill patternType="solid">
        <fgColor rgb="FF7030A0"/>
        <bgColor indexed="64"/>
      </patternFill>
    </fill>
    <fill>
      <patternFill patternType="solid">
        <fgColor theme="1" tint="4.9989318521683403E-2"/>
        <bgColor indexed="64"/>
      </patternFill>
    </fill>
    <fill>
      <patternFill patternType="solid">
        <fgColor theme="0" tint="-0.34998626667073579"/>
        <bgColor indexed="64"/>
      </patternFill>
    </fill>
    <fill>
      <patternFill patternType="solid">
        <fgColor rgb="FFFFC000"/>
        <bgColor indexed="64"/>
      </patternFill>
    </fill>
    <fill>
      <patternFill patternType="solid">
        <fgColor rgb="FF00B0F0"/>
        <bgColor indexed="64"/>
      </patternFill>
    </fill>
  </fills>
  <borders count="30">
    <border>
      <left/>
      <right/>
      <top/>
      <bottom/>
      <diagonal/>
    </border>
    <border>
      <left/>
      <right/>
      <top style="thin">
        <color indexed="64"/>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medium">
        <color rgb="FF002060"/>
      </bottom>
      <diagonal/>
    </border>
    <border>
      <left style="thick">
        <color indexed="64"/>
      </left>
      <right style="thick">
        <color indexed="64"/>
      </right>
      <top style="thick">
        <color indexed="64"/>
      </top>
      <bottom style="thick">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medium">
        <color indexed="64"/>
      </left>
      <right style="medium">
        <color indexed="64"/>
      </right>
      <top style="medium">
        <color indexed="64"/>
      </top>
      <bottom style="medium">
        <color indexed="64"/>
      </bottom>
      <diagonal/>
    </border>
    <border>
      <left/>
      <right style="thick">
        <color indexed="64"/>
      </right>
      <top style="thick">
        <color indexed="64"/>
      </top>
      <bottom/>
      <diagonal/>
    </border>
    <border>
      <left style="medium">
        <color indexed="64"/>
      </left>
      <right style="thick">
        <color indexed="64"/>
      </right>
      <top style="medium">
        <color indexed="64"/>
      </top>
      <bottom style="thick">
        <color indexed="64"/>
      </bottom>
      <diagonal/>
    </border>
    <border>
      <left style="thick">
        <color indexed="64"/>
      </left>
      <right style="thick">
        <color indexed="64"/>
      </right>
      <top style="medium">
        <color indexed="64"/>
      </top>
      <bottom style="thick">
        <color indexed="64"/>
      </bottom>
      <diagonal/>
    </border>
    <border>
      <left style="thick">
        <color indexed="64"/>
      </left>
      <right style="medium">
        <color indexed="64"/>
      </right>
      <top style="medium">
        <color indexed="64"/>
      </top>
      <bottom style="thick">
        <color indexed="64"/>
      </bottom>
      <diagonal/>
    </border>
    <border>
      <left style="medium">
        <color indexed="64"/>
      </left>
      <right style="thick">
        <color indexed="64"/>
      </right>
      <top style="thick">
        <color indexed="64"/>
      </top>
      <bottom style="thick">
        <color indexed="64"/>
      </bottom>
      <diagonal/>
    </border>
    <border>
      <left style="thick">
        <color indexed="64"/>
      </left>
      <right style="medium">
        <color indexed="64"/>
      </right>
      <top style="thick">
        <color indexed="64"/>
      </top>
      <bottom style="thick">
        <color indexed="64"/>
      </bottom>
      <diagonal/>
    </border>
    <border>
      <left style="medium">
        <color indexed="64"/>
      </left>
      <right style="thick">
        <color indexed="64"/>
      </right>
      <top style="thick">
        <color indexed="64"/>
      </top>
      <bottom/>
      <diagonal/>
    </border>
    <border>
      <left style="medium">
        <color indexed="64"/>
      </left>
      <right/>
      <top/>
      <bottom style="thick">
        <color indexed="64"/>
      </bottom>
      <diagonal/>
    </border>
    <border>
      <left/>
      <right style="medium">
        <color indexed="64"/>
      </right>
      <top/>
      <bottom/>
      <diagonal/>
    </border>
    <border>
      <left style="medium">
        <color indexed="64"/>
      </left>
      <right style="thick">
        <color indexed="64"/>
      </right>
      <top/>
      <bottom style="thick">
        <color indexed="64"/>
      </bottom>
      <diagonal/>
    </border>
    <border>
      <left style="thick">
        <color indexed="64"/>
      </left>
      <right style="medium">
        <color indexed="64"/>
      </right>
      <top style="thick">
        <color indexed="64"/>
      </top>
      <bottom/>
      <diagonal/>
    </border>
    <border>
      <left style="medium">
        <color indexed="64"/>
      </left>
      <right style="thick">
        <color indexed="64"/>
      </right>
      <top style="thick">
        <color indexed="64"/>
      </top>
      <bottom style="medium">
        <color indexed="64"/>
      </bottom>
      <diagonal/>
    </border>
    <border>
      <left style="thick">
        <color indexed="64"/>
      </left>
      <right style="thick">
        <color indexed="64"/>
      </right>
      <top style="thick">
        <color indexed="64"/>
      </top>
      <bottom style="medium">
        <color indexed="64"/>
      </bottom>
      <diagonal/>
    </border>
  </borders>
  <cellStyleXfs count="28">
    <xf numFmtId="0" fontId="0" fillId="0" borderId="0"/>
    <xf numFmtId="9" fontId="1" fillId="0" borderId="0" applyFont="0" applyFill="0" applyBorder="0" applyAlignment="0" applyProtection="0"/>
    <xf numFmtId="0" fontId="1" fillId="0" borderId="0"/>
    <xf numFmtId="0" fontId="9" fillId="9" borderId="9">
      <alignment horizontal="right"/>
    </xf>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1" fillId="0" borderId="0" applyFont="0" applyFill="0" applyBorder="0" applyAlignment="0" applyProtection="0"/>
    <xf numFmtId="173" fontId="1" fillId="0" borderId="0" applyFont="0" applyFill="0" applyBorder="0" applyAlignment="0" applyProtection="0"/>
    <xf numFmtId="174" fontId="12" fillId="9" borderId="0"/>
    <xf numFmtId="171" fontId="1" fillId="0" borderId="0" applyFont="0" applyFill="0" applyBorder="0" applyAlignment="0" applyProtection="0"/>
    <xf numFmtId="171" fontId="8" fillId="0" borderId="0" applyFont="0" applyFill="0" applyBorder="0" applyAlignment="0" applyProtection="0"/>
    <xf numFmtId="175" fontId="8" fillId="0" borderId="0" applyFont="0" applyFill="0" applyBorder="0" applyAlignment="0" applyProtection="0"/>
    <xf numFmtId="0" fontId="1" fillId="0" borderId="0"/>
    <xf numFmtId="0" fontId="13" fillId="0" borderId="0"/>
    <xf numFmtId="0" fontId="11" fillId="0" borderId="0"/>
    <xf numFmtId="4" fontId="14" fillId="0" borderId="0" applyFill="0" applyBorder="0" applyAlignment="0" applyProtection="0"/>
    <xf numFmtId="0" fontId="1" fillId="0" borderId="0"/>
    <xf numFmtId="9" fontId="1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176" fontId="1" fillId="0" borderId="0" applyFont="0" applyFill="0" applyBorder="0" applyAlignment="0" applyProtection="0"/>
    <xf numFmtId="0" fontId="21" fillId="0" borderId="0" applyNumberFormat="0" applyFill="0" applyBorder="0" applyAlignment="0" applyProtection="0"/>
    <xf numFmtId="0" fontId="1" fillId="0" borderId="0"/>
  </cellStyleXfs>
  <cellXfs count="166">
    <xf numFmtId="0" fontId="0" fillId="0" borderId="0" xfId="0"/>
    <xf numFmtId="164" fontId="0" fillId="0" borderId="0" xfId="0" applyNumberFormat="1"/>
    <xf numFmtId="37" fontId="2" fillId="2" borderId="0" xfId="0" applyNumberFormat="1" applyFont="1" applyFill="1" applyAlignment="1">
      <alignment horizontal="right"/>
    </xf>
    <xf numFmtId="37" fontId="0" fillId="0" borderId="0" xfId="0" applyNumberFormat="1"/>
    <xf numFmtId="37" fontId="2" fillId="3" borderId="0" xfId="0" applyNumberFormat="1" applyFont="1" applyFill="1" applyAlignment="1">
      <alignment horizontal="right"/>
    </xf>
    <xf numFmtId="37" fontId="2" fillId="4" borderId="0" xfId="0" applyNumberFormat="1" applyFont="1" applyFill="1" applyAlignment="1">
      <alignment horizontal="left"/>
    </xf>
    <xf numFmtId="37" fontId="2" fillId="4" borderId="0" xfId="0" applyNumberFormat="1" applyFont="1" applyFill="1" applyAlignment="1">
      <alignment horizontal="right"/>
    </xf>
    <xf numFmtId="164" fontId="3" fillId="5" borderId="1" xfId="0" applyNumberFormat="1" applyFont="1" applyFill="1" applyBorder="1"/>
    <xf numFmtId="164" fontId="3" fillId="0" borderId="0" xfId="0" applyNumberFormat="1" applyFont="1"/>
    <xf numFmtId="164" fontId="3" fillId="5" borderId="0" xfId="0" applyNumberFormat="1" applyFont="1" applyFill="1"/>
    <xf numFmtId="164" fontId="3" fillId="0" borderId="2" xfId="0" applyNumberFormat="1" applyFont="1" applyBorder="1"/>
    <xf numFmtId="164" fontId="4" fillId="0" borderId="0" xfId="0" applyNumberFormat="1" applyFont="1"/>
    <xf numFmtId="37" fontId="2" fillId="6" borderId="0" xfId="0" applyNumberFormat="1" applyFont="1" applyFill="1" applyAlignment="1">
      <alignment horizontal="left"/>
    </xf>
    <xf numFmtId="37" fontId="2" fillId="6" borderId="0" xfId="0" applyNumberFormat="1" applyFont="1" applyFill="1" applyAlignment="1">
      <alignment horizontal="right"/>
    </xf>
    <xf numFmtId="164" fontId="0" fillId="0" borderId="0" xfId="0" applyNumberFormat="1" applyFont="1"/>
    <xf numFmtId="166" fontId="0" fillId="0" borderId="0" xfId="1" applyNumberFormat="1" applyFont="1"/>
    <xf numFmtId="0" fontId="5" fillId="0" borderId="0" xfId="0" applyFont="1"/>
    <xf numFmtId="0" fontId="0" fillId="0" borderId="0" xfId="0" applyFont="1"/>
    <xf numFmtId="167" fontId="0" fillId="0" borderId="0" xfId="0" applyNumberFormat="1"/>
    <xf numFmtId="164" fontId="0" fillId="0" borderId="0" xfId="0" applyNumberFormat="1" applyAlignment="1">
      <alignment horizontal="right"/>
    </xf>
    <xf numFmtId="0" fontId="3" fillId="0" borderId="2" xfId="0" applyFont="1" applyBorder="1"/>
    <xf numFmtId="164" fontId="3" fillId="0" borderId="2" xfId="0" applyNumberFormat="1" applyFont="1" applyBorder="1" applyAlignment="1">
      <alignment horizontal="right"/>
    </xf>
    <xf numFmtId="164" fontId="3" fillId="0" borderId="0" xfId="0" applyNumberFormat="1" applyFont="1" applyBorder="1"/>
    <xf numFmtId="164" fontId="3" fillId="0" borderId="1" xfId="0" applyNumberFormat="1" applyFont="1" applyBorder="1"/>
    <xf numFmtId="0" fontId="3" fillId="0" borderId="1" xfId="0" applyFont="1" applyBorder="1"/>
    <xf numFmtId="0" fontId="0" fillId="0" borderId="0" xfId="0" applyFont="1" applyAlignment="1">
      <alignment horizontal="left" indent="2"/>
    </xf>
    <xf numFmtId="164" fontId="0" fillId="0" borderId="0" xfId="0" applyNumberFormat="1" applyFont="1" applyFill="1" applyBorder="1"/>
    <xf numFmtId="164" fontId="0" fillId="0" borderId="0" xfId="0" applyNumberFormat="1" applyFont="1" applyFill="1" applyBorder="1" applyAlignment="1">
      <alignment horizontal="left" indent="2"/>
    </xf>
    <xf numFmtId="9" fontId="1" fillId="0" borderId="0" xfId="1" applyFont="1" applyFill="1" applyBorder="1"/>
    <xf numFmtId="164" fontId="0" fillId="0" borderId="0" xfId="0" applyNumberFormat="1" applyFill="1" applyAlignment="1">
      <alignment horizontal="left" indent="2"/>
    </xf>
    <xf numFmtId="164" fontId="0" fillId="0" borderId="0" xfId="0" applyNumberFormat="1" applyFill="1"/>
    <xf numFmtId="166" fontId="0" fillId="0" borderId="0" xfId="1" applyNumberFormat="1" applyFont="1" applyFill="1"/>
    <xf numFmtId="167" fontId="0" fillId="0" borderId="0" xfId="0" applyNumberFormat="1" applyFill="1"/>
    <xf numFmtId="164" fontId="0" fillId="0" borderId="0" xfId="0" applyNumberFormat="1" applyFill="1" applyAlignment="1">
      <alignment horizontal="right"/>
    </xf>
    <xf numFmtId="168" fontId="0" fillId="0" borderId="0" xfId="0" applyNumberFormat="1"/>
    <xf numFmtId="37" fontId="2" fillId="8" borderId="0" xfId="0" applyNumberFormat="1" applyFont="1" applyFill="1"/>
    <xf numFmtId="37" fontId="2" fillId="8" borderId="0" xfId="0" applyNumberFormat="1" applyFont="1" applyFill="1" applyAlignment="1">
      <alignment horizontal="center"/>
    </xf>
    <xf numFmtId="164" fontId="3" fillId="0" borderId="2" xfId="0" applyNumberFormat="1" applyFont="1" applyFill="1" applyBorder="1"/>
    <xf numFmtId="164" fontId="0" fillId="0" borderId="2" xfId="0" applyNumberFormat="1" applyBorder="1"/>
    <xf numFmtId="164" fontId="3" fillId="0" borderId="0" xfId="0" applyNumberFormat="1" applyFont="1" applyFill="1" applyBorder="1"/>
    <xf numFmtId="164" fontId="3" fillId="5" borderId="2" xfId="0" applyNumberFormat="1" applyFont="1" applyFill="1" applyBorder="1"/>
    <xf numFmtId="0" fontId="5" fillId="0" borderId="0" xfId="0" applyFont="1" applyAlignment="1">
      <alignment horizontal="left" indent="2"/>
    </xf>
    <xf numFmtId="164" fontId="0" fillId="0" borderId="0" xfId="0" applyNumberFormat="1" applyBorder="1"/>
    <xf numFmtId="0" fontId="10" fillId="9" borderId="10" xfId="3" applyFont="1" applyBorder="1" applyAlignment="1">
      <alignment horizontal="left"/>
    </xf>
    <xf numFmtId="0" fontId="0" fillId="0" borderId="0" xfId="0" applyFill="1"/>
    <xf numFmtId="14" fontId="0" fillId="0" borderId="0" xfId="0" applyNumberFormat="1"/>
    <xf numFmtId="169" fontId="0" fillId="0" borderId="0" xfId="0" applyNumberFormat="1"/>
    <xf numFmtId="0" fontId="0" fillId="0" borderId="0" xfId="0" applyAlignment="1">
      <alignment horizontal="center"/>
    </xf>
    <xf numFmtId="2" fontId="0" fillId="0" borderId="0" xfId="0" applyNumberFormat="1"/>
    <xf numFmtId="0" fontId="0" fillId="0" borderId="0" xfId="0" applyBorder="1"/>
    <xf numFmtId="164" fontId="3" fillId="0" borderId="0" xfId="0" applyNumberFormat="1" applyFont="1" applyFill="1" applyBorder="1" applyAlignment="1">
      <alignment horizontal="left" indent="2"/>
    </xf>
    <xf numFmtId="165" fontId="3" fillId="0" borderId="0" xfId="0" applyNumberFormat="1" applyFont="1" applyFill="1" applyBorder="1"/>
    <xf numFmtId="164" fontId="0" fillId="0" borderId="0" xfId="0" applyNumberFormat="1" applyAlignment="1">
      <alignment horizontal="center"/>
    </xf>
    <xf numFmtId="164" fontId="3" fillId="0" borderId="0" xfId="0" applyNumberFormat="1" applyFont="1" applyAlignment="1">
      <alignment horizontal="center"/>
    </xf>
    <xf numFmtId="164" fontId="3" fillId="0" borderId="2" xfId="0" applyNumberFormat="1" applyFont="1" applyFill="1" applyBorder="1" applyAlignment="1">
      <alignment horizontal="center"/>
    </xf>
    <xf numFmtId="0" fontId="4" fillId="0" borderId="0" xfId="0" applyFont="1"/>
    <xf numFmtId="164" fontId="3" fillId="0" borderId="0" xfId="0" applyNumberFormat="1" applyFont="1" applyFill="1"/>
    <xf numFmtId="0" fontId="2" fillId="6" borderId="0" xfId="0" applyFont="1" applyFill="1"/>
    <xf numFmtId="9" fontId="0" fillId="0" borderId="0" xfId="0" applyNumberFormat="1"/>
    <xf numFmtId="170" fontId="0" fillId="0" borderId="10" xfId="0" applyNumberFormat="1" applyBorder="1"/>
    <xf numFmtId="0" fontId="3" fillId="11" borderId="0" xfId="0" applyFont="1" applyFill="1" applyAlignment="1">
      <alignment horizontal="center"/>
    </xf>
    <xf numFmtId="0" fontId="0" fillId="0" borderId="0" xfId="0" applyBorder="1" applyAlignment="1">
      <alignment horizontal="center"/>
    </xf>
    <xf numFmtId="9" fontId="0" fillId="0" borderId="0" xfId="0" applyNumberFormat="1" applyBorder="1" applyAlignment="1">
      <alignment horizontal="center"/>
    </xf>
    <xf numFmtId="0" fontId="3" fillId="0" borderId="0" xfId="0" applyFont="1"/>
    <xf numFmtId="0" fontId="16" fillId="0" borderId="0" xfId="0" applyFont="1"/>
    <xf numFmtId="0" fontId="3" fillId="0" borderId="0" xfId="0" applyFont="1" applyBorder="1"/>
    <xf numFmtId="0" fontId="0" fillId="0" borderId="0" xfId="0" applyAlignment="1">
      <alignment horizontal="left" indent="2"/>
    </xf>
    <xf numFmtId="0" fontId="0" fillId="0" borderId="0" xfId="0" applyAlignment="1">
      <alignment horizontal="left"/>
    </xf>
    <xf numFmtId="0" fontId="0" fillId="0" borderId="0" xfId="0" applyBorder="1" applyAlignment="1">
      <alignment horizontal="left"/>
    </xf>
    <xf numFmtId="164" fontId="3" fillId="12" borderId="0" xfId="0" applyNumberFormat="1" applyFont="1" applyFill="1"/>
    <xf numFmtId="164" fontId="0" fillId="12" borderId="0" xfId="0" applyNumberFormat="1" applyFill="1"/>
    <xf numFmtId="0" fontId="0" fillId="0" borderId="0" xfId="0" applyFill="1" applyBorder="1"/>
    <xf numFmtId="164" fontId="3" fillId="12" borderId="0" xfId="0" applyNumberFormat="1" applyFont="1" applyFill="1" applyBorder="1"/>
    <xf numFmtId="0" fontId="0" fillId="12" borderId="0" xfId="0" applyFill="1" applyBorder="1"/>
    <xf numFmtId="164" fontId="3" fillId="12" borderId="2" xfId="0" applyNumberFormat="1" applyFont="1" applyFill="1" applyBorder="1"/>
    <xf numFmtId="164" fontId="0" fillId="12" borderId="0" xfId="0" applyNumberFormat="1" applyFont="1" applyFill="1" applyBorder="1"/>
    <xf numFmtId="165" fontId="3" fillId="12" borderId="0" xfId="0" applyNumberFormat="1" applyFont="1" applyFill="1" applyBorder="1"/>
    <xf numFmtId="164" fontId="0" fillId="12" borderId="0" xfId="0" applyNumberFormat="1" applyFont="1" applyFill="1"/>
    <xf numFmtId="164" fontId="0" fillId="12" borderId="0" xfId="0" applyNumberFormat="1" applyFill="1" applyBorder="1"/>
    <xf numFmtId="164" fontId="3" fillId="12" borderId="1" xfId="0" applyNumberFormat="1" applyFont="1" applyFill="1" applyBorder="1"/>
    <xf numFmtId="177" fontId="0" fillId="0" borderId="12" xfId="0" applyNumberFormat="1" applyBorder="1"/>
    <xf numFmtId="177" fontId="0" fillId="0" borderId="13" xfId="0" applyNumberFormat="1" applyBorder="1"/>
    <xf numFmtId="0" fontId="3" fillId="7" borderId="11" xfId="0" applyFont="1" applyFill="1" applyBorder="1"/>
    <xf numFmtId="170" fontId="18" fillId="9" borderId="0" xfId="0" applyNumberFormat="1" applyFont="1" applyFill="1"/>
    <xf numFmtId="170" fontId="17" fillId="0" borderId="0" xfId="0" applyNumberFormat="1" applyFont="1" applyFill="1" applyBorder="1"/>
    <xf numFmtId="170" fontId="18" fillId="0" borderId="0" xfId="0" applyNumberFormat="1" applyFont="1" applyFill="1" applyBorder="1"/>
    <xf numFmtId="0" fontId="19" fillId="9" borderId="0" xfId="0" applyFont="1" applyFill="1" applyBorder="1"/>
    <xf numFmtId="0" fontId="19" fillId="9" borderId="0" xfId="0" applyFont="1" applyFill="1" applyBorder="1" applyAlignment="1">
      <alignment horizontal="center"/>
    </xf>
    <xf numFmtId="1" fontId="20" fillId="0" borderId="0" xfId="0" applyNumberFormat="1" applyFont="1" applyBorder="1"/>
    <xf numFmtId="170" fontId="21" fillId="9" borderId="0" xfId="26" applyNumberFormat="1" applyFill="1"/>
    <xf numFmtId="178" fontId="22" fillId="0" borderId="0" xfId="14" applyNumberFormat="1" applyFont="1" applyBorder="1"/>
    <xf numFmtId="170" fontId="18" fillId="9" borderId="0" xfId="0" applyNumberFormat="1" applyFont="1" applyFill="1" applyBorder="1" applyAlignment="1">
      <alignment horizontal="center"/>
    </xf>
    <xf numFmtId="170" fontId="18" fillId="9" borderId="0" xfId="0" applyNumberFormat="1" applyFont="1" applyFill="1" applyBorder="1"/>
    <xf numFmtId="178" fontId="23" fillId="0" borderId="0" xfId="14" applyNumberFormat="1" applyFont="1" applyBorder="1"/>
    <xf numFmtId="179" fontId="18" fillId="9" borderId="0" xfId="0" applyNumberFormat="1" applyFont="1" applyFill="1" applyAlignment="1">
      <alignment horizontal="center"/>
    </xf>
    <xf numFmtId="0" fontId="24" fillId="13" borderId="0" xfId="18" applyFont="1" applyFill="1" applyBorder="1"/>
    <xf numFmtId="0" fontId="25" fillId="9" borderId="0" xfId="0" applyFont="1" applyFill="1" applyBorder="1"/>
    <xf numFmtId="164" fontId="18" fillId="9" borderId="0" xfId="0" applyNumberFormat="1" applyFont="1" applyFill="1" applyBorder="1"/>
    <xf numFmtId="164" fontId="18" fillId="9" borderId="0" xfId="0" applyNumberFormat="1" applyFont="1" applyFill="1"/>
    <xf numFmtId="179" fontId="25" fillId="9" borderId="0" xfId="0" applyNumberFormat="1" applyFont="1" applyFill="1" applyBorder="1" applyAlignment="1">
      <alignment horizontal="center"/>
    </xf>
    <xf numFmtId="179" fontId="25" fillId="9" borderId="0" xfId="0" applyNumberFormat="1" applyFont="1" applyFill="1" applyAlignment="1">
      <alignment horizontal="center"/>
    </xf>
    <xf numFmtId="170" fontId="17" fillId="14" borderId="0" xfId="0" applyNumberFormat="1" applyFont="1" applyFill="1" applyAlignment="1">
      <alignment horizontal="center"/>
    </xf>
    <xf numFmtId="164" fontId="18" fillId="9" borderId="0" xfId="0" applyNumberFormat="1" applyFont="1" applyFill="1" applyAlignment="1">
      <alignment horizontal="center"/>
    </xf>
    <xf numFmtId="0" fontId="24" fillId="0" borderId="0" xfId="18" applyFont="1" applyFill="1" applyBorder="1"/>
    <xf numFmtId="0" fontId="24" fillId="10" borderId="0" xfId="18" applyFont="1" applyFill="1" applyBorder="1"/>
    <xf numFmtId="168" fontId="15" fillId="0" borderId="0" xfId="0" applyNumberFormat="1" applyFont="1" applyBorder="1" applyAlignment="1">
      <alignment horizontal="center"/>
    </xf>
    <xf numFmtId="166" fontId="18" fillId="9" borderId="0" xfId="1" applyNumberFormat="1" applyFont="1" applyFill="1"/>
    <xf numFmtId="0" fontId="18" fillId="9" borderId="0" xfId="0" applyFont="1" applyFill="1" applyBorder="1"/>
    <xf numFmtId="170" fontId="25" fillId="9" borderId="0" xfId="0" applyNumberFormat="1" applyFont="1" applyFill="1"/>
    <xf numFmtId="0" fontId="2" fillId="6" borderId="0" xfId="0" applyFont="1" applyFill="1" applyAlignment="1">
      <alignment horizontal="center"/>
    </xf>
    <xf numFmtId="164" fontId="15" fillId="0" borderId="0" xfId="0" applyNumberFormat="1" applyFont="1" applyFill="1" applyBorder="1"/>
    <xf numFmtId="164" fontId="15" fillId="15" borderId="0" xfId="0" applyNumberFormat="1" applyFont="1" applyFill="1" applyBorder="1"/>
    <xf numFmtId="164" fontId="15" fillId="0" borderId="0" xfId="0" applyNumberFormat="1" applyFont="1" applyFill="1"/>
    <xf numFmtId="164" fontId="0" fillId="2" borderId="0" xfId="0" applyNumberFormat="1" applyFill="1"/>
    <xf numFmtId="164" fontId="0" fillId="2" borderId="0" xfId="0" applyNumberFormat="1" applyFont="1" applyFill="1"/>
    <xf numFmtId="10" fontId="0" fillId="0" borderId="0" xfId="1" applyNumberFormat="1" applyFont="1"/>
    <xf numFmtId="10" fontId="0" fillId="0" borderId="0" xfId="1" applyNumberFormat="1" applyFont="1" applyAlignment="1">
      <alignment horizontal="center"/>
    </xf>
    <xf numFmtId="10" fontId="27" fillId="7" borderId="0" xfId="1" applyNumberFormat="1" applyFont="1" applyFill="1"/>
    <xf numFmtId="170" fontId="0" fillId="0" borderId="14" xfId="0" applyNumberFormat="1" applyBorder="1"/>
    <xf numFmtId="170" fontId="0" fillId="0" borderId="15" xfId="0" applyNumberFormat="1" applyBorder="1"/>
    <xf numFmtId="2" fontId="0" fillId="0" borderId="16" xfId="0" applyNumberFormat="1" applyBorder="1"/>
    <xf numFmtId="170" fontId="0" fillId="0" borderId="17" xfId="0" applyNumberFormat="1" applyBorder="1"/>
    <xf numFmtId="170" fontId="0" fillId="9" borderId="16" xfId="0" applyNumberFormat="1" applyFont="1" applyFill="1" applyBorder="1"/>
    <xf numFmtId="170" fontId="3" fillId="9" borderId="0" xfId="0" applyNumberFormat="1" applyFont="1" applyFill="1" applyBorder="1"/>
    <xf numFmtId="170" fontId="3" fillId="0" borderId="0" xfId="0" applyNumberFormat="1" applyFont="1" applyFill="1" applyBorder="1"/>
    <xf numFmtId="164" fontId="23" fillId="9" borderId="0" xfId="0" applyNumberFormat="1" applyFont="1" applyFill="1" applyBorder="1"/>
    <xf numFmtId="164" fontId="29" fillId="0" borderId="0" xfId="0" applyNumberFormat="1" applyFont="1"/>
    <xf numFmtId="0" fontId="0" fillId="16" borderId="0" xfId="0" applyFill="1"/>
    <xf numFmtId="14" fontId="0" fillId="16" borderId="0" xfId="0" applyNumberFormat="1" applyFill="1"/>
    <xf numFmtId="164" fontId="30" fillId="0" borderId="0" xfId="0" applyNumberFormat="1" applyFont="1" applyFill="1" applyBorder="1"/>
    <xf numFmtId="164" fontId="0" fillId="0" borderId="0" xfId="0" applyNumberFormat="1" applyFont="1" applyFill="1"/>
    <xf numFmtId="164" fontId="3" fillId="4" borderId="0" xfId="0" applyNumberFormat="1" applyFont="1" applyFill="1"/>
    <xf numFmtId="164" fontId="0" fillId="4" borderId="0" xfId="0" applyNumberFormat="1" applyFill="1"/>
    <xf numFmtId="164" fontId="3" fillId="4" borderId="2" xfId="0" applyNumberFormat="1" applyFont="1" applyFill="1" applyBorder="1"/>
    <xf numFmtId="164" fontId="3" fillId="4" borderId="0" xfId="0" applyNumberFormat="1" applyFont="1" applyFill="1" applyBorder="1"/>
    <xf numFmtId="164" fontId="3" fillId="4" borderId="1" xfId="0" applyNumberFormat="1" applyFont="1" applyFill="1" applyBorder="1"/>
    <xf numFmtId="0" fontId="0" fillId="0" borderId="18" xfId="0" applyBorder="1" applyAlignment="1">
      <alignment horizontal="center"/>
    </xf>
    <xf numFmtId="0" fontId="2" fillId="6" borderId="20" xfId="0" applyFont="1" applyFill="1" applyBorder="1" applyAlignment="1">
      <alignment horizontal="center"/>
    </xf>
    <xf numFmtId="170" fontId="0" fillId="9" borderId="21" xfId="0" applyNumberFormat="1" applyFont="1" applyFill="1" applyBorder="1"/>
    <xf numFmtId="170" fontId="0" fillId="0" borderId="22" xfId="0" applyNumberFormat="1" applyBorder="1"/>
    <xf numFmtId="0" fontId="0" fillId="0" borderId="21" xfId="0" applyBorder="1"/>
    <xf numFmtId="170" fontId="0" fillId="9" borderId="21" xfId="0" quotePrefix="1" applyNumberFormat="1" applyFont="1" applyFill="1" applyBorder="1"/>
    <xf numFmtId="170" fontId="0" fillId="9" borderId="23" xfId="0" applyNumberFormat="1" applyFont="1" applyFill="1" applyBorder="1"/>
    <xf numFmtId="170" fontId="0" fillId="9" borderId="24" xfId="0" applyNumberFormat="1" applyFont="1" applyFill="1" applyBorder="1"/>
    <xf numFmtId="2" fontId="0" fillId="0" borderId="0" xfId="0" applyNumberFormat="1" applyBorder="1"/>
    <xf numFmtId="2" fontId="0" fillId="0" borderId="25" xfId="0" applyNumberFormat="1" applyBorder="1"/>
    <xf numFmtId="170" fontId="0" fillId="9" borderId="26" xfId="0" applyNumberFormat="1" applyFont="1" applyFill="1" applyBorder="1"/>
    <xf numFmtId="170" fontId="2" fillId="10" borderId="28" xfId="0" applyNumberFormat="1" applyFont="1" applyFill="1" applyBorder="1" applyAlignment="1">
      <alignment horizontal="center"/>
    </xf>
    <xf numFmtId="170" fontId="3" fillId="7" borderId="29" xfId="0" applyNumberFormat="1" applyFont="1" applyFill="1" applyBorder="1"/>
    <xf numFmtId="170" fontId="27" fillId="0" borderId="14" xfId="0" applyNumberFormat="1" applyFont="1" applyBorder="1"/>
    <xf numFmtId="170" fontId="3" fillId="0" borderId="27" xfId="0" applyNumberFormat="1" applyFont="1" applyBorder="1"/>
    <xf numFmtId="2" fontId="3" fillId="7" borderId="10" xfId="0" applyNumberFormat="1" applyFont="1" applyFill="1" applyBorder="1" applyAlignment="1">
      <alignment horizontal="center"/>
    </xf>
    <xf numFmtId="164" fontId="15" fillId="0" borderId="0" xfId="0" applyNumberFormat="1" applyFont="1"/>
    <xf numFmtId="164" fontId="31" fillId="0" borderId="0" xfId="0" applyNumberFormat="1" applyFont="1"/>
    <xf numFmtId="0" fontId="2" fillId="17" borderId="19" xfId="0" applyFont="1" applyFill="1" applyBorder="1" applyAlignment="1">
      <alignment horizontal="center"/>
    </xf>
    <xf numFmtId="170" fontId="27" fillId="0" borderId="27" xfId="0" applyNumberFormat="1" applyFont="1" applyBorder="1"/>
    <xf numFmtId="0" fontId="24" fillId="10" borderId="3" xfId="18" applyFont="1" applyFill="1" applyBorder="1" applyAlignment="1">
      <alignment horizontal="center"/>
    </xf>
    <xf numFmtId="0" fontId="24" fillId="10" borderId="4" xfId="18" applyFont="1" applyFill="1" applyBorder="1" applyAlignment="1">
      <alignment horizontal="center"/>
    </xf>
    <xf numFmtId="0" fontId="24" fillId="10" borderId="5" xfId="18" applyFont="1" applyFill="1" applyBorder="1" applyAlignment="1">
      <alignment horizontal="center"/>
    </xf>
    <xf numFmtId="0" fontId="17" fillId="10" borderId="0" xfId="0" applyFont="1" applyFill="1" applyBorder="1" applyAlignment="1">
      <alignment horizontal="center"/>
    </xf>
    <xf numFmtId="164" fontId="26" fillId="9" borderId="6" xfId="0" applyNumberFormat="1" applyFont="1" applyFill="1" applyBorder="1" applyAlignment="1">
      <alignment horizontal="center"/>
    </xf>
    <xf numFmtId="164" fontId="26" fillId="9" borderId="7" xfId="0" applyNumberFormat="1" applyFont="1" applyFill="1" applyBorder="1" applyAlignment="1">
      <alignment horizontal="center"/>
    </xf>
    <xf numFmtId="164" fontId="26" fillId="9" borderId="8" xfId="0" applyNumberFormat="1" applyFont="1" applyFill="1" applyBorder="1" applyAlignment="1">
      <alignment horizontal="center"/>
    </xf>
    <xf numFmtId="9" fontId="28" fillId="9" borderId="6" xfId="1" applyFont="1" applyFill="1" applyBorder="1" applyAlignment="1">
      <alignment horizontal="center"/>
    </xf>
    <xf numFmtId="9" fontId="28" fillId="9" borderId="7" xfId="1" applyFont="1" applyFill="1" applyBorder="1" applyAlignment="1">
      <alignment horizontal="center"/>
    </xf>
    <xf numFmtId="9" fontId="28" fillId="9" borderId="8" xfId="1" applyFont="1" applyFill="1" applyBorder="1" applyAlignment="1">
      <alignment horizontal="center"/>
    </xf>
  </cellXfs>
  <cellStyles count="28">
    <cellStyle name="Comma 2" xfId="4"/>
    <cellStyle name="Comma 3" xfId="5"/>
    <cellStyle name="Comma 4" xfId="6"/>
    <cellStyle name="Comma 5" xfId="7"/>
    <cellStyle name="Comma 6" xfId="8"/>
    <cellStyle name="Comma 7" xfId="9"/>
    <cellStyle name="Comma 8" xfId="10"/>
    <cellStyle name="Comma_Q3" xfId="11"/>
    <cellStyle name="Currency 2" xfId="12"/>
    <cellStyle name="General" xfId="13"/>
    <cellStyle name="Header" xfId="3"/>
    <cellStyle name="Hipervínculo" xfId="26" builtinId="8"/>
    <cellStyle name="Millares 2" xfId="14"/>
    <cellStyle name="Millares 3" xfId="15"/>
    <cellStyle name="Millares 4" xfId="25"/>
    <cellStyle name="Moneda 2" xfId="16"/>
    <cellStyle name="Normal" xfId="0" builtinId="0"/>
    <cellStyle name="Normal 12" xfId="17"/>
    <cellStyle name="Normal 2" xfId="18"/>
    <cellStyle name="Normal 2 2" xfId="19"/>
    <cellStyle name="Normal 2 3" xfId="20"/>
    <cellStyle name="Normal 2 4" xfId="21"/>
    <cellStyle name="Normal 3" xfId="2"/>
    <cellStyle name="Normal 3 2" xfId="27"/>
    <cellStyle name="Percent 2" xfId="22"/>
    <cellStyle name="Percent 2 2" xfId="23"/>
    <cellStyle name="Porcentaje" xfId="1" builtinId="5"/>
    <cellStyle name="Porcentaje 2" xfId="24"/>
  </cellStyles>
  <dxfs count="0"/>
  <tableStyles count="0" defaultTableStyle="TableStyleMedium2" defaultPivotStyle="PivotStyleLight16"/>
  <colors>
    <mruColors>
      <color rgb="FF0000FF"/>
      <color rgb="FFFCFA9C"/>
      <color rgb="FFFFCCFF"/>
      <color rgb="FFFFCCCC"/>
      <color rgb="FFFF9999"/>
      <color rgb="FFFF99FF"/>
      <color rgb="FF000000"/>
      <color rgb="FFFFFFFF"/>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5.png"/><Relationship Id="rId21" Type="http://schemas.openxmlformats.org/officeDocument/2006/relationships/image" Target="../media/image22.png"/><Relationship Id="rId7" Type="http://schemas.openxmlformats.org/officeDocument/2006/relationships/image" Target="../media/image9.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4.png"/><Relationship Id="rId16" Type="http://schemas.openxmlformats.org/officeDocument/2006/relationships/image" Target="../media/image17.png"/><Relationship Id="rId20" Type="http://schemas.openxmlformats.org/officeDocument/2006/relationships/image" Target="../media/image21.png"/><Relationship Id="rId29" Type="http://schemas.openxmlformats.org/officeDocument/2006/relationships/image" Target="../media/image30.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2.png"/><Relationship Id="rId24" Type="http://schemas.openxmlformats.org/officeDocument/2006/relationships/image" Target="../media/image25.png"/><Relationship Id="rId32" Type="http://schemas.openxmlformats.org/officeDocument/2006/relationships/image" Target="../media/image33.png"/><Relationship Id="rId5" Type="http://schemas.openxmlformats.org/officeDocument/2006/relationships/image" Target="../media/image7.png"/><Relationship Id="rId15" Type="http://schemas.openxmlformats.org/officeDocument/2006/relationships/image" Target="../media/image16.png"/><Relationship Id="rId23" Type="http://schemas.openxmlformats.org/officeDocument/2006/relationships/image" Target="../media/image24.png"/><Relationship Id="rId28" Type="http://schemas.openxmlformats.org/officeDocument/2006/relationships/image" Target="../media/image29.png"/><Relationship Id="rId10" Type="http://schemas.openxmlformats.org/officeDocument/2006/relationships/image" Target="../media/image12.png"/><Relationship Id="rId19" Type="http://schemas.openxmlformats.org/officeDocument/2006/relationships/image" Target="../media/image20.png"/><Relationship Id="rId31" Type="http://schemas.openxmlformats.org/officeDocument/2006/relationships/image" Target="../media/image3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 Id="rId30" Type="http://schemas.openxmlformats.org/officeDocument/2006/relationships/image" Target="../media/image31.png"/></Relationships>
</file>

<file path=xl/drawings/drawing1.xml><?xml version="1.0" encoding="utf-8"?>
<xdr:wsDr xmlns:xdr="http://schemas.openxmlformats.org/drawingml/2006/spreadsheetDrawing" xmlns:a="http://schemas.openxmlformats.org/drawingml/2006/main">
  <xdr:twoCellAnchor>
    <xdr:from>
      <xdr:col>1</xdr:col>
      <xdr:colOff>241853</xdr:colOff>
      <xdr:row>22</xdr:row>
      <xdr:rowOff>92102</xdr:rowOff>
    </xdr:from>
    <xdr:to>
      <xdr:col>1</xdr:col>
      <xdr:colOff>464820</xdr:colOff>
      <xdr:row>41</xdr:row>
      <xdr:rowOff>72224</xdr:rowOff>
    </xdr:to>
    <xdr:sp macro="" textlink="">
      <xdr:nvSpPr>
        <xdr:cNvPr id="2" name="1 Abrir llave"/>
        <xdr:cNvSpPr/>
      </xdr:nvSpPr>
      <xdr:spPr>
        <a:xfrm>
          <a:off x="394253" y="5304182"/>
          <a:ext cx="222967" cy="2890962"/>
        </a:xfrm>
        <a:prstGeom prst="lef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13</xdr:col>
      <xdr:colOff>45720</xdr:colOff>
      <xdr:row>12</xdr:row>
      <xdr:rowOff>152400</xdr:rowOff>
    </xdr:from>
    <xdr:to>
      <xdr:col>13</xdr:col>
      <xdr:colOff>563880</xdr:colOff>
      <xdr:row>22</xdr:row>
      <xdr:rowOff>7620</xdr:rowOff>
    </xdr:to>
    <xdr:sp macro="" textlink="">
      <xdr:nvSpPr>
        <xdr:cNvPr id="3" name="2 Abrir llave"/>
        <xdr:cNvSpPr/>
      </xdr:nvSpPr>
      <xdr:spPr>
        <a:xfrm>
          <a:off x="7658100" y="2202180"/>
          <a:ext cx="518160" cy="1379220"/>
        </a:xfrm>
        <a:prstGeom prst="leftBrace">
          <a:avLst>
            <a:gd name="adj1" fmla="val 29413"/>
            <a:gd name="adj2" fmla="val 61678"/>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13</xdr:col>
      <xdr:colOff>449580</xdr:colOff>
      <xdr:row>11</xdr:row>
      <xdr:rowOff>121920</xdr:rowOff>
    </xdr:from>
    <xdr:to>
      <xdr:col>29</xdr:col>
      <xdr:colOff>542905</xdr:colOff>
      <xdr:row>22</xdr:row>
      <xdr:rowOff>0</xdr:rowOff>
    </xdr:to>
    <xdr:pic>
      <xdr:nvPicPr>
        <xdr:cNvPr id="5" name="4 Imagen"/>
        <xdr:cNvPicPr>
          <a:picLocks noChangeAspect="1"/>
        </xdr:cNvPicPr>
      </xdr:nvPicPr>
      <xdr:blipFill>
        <a:blip xmlns:r="http://schemas.openxmlformats.org/officeDocument/2006/relationships" r:embed="rId1"/>
        <a:stretch>
          <a:fillRect/>
        </a:stretch>
      </xdr:blipFill>
      <xdr:spPr>
        <a:xfrm>
          <a:off x="8061960" y="1988820"/>
          <a:ext cx="9725005" cy="15849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2895600</xdr:colOff>
      <xdr:row>18</xdr:row>
      <xdr:rowOff>16934</xdr:rowOff>
    </xdr:from>
    <xdr:to>
      <xdr:col>12</xdr:col>
      <xdr:colOff>401936</xdr:colOff>
      <xdr:row>35</xdr:row>
      <xdr:rowOff>158327</xdr:rowOff>
    </xdr:to>
    <xdr:pic>
      <xdr:nvPicPr>
        <xdr:cNvPr id="2" name="1 Imagen"/>
        <xdr:cNvPicPr>
          <a:picLocks noChangeAspect="1"/>
        </xdr:cNvPicPr>
      </xdr:nvPicPr>
      <xdr:blipFill>
        <a:blip xmlns:r="http://schemas.openxmlformats.org/officeDocument/2006/relationships" r:embed="rId1"/>
        <a:stretch>
          <a:fillRect/>
        </a:stretch>
      </xdr:blipFill>
      <xdr:spPr>
        <a:xfrm>
          <a:off x="3090333" y="3522134"/>
          <a:ext cx="8987136" cy="34518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127233</xdr:colOff>
      <xdr:row>2</xdr:row>
      <xdr:rowOff>0</xdr:rowOff>
    </xdr:from>
    <xdr:to>
      <xdr:col>13</xdr:col>
      <xdr:colOff>289669</xdr:colOff>
      <xdr:row>32</xdr:row>
      <xdr:rowOff>167640</xdr:rowOff>
    </xdr:to>
    <xdr:pic>
      <xdr:nvPicPr>
        <xdr:cNvPr id="9" name="8 Imagen"/>
        <xdr:cNvPicPr>
          <a:picLocks noChangeAspect="1"/>
        </xdr:cNvPicPr>
      </xdr:nvPicPr>
      <xdr:blipFill>
        <a:blip xmlns:r="http://schemas.openxmlformats.org/officeDocument/2006/relationships" r:embed="rId1"/>
        <a:stretch>
          <a:fillRect/>
        </a:stretch>
      </xdr:blipFill>
      <xdr:spPr>
        <a:xfrm>
          <a:off x="127233" y="381000"/>
          <a:ext cx="10868536" cy="5882640"/>
        </a:xfrm>
        <a:prstGeom prst="rect">
          <a:avLst/>
        </a:prstGeom>
      </xdr:spPr>
    </xdr:pic>
    <xdr:clientData/>
  </xdr:twoCellAnchor>
  <xdr:twoCellAnchor editAs="oneCell">
    <xdr:from>
      <xdr:col>0</xdr:col>
      <xdr:colOff>76200</xdr:colOff>
      <xdr:row>35</xdr:row>
      <xdr:rowOff>119642</xdr:rowOff>
    </xdr:from>
    <xdr:to>
      <xdr:col>9</xdr:col>
      <xdr:colOff>868680</xdr:colOff>
      <xdr:row>53</xdr:row>
      <xdr:rowOff>42705</xdr:rowOff>
    </xdr:to>
    <xdr:pic>
      <xdr:nvPicPr>
        <xdr:cNvPr id="2" name="1 Imagen"/>
        <xdr:cNvPicPr>
          <a:picLocks noChangeAspect="1"/>
        </xdr:cNvPicPr>
      </xdr:nvPicPr>
      <xdr:blipFill>
        <a:blip xmlns:r="http://schemas.openxmlformats.org/officeDocument/2006/relationships" r:embed="rId2"/>
        <a:stretch>
          <a:fillRect/>
        </a:stretch>
      </xdr:blipFill>
      <xdr:spPr>
        <a:xfrm>
          <a:off x="76200" y="6977642"/>
          <a:ext cx="7993380" cy="3352063"/>
        </a:xfrm>
        <a:prstGeom prst="rect">
          <a:avLst/>
        </a:prstGeom>
      </xdr:spPr>
    </xdr:pic>
    <xdr:clientData/>
  </xdr:twoCellAnchor>
  <xdr:twoCellAnchor editAs="oneCell">
    <xdr:from>
      <xdr:col>1</xdr:col>
      <xdr:colOff>1</xdr:colOff>
      <xdr:row>54</xdr:row>
      <xdr:rowOff>1</xdr:rowOff>
    </xdr:from>
    <xdr:to>
      <xdr:col>11</xdr:col>
      <xdr:colOff>584997</xdr:colOff>
      <xdr:row>79</xdr:row>
      <xdr:rowOff>53340</xdr:rowOff>
    </xdr:to>
    <xdr:pic>
      <xdr:nvPicPr>
        <xdr:cNvPr id="3" name="2 Imagen"/>
        <xdr:cNvPicPr>
          <a:picLocks noChangeAspect="1"/>
        </xdr:cNvPicPr>
      </xdr:nvPicPr>
      <xdr:blipFill>
        <a:blip xmlns:r="http://schemas.openxmlformats.org/officeDocument/2006/relationships" r:embed="rId3"/>
        <a:stretch>
          <a:fillRect/>
        </a:stretch>
      </xdr:blipFill>
      <xdr:spPr>
        <a:xfrm>
          <a:off x="190501" y="10287001"/>
          <a:ext cx="9347996" cy="4815839"/>
        </a:xfrm>
        <a:prstGeom prst="rect">
          <a:avLst/>
        </a:prstGeom>
      </xdr:spPr>
    </xdr:pic>
    <xdr:clientData/>
  </xdr:twoCellAnchor>
  <xdr:twoCellAnchor editAs="oneCell">
    <xdr:from>
      <xdr:col>1</xdr:col>
      <xdr:colOff>1</xdr:colOff>
      <xdr:row>83</xdr:row>
      <xdr:rowOff>0</xdr:rowOff>
    </xdr:from>
    <xdr:to>
      <xdr:col>9</xdr:col>
      <xdr:colOff>213361</xdr:colOff>
      <xdr:row>105</xdr:row>
      <xdr:rowOff>23421</xdr:rowOff>
    </xdr:to>
    <xdr:pic>
      <xdr:nvPicPr>
        <xdr:cNvPr id="4" name="3 Imagen"/>
        <xdr:cNvPicPr>
          <a:picLocks noChangeAspect="1"/>
        </xdr:cNvPicPr>
      </xdr:nvPicPr>
      <xdr:blipFill>
        <a:blip xmlns:r="http://schemas.openxmlformats.org/officeDocument/2006/relationships" r:embed="rId4"/>
        <a:stretch>
          <a:fillRect/>
        </a:stretch>
      </xdr:blipFill>
      <xdr:spPr>
        <a:xfrm>
          <a:off x="190501" y="15811500"/>
          <a:ext cx="7223760" cy="4214421"/>
        </a:xfrm>
        <a:prstGeom prst="rect">
          <a:avLst/>
        </a:prstGeom>
      </xdr:spPr>
    </xdr:pic>
    <xdr:clientData/>
  </xdr:twoCellAnchor>
  <xdr:twoCellAnchor>
    <xdr:from>
      <xdr:col>9</xdr:col>
      <xdr:colOff>213360</xdr:colOff>
      <xdr:row>82</xdr:row>
      <xdr:rowOff>152400</xdr:rowOff>
    </xdr:from>
    <xdr:to>
      <xdr:col>9</xdr:col>
      <xdr:colOff>693420</xdr:colOff>
      <xdr:row>105</xdr:row>
      <xdr:rowOff>68580</xdr:rowOff>
    </xdr:to>
    <xdr:sp macro="" textlink="">
      <xdr:nvSpPr>
        <xdr:cNvPr id="5" name="4 Cerrar llave"/>
        <xdr:cNvSpPr/>
      </xdr:nvSpPr>
      <xdr:spPr>
        <a:xfrm>
          <a:off x="7414260" y="15773400"/>
          <a:ext cx="480060" cy="4297680"/>
        </a:xfrm>
        <a:prstGeom prst="rightBrace">
          <a:avLst>
            <a:gd name="adj1" fmla="val 8333"/>
            <a:gd name="adj2" fmla="val 47518"/>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1</xdr:col>
      <xdr:colOff>0</xdr:colOff>
      <xdr:row>109</xdr:row>
      <xdr:rowOff>0</xdr:rowOff>
    </xdr:from>
    <xdr:to>
      <xdr:col>8</xdr:col>
      <xdr:colOff>449580</xdr:colOff>
      <xdr:row>131</xdr:row>
      <xdr:rowOff>59880</xdr:rowOff>
    </xdr:to>
    <xdr:pic>
      <xdr:nvPicPr>
        <xdr:cNvPr id="7" name="6 Imagen"/>
        <xdr:cNvPicPr>
          <a:picLocks noChangeAspect="1"/>
        </xdr:cNvPicPr>
      </xdr:nvPicPr>
      <xdr:blipFill>
        <a:blip xmlns:r="http://schemas.openxmlformats.org/officeDocument/2006/relationships" r:embed="rId5"/>
        <a:stretch>
          <a:fillRect/>
        </a:stretch>
      </xdr:blipFill>
      <xdr:spPr>
        <a:xfrm>
          <a:off x="190500" y="20764500"/>
          <a:ext cx="6583680" cy="4250880"/>
        </a:xfrm>
        <a:prstGeom prst="rect">
          <a:avLst/>
        </a:prstGeom>
      </xdr:spPr>
    </xdr:pic>
    <xdr:clientData/>
  </xdr:twoCellAnchor>
  <xdr:twoCellAnchor editAs="oneCell">
    <xdr:from>
      <xdr:col>1</xdr:col>
      <xdr:colOff>0</xdr:colOff>
      <xdr:row>133</xdr:row>
      <xdr:rowOff>1</xdr:rowOff>
    </xdr:from>
    <xdr:to>
      <xdr:col>9</xdr:col>
      <xdr:colOff>634423</xdr:colOff>
      <xdr:row>157</xdr:row>
      <xdr:rowOff>152401</xdr:rowOff>
    </xdr:to>
    <xdr:pic>
      <xdr:nvPicPr>
        <xdr:cNvPr id="6" name="5 Imagen"/>
        <xdr:cNvPicPr>
          <a:picLocks noChangeAspect="1"/>
        </xdr:cNvPicPr>
      </xdr:nvPicPr>
      <xdr:blipFill>
        <a:blip xmlns:r="http://schemas.openxmlformats.org/officeDocument/2006/relationships" r:embed="rId6"/>
        <a:stretch>
          <a:fillRect/>
        </a:stretch>
      </xdr:blipFill>
      <xdr:spPr>
        <a:xfrm>
          <a:off x="190500" y="25336501"/>
          <a:ext cx="7644823" cy="4724400"/>
        </a:xfrm>
        <a:prstGeom prst="rect">
          <a:avLst/>
        </a:prstGeom>
      </xdr:spPr>
    </xdr:pic>
    <xdr:clientData/>
  </xdr:twoCellAnchor>
  <xdr:twoCellAnchor editAs="oneCell">
    <xdr:from>
      <xdr:col>1</xdr:col>
      <xdr:colOff>1</xdr:colOff>
      <xdr:row>159</xdr:row>
      <xdr:rowOff>1</xdr:rowOff>
    </xdr:from>
    <xdr:to>
      <xdr:col>6</xdr:col>
      <xdr:colOff>358141</xdr:colOff>
      <xdr:row>174</xdr:row>
      <xdr:rowOff>138739</xdr:rowOff>
    </xdr:to>
    <xdr:pic>
      <xdr:nvPicPr>
        <xdr:cNvPr id="8" name="7 Imagen"/>
        <xdr:cNvPicPr>
          <a:picLocks noChangeAspect="1"/>
        </xdr:cNvPicPr>
      </xdr:nvPicPr>
      <xdr:blipFill>
        <a:blip xmlns:r="http://schemas.openxmlformats.org/officeDocument/2006/relationships" r:embed="rId7"/>
        <a:stretch>
          <a:fillRect/>
        </a:stretch>
      </xdr:blipFill>
      <xdr:spPr>
        <a:xfrm>
          <a:off x="190501" y="30289501"/>
          <a:ext cx="4739640" cy="2996238"/>
        </a:xfrm>
        <a:prstGeom prst="rect">
          <a:avLst/>
        </a:prstGeom>
      </xdr:spPr>
    </xdr:pic>
    <xdr:clientData/>
  </xdr:twoCellAnchor>
  <xdr:twoCellAnchor editAs="oneCell">
    <xdr:from>
      <xdr:col>1</xdr:col>
      <xdr:colOff>1</xdr:colOff>
      <xdr:row>178</xdr:row>
      <xdr:rowOff>1</xdr:rowOff>
    </xdr:from>
    <xdr:to>
      <xdr:col>9</xdr:col>
      <xdr:colOff>670561</xdr:colOff>
      <xdr:row>183</xdr:row>
      <xdr:rowOff>176157</xdr:rowOff>
    </xdr:to>
    <xdr:pic>
      <xdr:nvPicPr>
        <xdr:cNvPr id="10" name="9 Imagen"/>
        <xdr:cNvPicPr>
          <a:picLocks noChangeAspect="1"/>
        </xdr:cNvPicPr>
      </xdr:nvPicPr>
      <xdr:blipFill>
        <a:blip xmlns:r="http://schemas.openxmlformats.org/officeDocument/2006/relationships" r:embed="rId8"/>
        <a:stretch>
          <a:fillRect/>
        </a:stretch>
      </xdr:blipFill>
      <xdr:spPr>
        <a:xfrm>
          <a:off x="190501" y="33909001"/>
          <a:ext cx="7680960" cy="1128656"/>
        </a:xfrm>
        <a:prstGeom prst="rect">
          <a:avLst/>
        </a:prstGeom>
      </xdr:spPr>
    </xdr:pic>
    <xdr:clientData/>
  </xdr:twoCellAnchor>
  <xdr:twoCellAnchor editAs="oneCell">
    <xdr:from>
      <xdr:col>1</xdr:col>
      <xdr:colOff>1</xdr:colOff>
      <xdr:row>185</xdr:row>
      <xdr:rowOff>1</xdr:rowOff>
    </xdr:from>
    <xdr:to>
      <xdr:col>10</xdr:col>
      <xdr:colOff>289561</xdr:colOff>
      <xdr:row>203</xdr:row>
      <xdr:rowOff>6145</xdr:rowOff>
    </xdr:to>
    <xdr:pic>
      <xdr:nvPicPr>
        <xdr:cNvPr id="11" name="10 Imagen"/>
        <xdr:cNvPicPr>
          <a:picLocks noChangeAspect="1"/>
        </xdr:cNvPicPr>
      </xdr:nvPicPr>
      <xdr:blipFill>
        <a:blip xmlns:r="http://schemas.openxmlformats.org/officeDocument/2006/relationships" r:embed="rId9"/>
        <a:stretch>
          <a:fillRect/>
        </a:stretch>
      </xdr:blipFill>
      <xdr:spPr>
        <a:xfrm>
          <a:off x="190501" y="35242501"/>
          <a:ext cx="8176260" cy="3435144"/>
        </a:xfrm>
        <a:prstGeom prst="rect">
          <a:avLst/>
        </a:prstGeom>
      </xdr:spPr>
    </xdr:pic>
    <xdr:clientData/>
  </xdr:twoCellAnchor>
  <xdr:twoCellAnchor editAs="oneCell">
    <xdr:from>
      <xdr:col>1</xdr:col>
      <xdr:colOff>219790</xdr:colOff>
      <xdr:row>203</xdr:row>
      <xdr:rowOff>152400</xdr:rowOff>
    </xdr:from>
    <xdr:to>
      <xdr:col>10</xdr:col>
      <xdr:colOff>774992</xdr:colOff>
      <xdr:row>206</xdr:row>
      <xdr:rowOff>91440</xdr:rowOff>
    </xdr:to>
    <xdr:pic>
      <xdr:nvPicPr>
        <xdr:cNvPr id="12" name="11 Imagen"/>
        <xdr:cNvPicPr>
          <a:picLocks noChangeAspect="1"/>
        </xdr:cNvPicPr>
      </xdr:nvPicPr>
      <xdr:blipFill>
        <a:blip xmlns:r="http://schemas.openxmlformats.org/officeDocument/2006/relationships" r:embed="rId10"/>
        <a:stretch>
          <a:fillRect/>
        </a:stretch>
      </xdr:blipFill>
      <xdr:spPr>
        <a:xfrm>
          <a:off x="410290" y="38823900"/>
          <a:ext cx="8441902" cy="510540"/>
        </a:xfrm>
        <a:prstGeom prst="rect">
          <a:avLst/>
        </a:prstGeom>
      </xdr:spPr>
    </xdr:pic>
    <xdr:clientData/>
  </xdr:twoCellAnchor>
  <xdr:twoCellAnchor editAs="oneCell">
    <xdr:from>
      <xdr:col>1</xdr:col>
      <xdr:colOff>1</xdr:colOff>
      <xdr:row>208</xdr:row>
      <xdr:rowOff>0</xdr:rowOff>
    </xdr:from>
    <xdr:to>
      <xdr:col>11</xdr:col>
      <xdr:colOff>224137</xdr:colOff>
      <xdr:row>226</xdr:row>
      <xdr:rowOff>22860</xdr:rowOff>
    </xdr:to>
    <xdr:pic>
      <xdr:nvPicPr>
        <xdr:cNvPr id="13" name="12 Imagen"/>
        <xdr:cNvPicPr>
          <a:picLocks noChangeAspect="1"/>
        </xdr:cNvPicPr>
      </xdr:nvPicPr>
      <xdr:blipFill>
        <a:blip xmlns:r="http://schemas.openxmlformats.org/officeDocument/2006/relationships" r:embed="rId11"/>
        <a:stretch>
          <a:fillRect/>
        </a:stretch>
      </xdr:blipFill>
      <xdr:spPr>
        <a:xfrm>
          <a:off x="190501" y="39624000"/>
          <a:ext cx="8987136" cy="3451860"/>
        </a:xfrm>
        <a:prstGeom prst="rect">
          <a:avLst/>
        </a:prstGeom>
      </xdr:spPr>
    </xdr:pic>
    <xdr:clientData/>
  </xdr:twoCellAnchor>
  <xdr:twoCellAnchor editAs="oneCell">
    <xdr:from>
      <xdr:col>1</xdr:col>
      <xdr:colOff>1</xdr:colOff>
      <xdr:row>227</xdr:row>
      <xdr:rowOff>0</xdr:rowOff>
    </xdr:from>
    <xdr:to>
      <xdr:col>11</xdr:col>
      <xdr:colOff>822961</xdr:colOff>
      <xdr:row>243</xdr:row>
      <xdr:rowOff>13955</xdr:rowOff>
    </xdr:to>
    <xdr:pic>
      <xdr:nvPicPr>
        <xdr:cNvPr id="14" name="13 Imagen"/>
        <xdr:cNvPicPr>
          <a:picLocks noChangeAspect="1"/>
        </xdr:cNvPicPr>
      </xdr:nvPicPr>
      <xdr:blipFill>
        <a:blip xmlns:r="http://schemas.openxmlformats.org/officeDocument/2006/relationships" r:embed="rId12"/>
        <a:stretch>
          <a:fillRect/>
        </a:stretch>
      </xdr:blipFill>
      <xdr:spPr>
        <a:xfrm>
          <a:off x="190501" y="43243500"/>
          <a:ext cx="9585960" cy="3061955"/>
        </a:xfrm>
        <a:prstGeom prst="rect">
          <a:avLst/>
        </a:prstGeom>
      </xdr:spPr>
    </xdr:pic>
    <xdr:clientData/>
  </xdr:twoCellAnchor>
  <xdr:twoCellAnchor editAs="oneCell">
    <xdr:from>
      <xdr:col>1</xdr:col>
      <xdr:colOff>0</xdr:colOff>
      <xdr:row>244</xdr:row>
      <xdr:rowOff>1</xdr:rowOff>
    </xdr:from>
    <xdr:to>
      <xdr:col>11</xdr:col>
      <xdr:colOff>198119</xdr:colOff>
      <xdr:row>266</xdr:row>
      <xdr:rowOff>170743</xdr:rowOff>
    </xdr:to>
    <xdr:pic>
      <xdr:nvPicPr>
        <xdr:cNvPr id="15" name="14 Imagen"/>
        <xdr:cNvPicPr>
          <a:picLocks noChangeAspect="1"/>
        </xdr:cNvPicPr>
      </xdr:nvPicPr>
      <xdr:blipFill>
        <a:blip xmlns:r="http://schemas.openxmlformats.org/officeDocument/2006/relationships" r:embed="rId13"/>
        <a:stretch>
          <a:fillRect/>
        </a:stretch>
      </xdr:blipFill>
      <xdr:spPr>
        <a:xfrm>
          <a:off x="190500" y="46482001"/>
          <a:ext cx="8961119" cy="4361742"/>
        </a:xfrm>
        <a:prstGeom prst="rect">
          <a:avLst/>
        </a:prstGeom>
      </xdr:spPr>
    </xdr:pic>
    <xdr:clientData/>
  </xdr:twoCellAnchor>
  <xdr:twoCellAnchor editAs="oneCell">
    <xdr:from>
      <xdr:col>1</xdr:col>
      <xdr:colOff>1</xdr:colOff>
      <xdr:row>268</xdr:row>
      <xdr:rowOff>0</xdr:rowOff>
    </xdr:from>
    <xdr:to>
      <xdr:col>11</xdr:col>
      <xdr:colOff>434341</xdr:colOff>
      <xdr:row>282</xdr:row>
      <xdr:rowOff>108892</xdr:rowOff>
    </xdr:to>
    <xdr:pic>
      <xdr:nvPicPr>
        <xdr:cNvPr id="16" name="15 Imagen"/>
        <xdr:cNvPicPr>
          <a:picLocks noChangeAspect="1"/>
        </xdr:cNvPicPr>
      </xdr:nvPicPr>
      <xdr:blipFill>
        <a:blip xmlns:r="http://schemas.openxmlformats.org/officeDocument/2006/relationships" r:embed="rId14"/>
        <a:stretch>
          <a:fillRect/>
        </a:stretch>
      </xdr:blipFill>
      <xdr:spPr>
        <a:xfrm>
          <a:off x="190501" y="51054000"/>
          <a:ext cx="9197340" cy="2775892"/>
        </a:xfrm>
        <a:prstGeom prst="rect">
          <a:avLst/>
        </a:prstGeom>
      </xdr:spPr>
    </xdr:pic>
    <xdr:clientData/>
  </xdr:twoCellAnchor>
  <xdr:twoCellAnchor editAs="oneCell">
    <xdr:from>
      <xdr:col>1</xdr:col>
      <xdr:colOff>0</xdr:colOff>
      <xdr:row>283</xdr:row>
      <xdr:rowOff>0</xdr:rowOff>
    </xdr:from>
    <xdr:to>
      <xdr:col>6</xdr:col>
      <xdr:colOff>314980</xdr:colOff>
      <xdr:row>311</xdr:row>
      <xdr:rowOff>67429</xdr:rowOff>
    </xdr:to>
    <xdr:pic>
      <xdr:nvPicPr>
        <xdr:cNvPr id="17" name="16 Imagen"/>
        <xdr:cNvPicPr>
          <a:picLocks noChangeAspect="1"/>
        </xdr:cNvPicPr>
      </xdr:nvPicPr>
      <xdr:blipFill>
        <a:blip xmlns:r="http://schemas.openxmlformats.org/officeDocument/2006/relationships" r:embed="rId15"/>
        <a:stretch>
          <a:fillRect/>
        </a:stretch>
      </xdr:blipFill>
      <xdr:spPr>
        <a:xfrm>
          <a:off x="190500" y="53911500"/>
          <a:ext cx="4696480" cy="5401429"/>
        </a:xfrm>
        <a:prstGeom prst="rect">
          <a:avLst/>
        </a:prstGeom>
      </xdr:spPr>
    </xdr:pic>
    <xdr:clientData/>
  </xdr:twoCellAnchor>
  <xdr:twoCellAnchor editAs="oneCell">
    <xdr:from>
      <xdr:col>1</xdr:col>
      <xdr:colOff>1</xdr:colOff>
      <xdr:row>313</xdr:row>
      <xdr:rowOff>0</xdr:rowOff>
    </xdr:from>
    <xdr:to>
      <xdr:col>10</xdr:col>
      <xdr:colOff>411481</xdr:colOff>
      <xdr:row>337</xdr:row>
      <xdr:rowOff>16212</xdr:rowOff>
    </xdr:to>
    <xdr:pic>
      <xdr:nvPicPr>
        <xdr:cNvPr id="18" name="17 Imagen"/>
        <xdr:cNvPicPr>
          <a:picLocks noChangeAspect="1"/>
        </xdr:cNvPicPr>
      </xdr:nvPicPr>
      <xdr:blipFill>
        <a:blip xmlns:r="http://schemas.openxmlformats.org/officeDocument/2006/relationships" r:embed="rId16"/>
        <a:stretch>
          <a:fillRect/>
        </a:stretch>
      </xdr:blipFill>
      <xdr:spPr>
        <a:xfrm>
          <a:off x="190501" y="59626500"/>
          <a:ext cx="8298180" cy="4588212"/>
        </a:xfrm>
        <a:prstGeom prst="rect">
          <a:avLst/>
        </a:prstGeom>
      </xdr:spPr>
    </xdr:pic>
    <xdr:clientData/>
  </xdr:twoCellAnchor>
  <xdr:twoCellAnchor editAs="oneCell">
    <xdr:from>
      <xdr:col>1</xdr:col>
      <xdr:colOff>0</xdr:colOff>
      <xdr:row>341</xdr:row>
      <xdr:rowOff>0</xdr:rowOff>
    </xdr:from>
    <xdr:to>
      <xdr:col>12</xdr:col>
      <xdr:colOff>429772</xdr:colOff>
      <xdr:row>356</xdr:row>
      <xdr:rowOff>144780</xdr:rowOff>
    </xdr:to>
    <xdr:pic>
      <xdr:nvPicPr>
        <xdr:cNvPr id="19" name="18 Imagen"/>
        <xdr:cNvPicPr>
          <a:picLocks noChangeAspect="1"/>
        </xdr:cNvPicPr>
      </xdr:nvPicPr>
      <xdr:blipFill>
        <a:blip xmlns:r="http://schemas.openxmlformats.org/officeDocument/2006/relationships" r:embed="rId17"/>
        <a:stretch>
          <a:fillRect/>
        </a:stretch>
      </xdr:blipFill>
      <xdr:spPr>
        <a:xfrm>
          <a:off x="190500" y="64960500"/>
          <a:ext cx="10069072" cy="3002280"/>
        </a:xfrm>
        <a:prstGeom prst="rect">
          <a:avLst/>
        </a:prstGeom>
      </xdr:spPr>
    </xdr:pic>
    <xdr:clientData/>
  </xdr:twoCellAnchor>
  <xdr:twoCellAnchor editAs="oneCell">
    <xdr:from>
      <xdr:col>1</xdr:col>
      <xdr:colOff>0</xdr:colOff>
      <xdr:row>360</xdr:row>
      <xdr:rowOff>0</xdr:rowOff>
    </xdr:from>
    <xdr:to>
      <xdr:col>13</xdr:col>
      <xdr:colOff>156844</xdr:colOff>
      <xdr:row>383</xdr:row>
      <xdr:rowOff>99060</xdr:rowOff>
    </xdr:to>
    <xdr:pic>
      <xdr:nvPicPr>
        <xdr:cNvPr id="20" name="19 Imagen"/>
        <xdr:cNvPicPr>
          <a:picLocks noChangeAspect="1"/>
        </xdr:cNvPicPr>
      </xdr:nvPicPr>
      <xdr:blipFill>
        <a:blip xmlns:r="http://schemas.openxmlformats.org/officeDocument/2006/relationships" r:embed="rId18"/>
        <a:stretch>
          <a:fillRect/>
        </a:stretch>
      </xdr:blipFill>
      <xdr:spPr>
        <a:xfrm>
          <a:off x="190500" y="68580000"/>
          <a:ext cx="10672444" cy="4480560"/>
        </a:xfrm>
        <a:prstGeom prst="rect">
          <a:avLst/>
        </a:prstGeom>
      </xdr:spPr>
    </xdr:pic>
    <xdr:clientData/>
  </xdr:twoCellAnchor>
  <xdr:twoCellAnchor editAs="oneCell">
    <xdr:from>
      <xdr:col>1</xdr:col>
      <xdr:colOff>0</xdr:colOff>
      <xdr:row>387</xdr:row>
      <xdr:rowOff>0</xdr:rowOff>
    </xdr:from>
    <xdr:to>
      <xdr:col>14</xdr:col>
      <xdr:colOff>697012</xdr:colOff>
      <xdr:row>393</xdr:row>
      <xdr:rowOff>160</xdr:rowOff>
    </xdr:to>
    <xdr:pic>
      <xdr:nvPicPr>
        <xdr:cNvPr id="21" name="20 Imagen"/>
        <xdr:cNvPicPr>
          <a:picLocks noChangeAspect="1"/>
        </xdr:cNvPicPr>
      </xdr:nvPicPr>
      <xdr:blipFill>
        <a:blip xmlns:r="http://schemas.openxmlformats.org/officeDocument/2006/relationships" r:embed="rId19"/>
        <a:stretch>
          <a:fillRect/>
        </a:stretch>
      </xdr:blipFill>
      <xdr:spPr>
        <a:xfrm>
          <a:off x="190500" y="73723500"/>
          <a:ext cx="12088912" cy="1143160"/>
        </a:xfrm>
        <a:prstGeom prst="rect">
          <a:avLst/>
        </a:prstGeom>
      </xdr:spPr>
    </xdr:pic>
    <xdr:clientData/>
  </xdr:twoCellAnchor>
  <xdr:twoCellAnchor editAs="oneCell">
    <xdr:from>
      <xdr:col>1</xdr:col>
      <xdr:colOff>175260</xdr:colOff>
      <xdr:row>394</xdr:row>
      <xdr:rowOff>76200</xdr:rowOff>
    </xdr:from>
    <xdr:to>
      <xdr:col>10</xdr:col>
      <xdr:colOff>510540</xdr:colOff>
      <xdr:row>412</xdr:row>
      <xdr:rowOff>121188</xdr:rowOff>
    </xdr:to>
    <xdr:pic>
      <xdr:nvPicPr>
        <xdr:cNvPr id="22" name="21 Imagen"/>
        <xdr:cNvPicPr>
          <a:picLocks noChangeAspect="1"/>
        </xdr:cNvPicPr>
      </xdr:nvPicPr>
      <xdr:blipFill>
        <a:blip xmlns:r="http://schemas.openxmlformats.org/officeDocument/2006/relationships" r:embed="rId20"/>
        <a:stretch>
          <a:fillRect/>
        </a:stretch>
      </xdr:blipFill>
      <xdr:spPr>
        <a:xfrm>
          <a:off x="365760" y="75133200"/>
          <a:ext cx="8221980" cy="3473988"/>
        </a:xfrm>
        <a:prstGeom prst="rect">
          <a:avLst/>
        </a:prstGeom>
      </xdr:spPr>
    </xdr:pic>
    <xdr:clientData/>
  </xdr:twoCellAnchor>
  <xdr:twoCellAnchor editAs="oneCell">
    <xdr:from>
      <xdr:col>1</xdr:col>
      <xdr:colOff>99060</xdr:colOff>
      <xdr:row>414</xdr:row>
      <xdr:rowOff>114300</xdr:rowOff>
    </xdr:from>
    <xdr:to>
      <xdr:col>14</xdr:col>
      <xdr:colOff>167334</xdr:colOff>
      <xdr:row>421</xdr:row>
      <xdr:rowOff>95433</xdr:rowOff>
    </xdr:to>
    <xdr:pic>
      <xdr:nvPicPr>
        <xdr:cNvPr id="23" name="22 Imagen"/>
        <xdr:cNvPicPr>
          <a:picLocks noChangeAspect="1"/>
        </xdr:cNvPicPr>
      </xdr:nvPicPr>
      <xdr:blipFill>
        <a:blip xmlns:r="http://schemas.openxmlformats.org/officeDocument/2006/relationships" r:embed="rId21"/>
        <a:stretch>
          <a:fillRect/>
        </a:stretch>
      </xdr:blipFill>
      <xdr:spPr>
        <a:xfrm>
          <a:off x="289560" y="78981300"/>
          <a:ext cx="11460174" cy="1314633"/>
        </a:xfrm>
        <a:prstGeom prst="rect">
          <a:avLst/>
        </a:prstGeom>
      </xdr:spPr>
    </xdr:pic>
    <xdr:clientData/>
  </xdr:twoCellAnchor>
  <xdr:twoCellAnchor editAs="oneCell">
    <xdr:from>
      <xdr:col>1</xdr:col>
      <xdr:colOff>0</xdr:colOff>
      <xdr:row>423</xdr:row>
      <xdr:rowOff>0</xdr:rowOff>
    </xdr:from>
    <xdr:to>
      <xdr:col>10</xdr:col>
      <xdr:colOff>134469</xdr:colOff>
      <xdr:row>457</xdr:row>
      <xdr:rowOff>162852</xdr:rowOff>
    </xdr:to>
    <xdr:pic>
      <xdr:nvPicPr>
        <xdr:cNvPr id="24" name="23 Imagen"/>
        <xdr:cNvPicPr>
          <a:picLocks noChangeAspect="1"/>
        </xdr:cNvPicPr>
      </xdr:nvPicPr>
      <xdr:blipFill>
        <a:blip xmlns:r="http://schemas.openxmlformats.org/officeDocument/2006/relationships" r:embed="rId22"/>
        <a:stretch>
          <a:fillRect/>
        </a:stretch>
      </xdr:blipFill>
      <xdr:spPr>
        <a:xfrm>
          <a:off x="190500" y="80581500"/>
          <a:ext cx="8021169" cy="6639852"/>
        </a:xfrm>
        <a:prstGeom prst="rect">
          <a:avLst/>
        </a:prstGeom>
      </xdr:spPr>
    </xdr:pic>
    <xdr:clientData/>
  </xdr:twoCellAnchor>
  <xdr:twoCellAnchor editAs="oneCell">
    <xdr:from>
      <xdr:col>1</xdr:col>
      <xdr:colOff>0</xdr:colOff>
      <xdr:row>459</xdr:row>
      <xdr:rowOff>0</xdr:rowOff>
    </xdr:from>
    <xdr:to>
      <xdr:col>13</xdr:col>
      <xdr:colOff>335280</xdr:colOff>
      <xdr:row>494</xdr:row>
      <xdr:rowOff>172697</xdr:rowOff>
    </xdr:to>
    <xdr:pic>
      <xdr:nvPicPr>
        <xdr:cNvPr id="25" name="24 Imagen"/>
        <xdr:cNvPicPr>
          <a:picLocks noChangeAspect="1"/>
        </xdr:cNvPicPr>
      </xdr:nvPicPr>
      <xdr:blipFill>
        <a:blip xmlns:r="http://schemas.openxmlformats.org/officeDocument/2006/relationships" r:embed="rId23"/>
        <a:stretch>
          <a:fillRect/>
        </a:stretch>
      </xdr:blipFill>
      <xdr:spPr>
        <a:xfrm>
          <a:off x="190500" y="87439500"/>
          <a:ext cx="10850880" cy="6840197"/>
        </a:xfrm>
        <a:prstGeom prst="rect">
          <a:avLst/>
        </a:prstGeom>
      </xdr:spPr>
    </xdr:pic>
    <xdr:clientData/>
  </xdr:twoCellAnchor>
  <xdr:twoCellAnchor editAs="oneCell">
    <xdr:from>
      <xdr:col>1</xdr:col>
      <xdr:colOff>0</xdr:colOff>
      <xdr:row>498</xdr:row>
      <xdr:rowOff>0</xdr:rowOff>
    </xdr:from>
    <xdr:to>
      <xdr:col>17</xdr:col>
      <xdr:colOff>106747</xdr:colOff>
      <xdr:row>509</xdr:row>
      <xdr:rowOff>66977</xdr:rowOff>
    </xdr:to>
    <xdr:pic>
      <xdr:nvPicPr>
        <xdr:cNvPr id="26" name="25 Imagen"/>
        <xdr:cNvPicPr>
          <a:picLocks noChangeAspect="1"/>
        </xdr:cNvPicPr>
      </xdr:nvPicPr>
      <xdr:blipFill>
        <a:blip xmlns:r="http://schemas.openxmlformats.org/officeDocument/2006/relationships" r:embed="rId24"/>
        <a:stretch>
          <a:fillRect/>
        </a:stretch>
      </xdr:blipFill>
      <xdr:spPr>
        <a:xfrm>
          <a:off x="190500" y="94869000"/>
          <a:ext cx="14127547" cy="2162477"/>
        </a:xfrm>
        <a:prstGeom prst="rect">
          <a:avLst/>
        </a:prstGeom>
      </xdr:spPr>
    </xdr:pic>
    <xdr:clientData/>
  </xdr:twoCellAnchor>
  <xdr:twoCellAnchor editAs="oneCell">
    <xdr:from>
      <xdr:col>1</xdr:col>
      <xdr:colOff>1</xdr:colOff>
      <xdr:row>516</xdr:row>
      <xdr:rowOff>1</xdr:rowOff>
    </xdr:from>
    <xdr:to>
      <xdr:col>15</xdr:col>
      <xdr:colOff>129540</xdr:colOff>
      <xdr:row>522</xdr:row>
      <xdr:rowOff>13788</xdr:rowOff>
    </xdr:to>
    <xdr:pic>
      <xdr:nvPicPr>
        <xdr:cNvPr id="27" name="26 Imagen"/>
        <xdr:cNvPicPr>
          <a:picLocks noChangeAspect="1"/>
        </xdr:cNvPicPr>
      </xdr:nvPicPr>
      <xdr:blipFill>
        <a:blip xmlns:r="http://schemas.openxmlformats.org/officeDocument/2006/relationships" r:embed="rId25"/>
        <a:stretch>
          <a:fillRect/>
        </a:stretch>
      </xdr:blipFill>
      <xdr:spPr>
        <a:xfrm>
          <a:off x="190501" y="98298001"/>
          <a:ext cx="12397739" cy="1156787"/>
        </a:xfrm>
        <a:prstGeom prst="rect">
          <a:avLst/>
        </a:prstGeom>
      </xdr:spPr>
    </xdr:pic>
    <xdr:clientData/>
  </xdr:twoCellAnchor>
  <xdr:twoCellAnchor editAs="oneCell">
    <xdr:from>
      <xdr:col>1</xdr:col>
      <xdr:colOff>0</xdr:colOff>
      <xdr:row>524</xdr:row>
      <xdr:rowOff>0</xdr:rowOff>
    </xdr:from>
    <xdr:to>
      <xdr:col>15</xdr:col>
      <xdr:colOff>7620</xdr:colOff>
      <xdr:row>533</xdr:row>
      <xdr:rowOff>51086</xdr:rowOff>
    </xdr:to>
    <xdr:pic>
      <xdr:nvPicPr>
        <xdr:cNvPr id="28" name="27 Imagen"/>
        <xdr:cNvPicPr>
          <a:picLocks noChangeAspect="1"/>
        </xdr:cNvPicPr>
      </xdr:nvPicPr>
      <xdr:blipFill>
        <a:blip xmlns:r="http://schemas.openxmlformats.org/officeDocument/2006/relationships" r:embed="rId26"/>
        <a:stretch>
          <a:fillRect/>
        </a:stretch>
      </xdr:blipFill>
      <xdr:spPr>
        <a:xfrm>
          <a:off x="190500" y="99822000"/>
          <a:ext cx="12275820" cy="1765586"/>
        </a:xfrm>
        <a:prstGeom prst="rect">
          <a:avLst/>
        </a:prstGeom>
      </xdr:spPr>
    </xdr:pic>
    <xdr:clientData/>
  </xdr:twoCellAnchor>
  <xdr:twoCellAnchor editAs="oneCell">
    <xdr:from>
      <xdr:col>1</xdr:col>
      <xdr:colOff>45721</xdr:colOff>
      <xdr:row>536</xdr:row>
      <xdr:rowOff>76200</xdr:rowOff>
    </xdr:from>
    <xdr:to>
      <xdr:col>15</xdr:col>
      <xdr:colOff>137161</xdr:colOff>
      <xdr:row>543</xdr:row>
      <xdr:rowOff>95455</xdr:rowOff>
    </xdr:to>
    <xdr:pic>
      <xdr:nvPicPr>
        <xdr:cNvPr id="29" name="28 Imagen"/>
        <xdr:cNvPicPr>
          <a:picLocks noChangeAspect="1"/>
        </xdr:cNvPicPr>
      </xdr:nvPicPr>
      <xdr:blipFill>
        <a:blip xmlns:r="http://schemas.openxmlformats.org/officeDocument/2006/relationships" r:embed="rId27"/>
        <a:stretch>
          <a:fillRect/>
        </a:stretch>
      </xdr:blipFill>
      <xdr:spPr>
        <a:xfrm>
          <a:off x="236221" y="102184200"/>
          <a:ext cx="12359640" cy="1352755"/>
        </a:xfrm>
        <a:prstGeom prst="rect">
          <a:avLst/>
        </a:prstGeom>
      </xdr:spPr>
    </xdr:pic>
    <xdr:clientData/>
  </xdr:twoCellAnchor>
  <xdr:twoCellAnchor editAs="oneCell">
    <xdr:from>
      <xdr:col>1</xdr:col>
      <xdr:colOff>0</xdr:colOff>
      <xdr:row>547</xdr:row>
      <xdr:rowOff>0</xdr:rowOff>
    </xdr:from>
    <xdr:to>
      <xdr:col>15</xdr:col>
      <xdr:colOff>175260</xdr:colOff>
      <xdr:row>554</xdr:row>
      <xdr:rowOff>112425</xdr:rowOff>
    </xdr:to>
    <xdr:pic>
      <xdr:nvPicPr>
        <xdr:cNvPr id="30" name="29 Imagen"/>
        <xdr:cNvPicPr>
          <a:picLocks noChangeAspect="1"/>
        </xdr:cNvPicPr>
      </xdr:nvPicPr>
      <xdr:blipFill>
        <a:blip xmlns:r="http://schemas.openxmlformats.org/officeDocument/2006/relationships" r:embed="rId28"/>
        <a:stretch>
          <a:fillRect/>
        </a:stretch>
      </xdr:blipFill>
      <xdr:spPr>
        <a:xfrm>
          <a:off x="190500" y="104203500"/>
          <a:ext cx="12443460" cy="1445925"/>
        </a:xfrm>
        <a:prstGeom prst="rect">
          <a:avLst/>
        </a:prstGeom>
      </xdr:spPr>
    </xdr:pic>
    <xdr:clientData/>
  </xdr:twoCellAnchor>
  <xdr:twoCellAnchor editAs="oneCell">
    <xdr:from>
      <xdr:col>1</xdr:col>
      <xdr:colOff>1</xdr:colOff>
      <xdr:row>558</xdr:row>
      <xdr:rowOff>0</xdr:rowOff>
    </xdr:from>
    <xdr:to>
      <xdr:col>15</xdr:col>
      <xdr:colOff>419101</xdr:colOff>
      <xdr:row>569</xdr:row>
      <xdr:rowOff>112487</xdr:rowOff>
    </xdr:to>
    <xdr:pic>
      <xdr:nvPicPr>
        <xdr:cNvPr id="31" name="30 Imagen"/>
        <xdr:cNvPicPr>
          <a:picLocks noChangeAspect="1"/>
        </xdr:cNvPicPr>
      </xdr:nvPicPr>
      <xdr:blipFill>
        <a:blip xmlns:r="http://schemas.openxmlformats.org/officeDocument/2006/relationships" r:embed="rId29"/>
        <a:stretch>
          <a:fillRect/>
        </a:stretch>
      </xdr:blipFill>
      <xdr:spPr>
        <a:xfrm>
          <a:off x="190501" y="106299000"/>
          <a:ext cx="12687300" cy="2207987"/>
        </a:xfrm>
        <a:prstGeom prst="rect">
          <a:avLst/>
        </a:prstGeom>
      </xdr:spPr>
    </xdr:pic>
    <xdr:clientData/>
  </xdr:twoCellAnchor>
  <xdr:twoCellAnchor editAs="oneCell">
    <xdr:from>
      <xdr:col>1</xdr:col>
      <xdr:colOff>0</xdr:colOff>
      <xdr:row>572</xdr:row>
      <xdr:rowOff>0</xdr:rowOff>
    </xdr:from>
    <xdr:to>
      <xdr:col>12</xdr:col>
      <xdr:colOff>381000</xdr:colOff>
      <xdr:row>588</xdr:row>
      <xdr:rowOff>179097</xdr:rowOff>
    </xdr:to>
    <xdr:pic>
      <xdr:nvPicPr>
        <xdr:cNvPr id="32" name="31 Imagen"/>
        <xdr:cNvPicPr>
          <a:picLocks noChangeAspect="1"/>
        </xdr:cNvPicPr>
      </xdr:nvPicPr>
      <xdr:blipFill>
        <a:blip xmlns:r="http://schemas.openxmlformats.org/officeDocument/2006/relationships" r:embed="rId30"/>
        <a:stretch>
          <a:fillRect/>
        </a:stretch>
      </xdr:blipFill>
      <xdr:spPr>
        <a:xfrm>
          <a:off x="190500" y="108966000"/>
          <a:ext cx="10020300" cy="3227097"/>
        </a:xfrm>
        <a:prstGeom prst="rect">
          <a:avLst/>
        </a:prstGeom>
      </xdr:spPr>
    </xdr:pic>
    <xdr:clientData/>
  </xdr:twoCellAnchor>
  <xdr:twoCellAnchor editAs="oneCell">
    <xdr:from>
      <xdr:col>1</xdr:col>
      <xdr:colOff>0</xdr:colOff>
      <xdr:row>590</xdr:row>
      <xdr:rowOff>0</xdr:rowOff>
    </xdr:from>
    <xdr:to>
      <xdr:col>17</xdr:col>
      <xdr:colOff>78168</xdr:colOff>
      <xdr:row>596</xdr:row>
      <xdr:rowOff>143054</xdr:rowOff>
    </xdr:to>
    <xdr:pic>
      <xdr:nvPicPr>
        <xdr:cNvPr id="33" name="32 Imagen"/>
        <xdr:cNvPicPr>
          <a:picLocks noChangeAspect="1"/>
        </xdr:cNvPicPr>
      </xdr:nvPicPr>
      <xdr:blipFill>
        <a:blip xmlns:r="http://schemas.openxmlformats.org/officeDocument/2006/relationships" r:embed="rId31"/>
        <a:stretch>
          <a:fillRect/>
        </a:stretch>
      </xdr:blipFill>
      <xdr:spPr>
        <a:xfrm>
          <a:off x="190500" y="112395000"/>
          <a:ext cx="14098968" cy="1286054"/>
        </a:xfrm>
        <a:prstGeom prst="rect">
          <a:avLst/>
        </a:prstGeom>
      </xdr:spPr>
    </xdr:pic>
    <xdr:clientData/>
  </xdr:twoCellAnchor>
  <xdr:twoCellAnchor editAs="oneCell">
    <xdr:from>
      <xdr:col>1</xdr:col>
      <xdr:colOff>0</xdr:colOff>
      <xdr:row>599</xdr:row>
      <xdr:rowOff>0</xdr:rowOff>
    </xdr:from>
    <xdr:to>
      <xdr:col>17</xdr:col>
      <xdr:colOff>40062</xdr:colOff>
      <xdr:row>603</xdr:row>
      <xdr:rowOff>143001</xdr:rowOff>
    </xdr:to>
    <xdr:pic>
      <xdr:nvPicPr>
        <xdr:cNvPr id="34" name="33 Imagen"/>
        <xdr:cNvPicPr>
          <a:picLocks noChangeAspect="1"/>
        </xdr:cNvPicPr>
      </xdr:nvPicPr>
      <xdr:blipFill>
        <a:blip xmlns:r="http://schemas.openxmlformats.org/officeDocument/2006/relationships" r:embed="rId32"/>
        <a:stretch>
          <a:fillRect/>
        </a:stretch>
      </xdr:blipFill>
      <xdr:spPr>
        <a:xfrm>
          <a:off x="190500" y="114109500"/>
          <a:ext cx="14060862" cy="90500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b/Documents/Inversi&#243;n/Cleaves/Cleaves%20Vessels%20Valu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ck Valuation"/>
      <sheetName val="Cleaves Vessels Value"/>
      <sheetName val="DB_Sales"/>
      <sheetName val="Tanker_Sales"/>
      <sheetName val="Exchange"/>
      <sheetName val="Shipping"/>
      <sheetName val="DB_NB"/>
      <sheetName val="Tanker_NB"/>
      <sheetName val="OrderBook"/>
      <sheetName val="Refieneries"/>
      <sheetName val="Fleet_utilization"/>
      <sheetName val="Notes"/>
    </sheetNames>
    <sheetDataSet>
      <sheetData sheetId="0">
        <row r="10">
          <cell r="C10">
            <v>11.24</v>
          </cell>
        </row>
      </sheetData>
      <sheetData sheetId="1">
        <row r="11">
          <cell r="C11">
            <v>9.9407407407407604E-3</v>
          </cell>
          <cell r="D11">
            <v>-0.34334920634920713</v>
          </cell>
          <cell r="E11">
            <v>-1.6441534391534318</v>
          </cell>
          <cell r="F11">
            <v>122.37222222222223</v>
          </cell>
        </row>
      </sheetData>
      <sheetData sheetId="2"/>
      <sheetData sheetId="3"/>
      <sheetData sheetId="4">
        <row r="3">
          <cell r="E3">
            <v>0.05</v>
          </cell>
        </row>
      </sheetData>
      <sheetData sheetId="5">
        <row r="22">
          <cell r="C22">
            <v>521.40909090909088</v>
          </cell>
        </row>
        <row r="24">
          <cell r="C24">
            <v>664.4545454545455</v>
          </cell>
        </row>
      </sheetData>
      <sheetData sheetId="6"/>
      <sheetData sheetId="7"/>
      <sheetData sheetId="8"/>
      <sheetData sheetId="9"/>
      <sheetData sheetId="10"/>
      <sheetData sheetId="1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
    <tabColor theme="1"/>
  </sheetPr>
  <dimension ref="A1:U37"/>
  <sheetViews>
    <sheetView topLeftCell="B1" workbookViewId="0">
      <selection activeCell="T20" sqref="T20"/>
    </sheetView>
  </sheetViews>
  <sheetFormatPr baseColWidth="10" defaultRowHeight="14.4" x14ac:dyDescent="0.3"/>
  <cols>
    <col min="1" max="1" width="18.6640625" bestFit="1" customWidth="1"/>
    <col min="2" max="2" width="10.21875" customWidth="1"/>
    <col min="3" max="3" width="8.5546875" customWidth="1"/>
    <col min="4" max="4" width="14" bestFit="1" customWidth="1"/>
    <col min="5" max="5" width="10" bestFit="1" customWidth="1"/>
    <col min="6" max="6" width="10" customWidth="1"/>
    <col min="7" max="8" width="8.6640625" bestFit="1" customWidth="1"/>
    <col min="9" max="10" width="8.44140625" customWidth="1"/>
    <col min="11" max="12" width="10.21875" bestFit="1" customWidth="1"/>
    <col min="13" max="13" width="5.5546875" customWidth="1"/>
    <col min="14" max="14" width="22.88671875" customWidth="1"/>
    <col min="15" max="15" width="11.77734375" bestFit="1" customWidth="1"/>
    <col min="16" max="16" width="12.88671875" customWidth="1"/>
    <col min="17" max="17" width="11.77734375" bestFit="1" customWidth="1"/>
    <col min="18" max="18" width="11.21875" customWidth="1"/>
    <col min="19" max="19" width="10.77734375" customWidth="1"/>
    <col min="20" max="20" width="11.33203125" customWidth="1"/>
  </cols>
  <sheetData>
    <row r="1" spans="1:21" ht="15.6" thickTop="1" thickBot="1" x14ac:dyDescent="0.35">
      <c r="A1" s="57" t="s">
        <v>91</v>
      </c>
      <c r="B1" s="57" t="s">
        <v>93</v>
      </c>
      <c r="C1" s="57" t="s">
        <v>94</v>
      </c>
      <c r="D1" s="57" t="s">
        <v>95</v>
      </c>
      <c r="E1" s="57" t="s">
        <v>96</v>
      </c>
      <c r="F1" s="57" t="s">
        <v>92</v>
      </c>
      <c r="G1" s="57" t="s">
        <v>263</v>
      </c>
      <c r="H1" s="57" t="s">
        <v>264</v>
      </c>
      <c r="I1" s="109" t="s">
        <v>123</v>
      </c>
      <c r="J1" s="109" t="s">
        <v>251</v>
      </c>
      <c r="K1" s="57" t="s">
        <v>211</v>
      </c>
      <c r="L1" s="57" t="s">
        <v>265</v>
      </c>
      <c r="N1" s="43" t="s">
        <v>56</v>
      </c>
      <c r="O1" s="151">
        <f>'[1]Stock Valuation'!$C$10</f>
        <v>11.24</v>
      </c>
    </row>
    <row r="2" spans="1:21" ht="15.6" thickTop="1" thickBot="1" x14ac:dyDescent="0.35">
      <c r="A2" t="s">
        <v>97</v>
      </c>
      <c r="B2">
        <v>317.97500000000002</v>
      </c>
      <c r="C2" t="s">
        <v>98</v>
      </c>
      <c r="D2" t="s">
        <v>100</v>
      </c>
      <c r="E2" s="58">
        <v>1</v>
      </c>
      <c r="F2" s="45">
        <v>43101</v>
      </c>
      <c r="G2" s="46">
        <f ca="1">(TODAY()-F2)/365</f>
        <v>6.7972602739726025</v>
      </c>
      <c r="H2" s="46">
        <f ca="1">G2+1</f>
        <v>7.7972602739726025</v>
      </c>
      <c r="I2" s="47">
        <v>1</v>
      </c>
      <c r="J2" s="47">
        <v>1</v>
      </c>
      <c r="K2" s="48">
        <f t="shared" ref="K2:K25" ca="1" si="0">$O$23*G2^3+$P$23*G2^2+$Q$23*G2+$R$23</f>
        <v>98.454717261024314</v>
      </c>
      <c r="L2" s="48">
        <f t="shared" ref="L2:L25" ca="1" si="1">$O$23*H2^3+$P$23*H2^2+$Q$23*H2+$R$23</f>
        <v>93.39006551705377</v>
      </c>
    </row>
    <row r="3" spans="1:21" ht="15" thickBot="1" x14ac:dyDescent="0.35">
      <c r="A3" t="s">
        <v>99</v>
      </c>
      <c r="B3">
        <v>317.97500000000002</v>
      </c>
      <c r="C3" t="s">
        <v>98</v>
      </c>
      <c r="D3" t="s">
        <v>100</v>
      </c>
      <c r="E3" s="58">
        <v>1</v>
      </c>
      <c r="F3" s="45">
        <v>43101</v>
      </c>
      <c r="G3" s="46">
        <f t="shared" ref="G3:G24" ca="1" si="2">(TODAY()-F3)/365</f>
        <v>6.7972602739726025</v>
      </c>
      <c r="H3" s="46">
        <f t="shared" ref="H3:H25" ca="1" si="3">G3+1</f>
        <v>7.7972602739726025</v>
      </c>
      <c r="I3" s="47">
        <v>1</v>
      </c>
      <c r="J3" s="47">
        <v>1</v>
      </c>
      <c r="K3" s="48">
        <f t="shared" ca="1" si="0"/>
        <v>98.454717261024314</v>
      </c>
      <c r="L3" s="48">
        <f t="shared" ca="1" si="1"/>
        <v>93.39006551705377</v>
      </c>
      <c r="N3" s="136" t="s">
        <v>58</v>
      </c>
      <c r="O3" s="154" t="s">
        <v>24</v>
      </c>
      <c r="P3" s="154" t="s">
        <v>20</v>
      </c>
      <c r="Q3" s="154" t="s">
        <v>25</v>
      </c>
      <c r="R3" s="154" t="s">
        <v>82</v>
      </c>
      <c r="S3" s="154" t="s">
        <v>83</v>
      </c>
      <c r="T3" s="137" t="s">
        <v>84</v>
      </c>
      <c r="U3" s="137" t="s">
        <v>59</v>
      </c>
    </row>
    <row r="4" spans="1:21" ht="15.6" thickTop="1" thickBot="1" x14ac:dyDescent="0.35">
      <c r="A4" t="s">
        <v>101</v>
      </c>
      <c r="B4">
        <v>319.71300000000002</v>
      </c>
      <c r="C4" t="s">
        <v>102</v>
      </c>
      <c r="D4" t="s">
        <v>100</v>
      </c>
      <c r="E4" s="58">
        <v>1</v>
      </c>
      <c r="F4" s="45">
        <v>43101</v>
      </c>
      <c r="G4" s="46">
        <f t="shared" ca="1" si="2"/>
        <v>6.7972602739726025</v>
      </c>
      <c r="H4" s="46">
        <f t="shared" ca="1" si="3"/>
        <v>7.7972602739726025</v>
      </c>
      <c r="I4" s="47">
        <v>1</v>
      </c>
      <c r="J4" s="47">
        <v>1</v>
      </c>
      <c r="K4" s="48">
        <f t="shared" ca="1" si="0"/>
        <v>98.454717261024314</v>
      </c>
      <c r="L4" s="48">
        <f t="shared" ca="1" si="1"/>
        <v>93.39006551705377</v>
      </c>
      <c r="N4" s="138" t="s">
        <v>60</v>
      </c>
      <c r="O4" s="59">
        <v>1809.9</v>
      </c>
      <c r="P4" s="59">
        <v>1809.9</v>
      </c>
      <c r="Q4" s="59">
        <v>1809.9</v>
      </c>
      <c r="R4" s="59">
        <v>1784.23</v>
      </c>
      <c r="S4" s="59">
        <v>1965.46</v>
      </c>
      <c r="T4" s="139">
        <f ca="1">SUM(K2:K25)</f>
        <v>1793.390546670739</v>
      </c>
      <c r="U4" s="139">
        <f ca="1">SUM(K2:K25)</f>
        <v>1793.390546670739</v>
      </c>
    </row>
    <row r="5" spans="1:21" ht="15.6" thickTop="1" thickBot="1" x14ac:dyDescent="0.35">
      <c r="A5" t="s">
        <v>103</v>
      </c>
      <c r="B5">
        <v>319.71300000000002</v>
      </c>
      <c r="C5" t="s">
        <v>102</v>
      </c>
      <c r="D5" t="s">
        <v>100</v>
      </c>
      <c r="E5" s="58">
        <v>1</v>
      </c>
      <c r="F5" s="45">
        <v>43101</v>
      </c>
      <c r="G5" s="46">
        <f t="shared" ca="1" si="2"/>
        <v>6.7972602739726025</v>
      </c>
      <c r="H5" s="46">
        <f t="shared" ca="1" si="3"/>
        <v>7.7972602739726025</v>
      </c>
      <c r="I5" s="47">
        <v>1</v>
      </c>
      <c r="J5" s="47">
        <v>1</v>
      </c>
      <c r="K5" s="48">
        <f t="shared" ca="1" si="0"/>
        <v>98.454717261024314</v>
      </c>
      <c r="L5" s="48">
        <f t="shared" ca="1" si="1"/>
        <v>93.39006551705377</v>
      </c>
      <c r="N5" s="138" t="s">
        <v>32</v>
      </c>
      <c r="O5" s="59">
        <f>-Balance!G53/1000</f>
        <v>-388.29899999999998</v>
      </c>
      <c r="P5" s="59">
        <f>-Balance!H53/1000</f>
        <v>-436.58</v>
      </c>
      <c r="Q5" s="59">
        <f>-Balance!I53/1000</f>
        <v>-428.72500000000002</v>
      </c>
      <c r="R5" s="59">
        <f>-Balance!J53/1000</f>
        <v>-397.78</v>
      </c>
      <c r="S5" s="59">
        <f>-Balance!K53/1000</f>
        <v>-414.60399999999998</v>
      </c>
      <c r="T5" s="139">
        <f>-Balance!L53/1000</f>
        <v>-406.17</v>
      </c>
      <c r="U5" s="139">
        <f>-Balance!M53/1000</f>
        <v>-397.73599999999999</v>
      </c>
    </row>
    <row r="6" spans="1:21" ht="15.6" thickTop="1" thickBot="1" x14ac:dyDescent="0.35">
      <c r="A6" t="s">
        <v>104</v>
      </c>
      <c r="B6">
        <v>299.62900000000002</v>
      </c>
      <c r="C6" t="s">
        <v>98</v>
      </c>
      <c r="D6" t="s">
        <v>100</v>
      </c>
      <c r="E6" s="58">
        <v>1</v>
      </c>
      <c r="F6" s="45">
        <v>42736</v>
      </c>
      <c r="G6" s="46">
        <f t="shared" ca="1" si="2"/>
        <v>7.7972602739726025</v>
      </c>
      <c r="H6" s="46">
        <f t="shared" ca="1" si="3"/>
        <v>8.7972602739726025</v>
      </c>
      <c r="I6" s="47">
        <v>1</v>
      </c>
      <c r="J6" s="47">
        <v>1</v>
      </c>
      <c r="K6" s="48">
        <f t="shared" ca="1" si="0"/>
        <v>93.39006551705377</v>
      </c>
      <c r="L6" s="48">
        <f t="shared" ca="1" si="1"/>
        <v>88.103778617614651</v>
      </c>
      <c r="N6" s="140" t="s">
        <v>61</v>
      </c>
      <c r="O6" s="59">
        <f>Balance!G4/1000</f>
        <v>130.649</v>
      </c>
      <c r="P6" s="59">
        <f>Balance!H4/1000</f>
        <v>73.92</v>
      </c>
      <c r="Q6" s="59">
        <f>Balance!I4/1000</f>
        <v>74.738</v>
      </c>
      <c r="R6" s="59">
        <f>Balance!J4/1000</f>
        <v>73.075999999999993</v>
      </c>
      <c r="S6" s="59">
        <f>Balance!K4/1000</f>
        <v>72.641999999999996</v>
      </c>
      <c r="T6" s="139">
        <f>Balance!L4/1000</f>
        <v>72.468600000000009</v>
      </c>
      <c r="U6" s="139">
        <f>Balance!M4/1000</f>
        <v>97.882320000000007</v>
      </c>
    </row>
    <row r="7" spans="1:21" ht="15.6" thickTop="1" thickBot="1" x14ac:dyDescent="0.35">
      <c r="A7" t="s">
        <v>105</v>
      </c>
      <c r="B7">
        <v>299.98500000000001</v>
      </c>
      <c r="C7" t="s">
        <v>102</v>
      </c>
      <c r="D7" t="s">
        <v>59</v>
      </c>
      <c r="E7" s="58">
        <v>1</v>
      </c>
      <c r="F7" s="45">
        <v>42370</v>
      </c>
      <c r="G7" s="46">
        <f t="shared" ca="1" si="2"/>
        <v>8.8000000000000007</v>
      </c>
      <c r="H7" s="46">
        <f t="shared" ca="1" si="3"/>
        <v>9.8000000000000007</v>
      </c>
      <c r="I7" s="47">
        <v>1</v>
      </c>
      <c r="J7" s="47">
        <v>1</v>
      </c>
      <c r="K7" s="48">
        <f t="shared" ca="1" si="0"/>
        <v>88.089045892063524</v>
      </c>
      <c r="L7" s="48">
        <f t="shared" ca="1" si="1"/>
        <v>82.640406400000018</v>
      </c>
      <c r="N7" s="138" t="s">
        <v>124</v>
      </c>
      <c r="O7" s="59"/>
      <c r="P7" s="59"/>
      <c r="Q7" s="59"/>
      <c r="R7" s="59"/>
      <c r="S7" s="59"/>
      <c r="T7" s="139"/>
      <c r="U7" s="139"/>
    </row>
    <row r="8" spans="1:21" ht="15.6" thickTop="1" thickBot="1" x14ac:dyDescent="0.35">
      <c r="A8" t="s">
        <v>106</v>
      </c>
      <c r="B8">
        <v>299.99900000000002</v>
      </c>
      <c r="C8" t="s">
        <v>102</v>
      </c>
      <c r="D8" t="s">
        <v>133</v>
      </c>
      <c r="E8" s="58">
        <v>1</v>
      </c>
      <c r="F8" s="45">
        <v>42370</v>
      </c>
      <c r="G8" s="46">
        <f t="shared" ca="1" si="2"/>
        <v>8.8000000000000007</v>
      </c>
      <c r="H8" s="46">
        <f t="shared" ca="1" si="3"/>
        <v>9.8000000000000007</v>
      </c>
      <c r="I8" s="47">
        <v>1</v>
      </c>
      <c r="J8" s="47">
        <v>1</v>
      </c>
      <c r="K8" s="48">
        <f t="shared" ca="1" si="0"/>
        <v>88.089045892063524</v>
      </c>
      <c r="L8" s="48">
        <f t="shared" ca="1" si="1"/>
        <v>82.640406400000018</v>
      </c>
      <c r="N8" s="138" t="s">
        <v>125</v>
      </c>
      <c r="O8" s="59"/>
      <c r="P8" s="59"/>
      <c r="Q8" s="59"/>
      <c r="R8" s="59"/>
      <c r="S8" s="59"/>
      <c r="T8" s="139"/>
      <c r="U8" s="139"/>
    </row>
    <row r="9" spans="1:21" ht="15.6" thickTop="1" thickBot="1" x14ac:dyDescent="0.35">
      <c r="A9" t="s">
        <v>107</v>
      </c>
      <c r="B9">
        <v>299.62900000000002</v>
      </c>
      <c r="C9" t="s">
        <v>98</v>
      </c>
      <c r="D9" t="s">
        <v>135</v>
      </c>
      <c r="E9" s="58">
        <v>1</v>
      </c>
      <c r="F9" s="45">
        <v>42370</v>
      </c>
      <c r="G9" s="46">
        <f t="shared" ca="1" si="2"/>
        <v>8.8000000000000007</v>
      </c>
      <c r="H9" s="46">
        <f t="shared" ca="1" si="3"/>
        <v>9.8000000000000007</v>
      </c>
      <c r="I9" s="47">
        <v>1</v>
      </c>
      <c r="J9" s="47">
        <v>1</v>
      </c>
      <c r="K9" s="48">
        <f t="shared" ca="1" si="0"/>
        <v>88.089045892063524</v>
      </c>
      <c r="L9" s="48">
        <f t="shared" ca="1" si="1"/>
        <v>82.640406400000018</v>
      </c>
      <c r="N9" s="138" t="s">
        <v>13</v>
      </c>
      <c r="O9" s="59">
        <f>Balance!G70/1000</f>
        <v>85.426000000000002</v>
      </c>
      <c r="P9" s="59">
        <f>Balance!H70/1000</f>
        <v>80.691000000000003</v>
      </c>
      <c r="Q9" s="59">
        <f>Balance!I70/1000</f>
        <v>107.828</v>
      </c>
      <c r="R9" s="59">
        <f>Balance!J70/1000</f>
        <v>112.714</v>
      </c>
      <c r="S9" s="59">
        <f>Balance!K70/1000</f>
        <v>156.583</v>
      </c>
      <c r="T9" s="139">
        <f>Balance!L70/1000</f>
        <v>156.583</v>
      </c>
      <c r="U9" s="139">
        <f>Balance!M70/1000</f>
        <v>156.583</v>
      </c>
    </row>
    <row r="10" spans="1:21" ht="15.6" thickTop="1" thickBot="1" x14ac:dyDescent="0.35">
      <c r="A10" t="s">
        <v>108</v>
      </c>
      <c r="B10">
        <v>299.62900000000002</v>
      </c>
      <c r="C10" t="s">
        <v>98</v>
      </c>
      <c r="D10" t="s">
        <v>100</v>
      </c>
      <c r="E10" s="58">
        <v>1</v>
      </c>
      <c r="F10" s="45">
        <v>42370</v>
      </c>
      <c r="G10" s="46">
        <f t="shared" ca="1" si="2"/>
        <v>8.8000000000000007</v>
      </c>
      <c r="H10" s="46">
        <f t="shared" ca="1" si="3"/>
        <v>9.8000000000000007</v>
      </c>
      <c r="I10" s="47">
        <v>1</v>
      </c>
      <c r="J10" s="47">
        <v>1</v>
      </c>
      <c r="K10" s="48">
        <f t="shared" ca="1" si="0"/>
        <v>88.089045892063524</v>
      </c>
      <c r="L10" s="48">
        <f t="shared" ca="1" si="1"/>
        <v>82.640406400000018</v>
      </c>
      <c r="N10" s="141" t="s">
        <v>90</v>
      </c>
      <c r="O10" s="59">
        <f>COUNT(I2:I25)*2</f>
        <v>48</v>
      </c>
      <c r="P10" s="59">
        <f>O10</f>
        <v>48</v>
      </c>
      <c r="Q10" s="59">
        <v>48</v>
      </c>
      <c r="R10" s="59">
        <v>48</v>
      </c>
      <c r="S10" s="59">
        <v>48</v>
      </c>
      <c r="T10" s="139">
        <f>COUNT(I2:I25)*2</f>
        <v>48</v>
      </c>
      <c r="U10" s="139">
        <f>COUNT(I2:I25)*2</f>
        <v>48</v>
      </c>
    </row>
    <row r="11" spans="1:21" ht="15.6" thickTop="1" thickBot="1" x14ac:dyDescent="0.35">
      <c r="A11" t="s">
        <v>109</v>
      </c>
      <c r="B11">
        <v>299.62900000000002</v>
      </c>
      <c r="C11" t="s">
        <v>98</v>
      </c>
      <c r="D11" t="s">
        <v>100</v>
      </c>
      <c r="E11" s="58">
        <v>1</v>
      </c>
      <c r="F11" s="45">
        <v>42370</v>
      </c>
      <c r="G11" s="46">
        <f t="shared" ca="1" si="2"/>
        <v>8.8000000000000007</v>
      </c>
      <c r="H11" s="46">
        <f t="shared" ca="1" si="3"/>
        <v>9.8000000000000007</v>
      </c>
      <c r="I11" s="47">
        <v>1</v>
      </c>
      <c r="J11" s="47">
        <v>1</v>
      </c>
      <c r="K11" s="48">
        <f t="shared" ca="1" si="0"/>
        <v>88.089045892063524</v>
      </c>
      <c r="L11" s="48">
        <f t="shared" ca="1" si="1"/>
        <v>82.640406400000018</v>
      </c>
      <c r="N11" s="142" t="s">
        <v>62</v>
      </c>
      <c r="O11" s="59">
        <f t="shared" ref="O11:T11" si="4">SUM(O4:O10)</f>
        <v>1685.6759999999999</v>
      </c>
      <c r="P11" s="59">
        <f t="shared" si="4"/>
        <v>1575.9310000000003</v>
      </c>
      <c r="Q11" s="59">
        <f t="shared" si="4"/>
        <v>1611.7410000000002</v>
      </c>
      <c r="R11" s="59">
        <f t="shared" si="4"/>
        <v>1620.24</v>
      </c>
      <c r="S11" s="59">
        <f t="shared" si="4"/>
        <v>1828.0810000000001</v>
      </c>
      <c r="T11" s="139">
        <f t="shared" ca="1" si="4"/>
        <v>1664.2721466707389</v>
      </c>
      <c r="U11" s="139">
        <f t="shared" ref="U11" ca="1" si="5">SUM(U4:U10)</f>
        <v>1698.1198666707389</v>
      </c>
    </row>
    <row r="12" spans="1:21" ht="15.6" thickTop="1" thickBot="1" x14ac:dyDescent="0.35">
      <c r="A12" t="s">
        <v>110</v>
      </c>
      <c r="B12">
        <v>299.62900000000002</v>
      </c>
      <c r="C12" t="s">
        <v>98</v>
      </c>
      <c r="D12" t="s">
        <v>134</v>
      </c>
      <c r="E12" s="58">
        <v>1</v>
      </c>
      <c r="F12" s="45">
        <v>42370</v>
      </c>
      <c r="G12" s="46">
        <f t="shared" ca="1" si="2"/>
        <v>8.8000000000000007</v>
      </c>
      <c r="H12" s="46">
        <f t="shared" ca="1" si="3"/>
        <v>9.8000000000000007</v>
      </c>
      <c r="I12" s="47">
        <v>1</v>
      </c>
      <c r="J12" s="47">
        <v>1</v>
      </c>
      <c r="K12" s="48">
        <f t="shared" ca="1" si="0"/>
        <v>88.089045892063524</v>
      </c>
      <c r="L12" s="48">
        <f t="shared" ca="1" si="1"/>
        <v>82.640406400000018</v>
      </c>
      <c r="N12" s="122"/>
      <c r="O12" s="121"/>
      <c r="P12" s="59"/>
      <c r="Q12" s="59"/>
      <c r="R12" s="59"/>
      <c r="S12" s="59"/>
      <c r="T12" s="139"/>
      <c r="U12" s="139"/>
    </row>
    <row r="13" spans="1:21" ht="15" thickBot="1" x14ac:dyDescent="0.35">
      <c r="A13" t="s">
        <v>111</v>
      </c>
      <c r="B13">
        <v>299.62900000000002</v>
      </c>
      <c r="C13" t="s">
        <v>98</v>
      </c>
      <c r="D13" t="s">
        <v>100</v>
      </c>
      <c r="E13" s="58">
        <v>1</v>
      </c>
      <c r="F13" s="45">
        <v>42005</v>
      </c>
      <c r="G13" s="46">
        <f t="shared" ca="1" si="2"/>
        <v>9.8000000000000007</v>
      </c>
      <c r="H13" s="46">
        <f t="shared" ca="1" si="3"/>
        <v>10.8</v>
      </c>
      <c r="I13" s="47">
        <v>1</v>
      </c>
      <c r="J13" s="47">
        <v>1</v>
      </c>
      <c r="K13" s="48">
        <f t="shared" ca="1" si="0"/>
        <v>82.640406400000018</v>
      </c>
      <c r="L13" s="48">
        <f t="shared" ca="1" si="1"/>
        <v>77.089584050793661</v>
      </c>
      <c r="N13" s="143" t="s">
        <v>14</v>
      </c>
      <c r="O13" s="120">
        <f>'P&amp;L'!G38/1000000</f>
        <v>163.17298700000001</v>
      </c>
      <c r="P13" s="144">
        <f>'P&amp;L'!H38/1000000</f>
        <v>161.90202500000001</v>
      </c>
      <c r="Q13" s="144">
        <f>'P&amp;L'!I38/1000000</f>
        <v>161.20648700000001</v>
      </c>
      <c r="R13" s="144">
        <f>'P&amp;L'!J38/1000000</f>
        <v>161.42505399999999</v>
      </c>
      <c r="S13" s="144">
        <f>'P&amp;L'!K38/1000000</f>
        <v>161.486503</v>
      </c>
      <c r="T13" s="145">
        <f>'P&amp;L'!L38/1000000</f>
        <v>161.486503</v>
      </c>
      <c r="U13" s="145">
        <f>'P&amp;L'!M38/1000000</f>
        <v>161.486503</v>
      </c>
    </row>
    <row r="14" spans="1:21" ht="15.6" thickTop="1" thickBot="1" x14ac:dyDescent="0.35">
      <c r="A14" t="s">
        <v>112</v>
      </c>
      <c r="B14">
        <v>320.10500000000002</v>
      </c>
      <c r="C14" t="s">
        <v>102</v>
      </c>
      <c r="D14" t="s">
        <v>100</v>
      </c>
      <c r="E14" s="58">
        <v>1</v>
      </c>
      <c r="F14" s="45">
        <v>40909</v>
      </c>
      <c r="G14" s="46">
        <f t="shared" ca="1" si="2"/>
        <v>12.802739726027397</v>
      </c>
      <c r="H14" s="46">
        <f t="shared" ca="1" si="3"/>
        <v>13.802739726027397</v>
      </c>
      <c r="I14" s="47">
        <v>1</v>
      </c>
      <c r="J14" s="47">
        <v>1</v>
      </c>
      <c r="K14" s="48">
        <f t="shared" ca="1" si="0"/>
        <v>65.9047693394958</v>
      </c>
      <c r="L14" s="48">
        <f t="shared" ca="1" si="1"/>
        <v>60.405557289371743</v>
      </c>
      <c r="N14" s="146"/>
      <c r="O14" s="119"/>
      <c r="P14" s="59"/>
      <c r="Q14" s="59"/>
      <c r="R14" s="59"/>
      <c r="S14" s="59"/>
      <c r="T14" s="139"/>
      <c r="U14" s="139"/>
    </row>
    <row r="15" spans="1:21" ht="15.6" thickTop="1" thickBot="1" x14ac:dyDescent="0.35">
      <c r="A15" t="s">
        <v>113</v>
      </c>
      <c r="B15">
        <v>318.12299999999999</v>
      </c>
      <c r="C15" t="s">
        <v>102</v>
      </c>
      <c r="D15" t="s">
        <v>100</v>
      </c>
      <c r="E15" s="58">
        <v>1</v>
      </c>
      <c r="F15" s="45">
        <v>40909</v>
      </c>
      <c r="G15" s="46">
        <f t="shared" ca="1" si="2"/>
        <v>12.802739726027397</v>
      </c>
      <c r="H15" s="46">
        <f t="shared" ca="1" si="3"/>
        <v>13.802739726027397</v>
      </c>
      <c r="I15" s="47">
        <v>1</v>
      </c>
      <c r="J15" s="47">
        <v>1</v>
      </c>
      <c r="K15" s="48">
        <f t="shared" ca="1" si="0"/>
        <v>65.9047693394958</v>
      </c>
      <c r="L15" s="48">
        <f t="shared" ca="1" si="1"/>
        <v>60.405557289371743</v>
      </c>
      <c r="N15" s="138" t="s">
        <v>63</v>
      </c>
      <c r="O15" s="59">
        <f t="shared" ref="O15:T15" si="6">O11/O13</f>
        <v>10.33060698950127</v>
      </c>
      <c r="P15" s="59">
        <f t="shared" si="6"/>
        <v>9.7338560156983842</v>
      </c>
      <c r="Q15" s="59">
        <f t="shared" si="6"/>
        <v>9.9979909617408893</v>
      </c>
      <c r="R15" s="59">
        <f t="shared" si="6"/>
        <v>10.037103658023247</v>
      </c>
      <c r="S15" s="59">
        <f t="shared" si="6"/>
        <v>11.320333068330795</v>
      </c>
      <c r="T15" s="139">
        <f t="shared" ca="1" si="6"/>
        <v>10.305951988264548</v>
      </c>
      <c r="U15" s="139">
        <f t="shared" ref="U15" ca="1" si="7">U11/U13</f>
        <v>10.515552910763935</v>
      </c>
    </row>
    <row r="16" spans="1:21" ht="15.6" thickTop="1" thickBot="1" x14ac:dyDescent="0.35">
      <c r="A16" t="s">
        <v>114</v>
      </c>
      <c r="B16">
        <v>314.24900000000002</v>
      </c>
      <c r="C16" t="s">
        <v>98</v>
      </c>
      <c r="D16" t="s">
        <v>100</v>
      </c>
      <c r="E16" s="58">
        <v>1</v>
      </c>
      <c r="F16" s="45">
        <v>40909</v>
      </c>
      <c r="G16" s="46">
        <f t="shared" ca="1" si="2"/>
        <v>12.802739726027397</v>
      </c>
      <c r="H16" s="46">
        <f t="shared" ca="1" si="3"/>
        <v>13.802739726027397</v>
      </c>
      <c r="I16" s="47">
        <v>1</v>
      </c>
      <c r="J16" s="47">
        <v>1</v>
      </c>
      <c r="K16" s="48">
        <f t="shared" ca="1" si="0"/>
        <v>65.9047693394958</v>
      </c>
      <c r="L16" s="48">
        <f t="shared" ca="1" si="1"/>
        <v>60.405557289371743</v>
      </c>
      <c r="N16" s="138" t="s">
        <v>275</v>
      </c>
      <c r="O16" s="118"/>
      <c r="P16" s="118"/>
      <c r="Q16" s="149">
        <v>0.15</v>
      </c>
      <c r="R16" s="149">
        <v>0.22</v>
      </c>
      <c r="S16" s="149">
        <v>0.28999999999999998</v>
      </c>
      <c r="T16" s="155">
        <v>0.27</v>
      </c>
      <c r="U16" s="150">
        <v>0.28000000000000003</v>
      </c>
    </row>
    <row r="17" spans="1:21" ht="15.6" thickTop="1" thickBot="1" x14ac:dyDescent="0.35">
      <c r="A17" t="s">
        <v>115</v>
      </c>
      <c r="B17">
        <v>320.01299999999998</v>
      </c>
      <c r="C17" t="s">
        <v>98</v>
      </c>
      <c r="D17" t="s">
        <v>100</v>
      </c>
      <c r="E17" s="58">
        <v>1</v>
      </c>
      <c r="F17" s="45">
        <v>40544</v>
      </c>
      <c r="G17" s="46">
        <f t="shared" ca="1" si="2"/>
        <v>13.802739726027397</v>
      </c>
      <c r="H17" s="46">
        <f t="shared" ca="1" si="3"/>
        <v>14.802739726027397</v>
      </c>
      <c r="I17" s="47">
        <v>1</v>
      </c>
      <c r="J17" s="47">
        <v>1</v>
      </c>
      <c r="K17" s="48">
        <f t="shared" ca="1" si="0"/>
        <v>60.405557289371743</v>
      </c>
      <c r="L17" s="48">
        <f t="shared" ca="1" si="1"/>
        <v>55.042903569319421</v>
      </c>
      <c r="N17" s="147" t="s">
        <v>64</v>
      </c>
      <c r="O17" s="148">
        <f t="shared" ref="O17:R17" si="8">SUM($O$1/O15)</f>
        <v>1.0880290007569664</v>
      </c>
      <c r="P17" s="148">
        <f t="shared" si="8"/>
        <v>1.1547325111315152</v>
      </c>
      <c r="Q17" s="148">
        <f t="shared" si="8"/>
        <v>1.1242258612767186</v>
      </c>
      <c r="R17" s="148">
        <f t="shared" si="8"/>
        <v>1.1198449655359699</v>
      </c>
      <c r="S17" s="148">
        <f>SUM($O$1/(S15))</f>
        <v>0.99290364798933961</v>
      </c>
      <c r="T17" s="148">
        <f ca="1">SUM($O$1/(T15))</f>
        <v>1.0906319001678892</v>
      </c>
      <c r="U17" s="148">
        <f ca="1">SUM($O$1/(U15+U16))</f>
        <v>1.0411694605093289</v>
      </c>
    </row>
    <row r="18" spans="1:21" x14ac:dyDescent="0.3">
      <c r="A18" t="s">
        <v>116</v>
      </c>
      <c r="B18">
        <v>320.142</v>
      </c>
      <c r="C18" t="s">
        <v>98</v>
      </c>
      <c r="D18" t="s">
        <v>100</v>
      </c>
      <c r="E18" s="58">
        <v>1</v>
      </c>
      <c r="F18" s="45">
        <v>40544</v>
      </c>
      <c r="G18" s="46">
        <f t="shared" ca="1" si="2"/>
        <v>13.802739726027397</v>
      </c>
      <c r="H18" s="46">
        <f t="shared" ca="1" si="3"/>
        <v>14.802739726027397</v>
      </c>
      <c r="I18" s="47">
        <v>1</v>
      </c>
      <c r="J18" s="47">
        <v>1</v>
      </c>
      <c r="K18" s="48">
        <f t="shared" ca="1" si="0"/>
        <v>60.405557289371743</v>
      </c>
      <c r="L18" s="48">
        <f t="shared" ca="1" si="1"/>
        <v>55.042903569319421</v>
      </c>
      <c r="N18" s="123"/>
      <c r="O18" s="65"/>
      <c r="P18" s="65"/>
      <c r="Q18" s="124"/>
      <c r="R18" s="124"/>
      <c r="S18" s="124"/>
    </row>
    <row r="19" spans="1:21" x14ac:dyDescent="0.3">
      <c r="A19" t="s">
        <v>117</v>
      </c>
      <c r="B19">
        <v>318.13</v>
      </c>
      <c r="C19" t="s">
        <v>102</v>
      </c>
      <c r="D19" t="s">
        <v>100</v>
      </c>
      <c r="E19" s="58">
        <v>1</v>
      </c>
      <c r="F19" s="45">
        <v>40544</v>
      </c>
      <c r="G19" s="46">
        <f t="shared" ca="1" si="2"/>
        <v>13.802739726027397</v>
      </c>
      <c r="H19" s="46">
        <f t="shared" ca="1" si="3"/>
        <v>14.802739726027397</v>
      </c>
      <c r="I19" s="47">
        <v>1</v>
      </c>
      <c r="J19" s="47">
        <v>1</v>
      </c>
      <c r="K19" s="48">
        <f t="shared" ca="1" si="0"/>
        <v>60.405557289371743</v>
      </c>
      <c r="L19" s="48">
        <f t="shared" ca="1" si="1"/>
        <v>55.042903569319421</v>
      </c>
    </row>
    <row r="20" spans="1:21" x14ac:dyDescent="0.3">
      <c r="A20" t="s">
        <v>118</v>
      </c>
      <c r="B20">
        <v>314.24900000000002</v>
      </c>
      <c r="C20" t="s">
        <v>98</v>
      </c>
      <c r="D20" t="s">
        <v>100</v>
      </c>
      <c r="E20" s="58">
        <v>1</v>
      </c>
      <c r="F20" s="45">
        <v>40544</v>
      </c>
      <c r="G20" s="46">
        <f t="shared" ca="1" si="2"/>
        <v>13.802739726027397</v>
      </c>
      <c r="H20" s="46">
        <f t="shared" ca="1" si="3"/>
        <v>14.802739726027397</v>
      </c>
      <c r="I20" s="47">
        <v>1</v>
      </c>
      <c r="J20" s="47">
        <v>1</v>
      </c>
      <c r="K20" s="48">
        <f t="shared" ca="1" si="0"/>
        <v>60.405557289371743</v>
      </c>
      <c r="L20" s="48">
        <f t="shared" ca="1" si="1"/>
        <v>55.042903569319421</v>
      </c>
      <c r="N20" t="s">
        <v>65</v>
      </c>
      <c r="O20" s="60" t="s">
        <v>126</v>
      </c>
    </row>
    <row r="21" spans="1:21" x14ac:dyDescent="0.3">
      <c r="A21" t="s">
        <v>119</v>
      </c>
      <c r="B21">
        <v>317.79399999999998</v>
      </c>
      <c r="C21" t="s">
        <v>102</v>
      </c>
      <c r="D21" t="s">
        <v>100</v>
      </c>
      <c r="E21" s="58">
        <v>1</v>
      </c>
      <c r="F21" s="45">
        <v>39083</v>
      </c>
      <c r="G21" s="46">
        <f t="shared" ca="1" si="2"/>
        <v>17.805479452054794</v>
      </c>
      <c r="H21" s="46">
        <f t="shared" ca="1" si="3"/>
        <v>18.805479452054794</v>
      </c>
      <c r="I21" s="47">
        <v>1</v>
      </c>
      <c r="J21" s="47"/>
      <c r="K21" s="48">
        <f t="shared" ca="1" si="0"/>
        <v>40.358635544201078</v>
      </c>
      <c r="L21" s="48">
        <f t="shared" ca="1" si="1"/>
        <v>36.139769287605674</v>
      </c>
    </row>
    <row r="22" spans="1:21" ht="15" thickBot="1" x14ac:dyDescent="0.35">
      <c r="A22" t="s">
        <v>120</v>
      </c>
      <c r="B22">
        <v>317.71300000000002</v>
      </c>
      <c r="C22" t="s">
        <v>102</v>
      </c>
      <c r="D22" t="s">
        <v>100</v>
      </c>
      <c r="E22" s="58">
        <v>1</v>
      </c>
      <c r="F22" s="45">
        <v>39083</v>
      </c>
      <c r="G22" s="46">
        <f t="shared" ca="1" si="2"/>
        <v>17.805479452054794</v>
      </c>
      <c r="H22" s="46">
        <f t="shared" ca="1" si="3"/>
        <v>18.805479452054794</v>
      </c>
      <c r="I22" s="47">
        <v>1</v>
      </c>
      <c r="J22" s="47"/>
      <c r="K22" s="48">
        <f t="shared" ca="1" si="0"/>
        <v>40.358635544201078</v>
      </c>
      <c r="L22" s="48">
        <f t="shared" ca="1" si="1"/>
        <v>36.139769287605674</v>
      </c>
      <c r="N22" t="s">
        <v>210</v>
      </c>
    </row>
    <row r="23" spans="1:21" ht="15" thickBot="1" x14ac:dyDescent="0.35">
      <c r="A23" t="s">
        <v>121</v>
      </c>
      <c r="B23">
        <v>301.01900000000001</v>
      </c>
      <c r="C23" t="s">
        <v>102</v>
      </c>
      <c r="D23" t="s">
        <v>100</v>
      </c>
      <c r="E23" s="58">
        <v>1</v>
      </c>
      <c r="F23" s="45">
        <v>39083</v>
      </c>
      <c r="G23" s="46">
        <f t="shared" ca="1" si="2"/>
        <v>17.805479452054794</v>
      </c>
      <c r="H23" s="46">
        <f t="shared" ca="1" si="3"/>
        <v>18.805479452054794</v>
      </c>
      <c r="I23" s="47">
        <v>1</v>
      </c>
      <c r="J23" s="47"/>
      <c r="K23" s="48">
        <f t="shared" ca="1" si="0"/>
        <v>40.358635544201078</v>
      </c>
      <c r="L23" s="48">
        <f t="shared" ca="1" si="1"/>
        <v>36.139769287605674</v>
      </c>
      <c r="N23" s="82" t="s">
        <v>57</v>
      </c>
      <c r="O23" s="80">
        <f>'[1]Cleaves Vessels Value'!$C$11</f>
        <v>9.9407407407407604E-3</v>
      </c>
      <c r="P23" s="80">
        <f>'[1]Cleaves Vessels Value'!$D$11</f>
        <v>-0.34334920634920713</v>
      </c>
      <c r="Q23" s="80">
        <f>'[1]Cleaves Vessels Value'!$E$11</f>
        <v>-1.6441534391534318</v>
      </c>
      <c r="R23" s="81">
        <f>'[1]Cleaves Vessels Value'!$F$11</f>
        <v>122.37222222222223</v>
      </c>
    </row>
    <row r="24" spans="1:21" x14ac:dyDescent="0.3">
      <c r="A24" t="s">
        <v>122</v>
      </c>
      <c r="B24">
        <v>317.82600000000002</v>
      </c>
      <c r="C24" t="s">
        <v>98</v>
      </c>
      <c r="D24" t="s">
        <v>100</v>
      </c>
      <c r="E24" s="58">
        <v>1</v>
      </c>
      <c r="F24" s="45">
        <v>38718</v>
      </c>
      <c r="G24" s="46">
        <f t="shared" ca="1" si="2"/>
        <v>18.805479452054794</v>
      </c>
      <c r="H24" s="46">
        <f t="shared" ca="1" si="3"/>
        <v>19.805479452054794</v>
      </c>
      <c r="I24" s="47">
        <v>1</v>
      </c>
      <c r="J24" s="47"/>
      <c r="K24" s="48">
        <f t="shared" ca="1" si="0"/>
        <v>36.139769287605674</v>
      </c>
      <c r="L24" s="48">
        <f t="shared" ca="1" si="1"/>
        <v>32.355846992741093</v>
      </c>
      <c r="N24" s="44"/>
      <c r="O24" s="44"/>
    </row>
    <row r="25" spans="1:21" x14ac:dyDescent="0.3">
      <c r="A25" t="s">
        <v>131</v>
      </c>
      <c r="B25">
        <v>318.91800000000001</v>
      </c>
      <c r="C25" t="s">
        <v>98</v>
      </c>
      <c r="D25" t="s">
        <v>100</v>
      </c>
      <c r="E25" s="58">
        <v>1</v>
      </c>
      <c r="F25" s="45">
        <v>43101</v>
      </c>
      <c r="G25" s="46">
        <f t="shared" ref="G25" ca="1" si="9">(TODAY()-F25)/365</f>
        <v>6.7972602739726025</v>
      </c>
      <c r="H25" s="46">
        <f t="shared" ca="1" si="3"/>
        <v>7.7972602739726025</v>
      </c>
      <c r="I25" s="47">
        <v>1</v>
      </c>
      <c r="J25" s="47">
        <v>1</v>
      </c>
      <c r="K25" s="48">
        <f t="shared" ca="1" si="0"/>
        <v>98.454717261024314</v>
      </c>
      <c r="L25" s="48">
        <f t="shared" ca="1" si="1"/>
        <v>93.39006551705377</v>
      </c>
    </row>
    <row r="26" spans="1:21" x14ac:dyDescent="0.3">
      <c r="A26" s="127" t="s">
        <v>270</v>
      </c>
      <c r="B26" s="47" t="s">
        <v>57</v>
      </c>
      <c r="E26" s="58">
        <v>1</v>
      </c>
      <c r="F26" s="128">
        <v>46054</v>
      </c>
      <c r="G26" s="46"/>
      <c r="H26" s="46"/>
      <c r="K26" s="48"/>
      <c r="L26" s="48"/>
      <c r="N26" t="s">
        <v>127</v>
      </c>
      <c r="O26" s="47" t="s">
        <v>128</v>
      </c>
    </row>
    <row r="27" spans="1:21" x14ac:dyDescent="0.3">
      <c r="A27" s="127" t="s">
        <v>270</v>
      </c>
      <c r="B27" s="47" t="s">
        <v>57</v>
      </c>
      <c r="E27" s="58">
        <v>1</v>
      </c>
      <c r="F27" s="128">
        <v>46113</v>
      </c>
      <c r="N27" t="s">
        <v>129</v>
      </c>
      <c r="O27" s="47" t="s">
        <v>128</v>
      </c>
    </row>
    <row r="28" spans="1:21" x14ac:dyDescent="0.3">
      <c r="B28" s="47" t="s">
        <v>57</v>
      </c>
      <c r="E28" s="58">
        <v>1</v>
      </c>
      <c r="F28" s="128">
        <v>46143</v>
      </c>
    </row>
    <row r="29" spans="1:21" x14ac:dyDescent="0.3">
      <c r="B29" s="47" t="s">
        <v>57</v>
      </c>
      <c r="E29" s="58">
        <v>1</v>
      </c>
      <c r="F29" s="128">
        <v>46204</v>
      </c>
    </row>
    <row r="32" spans="1:21" x14ac:dyDescent="0.3">
      <c r="N32" s="61"/>
      <c r="O32" s="61"/>
      <c r="P32" s="61"/>
      <c r="Q32" s="61"/>
    </row>
    <row r="37" spans="15:18" x14ac:dyDescent="0.3">
      <c r="O37" s="61"/>
      <c r="P37" s="62"/>
      <c r="Q37" s="61"/>
      <c r="R37" s="61"/>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B2:U51"/>
  <sheetViews>
    <sheetView showGridLines="0" tabSelected="1" zoomScaleNormal="100" workbookViewId="0">
      <selection activeCell="M19" sqref="M19"/>
    </sheetView>
  </sheetViews>
  <sheetFormatPr baseColWidth="10" defaultColWidth="8.77734375" defaultRowHeight="11.4" x14ac:dyDescent="0.2"/>
  <cols>
    <col min="1" max="1" width="2.21875" style="83" customWidth="1"/>
    <col min="2" max="2" width="6.77734375" style="83" customWidth="1"/>
    <col min="3" max="3" width="14.21875" style="83" customWidth="1"/>
    <col min="4" max="7" width="8.77734375" style="83"/>
    <col min="8" max="8" width="8.21875" style="83" bestFit="1" customWidth="1"/>
    <col min="9" max="10" width="8.77734375" style="83"/>
    <col min="11" max="11" width="8.77734375" style="83" customWidth="1"/>
    <col min="12" max="12" width="9.33203125" style="83" customWidth="1"/>
    <col min="13" max="16384" width="8.77734375" style="83"/>
  </cols>
  <sheetData>
    <row r="2" spans="3:17" ht="14.55" customHeight="1" x14ac:dyDescent="0.25">
      <c r="C2" s="159" t="s">
        <v>213</v>
      </c>
      <c r="D2" s="159"/>
      <c r="E2" s="159"/>
      <c r="F2" s="159"/>
      <c r="G2" s="159"/>
      <c r="H2" s="159"/>
      <c r="I2" s="159"/>
      <c r="K2" s="84"/>
      <c r="L2" s="85"/>
      <c r="M2" s="85"/>
    </row>
    <row r="3" spans="3:17" ht="14.55" customHeight="1" x14ac:dyDescent="0.25">
      <c r="C3" s="86" t="s">
        <v>214</v>
      </c>
      <c r="D3" s="86"/>
      <c r="E3" s="86"/>
      <c r="F3" s="86"/>
      <c r="G3" s="86"/>
      <c r="H3" s="86">
        <v>325</v>
      </c>
      <c r="I3" s="87"/>
      <c r="K3" s="84"/>
      <c r="L3" s="85"/>
      <c r="M3" s="85"/>
    </row>
    <row r="4" spans="3:17" x14ac:dyDescent="0.2">
      <c r="C4" s="86" t="s">
        <v>215</v>
      </c>
      <c r="D4" s="86"/>
      <c r="E4" s="86"/>
      <c r="F4" s="86"/>
      <c r="G4" s="86"/>
      <c r="H4" s="86">
        <v>45</v>
      </c>
      <c r="I4" s="87" t="s">
        <v>216</v>
      </c>
    </row>
    <row r="5" spans="3:17" x14ac:dyDescent="0.2">
      <c r="C5" s="86" t="s">
        <v>217</v>
      </c>
      <c r="D5" s="86"/>
      <c r="E5" s="86"/>
      <c r="F5" s="86"/>
      <c r="G5" s="86"/>
      <c r="H5" s="86">
        <v>61.5</v>
      </c>
      <c r="I5" s="87" t="s">
        <v>216</v>
      </c>
    </row>
    <row r="6" spans="3:17" x14ac:dyDescent="0.2">
      <c r="C6" s="86" t="s">
        <v>218</v>
      </c>
      <c r="D6" s="86"/>
      <c r="E6" s="86"/>
      <c r="F6" s="86"/>
      <c r="G6" s="86"/>
      <c r="H6" s="86">
        <v>2</v>
      </c>
      <c r="I6" s="87"/>
    </row>
    <row r="7" spans="3:17" ht="15" customHeight="1" x14ac:dyDescent="0.25">
      <c r="C7" s="159" t="s">
        <v>219</v>
      </c>
      <c r="D7" s="159"/>
      <c r="E7" s="159"/>
      <c r="F7" s="159"/>
      <c r="G7" s="159"/>
      <c r="H7" s="159"/>
      <c r="I7" s="159"/>
    </row>
    <row r="8" spans="3:17" ht="14.4" x14ac:dyDescent="0.3">
      <c r="C8" s="86" t="s">
        <v>220</v>
      </c>
      <c r="D8" s="86"/>
      <c r="E8" s="86"/>
      <c r="F8" s="86"/>
      <c r="G8" s="86"/>
      <c r="H8" s="88">
        <f>[1]Shipping!$C$22</f>
        <v>521.40909090909088</v>
      </c>
      <c r="I8" s="87" t="s">
        <v>221</v>
      </c>
      <c r="J8" s="89"/>
    </row>
    <row r="9" spans="3:17" ht="14.4" x14ac:dyDescent="0.3">
      <c r="C9" s="86" t="s">
        <v>222</v>
      </c>
      <c r="D9" s="86"/>
      <c r="E9" s="86"/>
      <c r="F9" s="86"/>
      <c r="G9" s="86"/>
      <c r="H9" s="88">
        <f>[1]Shipping!$C$24</f>
        <v>664.4545454545455</v>
      </c>
      <c r="I9" s="87" t="s">
        <v>221</v>
      </c>
      <c r="J9" s="89"/>
    </row>
    <row r="10" spans="3:17" ht="14.4" x14ac:dyDescent="0.3">
      <c r="C10" s="159" t="s">
        <v>223</v>
      </c>
      <c r="D10" s="159"/>
      <c r="E10" s="159"/>
      <c r="F10" s="159"/>
      <c r="G10" s="159"/>
      <c r="H10" s="159"/>
      <c r="I10" s="159"/>
      <c r="J10" s="89"/>
    </row>
    <row r="11" spans="3:17" ht="14.4" x14ac:dyDescent="0.3">
      <c r="C11" s="86" t="s">
        <v>224</v>
      </c>
      <c r="D11" s="86"/>
      <c r="E11" s="86"/>
      <c r="F11" s="86"/>
      <c r="G11" s="86"/>
      <c r="H11" s="90">
        <f>+(H3*(H5-H4)*H9/365)</f>
        <v>9762.0205479452052</v>
      </c>
      <c r="I11" s="91" t="s">
        <v>225</v>
      </c>
      <c r="J11" s="89"/>
    </row>
    <row r="12" spans="3:17" ht="14.4" x14ac:dyDescent="0.3">
      <c r="C12" s="159" t="s">
        <v>226</v>
      </c>
      <c r="D12" s="159"/>
      <c r="E12" s="159"/>
      <c r="F12" s="159"/>
      <c r="G12" s="159"/>
      <c r="H12" s="159"/>
      <c r="I12" s="159"/>
      <c r="J12" s="89"/>
    </row>
    <row r="13" spans="3:17" ht="14.4" x14ac:dyDescent="0.3">
      <c r="C13" s="92" t="s">
        <v>57</v>
      </c>
      <c r="D13" s="86"/>
      <c r="E13" s="86"/>
      <c r="F13" s="86"/>
      <c r="G13" s="86"/>
      <c r="H13" s="90">
        <f>+(H3*(H4-H6)*(H9-H8))/365</f>
        <v>5476.8773349937755</v>
      </c>
      <c r="I13" s="91" t="s">
        <v>225</v>
      </c>
      <c r="J13" s="89"/>
    </row>
    <row r="14" spans="3:17" ht="12" x14ac:dyDescent="0.25">
      <c r="C14" s="159" t="s">
        <v>229</v>
      </c>
      <c r="D14" s="159"/>
      <c r="E14" s="159"/>
      <c r="F14" s="159"/>
      <c r="G14" s="159"/>
      <c r="H14" s="159"/>
      <c r="I14" s="159"/>
    </row>
    <row r="15" spans="3:17" x14ac:dyDescent="0.2">
      <c r="C15" s="92" t="s">
        <v>57</v>
      </c>
      <c r="D15" s="92"/>
      <c r="E15" s="92"/>
      <c r="F15" s="92"/>
      <c r="G15" s="92"/>
      <c r="H15" s="93">
        <f>+H13+H11</f>
        <v>15238.897882938982</v>
      </c>
      <c r="I15" s="91" t="s">
        <v>225</v>
      </c>
    </row>
    <row r="16" spans="3:17" x14ac:dyDescent="0.2">
      <c r="C16" s="92"/>
      <c r="D16" s="92"/>
      <c r="E16" s="92"/>
      <c r="F16" s="92"/>
      <c r="G16" s="92"/>
      <c r="H16" s="93"/>
      <c r="I16" s="91"/>
      <c r="L16" s="94"/>
      <c r="M16" s="94"/>
      <c r="N16" s="94"/>
      <c r="O16" s="94"/>
      <c r="P16" s="94"/>
      <c r="Q16" s="94"/>
    </row>
    <row r="17" spans="3:21" x14ac:dyDescent="0.2">
      <c r="C17" s="92"/>
      <c r="D17" s="92"/>
      <c r="E17" s="92"/>
      <c r="F17" s="92"/>
      <c r="G17" s="92"/>
      <c r="H17" s="93"/>
      <c r="I17" s="91"/>
      <c r="L17" s="94"/>
      <c r="M17" s="94"/>
      <c r="N17" s="94"/>
      <c r="O17" s="94"/>
      <c r="P17" s="94"/>
      <c r="Q17" s="94"/>
    </row>
    <row r="18" spans="3:21" ht="12" x14ac:dyDescent="0.25">
      <c r="C18" s="95" t="s">
        <v>130</v>
      </c>
      <c r="D18" s="95"/>
      <c r="E18" s="95"/>
      <c r="F18" s="95" t="s">
        <v>23</v>
      </c>
      <c r="G18" s="95" t="s">
        <v>24</v>
      </c>
      <c r="H18" s="95" t="s">
        <v>20</v>
      </c>
      <c r="I18" s="95" t="s">
        <v>25</v>
      </c>
      <c r="J18" s="95" t="s">
        <v>82</v>
      </c>
      <c r="K18" s="95" t="s">
        <v>83</v>
      </c>
      <c r="L18" s="95" t="s">
        <v>84</v>
      </c>
      <c r="M18" s="95" t="s">
        <v>59</v>
      </c>
      <c r="N18" s="94"/>
      <c r="O18" s="94"/>
      <c r="P18" s="94"/>
      <c r="Q18" s="94"/>
    </row>
    <row r="19" spans="3:21" ht="12" x14ac:dyDescent="0.25">
      <c r="C19" s="96" t="s">
        <v>57</v>
      </c>
      <c r="D19" s="97"/>
      <c r="E19" s="97"/>
      <c r="F19" s="97">
        <v>49100</v>
      </c>
      <c r="G19" s="97">
        <v>56300</v>
      </c>
      <c r="H19" s="97">
        <v>42500</v>
      </c>
      <c r="I19" s="97">
        <f>42800</f>
        <v>42800</v>
      </c>
      <c r="J19" s="97">
        <v>50900</v>
      </c>
      <c r="K19" s="125">
        <v>49100</v>
      </c>
      <c r="L19" s="98">
        <v>42400</v>
      </c>
      <c r="M19" s="98">
        <f>39200*1.15</f>
        <v>45080</v>
      </c>
      <c r="N19" s="94"/>
      <c r="O19" s="94"/>
      <c r="P19" s="94"/>
      <c r="Q19" s="94"/>
    </row>
    <row r="20" spans="3:21" ht="12" x14ac:dyDescent="0.25">
      <c r="C20" s="96"/>
      <c r="D20" s="97"/>
      <c r="E20" s="97"/>
      <c r="F20" s="97"/>
      <c r="G20" s="97"/>
      <c r="H20" s="97"/>
      <c r="I20" s="97"/>
      <c r="J20" s="97"/>
      <c r="K20" s="97"/>
      <c r="L20" s="98"/>
      <c r="M20" s="98"/>
      <c r="N20" s="94"/>
      <c r="O20" s="94"/>
      <c r="P20" s="94"/>
      <c r="Q20" s="94"/>
    </row>
    <row r="21" spans="3:21" ht="12" x14ac:dyDescent="0.25">
      <c r="C21" s="96"/>
      <c r="D21" s="97"/>
      <c r="E21" s="97"/>
      <c r="F21" s="97"/>
      <c r="G21" s="97"/>
      <c r="H21" s="97"/>
      <c r="I21" s="97"/>
      <c r="J21" s="97"/>
      <c r="K21" s="97"/>
      <c r="L21" s="98"/>
      <c r="M21" s="98"/>
      <c r="N21" s="94"/>
      <c r="O21" s="94"/>
      <c r="P21" s="94"/>
      <c r="Q21" s="94"/>
    </row>
    <row r="22" spans="3:21" x14ac:dyDescent="0.2">
      <c r="C22" s="85"/>
      <c r="D22" s="92"/>
      <c r="E22" s="92"/>
      <c r="F22" s="92"/>
      <c r="G22" s="92"/>
      <c r="H22" s="93"/>
      <c r="I22" s="91"/>
      <c r="L22" s="94"/>
      <c r="M22" s="94"/>
      <c r="N22" s="94"/>
      <c r="O22" s="94"/>
      <c r="P22" s="94"/>
      <c r="Q22" s="94"/>
    </row>
    <row r="23" spans="3:21" ht="12" x14ac:dyDescent="0.25">
      <c r="C23" s="92"/>
      <c r="D23" s="92"/>
      <c r="E23" s="92"/>
      <c r="F23" s="99">
        <v>2024</v>
      </c>
      <c r="G23" s="92"/>
      <c r="H23" s="93"/>
      <c r="I23" s="91"/>
      <c r="L23" s="94"/>
      <c r="M23" s="94"/>
      <c r="N23" s="94"/>
      <c r="O23" s="94"/>
      <c r="P23" s="94"/>
      <c r="Q23" s="94"/>
      <c r="R23" s="100">
        <v>2025</v>
      </c>
    </row>
    <row r="24" spans="3:21" ht="12" x14ac:dyDescent="0.25">
      <c r="C24" s="101" t="s">
        <v>230</v>
      </c>
      <c r="D24" s="101" t="s">
        <v>231</v>
      </c>
      <c r="E24" s="101" t="s">
        <v>232</v>
      </c>
      <c r="F24" s="101" t="s">
        <v>233</v>
      </c>
      <c r="G24" s="101" t="s">
        <v>234</v>
      </c>
      <c r="H24" s="101" t="s">
        <v>235</v>
      </c>
      <c r="I24" s="101" t="s">
        <v>236</v>
      </c>
      <c r="J24" s="101" t="s">
        <v>237</v>
      </c>
      <c r="K24" s="101" t="s">
        <v>238</v>
      </c>
      <c r="L24" s="101" t="s">
        <v>239</v>
      </c>
      <c r="M24" s="101" t="s">
        <v>240</v>
      </c>
      <c r="N24" s="101" t="s">
        <v>241</v>
      </c>
      <c r="O24" s="101" t="s">
        <v>242</v>
      </c>
      <c r="P24" s="101" t="s">
        <v>231</v>
      </c>
      <c r="Q24" s="101" t="s">
        <v>232</v>
      </c>
      <c r="R24" s="101" t="s">
        <v>233</v>
      </c>
      <c r="S24" s="101" t="s">
        <v>234</v>
      </c>
      <c r="T24" s="101" t="s">
        <v>235</v>
      </c>
    </row>
    <row r="25" spans="3:21" x14ac:dyDescent="0.2">
      <c r="C25" s="102"/>
      <c r="D25" s="102"/>
      <c r="E25" s="102"/>
      <c r="F25" s="102"/>
      <c r="G25" s="102"/>
      <c r="H25" s="102"/>
      <c r="I25" s="102"/>
      <c r="J25" s="102"/>
      <c r="K25" s="102"/>
    </row>
    <row r="26" spans="3:21" x14ac:dyDescent="0.2">
      <c r="C26" s="102"/>
      <c r="D26" s="102"/>
      <c r="E26" s="102"/>
      <c r="F26" s="102"/>
      <c r="G26" s="102"/>
      <c r="H26" s="102"/>
      <c r="I26" s="102"/>
      <c r="J26" s="102"/>
      <c r="K26" s="102"/>
    </row>
    <row r="27" spans="3:21" ht="12" x14ac:dyDescent="0.25">
      <c r="C27" s="103"/>
      <c r="D27" s="103"/>
      <c r="E27" s="103"/>
      <c r="F27" s="103"/>
      <c r="G27" s="103"/>
      <c r="H27" s="103"/>
      <c r="I27" s="103"/>
      <c r="J27" s="103"/>
      <c r="K27" s="103"/>
      <c r="L27" s="103"/>
      <c r="M27" s="103"/>
    </row>
    <row r="28" spans="3:21" ht="12" x14ac:dyDescent="0.25">
      <c r="C28" s="104" t="s">
        <v>243</v>
      </c>
      <c r="D28" s="104" t="s">
        <v>21</v>
      </c>
      <c r="E28" s="104" t="s">
        <v>22</v>
      </c>
      <c r="F28" s="104" t="s">
        <v>23</v>
      </c>
      <c r="G28" s="104" t="s">
        <v>24</v>
      </c>
      <c r="H28" s="104" t="s">
        <v>20</v>
      </c>
      <c r="I28" s="104" t="s">
        <v>25</v>
      </c>
      <c r="J28" s="104" t="s">
        <v>82</v>
      </c>
      <c r="K28" s="104" t="s">
        <v>83</v>
      </c>
      <c r="L28" s="104" t="s">
        <v>84</v>
      </c>
      <c r="M28" s="104" t="s">
        <v>59</v>
      </c>
    </row>
    <row r="29" spans="3:21" ht="14.4" x14ac:dyDescent="0.3">
      <c r="C29" s="96" t="s">
        <v>57</v>
      </c>
      <c r="D29" s="97"/>
      <c r="E29" s="97"/>
      <c r="F29" s="97"/>
      <c r="G29" s="97"/>
      <c r="H29" s="97"/>
      <c r="I29" s="97"/>
      <c r="J29" s="97"/>
      <c r="K29" s="97"/>
      <c r="L29" s="98"/>
      <c r="M29" s="98"/>
      <c r="N29" s="98"/>
      <c r="O29" s="98"/>
      <c r="P29" s="105"/>
      <c r="Q29" s="105"/>
      <c r="R29" s="105"/>
      <c r="S29" s="98"/>
      <c r="T29" s="98"/>
      <c r="U29" s="98"/>
    </row>
    <row r="30" spans="3:21" ht="12" x14ac:dyDescent="0.25">
      <c r="C30" s="96" t="s">
        <v>227</v>
      </c>
      <c r="D30" s="97"/>
      <c r="E30" s="97"/>
      <c r="F30" s="97"/>
      <c r="G30" s="97"/>
      <c r="H30" s="97"/>
      <c r="I30" s="97"/>
      <c r="J30" s="97"/>
      <c r="K30" s="97"/>
      <c r="L30" s="98"/>
      <c r="M30" s="106"/>
      <c r="N30" s="106"/>
      <c r="O30" s="98"/>
      <c r="P30" s="98"/>
      <c r="Q30" s="98"/>
      <c r="R30" s="98"/>
      <c r="S30" s="98"/>
      <c r="T30" s="98"/>
      <c r="U30" s="98"/>
    </row>
    <row r="31" spans="3:21" ht="12" x14ac:dyDescent="0.25">
      <c r="C31" s="96" t="s">
        <v>228</v>
      </c>
      <c r="D31" s="97"/>
      <c r="E31" s="97"/>
      <c r="F31" s="97"/>
      <c r="G31" s="97"/>
      <c r="H31" s="97"/>
      <c r="I31" s="97"/>
      <c r="J31" s="97"/>
      <c r="K31" s="97"/>
      <c r="L31" s="98"/>
      <c r="M31" s="106"/>
      <c r="N31" s="106"/>
      <c r="O31" s="98"/>
      <c r="P31" s="98"/>
      <c r="Q31" s="98"/>
      <c r="R31" s="98"/>
      <c r="S31" s="98"/>
      <c r="T31" s="98"/>
      <c r="U31" s="98"/>
    </row>
    <row r="32" spans="3:21" ht="12" x14ac:dyDescent="0.25">
      <c r="C32" s="96"/>
      <c r="D32" s="107"/>
      <c r="E32" s="107"/>
      <c r="F32" s="107"/>
      <c r="G32" s="107"/>
      <c r="H32" s="107"/>
      <c r="I32" s="107"/>
      <c r="J32" s="107"/>
    </row>
    <row r="33" spans="2:21" ht="12" x14ac:dyDescent="0.25">
      <c r="B33" s="108" t="s">
        <v>244</v>
      </c>
      <c r="C33" s="104" t="s">
        <v>245</v>
      </c>
      <c r="D33" s="104" t="s">
        <v>21</v>
      </c>
      <c r="E33" s="104" t="s">
        <v>22</v>
      </c>
      <c r="F33" s="104" t="s">
        <v>23</v>
      </c>
      <c r="G33" s="104" t="s">
        <v>24</v>
      </c>
      <c r="H33" s="104" t="s">
        <v>20</v>
      </c>
      <c r="I33" s="104" t="s">
        <v>25</v>
      </c>
      <c r="J33" s="104" t="s">
        <v>82</v>
      </c>
      <c r="K33" s="104" t="s">
        <v>83</v>
      </c>
      <c r="L33" s="104" t="s">
        <v>84</v>
      </c>
      <c r="M33" s="104" t="s">
        <v>59</v>
      </c>
    </row>
    <row r="34" spans="2:21" ht="12" x14ac:dyDescent="0.25">
      <c r="C34" s="96" t="s">
        <v>57</v>
      </c>
      <c r="D34" s="97"/>
      <c r="E34" s="97"/>
      <c r="F34" s="97"/>
      <c r="G34" s="97"/>
      <c r="H34" s="97">
        <f t="shared" ref="H34:K36" si="0">H29-3000</f>
        <v>-3000</v>
      </c>
      <c r="I34" s="97">
        <f t="shared" si="0"/>
        <v>-3000</v>
      </c>
      <c r="J34" s="97">
        <f t="shared" si="0"/>
        <v>-3000</v>
      </c>
      <c r="K34" s="97">
        <f t="shared" si="0"/>
        <v>-3000</v>
      </c>
      <c r="L34" s="98"/>
      <c r="M34" s="98"/>
      <c r="N34" s="98"/>
      <c r="O34" s="98"/>
      <c r="P34" s="98"/>
      <c r="Q34" s="98"/>
      <c r="R34" s="98"/>
      <c r="S34" s="98"/>
      <c r="T34" s="98"/>
      <c r="U34" s="98"/>
    </row>
    <row r="35" spans="2:21" ht="12" x14ac:dyDescent="0.25">
      <c r="C35" s="96" t="s">
        <v>227</v>
      </c>
      <c r="D35" s="97"/>
      <c r="E35" s="97"/>
      <c r="F35" s="97"/>
      <c r="G35" s="97"/>
      <c r="H35" s="97">
        <f t="shared" si="0"/>
        <v>-3000</v>
      </c>
      <c r="I35" s="97">
        <f t="shared" si="0"/>
        <v>-3000</v>
      </c>
      <c r="J35" s="97">
        <f t="shared" si="0"/>
        <v>-3000</v>
      </c>
      <c r="K35" s="97">
        <f t="shared" si="0"/>
        <v>-3000</v>
      </c>
      <c r="L35" s="98"/>
      <c r="M35" s="98"/>
      <c r="N35" s="98"/>
      <c r="O35" s="98"/>
      <c r="P35" s="98"/>
      <c r="Q35" s="98"/>
      <c r="R35" s="98"/>
      <c r="S35" s="98"/>
      <c r="T35" s="98"/>
      <c r="U35" s="98"/>
    </row>
    <row r="36" spans="2:21" ht="12" x14ac:dyDescent="0.25">
      <c r="C36" s="96" t="s">
        <v>228</v>
      </c>
      <c r="D36" s="97"/>
      <c r="E36" s="97"/>
      <c r="F36" s="97"/>
      <c r="G36" s="97"/>
      <c r="H36" s="97">
        <f t="shared" si="0"/>
        <v>-3000</v>
      </c>
      <c r="I36" s="97">
        <f t="shared" si="0"/>
        <v>-3000</v>
      </c>
      <c r="J36" s="97">
        <f t="shared" si="0"/>
        <v>-3000</v>
      </c>
      <c r="K36" s="97">
        <f t="shared" si="0"/>
        <v>-3000</v>
      </c>
      <c r="L36" s="98"/>
      <c r="M36" s="98"/>
      <c r="N36" s="98"/>
      <c r="O36" s="98"/>
      <c r="P36" s="98"/>
      <c r="Q36" s="98"/>
      <c r="R36" s="98"/>
      <c r="S36" s="98"/>
      <c r="T36" s="98"/>
      <c r="U36" s="98"/>
    </row>
    <row r="37" spans="2:21" ht="12" x14ac:dyDescent="0.25">
      <c r="C37" s="96"/>
      <c r="D37" s="107"/>
      <c r="E37" s="107"/>
      <c r="F37" s="107"/>
      <c r="G37" s="107"/>
      <c r="H37" s="107"/>
      <c r="I37" s="107"/>
      <c r="J37" s="107"/>
    </row>
    <row r="38" spans="2:21" ht="12" x14ac:dyDescent="0.25">
      <c r="C38" s="104" t="s">
        <v>246</v>
      </c>
      <c r="D38" s="104" t="s">
        <v>21</v>
      </c>
      <c r="E38" s="104" t="s">
        <v>22</v>
      </c>
      <c r="F38" s="104" t="s">
        <v>23</v>
      </c>
      <c r="G38" s="104" t="s">
        <v>24</v>
      </c>
      <c r="H38" s="104" t="s">
        <v>20</v>
      </c>
      <c r="I38" s="104" t="s">
        <v>25</v>
      </c>
      <c r="J38" s="104" t="s">
        <v>82</v>
      </c>
      <c r="K38" s="104" t="s">
        <v>83</v>
      </c>
      <c r="L38" s="104" t="s">
        <v>84</v>
      </c>
      <c r="M38" s="104" t="s">
        <v>59</v>
      </c>
    </row>
    <row r="39" spans="2:21" ht="12" x14ac:dyDescent="0.25">
      <c r="C39" s="96" t="s">
        <v>57</v>
      </c>
      <c r="D39" s="97"/>
      <c r="E39" s="97"/>
      <c r="F39" s="97"/>
      <c r="G39" s="97"/>
      <c r="H39" s="97">
        <f>H29+3000</f>
        <v>3000</v>
      </c>
      <c r="I39" s="97">
        <f>I29+3000</f>
        <v>3000</v>
      </c>
      <c r="J39" s="97">
        <f t="shared" ref="J39:K39" si="1">J29+3000</f>
        <v>3000</v>
      </c>
      <c r="K39" s="97">
        <f t="shared" si="1"/>
        <v>3000</v>
      </c>
      <c r="L39" s="98"/>
      <c r="M39" s="98"/>
      <c r="N39" s="98"/>
      <c r="O39" s="98"/>
      <c r="P39" s="98"/>
      <c r="Q39" s="98"/>
      <c r="R39" s="98"/>
      <c r="S39" s="98"/>
      <c r="T39" s="98"/>
      <c r="U39" s="98"/>
    </row>
    <row r="40" spans="2:21" ht="12" x14ac:dyDescent="0.25">
      <c r="C40" s="96" t="s">
        <v>227</v>
      </c>
      <c r="D40" s="97"/>
      <c r="E40" s="97"/>
      <c r="F40" s="97"/>
      <c r="G40" s="97"/>
      <c r="H40" s="97">
        <f t="shared" ref="H40:K41" si="2">H30+3000</f>
        <v>3000</v>
      </c>
      <c r="I40" s="97">
        <f t="shared" si="2"/>
        <v>3000</v>
      </c>
      <c r="J40" s="97">
        <f t="shared" si="2"/>
        <v>3000</v>
      </c>
      <c r="K40" s="97">
        <f t="shared" si="2"/>
        <v>3000</v>
      </c>
      <c r="L40" s="98"/>
      <c r="M40" s="98"/>
      <c r="N40" s="98"/>
      <c r="O40" s="98"/>
      <c r="P40" s="98"/>
      <c r="Q40" s="98"/>
      <c r="R40" s="98"/>
      <c r="S40" s="98"/>
      <c r="T40" s="98"/>
      <c r="U40" s="98"/>
    </row>
    <row r="41" spans="2:21" ht="12" x14ac:dyDescent="0.25">
      <c r="C41" s="96" t="s">
        <v>228</v>
      </c>
      <c r="D41" s="97"/>
      <c r="E41" s="97"/>
      <c r="F41" s="97"/>
      <c r="G41" s="97"/>
      <c r="H41" s="97">
        <f t="shared" si="2"/>
        <v>3000</v>
      </c>
      <c r="I41" s="97">
        <f t="shared" si="2"/>
        <v>3000</v>
      </c>
      <c r="J41" s="97">
        <f t="shared" si="2"/>
        <v>3000</v>
      </c>
      <c r="K41" s="97">
        <f t="shared" si="2"/>
        <v>3000</v>
      </c>
      <c r="L41" s="98"/>
      <c r="M41" s="98"/>
      <c r="N41" s="98"/>
      <c r="O41" s="98"/>
      <c r="P41" s="98"/>
      <c r="Q41" s="98"/>
      <c r="R41" s="98"/>
      <c r="S41" s="98"/>
      <c r="T41" s="98"/>
      <c r="U41" s="98"/>
    </row>
    <row r="43" spans="2:21" ht="12" thickBot="1" x14ac:dyDescent="0.25"/>
    <row r="44" spans="2:21" ht="12" x14ac:dyDescent="0.25">
      <c r="C44" s="156" t="s">
        <v>247</v>
      </c>
      <c r="D44" s="157"/>
      <c r="E44" s="157"/>
      <c r="F44" s="158"/>
    </row>
    <row r="45" spans="2:21" ht="12" thickBot="1" x14ac:dyDescent="0.25">
      <c r="C45" s="160"/>
      <c r="D45" s="161"/>
      <c r="E45" s="161"/>
      <c r="F45" s="162"/>
    </row>
    <row r="46" spans="2:21" ht="12" thickBot="1" x14ac:dyDescent="0.25"/>
    <row r="47" spans="2:21" ht="12" x14ac:dyDescent="0.25">
      <c r="C47" s="156" t="s">
        <v>248</v>
      </c>
      <c r="D47" s="157"/>
      <c r="E47" s="157"/>
      <c r="F47" s="158"/>
    </row>
    <row r="48" spans="2:21" ht="12.6" thickBot="1" x14ac:dyDescent="0.3">
      <c r="C48" s="163">
        <v>1</v>
      </c>
      <c r="D48" s="164"/>
      <c r="E48" s="164"/>
      <c r="F48" s="165"/>
    </row>
    <row r="49" spans="3:6" ht="12" thickBot="1" x14ac:dyDescent="0.25"/>
    <row r="50" spans="3:6" ht="12" x14ac:dyDescent="0.25">
      <c r="C50" s="156" t="s">
        <v>249</v>
      </c>
      <c r="D50" s="157"/>
      <c r="E50" s="157"/>
      <c r="F50" s="158"/>
    </row>
    <row r="51" spans="3:6" ht="12" thickBot="1" x14ac:dyDescent="0.25">
      <c r="C51" s="160" t="s">
        <v>250</v>
      </c>
      <c r="D51" s="161"/>
      <c r="E51" s="161"/>
      <c r="F51" s="162"/>
    </row>
  </sheetData>
  <mergeCells count="11">
    <mergeCell ref="C50:F50"/>
    <mergeCell ref="C51:F51"/>
    <mergeCell ref="C45:F45"/>
    <mergeCell ref="C47:F47"/>
    <mergeCell ref="C48:F48"/>
    <mergeCell ref="C44:F44"/>
    <mergeCell ref="C2:I2"/>
    <mergeCell ref="C7:I7"/>
    <mergeCell ref="C10:I10"/>
    <mergeCell ref="C12:I12"/>
    <mergeCell ref="C14:I14"/>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JP228"/>
  <sheetViews>
    <sheetView showGridLines="0" zoomScaleNormal="100" workbookViewId="0">
      <pane xSplit="2" ySplit="1" topLeftCell="C38" activePane="bottomRight" state="frozen"/>
      <selection pane="topRight" activeCell="C1" sqref="C1"/>
      <selection pane="bottomLeft" activeCell="A2" sqref="A2"/>
      <selection pane="bottomRight" activeCell="K25" sqref="K25"/>
    </sheetView>
  </sheetViews>
  <sheetFormatPr baseColWidth="10" defaultColWidth="12.77734375" defaultRowHeight="15" customHeight="1" x14ac:dyDescent="0.3"/>
  <cols>
    <col min="1" max="1" width="2.77734375" style="1" customWidth="1"/>
    <col min="2" max="2" width="55.5546875" style="1" bestFit="1" customWidth="1"/>
    <col min="3" max="5" width="12.77734375" style="1"/>
    <col min="6" max="9" width="12.77734375" style="1" customWidth="1"/>
    <col min="10" max="16384" width="12.77734375" style="1"/>
  </cols>
  <sheetData>
    <row r="1" spans="1:276" customFormat="1" ht="14.4" x14ac:dyDescent="0.3">
      <c r="B1" s="5" t="s">
        <v>208</v>
      </c>
      <c r="C1" s="6">
        <f>D1-1</f>
        <v>2021</v>
      </c>
      <c r="D1" s="6">
        <v>2022</v>
      </c>
      <c r="E1" s="6">
        <v>2023</v>
      </c>
      <c r="F1" s="6" t="s">
        <v>23</v>
      </c>
      <c r="G1" s="6" t="s">
        <v>24</v>
      </c>
      <c r="H1" s="6" t="s">
        <v>20</v>
      </c>
      <c r="I1" s="6" t="s">
        <v>25</v>
      </c>
      <c r="J1" s="6" t="s">
        <v>82</v>
      </c>
      <c r="K1" s="6" t="s">
        <v>83</v>
      </c>
      <c r="L1" s="4" t="s">
        <v>84</v>
      </c>
      <c r="M1" s="4" t="s">
        <v>59</v>
      </c>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row>
    <row r="2" spans="1:276" ht="15" customHeight="1" x14ac:dyDescent="0.3">
      <c r="A2" s="1" t="s">
        <v>18</v>
      </c>
      <c r="B2" s="5" t="s">
        <v>0</v>
      </c>
      <c r="C2" s="6"/>
      <c r="D2" s="6"/>
      <c r="E2" s="6"/>
      <c r="F2" s="6"/>
      <c r="G2" s="6"/>
      <c r="H2" s="6"/>
      <c r="I2" s="6"/>
      <c r="J2" s="6"/>
      <c r="K2" s="6"/>
      <c r="L2" s="2"/>
      <c r="M2" s="2"/>
    </row>
    <row r="3" spans="1:276" ht="15" customHeight="1" x14ac:dyDescent="0.3">
      <c r="B3" t="s">
        <v>136</v>
      </c>
      <c r="C3" s="39">
        <v>295853</v>
      </c>
      <c r="D3" s="39">
        <v>450382</v>
      </c>
      <c r="E3" s="72">
        <f>SUM(F3:I3)</f>
        <v>556075</v>
      </c>
      <c r="F3" s="39">
        <v>131468</v>
      </c>
      <c r="G3" s="39">
        <v>151993</v>
      </c>
      <c r="H3" s="39">
        <v>130322</v>
      </c>
      <c r="I3" s="39">
        <v>142292</v>
      </c>
      <c r="J3" s="39">
        <v>145876</v>
      </c>
      <c r="K3" s="39">
        <v>150066</v>
      </c>
      <c r="L3" s="39">
        <f>SUM(L70:L93)/1000</f>
        <v>87089.600000000006</v>
      </c>
      <c r="M3" s="39">
        <f>SUM(M70:M93)/1000</f>
        <v>92594.32</v>
      </c>
    </row>
    <row r="4" spans="1:276" ht="15" customHeight="1" x14ac:dyDescent="0.3">
      <c r="B4" s="49" t="s">
        <v>137</v>
      </c>
      <c r="C4" s="49"/>
      <c r="D4" s="49">
        <v>3765</v>
      </c>
      <c r="E4" s="73"/>
      <c r="F4" s="49">
        <v>1100</v>
      </c>
      <c r="G4" s="49">
        <v>1054</v>
      </c>
      <c r="H4" s="71">
        <v>1243</v>
      </c>
      <c r="I4" s="71">
        <v>1084</v>
      </c>
      <c r="J4" s="1">
        <v>1162</v>
      </c>
      <c r="K4" s="1">
        <v>1171</v>
      </c>
      <c r="L4" s="153">
        <v>1000</v>
      </c>
      <c r="M4" s="153">
        <v>1000</v>
      </c>
    </row>
    <row r="5" spans="1:276" ht="15" customHeight="1" x14ac:dyDescent="0.3">
      <c r="B5" s="20" t="s">
        <v>138</v>
      </c>
      <c r="C5" s="10">
        <f>SUM(C3:C4)</f>
        <v>295853</v>
      </c>
      <c r="D5" s="10">
        <f>SUM(D3:D4)</f>
        <v>454147</v>
      </c>
      <c r="E5" s="74">
        <f t="shared" ref="E5:K5" si="0">SUM(E3:E4)</f>
        <v>556075</v>
      </c>
      <c r="F5" s="10">
        <f t="shared" si="0"/>
        <v>132568</v>
      </c>
      <c r="G5" s="10">
        <f t="shared" si="0"/>
        <v>153047</v>
      </c>
      <c r="H5" s="10">
        <f t="shared" si="0"/>
        <v>131565</v>
      </c>
      <c r="I5" s="37">
        <f t="shared" si="0"/>
        <v>143376</v>
      </c>
      <c r="J5" s="10">
        <f t="shared" si="0"/>
        <v>147038</v>
      </c>
      <c r="K5" s="10">
        <f t="shared" si="0"/>
        <v>151237</v>
      </c>
      <c r="L5" s="10">
        <f t="shared" ref="L5:M5" si="1">SUM(L3:L4)</f>
        <v>88089.600000000006</v>
      </c>
      <c r="M5" s="10">
        <f t="shared" si="1"/>
        <v>93594.32</v>
      </c>
    </row>
    <row r="6" spans="1:276" ht="15" customHeight="1" x14ac:dyDescent="0.3">
      <c r="B6" s="50"/>
      <c r="C6" s="39"/>
      <c r="D6" s="39"/>
      <c r="E6" s="72"/>
      <c r="F6" s="39"/>
      <c r="G6" s="39"/>
      <c r="H6" s="39"/>
      <c r="I6" s="39"/>
    </row>
    <row r="7" spans="1:276" ht="15" customHeight="1" x14ac:dyDescent="0.3">
      <c r="B7" s="63" t="s">
        <v>66</v>
      </c>
      <c r="C7" s="26">
        <v>4612</v>
      </c>
      <c r="D7" s="39"/>
      <c r="E7" s="72"/>
      <c r="F7" s="39"/>
      <c r="G7" s="39"/>
      <c r="H7" s="39"/>
      <c r="I7" s="39"/>
    </row>
    <row r="8" spans="1:276" ht="15" customHeight="1" x14ac:dyDescent="0.3">
      <c r="B8"/>
      <c r="C8" s="26"/>
      <c r="D8" s="26"/>
      <c r="E8" s="75"/>
      <c r="F8" s="26"/>
      <c r="G8" s="26"/>
      <c r="H8" s="26"/>
      <c r="I8" s="26"/>
    </row>
    <row r="9" spans="1:276" ht="15" customHeight="1" x14ac:dyDescent="0.3">
      <c r="B9" s="64" t="s">
        <v>67</v>
      </c>
      <c r="C9" s="26"/>
      <c r="D9" s="26"/>
      <c r="E9" s="75"/>
      <c r="F9" s="26"/>
      <c r="G9" s="26"/>
      <c r="H9" s="26"/>
      <c r="I9" s="26"/>
    </row>
    <row r="10" spans="1:276" ht="15" customHeight="1" x14ac:dyDescent="0.3">
      <c r="B10" s="67" t="s">
        <v>139</v>
      </c>
      <c r="C10" s="26">
        <v>-92405</v>
      </c>
      <c r="D10" s="26">
        <v>-185502</v>
      </c>
      <c r="E10" s="75">
        <f t="shared" ref="E10:E15" si="2">SUM(F10:I10)</f>
        <v>-165667</v>
      </c>
      <c r="F10" s="26">
        <v>-37569</v>
      </c>
      <c r="G10" s="26">
        <v>-39092</v>
      </c>
      <c r="H10" s="26">
        <v>-41235</v>
      </c>
      <c r="I10" s="129">
        <v>-47771</v>
      </c>
      <c r="J10" s="26">
        <v>-39537</v>
      </c>
      <c r="K10" s="26">
        <v>-46370</v>
      </c>
      <c r="L10" s="111"/>
      <c r="M10" s="111"/>
    </row>
    <row r="11" spans="1:276" ht="15" customHeight="1" x14ac:dyDescent="0.3">
      <c r="B11" s="67" t="s">
        <v>140</v>
      </c>
      <c r="C11" s="26">
        <v>-77807</v>
      </c>
      <c r="D11" s="26">
        <v>-73808</v>
      </c>
      <c r="E11" s="75">
        <f t="shared" si="2"/>
        <v>-75430</v>
      </c>
      <c r="F11" s="26">
        <v>-18417</v>
      </c>
      <c r="G11" s="26">
        <v>-19687</v>
      </c>
      <c r="H11" s="26">
        <v>-18608</v>
      </c>
      <c r="I11" s="129">
        <v>-18718</v>
      </c>
      <c r="J11" s="26">
        <v>-19172</v>
      </c>
      <c r="K11" s="26">
        <v>-20393</v>
      </c>
      <c r="L11" s="110">
        <v>-20393</v>
      </c>
      <c r="M11" s="110">
        <v>-20393</v>
      </c>
    </row>
    <row r="12" spans="1:276" ht="15" customHeight="1" x14ac:dyDescent="0.3">
      <c r="B12" s="67" t="s">
        <v>2</v>
      </c>
      <c r="C12" s="26">
        <v>-128639</v>
      </c>
      <c r="D12" s="26">
        <v>-123255</v>
      </c>
      <c r="E12" s="75">
        <f t="shared" si="2"/>
        <v>-108903</v>
      </c>
      <c r="F12" s="26">
        <v>-25726</v>
      </c>
      <c r="G12" s="26">
        <v>-26376</v>
      </c>
      <c r="H12" s="26">
        <v>-28326</v>
      </c>
      <c r="I12" s="129">
        <v>-28475</v>
      </c>
      <c r="J12" s="26">
        <v>-28250</v>
      </c>
      <c r="K12" s="26">
        <v>-27878</v>
      </c>
      <c r="L12" s="110">
        <v>-27878</v>
      </c>
      <c r="M12" s="110">
        <v>-27878</v>
      </c>
    </row>
    <row r="13" spans="1:276" ht="15" customHeight="1" x14ac:dyDescent="0.3">
      <c r="B13" s="67" t="s">
        <v>141</v>
      </c>
      <c r="C13" s="26">
        <v>0</v>
      </c>
      <c r="D13" s="26"/>
      <c r="E13" s="75">
        <f t="shared" si="2"/>
        <v>0</v>
      </c>
      <c r="F13" s="26"/>
      <c r="G13" s="26"/>
      <c r="H13" s="26"/>
      <c r="I13" s="129"/>
      <c r="J13" s="14"/>
      <c r="K13" s="14"/>
    </row>
    <row r="14" spans="1:276" ht="15" customHeight="1" x14ac:dyDescent="0.3">
      <c r="B14" s="67" t="s">
        <v>142</v>
      </c>
      <c r="C14" s="26">
        <v>15153</v>
      </c>
      <c r="D14" s="26">
        <v>19512</v>
      </c>
      <c r="E14" s="75">
        <f t="shared" si="2"/>
        <v>0</v>
      </c>
      <c r="F14" s="26"/>
      <c r="G14" s="26"/>
      <c r="H14" s="26"/>
      <c r="I14" s="129"/>
      <c r="J14" s="14"/>
      <c r="K14" s="14"/>
    </row>
    <row r="15" spans="1:276" ht="15" customHeight="1" x14ac:dyDescent="0.3">
      <c r="B15" s="68" t="s">
        <v>143</v>
      </c>
      <c r="C15" s="26">
        <v>-16565</v>
      </c>
      <c r="D15" s="26">
        <v>-16890</v>
      </c>
      <c r="E15" s="75">
        <f t="shared" si="2"/>
        <v>-17448</v>
      </c>
      <c r="F15" s="26">
        <v>-4637</v>
      </c>
      <c r="G15" s="26">
        <v>-4515</v>
      </c>
      <c r="H15" s="26">
        <v>-4303</v>
      </c>
      <c r="I15" s="129">
        <v>-3993</v>
      </c>
      <c r="J15" s="26">
        <v>-4664</v>
      </c>
      <c r="K15" s="26">
        <v>-4521</v>
      </c>
      <c r="L15" s="110">
        <v>-4521</v>
      </c>
      <c r="M15" s="110">
        <v>-4521</v>
      </c>
    </row>
    <row r="16" spans="1:276" ht="15" customHeight="1" x14ac:dyDescent="0.3">
      <c r="B16" s="20" t="s">
        <v>68</v>
      </c>
      <c r="C16" s="37">
        <f>SUM(C10:C15)</f>
        <v>-300263</v>
      </c>
      <c r="D16" s="37">
        <f>SUM(D10:D15)</f>
        <v>-379943</v>
      </c>
      <c r="E16" s="74">
        <f t="shared" ref="E16:I16" si="3">SUM(E10:E15)</f>
        <v>-367448</v>
      </c>
      <c r="F16" s="37">
        <f t="shared" si="3"/>
        <v>-86349</v>
      </c>
      <c r="G16" s="37">
        <f t="shared" si="3"/>
        <v>-89670</v>
      </c>
      <c r="H16" s="37">
        <f t="shared" si="3"/>
        <v>-92472</v>
      </c>
      <c r="I16" s="37">
        <f t="shared" si="3"/>
        <v>-98957</v>
      </c>
      <c r="J16" s="37">
        <f t="shared" ref="J16:K16" si="4">SUM(J10:J15)</f>
        <v>-91623</v>
      </c>
      <c r="K16" s="37">
        <f t="shared" si="4"/>
        <v>-99162</v>
      </c>
      <c r="L16" s="37">
        <f t="shared" ref="L16:M16" si="5">SUM(L10:L15)</f>
        <v>-52792</v>
      </c>
      <c r="M16" s="37">
        <f t="shared" si="5"/>
        <v>-52792</v>
      </c>
    </row>
    <row r="17" spans="2:13" ht="15" customHeight="1" x14ac:dyDescent="0.3">
      <c r="B17" s="27"/>
      <c r="C17" s="26"/>
      <c r="D17" s="26"/>
      <c r="E17" s="75"/>
      <c r="F17" s="26"/>
      <c r="G17" s="26"/>
      <c r="H17" s="26"/>
      <c r="I17" s="26"/>
    </row>
    <row r="18" spans="2:13" ht="15" customHeight="1" x14ac:dyDescent="0.3">
      <c r="B18" s="65" t="s">
        <v>144</v>
      </c>
      <c r="C18" s="39">
        <f>C5+C7+C16</f>
        <v>202</v>
      </c>
      <c r="D18" s="39">
        <f>D5+D7+D16</f>
        <v>74204</v>
      </c>
      <c r="E18" s="72">
        <f t="shared" ref="E18:L18" si="6">E5+E7+E16</f>
        <v>188627</v>
      </c>
      <c r="F18" s="39">
        <f t="shared" si="6"/>
        <v>46219</v>
      </c>
      <c r="G18" s="39">
        <f t="shared" si="6"/>
        <v>63377</v>
      </c>
      <c r="H18" s="39">
        <f t="shared" si="6"/>
        <v>39093</v>
      </c>
      <c r="I18" s="39">
        <f t="shared" si="6"/>
        <v>44419</v>
      </c>
      <c r="J18" s="39">
        <f t="shared" si="6"/>
        <v>55415</v>
      </c>
      <c r="K18" s="39">
        <f t="shared" si="6"/>
        <v>52075</v>
      </c>
      <c r="L18" s="39">
        <f t="shared" si="6"/>
        <v>35297.600000000006</v>
      </c>
      <c r="M18" s="39">
        <f t="shared" ref="M18" si="7">M5+M7+M16</f>
        <v>40802.320000000007</v>
      </c>
    </row>
    <row r="19" spans="2:13" ht="15" customHeight="1" x14ac:dyDescent="0.3">
      <c r="B19"/>
      <c r="C19" s="26"/>
      <c r="D19" s="26"/>
      <c r="E19" s="75"/>
      <c r="F19" s="26"/>
      <c r="G19" s="26"/>
      <c r="H19" s="26"/>
      <c r="I19" s="26"/>
    </row>
    <row r="20" spans="2:13" ht="15" customHeight="1" x14ac:dyDescent="0.3">
      <c r="B20" t="s">
        <v>145</v>
      </c>
      <c r="C20" s="26">
        <v>1278</v>
      </c>
      <c r="D20" s="26">
        <v>1407</v>
      </c>
      <c r="E20" s="75">
        <f>SUM(F20:I20)</f>
        <v>0</v>
      </c>
      <c r="F20" s="26"/>
      <c r="G20" s="26">
        <v>0</v>
      </c>
      <c r="H20" s="26">
        <v>0</v>
      </c>
      <c r="I20" s="26">
        <v>0</v>
      </c>
      <c r="J20" s="1">
        <v>0</v>
      </c>
      <c r="K20" s="1">
        <v>0</v>
      </c>
      <c r="L20" s="1">
        <v>0</v>
      </c>
      <c r="M20" s="1">
        <v>0</v>
      </c>
    </row>
    <row r="21" spans="2:13" ht="15" customHeight="1" x14ac:dyDescent="0.3">
      <c r="B21" t="s">
        <v>146</v>
      </c>
      <c r="C21" s="26">
        <v>6</v>
      </c>
      <c r="D21" s="26">
        <v>-5941</v>
      </c>
      <c r="E21" s="75">
        <f>SUM(F21:I21)</f>
        <v>4485</v>
      </c>
      <c r="F21" s="26">
        <v>398</v>
      </c>
      <c r="G21" s="26">
        <v>1966</v>
      </c>
      <c r="H21" s="26">
        <v>1213</v>
      </c>
      <c r="I21" s="26">
        <v>908</v>
      </c>
      <c r="J21" s="1">
        <v>1091</v>
      </c>
      <c r="K21" s="14">
        <v>935</v>
      </c>
      <c r="L21" s="153">
        <v>1000</v>
      </c>
      <c r="M21" s="153">
        <v>1000</v>
      </c>
    </row>
    <row r="22" spans="2:13" ht="15" customHeight="1" x14ac:dyDescent="0.3">
      <c r="B22" t="s">
        <v>147</v>
      </c>
      <c r="C22" s="26">
        <v>-25727</v>
      </c>
      <c r="D22" s="26">
        <v>-16471</v>
      </c>
      <c r="E22" s="75">
        <f>SUM(F22:I22)</f>
        <v>-33061</v>
      </c>
      <c r="F22" s="26">
        <v>-7586</v>
      </c>
      <c r="G22" s="26">
        <v>-7492</v>
      </c>
      <c r="H22" s="26">
        <v>-8789</v>
      </c>
      <c r="I22" s="26">
        <v>-9194</v>
      </c>
      <c r="J22" s="26">
        <v>-8775</v>
      </c>
      <c r="K22" s="26">
        <v>-7921</v>
      </c>
      <c r="L22" s="110">
        <v>-7921</v>
      </c>
      <c r="M22" s="110">
        <v>-7921</v>
      </c>
    </row>
    <row r="23" spans="2:13" ht="15" customHeight="1" x14ac:dyDescent="0.3">
      <c r="B23" t="s">
        <v>148</v>
      </c>
      <c r="C23" s="26">
        <v>12450</v>
      </c>
      <c r="D23" s="26">
        <v>11726</v>
      </c>
      <c r="E23" s="75">
        <f>SUM(F23:I23)</f>
        <v>-503</v>
      </c>
      <c r="F23" s="26">
        <v>-433</v>
      </c>
      <c r="G23" s="26">
        <v>-70</v>
      </c>
      <c r="H23" s="26">
        <v>0</v>
      </c>
      <c r="I23" s="26">
        <v>0</v>
      </c>
      <c r="J23" s="1">
        <v>0</v>
      </c>
      <c r="K23" s="14">
        <v>0</v>
      </c>
      <c r="L23" s="1">
        <v>0</v>
      </c>
      <c r="M23" s="1">
        <v>0</v>
      </c>
    </row>
    <row r="24" spans="2:13" ht="15" customHeight="1" x14ac:dyDescent="0.3">
      <c r="B24" s="49" t="s">
        <v>149</v>
      </c>
      <c r="C24" s="26">
        <v>645</v>
      </c>
      <c r="D24" s="26">
        <v>-2357</v>
      </c>
      <c r="E24" s="75">
        <f>SUM(F24:I24)</f>
        <v>-1984</v>
      </c>
      <c r="F24" s="26">
        <v>-366</v>
      </c>
      <c r="G24" s="26">
        <v>-606</v>
      </c>
      <c r="H24" s="26">
        <v>-413</v>
      </c>
      <c r="I24" s="26">
        <v>-599</v>
      </c>
      <c r="J24" s="26">
        <v>-454</v>
      </c>
      <c r="K24" s="26">
        <v>-470</v>
      </c>
      <c r="L24" s="110">
        <v>-470</v>
      </c>
      <c r="M24" s="110">
        <v>-470</v>
      </c>
    </row>
    <row r="25" spans="2:13" ht="15" customHeight="1" x14ac:dyDescent="0.3">
      <c r="B25" s="20" t="s">
        <v>150</v>
      </c>
      <c r="C25" s="37">
        <f>C18+SUM(C20:C24)</f>
        <v>-11146</v>
      </c>
      <c r="D25" s="37">
        <f>D18+SUM(D20:D24)</f>
        <v>62568</v>
      </c>
      <c r="E25" s="74">
        <f t="shared" ref="E25:J25" si="8">E18+SUM(E20:E24)</f>
        <v>157564</v>
      </c>
      <c r="F25" s="37">
        <f t="shared" si="8"/>
        <v>38232</v>
      </c>
      <c r="G25" s="37">
        <f t="shared" si="8"/>
        <v>57175</v>
      </c>
      <c r="H25" s="37">
        <f t="shared" si="8"/>
        <v>31104</v>
      </c>
      <c r="I25" s="37">
        <f t="shared" si="8"/>
        <v>35534</v>
      </c>
      <c r="J25" s="37">
        <f t="shared" si="8"/>
        <v>47277</v>
      </c>
      <c r="K25" s="37">
        <f t="shared" ref="K25:L25" si="9">K18+SUM(K20:K24)</f>
        <v>44619</v>
      </c>
      <c r="L25" s="37">
        <f t="shared" si="9"/>
        <v>27906.600000000006</v>
      </c>
      <c r="M25" s="37">
        <f t="shared" ref="M25" si="10">M18+SUM(M20:M24)</f>
        <v>33411.320000000007</v>
      </c>
    </row>
    <row r="26" spans="2:13" ht="15" customHeight="1" x14ac:dyDescent="0.3">
      <c r="B26"/>
      <c r="C26" s="39"/>
      <c r="D26" s="39"/>
      <c r="E26" s="72"/>
      <c r="F26" s="39"/>
      <c r="G26" s="39"/>
      <c r="H26" s="39"/>
      <c r="I26" s="39"/>
      <c r="J26" s="14"/>
      <c r="K26" s="14"/>
    </row>
    <row r="27" spans="2:13" ht="15" customHeight="1" x14ac:dyDescent="0.3">
      <c r="B27" s="49" t="s">
        <v>69</v>
      </c>
      <c r="C27" s="26">
        <v>-360</v>
      </c>
      <c r="D27" s="26">
        <v>-588</v>
      </c>
      <c r="E27" s="75">
        <f>SUM(F27:I27)</f>
        <v>-648</v>
      </c>
      <c r="F27" s="26">
        <v>-191</v>
      </c>
      <c r="G27" s="26">
        <v>-94</v>
      </c>
      <c r="H27" s="26">
        <v>-137</v>
      </c>
      <c r="I27" s="26">
        <v>-226</v>
      </c>
      <c r="J27" s="26">
        <v>-206</v>
      </c>
      <c r="K27" s="26">
        <v>-129</v>
      </c>
      <c r="L27" s="1">
        <v>0</v>
      </c>
      <c r="M27" s="1">
        <v>0</v>
      </c>
    </row>
    <row r="28" spans="2:13" ht="15" customHeight="1" x14ac:dyDescent="0.3">
      <c r="B28" s="20" t="s">
        <v>151</v>
      </c>
      <c r="C28" s="37">
        <f>C25+C27</f>
        <v>-11506</v>
      </c>
      <c r="D28" s="37">
        <f>D25+D27</f>
        <v>61980</v>
      </c>
      <c r="E28" s="74">
        <f t="shared" ref="E28:J28" si="11">E25+E27</f>
        <v>156916</v>
      </c>
      <c r="F28" s="37">
        <f t="shared" si="11"/>
        <v>38041</v>
      </c>
      <c r="G28" s="37">
        <f t="shared" si="11"/>
        <v>57081</v>
      </c>
      <c r="H28" s="37">
        <f t="shared" si="11"/>
        <v>30967</v>
      </c>
      <c r="I28" s="37">
        <f t="shared" si="11"/>
        <v>35308</v>
      </c>
      <c r="J28" s="37">
        <f t="shared" si="11"/>
        <v>47071</v>
      </c>
      <c r="K28" s="37">
        <f t="shared" ref="K28:L28" si="12">K25+K27</f>
        <v>44490</v>
      </c>
      <c r="L28" s="37">
        <f t="shared" si="12"/>
        <v>27906.600000000006</v>
      </c>
      <c r="M28" s="37">
        <f t="shared" ref="M28" si="13">M25+M27</f>
        <v>33411.320000000007</v>
      </c>
    </row>
    <row r="29" spans="2:13" ht="15" customHeight="1" x14ac:dyDescent="0.3">
      <c r="B29" s="63"/>
      <c r="C29" s="39"/>
      <c r="D29" s="39"/>
      <c r="E29" s="72"/>
      <c r="F29" s="39"/>
      <c r="G29" s="39"/>
      <c r="H29" s="39"/>
      <c r="I29" s="39"/>
      <c r="J29" s="14"/>
      <c r="K29" s="14"/>
    </row>
    <row r="30" spans="2:13" ht="15" customHeight="1" x14ac:dyDescent="0.3">
      <c r="B30" t="s">
        <v>209</v>
      </c>
      <c r="C30" s="26">
        <v>14</v>
      </c>
      <c r="D30" s="26">
        <v>459</v>
      </c>
      <c r="E30" s="75">
        <f>SUM(F30:I30)</f>
        <v>44</v>
      </c>
      <c r="F30" s="26">
        <v>-136</v>
      </c>
      <c r="G30" s="26">
        <v>25</v>
      </c>
      <c r="H30" s="26">
        <v>208</v>
      </c>
      <c r="I30" s="26">
        <v>-53</v>
      </c>
      <c r="J30" s="26">
        <v>181</v>
      </c>
      <c r="K30" s="26">
        <v>143</v>
      </c>
      <c r="L30" s="110">
        <v>143</v>
      </c>
      <c r="M30" s="110">
        <v>143</v>
      </c>
    </row>
    <row r="31" spans="2:13" ht="15" customHeight="1" x14ac:dyDescent="0.3">
      <c r="B31" t="s">
        <v>152</v>
      </c>
      <c r="C31" s="39">
        <f>C28-C30</f>
        <v>-11520</v>
      </c>
      <c r="D31" s="39">
        <f>D28-D30</f>
        <v>61521</v>
      </c>
      <c r="E31" s="72">
        <f>SUM(F31:I31)</f>
        <v>161353</v>
      </c>
      <c r="F31" s="39">
        <f t="shared" ref="F31:K31" si="14">F28-F30</f>
        <v>38177</v>
      </c>
      <c r="G31" s="39">
        <f t="shared" si="14"/>
        <v>57056</v>
      </c>
      <c r="H31" s="39">
        <f t="shared" si="14"/>
        <v>30759</v>
      </c>
      <c r="I31" s="39">
        <f t="shared" si="14"/>
        <v>35361</v>
      </c>
      <c r="J31" s="39">
        <f t="shared" si="14"/>
        <v>46890</v>
      </c>
      <c r="K31" s="39">
        <f t="shared" si="14"/>
        <v>44347</v>
      </c>
      <c r="L31" s="39">
        <f t="shared" ref="L31:M31" si="15">L28-L30</f>
        <v>27763.600000000006</v>
      </c>
      <c r="M31" s="39">
        <f t="shared" si="15"/>
        <v>33268.320000000007</v>
      </c>
    </row>
    <row r="32" spans="2:13" ht="15" customHeight="1" x14ac:dyDescent="0.3">
      <c r="B32"/>
      <c r="C32" s="39"/>
      <c r="D32" s="39"/>
      <c r="E32" s="72"/>
      <c r="F32" s="39"/>
      <c r="G32" s="39"/>
      <c r="H32" s="39"/>
      <c r="I32" s="39"/>
      <c r="J32" s="14"/>
      <c r="K32" s="14"/>
    </row>
    <row r="33" spans="1:13" ht="15" customHeight="1" x14ac:dyDescent="0.3">
      <c r="B33" s="63" t="s">
        <v>152</v>
      </c>
      <c r="C33" s="51"/>
      <c r="D33" s="51"/>
      <c r="E33" s="76"/>
      <c r="F33" s="51"/>
      <c r="G33" s="51"/>
      <c r="H33" s="51"/>
      <c r="I33" s="51"/>
      <c r="J33" s="14"/>
      <c r="K33" s="14"/>
    </row>
    <row r="34" spans="1:13" ht="15" customHeight="1" x14ac:dyDescent="0.3">
      <c r="B34" t="s">
        <v>153</v>
      </c>
      <c r="C34" s="51">
        <v>-7.0000000000000007E-2</v>
      </c>
      <c r="D34" s="51">
        <v>0.37</v>
      </c>
      <c r="E34" s="76">
        <f t="shared" ref="E34:E35" si="16">SUM(F34:I34)</f>
        <v>0.98981453071063596</v>
      </c>
      <c r="F34" s="51">
        <v>0.23</v>
      </c>
      <c r="G34" s="51">
        <v>0.35</v>
      </c>
      <c r="H34" s="51">
        <f>H31*1000/H37</f>
        <v>0.19018036554015369</v>
      </c>
      <c r="I34" s="51">
        <f t="shared" ref="I34:J34" si="17">I31*1000/I37</f>
        <v>0.21963416517048229</v>
      </c>
      <c r="J34" s="51">
        <f t="shared" si="17"/>
        <v>0.29068031847081993</v>
      </c>
      <c r="K34" s="51">
        <f t="shared" ref="K34:L34" si="18">K31*1000/K37</f>
        <v>0.2748165828442109</v>
      </c>
      <c r="L34" s="51">
        <f t="shared" si="18"/>
        <v>0.17204991723123403</v>
      </c>
      <c r="M34" s="51">
        <f t="shared" ref="M34" si="19">M31*1000/M37</f>
        <v>0.20616244659994409</v>
      </c>
    </row>
    <row r="35" spans="1:13" ht="15" customHeight="1" x14ac:dyDescent="0.3">
      <c r="B35" t="s">
        <v>154</v>
      </c>
      <c r="C35" s="51">
        <v>-7.0000000000000007E-2</v>
      </c>
      <c r="D35" s="51">
        <v>0.37</v>
      </c>
      <c r="E35" s="76">
        <f t="shared" si="16"/>
        <v>0.98933748543870714</v>
      </c>
      <c r="F35" s="51">
        <v>0.23</v>
      </c>
      <c r="G35" s="51">
        <v>0.35</v>
      </c>
      <c r="H35" s="51">
        <f>H31*1000/H38</f>
        <v>0.18998527041276969</v>
      </c>
      <c r="I35" s="51">
        <f t="shared" ref="I35:J35" si="20">I31*1000/I38</f>
        <v>0.21935221502593752</v>
      </c>
      <c r="J35" s="51">
        <f t="shared" si="20"/>
        <v>0.29047535582673556</v>
      </c>
      <c r="K35" s="51">
        <f t="shared" ref="K35:L35" si="21">K31*1000/K38</f>
        <v>0.27461737777552842</v>
      </c>
      <c r="L35" s="51">
        <f t="shared" si="21"/>
        <v>0.17192520417635154</v>
      </c>
      <c r="M35" s="51">
        <f t="shared" ref="M35" si="22">M31*1000/M38</f>
        <v>0.20601300654829344</v>
      </c>
    </row>
    <row r="36" spans="1:13" ht="15" customHeight="1" x14ac:dyDescent="0.3">
      <c r="B36"/>
      <c r="C36" s="26"/>
      <c r="D36" s="26"/>
      <c r="E36" s="26"/>
      <c r="F36" s="26"/>
      <c r="G36" s="26"/>
      <c r="H36" s="26"/>
      <c r="I36" s="26"/>
      <c r="J36" s="14"/>
      <c r="K36" s="14"/>
    </row>
    <row r="37" spans="1:13" ht="15" customHeight="1" x14ac:dyDescent="0.3">
      <c r="B37" t="s">
        <v>155</v>
      </c>
      <c r="C37" s="26">
        <v>169089325</v>
      </c>
      <c r="D37" s="26">
        <v>164692954</v>
      </c>
      <c r="E37" s="26"/>
      <c r="F37" s="26">
        <v>162967375</v>
      </c>
      <c r="G37" s="26">
        <v>163037628</v>
      </c>
      <c r="H37" s="26">
        <v>161735939</v>
      </c>
      <c r="I37" s="26">
        <v>160999542</v>
      </c>
      <c r="J37" s="26">
        <v>161311231</v>
      </c>
      <c r="K37" s="26">
        <v>161369447</v>
      </c>
      <c r="L37" s="110">
        <v>161369447</v>
      </c>
      <c r="M37" s="110">
        <v>161369447</v>
      </c>
    </row>
    <row r="38" spans="1:13" ht="15" customHeight="1" x14ac:dyDescent="0.3">
      <c r="B38" t="s">
        <v>156</v>
      </c>
      <c r="C38" s="26">
        <v>169089325</v>
      </c>
      <c r="D38" s="26">
        <v>164850097</v>
      </c>
      <c r="E38" s="26"/>
      <c r="F38" s="26">
        <v>163249977</v>
      </c>
      <c r="G38" s="26">
        <v>163172987</v>
      </c>
      <c r="H38" s="26">
        <v>161902025</v>
      </c>
      <c r="I38" s="26">
        <v>161206487</v>
      </c>
      <c r="J38" s="26">
        <v>161425054</v>
      </c>
      <c r="K38" s="26">
        <v>161486503</v>
      </c>
      <c r="L38" s="110">
        <v>161486503</v>
      </c>
      <c r="M38" s="110">
        <v>161486503</v>
      </c>
    </row>
    <row r="39" spans="1:13" ht="15" customHeight="1" x14ac:dyDescent="0.3">
      <c r="B39"/>
      <c r="C39" s="26"/>
      <c r="D39" s="26"/>
      <c r="E39" s="26"/>
      <c r="F39" s="26"/>
      <c r="G39" s="26"/>
      <c r="H39" s="26"/>
      <c r="I39" s="26"/>
      <c r="K39" s="14"/>
    </row>
    <row r="40" spans="1:13" ht="15" customHeight="1" x14ac:dyDescent="0.3">
      <c r="B40" s="26"/>
      <c r="C40" s="26"/>
      <c r="D40" s="26"/>
      <c r="E40" s="26"/>
      <c r="F40" s="26"/>
      <c r="G40" s="26"/>
      <c r="H40" s="26"/>
      <c r="I40" s="26"/>
    </row>
    <row r="41" spans="1:13" ht="15" customHeight="1" x14ac:dyDescent="0.3">
      <c r="B41" s="26"/>
      <c r="C41" s="28"/>
      <c r="D41" s="28"/>
      <c r="E41" s="26"/>
      <c r="F41" s="28"/>
      <c r="G41" s="28"/>
      <c r="H41" s="28"/>
      <c r="I41" s="26"/>
    </row>
    <row r="42" spans="1:13" ht="15" customHeight="1" x14ac:dyDescent="0.3">
      <c r="A42" s="1" t="s">
        <v>18</v>
      </c>
      <c r="B42" s="8" t="s">
        <v>252</v>
      </c>
      <c r="F42" s="53" t="s">
        <v>253</v>
      </c>
      <c r="G42" s="53" t="s">
        <v>251</v>
      </c>
    </row>
    <row r="43" spans="1:13" ht="15" customHeight="1" x14ac:dyDescent="0.3">
      <c r="B43" t="s">
        <v>97</v>
      </c>
      <c r="F43" s="47">
        <v>1</v>
      </c>
      <c r="G43" s="47">
        <v>1</v>
      </c>
      <c r="H43" s="1">
        <v>87</v>
      </c>
      <c r="I43" s="1">
        <v>88</v>
      </c>
      <c r="J43" s="1">
        <v>88</v>
      </c>
      <c r="K43" s="1">
        <v>88</v>
      </c>
      <c r="L43" s="1">
        <v>88</v>
      </c>
      <c r="M43" s="1">
        <v>88</v>
      </c>
    </row>
    <row r="44" spans="1:13" ht="15" customHeight="1" x14ac:dyDescent="0.3">
      <c r="B44" t="s">
        <v>99</v>
      </c>
      <c r="F44" s="47">
        <v>1</v>
      </c>
      <c r="G44" s="47">
        <v>1</v>
      </c>
      <c r="H44" s="1">
        <v>87</v>
      </c>
      <c r="I44" s="1">
        <v>88</v>
      </c>
      <c r="J44" s="1">
        <v>88</v>
      </c>
      <c r="K44" s="1">
        <v>88</v>
      </c>
      <c r="L44" s="1">
        <v>88</v>
      </c>
      <c r="M44" s="1">
        <v>88</v>
      </c>
    </row>
    <row r="45" spans="1:13" ht="15" customHeight="1" x14ac:dyDescent="0.3">
      <c r="B45" t="s">
        <v>101</v>
      </c>
      <c r="F45" s="47">
        <v>1</v>
      </c>
      <c r="G45" s="47">
        <v>1</v>
      </c>
      <c r="H45" s="1">
        <v>87</v>
      </c>
      <c r="I45" s="1">
        <v>88</v>
      </c>
      <c r="J45" s="1">
        <v>88</v>
      </c>
      <c r="K45" s="1">
        <v>88</v>
      </c>
      <c r="L45" s="1">
        <v>88</v>
      </c>
      <c r="M45" s="1">
        <v>88</v>
      </c>
    </row>
    <row r="46" spans="1:13" ht="15" customHeight="1" x14ac:dyDescent="0.3">
      <c r="B46" t="s">
        <v>103</v>
      </c>
      <c r="F46" s="47">
        <v>1</v>
      </c>
      <c r="G46" s="47">
        <v>1</v>
      </c>
      <c r="H46" s="1">
        <v>87</v>
      </c>
      <c r="I46" s="1">
        <v>88</v>
      </c>
      <c r="J46" s="1">
        <v>88</v>
      </c>
      <c r="K46" s="1">
        <v>88</v>
      </c>
      <c r="L46" s="1">
        <v>88</v>
      </c>
      <c r="M46" s="1">
        <v>88</v>
      </c>
    </row>
    <row r="47" spans="1:13" ht="15" customHeight="1" x14ac:dyDescent="0.3">
      <c r="B47" t="s">
        <v>104</v>
      </c>
      <c r="F47" s="47">
        <v>1</v>
      </c>
      <c r="G47" s="47">
        <v>1</v>
      </c>
      <c r="H47" s="1">
        <v>87</v>
      </c>
      <c r="I47" s="1">
        <v>88</v>
      </c>
      <c r="J47" s="1">
        <v>88</v>
      </c>
      <c r="K47" s="1">
        <v>88</v>
      </c>
      <c r="L47" s="1">
        <v>88</v>
      </c>
      <c r="M47" s="1">
        <v>88</v>
      </c>
    </row>
    <row r="48" spans="1:13" ht="15" customHeight="1" x14ac:dyDescent="0.3">
      <c r="B48" t="s">
        <v>105</v>
      </c>
      <c r="F48" s="47">
        <v>1</v>
      </c>
      <c r="G48" s="47">
        <v>1</v>
      </c>
      <c r="H48" s="1">
        <v>87</v>
      </c>
      <c r="I48" s="1">
        <v>88</v>
      </c>
      <c r="J48" s="1">
        <v>88</v>
      </c>
      <c r="K48" s="1">
        <v>88</v>
      </c>
      <c r="L48" s="1">
        <v>88</v>
      </c>
      <c r="M48" s="1">
        <v>88</v>
      </c>
    </row>
    <row r="49" spans="2:13" ht="15" customHeight="1" x14ac:dyDescent="0.3">
      <c r="B49" t="s">
        <v>106</v>
      </c>
      <c r="F49" s="47">
        <v>1</v>
      </c>
      <c r="G49" s="47">
        <v>1</v>
      </c>
      <c r="H49" s="1">
        <v>87</v>
      </c>
      <c r="I49" s="1">
        <v>88</v>
      </c>
      <c r="J49" s="1">
        <v>88</v>
      </c>
      <c r="K49" s="1">
        <v>88</v>
      </c>
      <c r="L49" s="1">
        <v>88</v>
      </c>
      <c r="M49" s="1">
        <v>88</v>
      </c>
    </row>
    <row r="50" spans="2:13" ht="15" customHeight="1" x14ac:dyDescent="0.3">
      <c r="B50" t="s">
        <v>107</v>
      </c>
      <c r="F50" s="47">
        <v>1</v>
      </c>
      <c r="G50" s="47">
        <v>1</v>
      </c>
      <c r="H50" s="1">
        <v>87</v>
      </c>
      <c r="I50" s="1">
        <v>88</v>
      </c>
      <c r="J50" s="1">
        <v>88</v>
      </c>
      <c r="K50" s="1">
        <v>88</v>
      </c>
      <c r="L50" s="1">
        <v>88</v>
      </c>
      <c r="M50" s="1">
        <v>88</v>
      </c>
    </row>
    <row r="51" spans="2:13" ht="15" customHeight="1" x14ac:dyDescent="0.3">
      <c r="B51" t="s">
        <v>108</v>
      </c>
      <c r="F51" s="47">
        <v>1</v>
      </c>
      <c r="G51" s="47">
        <v>1</v>
      </c>
      <c r="H51" s="1">
        <v>87</v>
      </c>
      <c r="I51" s="1">
        <v>88</v>
      </c>
      <c r="J51" s="1">
        <v>88</v>
      </c>
      <c r="K51" s="1">
        <v>88</v>
      </c>
      <c r="L51" s="1">
        <v>88</v>
      </c>
      <c r="M51" s="1">
        <v>88</v>
      </c>
    </row>
    <row r="52" spans="2:13" ht="15" customHeight="1" x14ac:dyDescent="0.3">
      <c r="B52" t="s">
        <v>109</v>
      </c>
      <c r="F52" s="47">
        <v>1</v>
      </c>
      <c r="G52" s="47">
        <v>1</v>
      </c>
      <c r="H52" s="1">
        <v>87</v>
      </c>
      <c r="I52" s="1">
        <v>88</v>
      </c>
      <c r="J52" s="1">
        <v>88</v>
      </c>
      <c r="K52" s="1">
        <v>88</v>
      </c>
      <c r="L52" s="1">
        <v>88</v>
      </c>
      <c r="M52" s="1">
        <v>88</v>
      </c>
    </row>
    <row r="53" spans="2:13" ht="15" customHeight="1" x14ac:dyDescent="0.3">
      <c r="B53" t="s">
        <v>110</v>
      </c>
      <c r="F53" s="47">
        <v>1</v>
      </c>
      <c r="G53" s="47">
        <v>1</v>
      </c>
      <c r="H53" s="1">
        <v>87</v>
      </c>
      <c r="I53" s="1">
        <v>88</v>
      </c>
      <c r="J53" s="1">
        <v>88</v>
      </c>
      <c r="K53" s="1">
        <v>88</v>
      </c>
      <c r="L53" s="1">
        <v>88</v>
      </c>
      <c r="M53" s="1">
        <v>88</v>
      </c>
    </row>
    <row r="54" spans="2:13" ht="15" customHeight="1" x14ac:dyDescent="0.3">
      <c r="B54" t="s">
        <v>111</v>
      </c>
      <c r="F54" s="47">
        <v>1</v>
      </c>
      <c r="G54" s="47">
        <v>1</v>
      </c>
      <c r="H54" s="1">
        <v>87</v>
      </c>
      <c r="I54" s="1">
        <v>88</v>
      </c>
      <c r="J54" s="1">
        <v>88</v>
      </c>
      <c r="K54" s="1">
        <v>88</v>
      </c>
      <c r="L54" s="1">
        <v>88</v>
      </c>
      <c r="M54" s="1">
        <v>88</v>
      </c>
    </row>
    <row r="55" spans="2:13" ht="15" customHeight="1" x14ac:dyDescent="0.3">
      <c r="B55" t="s">
        <v>112</v>
      </c>
      <c r="F55" s="47">
        <v>1</v>
      </c>
      <c r="G55" s="47">
        <v>1</v>
      </c>
      <c r="H55" s="1">
        <v>87</v>
      </c>
      <c r="I55" s="1">
        <v>88</v>
      </c>
      <c r="J55" s="1">
        <v>88</v>
      </c>
      <c r="K55" s="1">
        <v>88</v>
      </c>
      <c r="L55" s="1">
        <v>88</v>
      </c>
      <c r="M55" s="1">
        <v>88</v>
      </c>
    </row>
    <row r="56" spans="2:13" ht="15" customHeight="1" x14ac:dyDescent="0.3">
      <c r="B56" t="s">
        <v>113</v>
      </c>
      <c r="F56" s="47">
        <v>1</v>
      </c>
      <c r="G56" s="47">
        <v>1</v>
      </c>
      <c r="H56" s="1">
        <v>87</v>
      </c>
      <c r="I56" s="1">
        <v>88</v>
      </c>
      <c r="J56" s="1">
        <v>88</v>
      </c>
      <c r="K56" s="1">
        <v>88</v>
      </c>
      <c r="L56" s="1">
        <v>88</v>
      </c>
      <c r="M56" s="1">
        <v>88</v>
      </c>
    </row>
    <row r="57" spans="2:13" ht="15" customHeight="1" x14ac:dyDescent="0.3">
      <c r="B57" t="s">
        <v>114</v>
      </c>
      <c r="F57" s="47">
        <v>1</v>
      </c>
      <c r="G57" s="47">
        <v>1</v>
      </c>
      <c r="H57" s="1">
        <v>87</v>
      </c>
      <c r="I57" s="1">
        <v>88</v>
      </c>
      <c r="J57" s="1">
        <v>88</v>
      </c>
      <c r="K57" s="1">
        <v>88</v>
      </c>
      <c r="L57" s="1">
        <v>88</v>
      </c>
      <c r="M57" s="1">
        <v>88</v>
      </c>
    </row>
    <row r="58" spans="2:13" ht="15" customHeight="1" x14ac:dyDescent="0.3">
      <c r="B58" t="s">
        <v>115</v>
      </c>
      <c r="F58" s="47">
        <v>1</v>
      </c>
      <c r="G58" s="47">
        <v>1</v>
      </c>
      <c r="H58" s="1">
        <v>87</v>
      </c>
      <c r="I58" s="1">
        <v>88</v>
      </c>
      <c r="J58" s="1">
        <v>88</v>
      </c>
      <c r="K58" s="1">
        <v>88</v>
      </c>
      <c r="L58" s="1">
        <v>88</v>
      </c>
      <c r="M58" s="1">
        <v>88</v>
      </c>
    </row>
    <row r="59" spans="2:13" ht="15" customHeight="1" x14ac:dyDescent="0.3">
      <c r="B59" t="s">
        <v>116</v>
      </c>
      <c r="F59" s="47">
        <v>1</v>
      </c>
      <c r="G59" s="47">
        <v>1</v>
      </c>
      <c r="H59" s="1">
        <v>87</v>
      </c>
      <c r="I59" s="1">
        <v>88</v>
      </c>
      <c r="J59" s="1">
        <v>88</v>
      </c>
      <c r="K59" s="1">
        <v>88</v>
      </c>
      <c r="L59" s="1">
        <v>88</v>
      </c>
      <c r="M59" s="1">
        <v>88</v>
      </c>
    </row>
    <row r="60" spans="2:13" ht="15" customHeight="1" x14ac:dyDescent="0.3">
      <c r="B60" t="s">
        <v>117</v>
      </c>
      <c r="F60" s="47">
        <v>1</v>
      </c>
      <c r="G60" s="47">
        <v>1</v>
      </c>
      <c r="H60" s="1">
        <v>87</v>
      </c>
      <c r="I60" s="1">
        <v>88</v>
      </c>
      <c r="J60" s="1">
        <v>88</v>
      </c>
      <c r="K60" s="1">
        <v>88</v>
      </c>
      <c r="L60" s="1">
        <v>88</v>
      </c>
      <c r="M60" s="1">
        <v>88</v>
      </c>
    </row>
    <row r="61" spans="2:13" ht="15" customHeight="1" x14ac:dyDescent="0.3">
      <c r="B61" t="s">
        <v>118</v>
      </c>
      <c r="F61" s="47">
        <v>1</v>
      </c>
      <c r="G61" s="47">
        <v>1</v>
      </c>
      <c r="H61" s="1">
        <v>87</v>
      </c>
      <c r="I61" s="1">
        <v>88</v>
      </c>
      <c r="J61" s="1">
        <v>88</v>
      </c>
      <c r="K61" s="1">
        <v>88</v>
      </c>
      <c r="L61" s="1">
        <v>88</v>
      </c>
      <c r="M61" s="1">
        <v>88</v>
      </c>
    </row>
    <row r="62" spans="2:13" ht="15" customHeight="1" x14ac:dyDescent="0.3">
      <c r="B62" t="s">
        <v>119</v>
      </c>
      <c r="F62" s="47">
        <v>1</v>
      </c>
      <c r="G62" s="47"/>
      <c r="H62" s="1">
        <v>87</v>
      </c>
      <c r="I62" s="1">
        <v>88</v>
      </c>
      <c r="J62" s="1">
        <v>88</v>
      </c>
      <c r="K62" s="1">
        <v>30</v>
      </c>
      <c r="L62" s="1">
        <v>88</v>
      </c>
      <c r="M62" s="1">
        <v>88</v>
      </c>
    </row>
    <row r="63" spans="2:13" ht="15" customHeight="1" x14ac:dyDescent="0.3">
      <c r="B63" t="s">
        <v>120</v>
      </c>
      <c r="F63" s="47">
        <v>1</v>
      </c>
      <c r="G63" s="47"/>
      <c r="H63" s="1">
        <v>87</v>
      </c>
      <c r="I63" s="1">
        <v>88</v>
      </c>
      <c r="J63" s="1">
        <v>88</v>
      </c>
      <c r="K63" s="1">
        <v>88</v>
      </c>
      <c r="L63" s="1">
        <v>30</v>
      </c>
      <c r="M63" s="1">
        <v>88</v>
      </c>
    </row>
    <row r="64" spans="2:13" ht="15" customHeight="1" x14ac:dyDescent="0.3">
      <c r="B64" t="s">
        <v>121</v>
      </c>
      <c r="F64" s="47">
        <v>1</v>
      </c>
      <c r="G64" s="47"/>
      <c r="H64" s="1">
        <v>87</v>
      </c>
      <c r="I64" s="1">
        <v>88</v>
      </c>
      <c r="J64" s="1">
        <v>88</v>
      </c>
      <c r="K64" s="1">
        <v>88</v>
      </c>
      <c r="L64" s="1">
        <v>88</v>
      </c>
      <c r="M64" s="1">
        <v>30</v>
      </c>
    </row>
    <row r="65" spans="1:13" ht="15" customHeight="1" x14ac:dyDescent="0.3">
      <c r="B65" t="s">
        <v>122</v>
      </c>
      <c r="F65" s="47">
        <v>1</v>
      </c>
      <c r="G65" s="47"/>
      <c r="H65" s="1">
        <v>87</v>
      </c>
      <c r="I65" s="1">
        <v>88</v>
      </c>
      <c r="J65" s="1">
        <v>88</v>
      </c>
      <c r="K65" s="1">
        <v>88</v>
      </c>
      <c r="L65" s="1">
        <v>88</v>
      </c>
      <c r="M65" s="1">
        <v>88</v>
      </c>
    </row>
    <row r="66" spans="1:13" ht="15" customHeight="1" x14ac:dyDescent="0.3">
      <c r="B66" t="s">
        <v>131</v>
      </c>
      <c r="F66" s="47">
        <v>1</v>
      </c>
      <c r="G66" s="47">
        <v>1</v>
      </c>
      <c r="H66" s="1">
        <v>87</v>
      </c>
      <c r="I66" s="1">
        <v>88</v>
      </c>
      <c r="J66" s="1">
        <v>88</v>
      </c>
      <c r="K66" s="1">
        <v>88</v>
      </c>
      <c r="L66" s="1">
        <v>88</v>
      </c>
      <c r="M66" s="1">
        <v>88</v>
      </c>
    </row>
    <row r="69" spans="1:13" ht="15" customHeight="1" x14ac:dyDescent="0.3">
      <c r="A69" s="1" t="s">
        <v>18</v>
      </c>
      <c r="B69" s="8" t="s">
        <v>130</v>
      </c>
      <c r="F69" s="53" t="s">
        <v>253</v>
      </c>
      <c r="G69" s="53" t="s">
        <v>251</v>
      </c>
    </row>
    <row r="70" spans="1:13" ht="15" customHeight="1" x14ac:dyDescent="0.3">
      <c r="B70" t="s">
        <v>97</v>
      </c>
      <c r="F70" s="47">
        <v>1</v>
      </c>
      <c r="G70" s="47">
        <v>1</v>
      </c>
      <c r="H70" s="1">
        <f>H43*Scenarios!$H$19</f>
        <v>3697500</v>
      </c>
      <c r="I70" s="1">
        <f>I43*Scenarios!$I$19</f>
        <v>3766400</v>
      </c>
      <c r="J70" s="1">
        <f>J43*Scenarios!$J$19</f>
        <v>4479200</v>
      </c>
      <c r="K70" s="1">
        <f>K43*Scenarios!$K$19</f>
        <v>4320800</v>
      </c>
      <c r="L70" s="1">
        <f>L43*Scenarios!L$19</f>
        <v>3731200</v>
      </c>
      <c r="M70" s="1">
        <f>M43*Scenarios!M$19</f>
        <v>3967040</v>
      </c>
    </row>
    <row r="71" spans="1:13" ht="15" customHeight="1" x14ac:dyDescent="0.3">
      <c r="B71" t="s">
        <v>99</v>
      </c>
      <c r="F71" s="47">
        <v>1</v>
      </c>
      <c r="G71" s="47">
        <v>1</v>
      </c>
      <c r="H71" s="1">
        <f>H44*Scenarios!$H$19</f>
        <v>3697500</v>
      </c>
      <c r="I71" s="1">
        <f>I44*Scenarios!$I$19</f>
        <v>3766400</v>
      </c>
      <c r="J71" s="1">
        <f>J44*Scenarios!$J$19</f>
        <v>4479200</v>
      </c>
      <c r="K71" s="1">
        <f>K44*Scenarios!$K$19</f>
        <v>4320800</v>
      </c>
      <c r="L71" s="1">
        <f>L44*Scenarios!L$19</f>
        <v>3731200</v>
      </c>
      <c r="M71" s="1">
        <f>M44*Scenarios!M$19</f>
        <v>3967040</v>
      </c>
    </row>
    <row r="72" spans="1:13" ht="15" customHeight="1" x14ac:dyDescent="0.3">
      <c r="B72" t="s">
        <v>101</v>
      </c>
      <c r="F72" s="47">
        <v>1</v>
      </c>
      <c r="G72" s="47">
        <v>1</v>
      </c>
      <c r="H72" s="1">
        <f>H45*Scenarios!$H$19</f>
        <v>3697500</v>
      </c>
      <c r="I72" s="1">
        <f>I45*Scenarios!$I$19</f>
        <v>3766400</v>
      </c>
      <c r="J72" s="1">
        <f>J45*Scenarios!$J$19</f>
        <v>4479200</v>
      </c>
      <c r="K72" s="1">
        <f>K45*Scenarios!$K$19</f>
        <v>4320800</v>
      </c>
      <c r="L72" s="1">
        <f>L45*Scenarios!L$19</f>
        <v>3731200</v>
      </c>
      <c r="M72" s="1">
        <f>M45*Scenarios!M$19</f>
        <v>3967040</v>
      </c>
    </row>
    <row r="73" spans="1:13" ht="15" customHeight="1" x14ac:dyDescent="0.3">
      <c r="B73" t="s">
        <v>103</v>
      </c>
      <c r="F73" s="47">
        <v>1</v>
      </c>
      <c r="G73" s="47">
        <v>1</v>
      </c>
      <c r="H73" s="1">
        <f>H46*Scenarios!$H$19</f>
        <v>3697500</v>
      </c>
      <c r="I73" s="1">
        <f>I46*Scenarios!$I$19</f>
        <v>3766400</v>
      </c>
      <c r="J73" s="1">
        <f>J46*Scenarios!$J$19</f>
        <v>4479200</v>
      </c>
      <c r="K73" s="1">
        <f>K46*Scenarios!$K$19</f>
        <v>4320800</v>
      </c>
      <c r="L73" s="1">
        <f>L46*Scenarios!L$19</f>
        <v>3731200</v>
      </c>
      <c r="M73" s="1">
        <f>M46*Scenarios!M$19</f>
        <v>3967040</v>
      </c>
    </row>
    <row r="74" spans="1:13" ht="15" customHeight="1" x14ac:dyDescent="0.3">
      <c r="B74" t="s">
        <v>104</v>
      </c>
      <c r="F74" s="47">
        <v>1</v>
      </c>
      <c r="G74" s="47">
        <v>1</v>
      </c>
      <c r="H74" s="1">
        <f>H47*Scenarios!$H$19</f>
        <v>3697500</v>
      </c>
      <c r="I74" s="1">
        <f>I47*Scenarios!$I$19</f>
        <v>3766400</v>
      </c>
      <c r="J74" s="1">
        <f>J47*Scenarios!$J$19</f>
        <v>4479200</v>
      </c>
      <c r="K74" s="1">
        <f>K47*Scenarios!$K$19</f>
        <v>4320800</v>
      </c>
      <c r="L74" s="1">
        <f>L47*Scenarios!L$19</f>
        <v>3731200</v>
      </c>
      <c r="M74" s="1">
        <f>M47*Scenarios!M$19</f>
        <v>3967040</v>
      </c>
    </row>
    <row r="75" spans="1:13" ht="15" customHeight="1" x14ac:dyDescent="0.3">
      <c r="B75" t="s">
        <v>105</v>
      </c>
      <c r="F75" s="47">
        <v>1</v>
      </c>
      <c r="G75" s="47">
        <v>1</v>
      </c>
      <c r="H75" s="1">
        <f>H48*Scenarios!$H$19</f>
        <v>3697500</v>
      </c>
      <c r="I75" s="1">
        <f>I48*Scenarios!$I$19</f>
        <v>3766400</v>
      </c>
      <c r="J75" s="1">
        <f>J48*Scenarios!$J$19</f>
        <v>4479200</v>
      </c>
      <c r="K75" s="1">
        <f>K48*Scenarios!$K$19</f>
        <v>4320800</v>
      </c>
      <c r="L75" s="1">
        <f>L48*Scenarios!L$19</f>
        <v>3731200</v>
      </c>
      <c r="M75" s="1">
        <f>M48*Scenarios!M$19</f>
        <v>3967040</v>
      </c>
    </row>
    <row r="76" spans="1:13" ht="15" customHeight="1" x14ac:dyDescent="0.3">
      <c r="B76" t="s">
        <v>106</v>
      </c>
      <c r="F76" s="47">
        <v>1</v>
      </c>
      <c r="G76" s="47">
        <v>1</v>
      </c>
      <c r="H76" s="1">
        <f>H49*Scenarios!$H$19</f>
        <v>3697500</v>
      </c>
      <c r="I76" s="1">
        <f>I49*Scenarios!$I$19</f>
        <v>3766400</v>
      </c>
      <c r="J76" s="1">
        <f>J49*Scenarios!$J$19</f>
        <v>4479200</v>
      </c>
      <c r="K76" s="1">
        <f>K49*Scenarios!$K$19</f>
        <v>4320800</v>
      </c>
      <c r="L76" s="1">
        <f>L49*Scenarios!L$19</f>
        <v>3731200</v>
      </c>
      <c r="M76" s="1">
        <f>M49*Scenarios!M$19</f>
        <v>3967040</v>
      </c>
    </row>
    <row r="77" spans="1:13" ht="15" customHeight="1" x14ac:dyDescent="0.3">
      <c r="B77" t="s">
        <v>107</v>
      </c>
      <c r="F77" s="47">
        <v>1</v>
      </c>
      <c r="G77" s="47">
        <v>1</v>
      </c>
      <c r="H77" s="1">
        <f>H50*Scenarios!$H$19</f>
        <v>3697500</v>
      </c>
      <c r="I77" s="1">
        <f>I50*Scenarios!$I$19</f>
        <v>3766400</v>
      </c>
      <c r="J77" s="1">
        <f>J50*Scenarios!$J$19</f>
        <v>4479200</v>
      </c>
      <c r="K77" s="1">
        <f>K50*Scenarios!$K$19</f>
        <v>4320800</v>
      </c>
      <c r="L77" s="1">
        <f>L50*Scenarios!L$19</f>
        <v>3731200</v>
      </c>
      <c r="M77" s="1">
        <f>M50*Scenarios!M$19</f>
        <v>3967040</v>
      </c>
    </row>
    <row r="78" spans="1:13" ht="15" customHeight="1" x14ac:dyDescent="0.3">
      <c r="B78" t="s">
        <v>108</v>
      </c>
      <c r="F78" s="47">
        <v>1</v>
      </c>
      <c r="G78" s="47">
        <v>1</v>
      </c>
      <c r="H78" s="1">
        <f>H51*Scenarios!$H$19</f>
        <v>3697500</v>
      </c>
      <c r="I78" s="1">
        <f>I51*Scenarios!$I$19</f>
        <v>3766400</v>
      </c>
      <c r="J78" s="1">
        <f>J51*Scenarios!$J$19</f>
        <v>4479200</v>
      </c>
      <c r="K78" s="1">
        <f>K51*Scenarios!$K$19</f>
        <v>4320800</v>
      </c>
      <c r="L78" s="1">
        <f>L51*Scenarios!L$19</f>
        <v>3731200</v>
      </c>
      <c r="M78" s="1">
        <f>M51*Scenarios!M$19</f>
        <v>3967040</v>
      </c>
    </row>
    <row r="79" spans="1:13" ht="15" customHeight="1" x14ac:dyDescent="0.3">
      <c r="B79" t="s">
        <v>109</v>
      </c>
      <c r="F79" s="47">
        <v>1</v>
      </c>
      <c r="G79" s="47">
        <v>1</v>
      </c>
      <c r="H79" s="1">
        <f>H52*Scenarios!$H$19</f>
        <v>3697500</v>
      </c>
      <c r="I79" s="1">
        <f>I52*Scenarios!$I$19</f>
        <v>3766400</v>
      </c>
      <c r="J79" s="1">
        <f>J52*Scenarios!$J$19</f>
        <v>4479200</v>
      </c>
      <c r="K79" s="1">
        <f>K52*Scenarios!$K$19</f>
        <v>4320800</v>
      </c>
      <c r="L79" s="1">
        <f>L52*Scenarios!L$19</f>
        <v>3731200</v>
      </c>
      <c r="M79" s="1">
        <f>M52*Scenarios!M$19</f>
        <v>3967040</v>
      </c>
    </row>
    <row r="80" spans="1:13" ht="15" customHeight="1" x14ac:dyDescent="0.3">
      <c r="B80" t="s">
        <v>110</v>
      </c>
      <c r="F80" s="47">
        <v>1</v>
      </c>
      <c r="G80" s="47">
        <v>1</v>
      </c>
      <c r="H80" s="1">
        <f>H53*Scenarios!$H$19</f>
        <v>3697500</v>
      </c>
      <c r="I80" s="1">
        <f>I53*Scenarios!$I$19</f>
        <v>3766400</v>
      </c>
      <c r="J80" s="1">
        <f>J53*Scenarios!$J$19</f>
        <v>4479200</v>
      </c>
      <c r="K80" s="1">
        <f>K53*Scenarios!$K$19</f>
        <v>4320800</v>
      </c>
      <c r="L80" s="1">
        <f>L53*Scenarios!L$19</f>
        <v>3731200</v>
      </c>
      <c r="M80" s="1">
        <f>M53*Scenarios!M$19</f>
        <v>3967040</v>
      </c>
    </row>
    <row r="81" spans="1:13" ht="15" customHeight="1" x14ac:dyDescent="0.3">
      <c r="B81" t="s">
        <v>111</v>
      </c>
      <c r="F81" s="47">
        <v>1</v>
      </c>
      <c r="G81" s="47">
        <v>1</v>
      </c>
      <c r="H81" s="1">
        <f>H54*Scenarios!$H$19</f>
        <v>3697500</v>
      </c>
      <c r="I81" s="1">
        <f>I54*Scenarios!$I$19</f>
        <v>3766400</v>
      </c>
      <c r="J81" s="1">
        <f>J54*Scenarios!$J$19</f>
        <v>4479200</v>
      </c>
      <c r="K81" s="1">
        <f>K54*Scenarios!$K$19</f>
        <v>4320800</v>
      </c>
      <c r="L81" s="1">
        <f>L54*Scenarios!L$19</f>
        <v>3731200</v>
      </c>
      <c r="M81" s="1">
        <f>M54*Scenarios!M$19</f>
        <v>3967040</v>
      </c>
    </row>
    <row r="82" spans="1:13" ht="15" customHeight="1" x14ac:dyDescent="0.3">
      <c r="B82" t="s">
        <v>112</v>
      </c>
      <c r="F82" s="47">
        <v>1</v>
      </c>
      <c r="G82" s="47">
        <v>1</v>
      </c>
      <c r="H82" s="1">
        <f>H55*Scenarios!$H$19</f>
        <v>3697500</v>
      </c>
      <c r="I82" s="1">
        <f>I55*Scenarios!$I$19</f>
        <v>3766400</v>
      </c>
      <c r="J82" s="1">
        <f>J55*Scenarios!$J$19</f>
        <v>4479200</v>
      </c>
      <c r="K82" s="1">
        <f>K55*Scenarios!$K$19</f>
        <v>4320800</v>
      </c>
      <c r="L82" s="1">
        <f>L55*Scenarios!L$19</f>
        <v>3731200</v>
      </c>
      <c r="M82" s="1">
        <f>M55*Scenarios!M$19</f>
        <v>3967040</v>
      </c>
    </row>
    <row r="83" spans="1:13" ht="15" customHeight="1" x14ac:dyDescent="0.3">
      <c r="B83" t="s">
        <v>113</v>
      </c>
      <c r="F83" s="47">
        <v>1</v>
      </c>
      <c r="G83" s="47">
        <v>1</v>
      </c>
      <c r="H83" s="1">
        <f>H56*Scenarios!$H$19</f>
        <v>3697500</v>
      </c>
      <c r="I83" s="1">
        <f>I56*Scenarios!$I$19</f>
        <v>3766400</v>
      </c>
      <c r="J83" s="1">
        <f>J56*Scenarios!$J$19</f>
        <v>4479200</v>
      </c>
      <c r="K83" s="1">
        <f>K56*Scenarios!$K$19</f>
        <v>4320800</v>
      </c>
      <c r="L83" s="1">
        <f>L56*Scenarios!L$19</f>
        <v>3731200</v>
      </c>
      <c r="M83" s="1">
        <f>M56*Scenarios!M$19</f>
        <v>3967040</v>
      </c>
    </row>
    <row r="84" spans="1:13" ht="15" customHeight="1" x14ac:dyDescent="0.3">
      <c r="B84" t="s">
        <v>114</v>
      </c>
      <c r="F84" s="47">
        <v>1</v>
      </c>
      <c r="G84" s="47">
        <v>1</v>
      </c>
      <c r="H84" s="1">
        <f>H57*Scenarios!$H$19</f>
        <v>3697500</v>
      </c>
      <c r="I84" s="1">
        <f>I57*Scenarios!$I$19</f>
        <v>3766400</v>
      </c>
      <c r="J84" s="1">
        <f>J57*Scenarios!$J$19</f>
        <v>4479200</v>
      </c>
      <c r="K84" s="1">
        <f>K57*Scenarios!$K$19</f>
        <v>4320800</v>
      </c>
      <c r="L84" s="1">
        <f>L57*Scenarios!L$19</f>
        <v>3731200</v>
      </c>
      <c r="M84" s="1">
        <f>M57*Scenarios!M$19</f>
        <v>3967040</v>
      </c>
    </row>
    <row r="85" spans="1:13" ht="15" customHeight="1" x14ac:dyDescent="0.3">
      <c r="B85" t="s">
        <v>115</v>
      </c>
      <c r="F85" s="47">
        <v>1</v>
      </c>
      <c r="G85" s="47">
        <v>1</v>
      </c>
      <c r="H85" s="1">
        <f>H58*Scenarios!$H$19</f>
        <v>3697500</v>
      </c>
      <c r="I85" s="1">
        <f>I58*Scenarios!$I$19</f>
        <v>3766400</v>
      </c>
      <c r="J85" s="1">
        <f>J58*Scenarios!$J$19</f>
        <v>4479200</v>
      </c>
      <c r="K85" s="1">
        <f>K58*Scenarios!$K$19</f>
        <v>4320800</v>
      </c>
      <c r="L85" s="1">
        <f>L58*Scenarios!L$19</f>
        <v>3731200</v>
      </c>
      <c r="M85" s="1">
        <f>M58*Scenarios!M$19</f>
        <v>3967040</v>
      </c>
    </row>
    <row r="86" spans="1:13" ht="15" customHeight="1" x14ac:dyDescent="0.3">
      <c r="B86" t="s">
        <v>116</v>
      </c>
      <c r="F86" s="47">
        <v>1</v>
      </c>
      <c r="G86" s="47">
        <v>1</v>
      </c>
      <c r="H86" s="1">
        <f>H59*Scenarios!$H$19</f>
        <v>3697500</v>
      </c>
      <c r="I86" s="1">
        <f>I59*Scenarios!$I$19</f>
        <v>3766400</v>
      </c>
      <c r="J86" s="1">
        <f>J59*Scenarios!$J$19</f>
        <v>4479200</v>
      </c>
      <c r="K86" s="1">
        <f>K59*Scenarios!$K$19</f>
        <v>4320800</v>
      </c>
      <c r="L86" s="1">
        <f>L59*Scenarios!L$19</f>
        <v>3731200</v>
      </c>
      <c r="M86" s="1">
        <f>M59*Scenarios!M$19</f>
        <v>3967040</v>
      </c>
    </row>
    <row r="87" spans="1:13" ht="15" customHeight="1" x14ac:dyDescent="0.3">
      <c r="B87" t="s">
        <v>117</v>
      </c>
      <c r="F87" s="47">
        <v>1</v>
      </c>
      <c r="G87" s="47">
        <v>1</v>
      </c>
      <c r="H87" s="1">
        <f>H60*Scenarios!$H$19</f>
        <v>3697500</v>
      </c>
      <c r="I87" s="1">
        <f>I60*Scenarios!$I$19</f>
        <v>3766400</v>
      </c>
      <c r="J87" s="1">
        <f>J60*Scenarios!$J$19</f>
        <v>4479200</v>
      </c>
      <c r="K87" s="1">
        <f>K60*Scenarios!$K$19</f>
        <v>4320800</v>
      </c>
      <c r="L87" s="1">
        <f>L60*Scenarios!L$19</f>
        <v>3731200</v>
      </c>
      <c r="M87" s="1">
        <f>M60*Scenarios!M$19</f>
        <v>3967040</v>
      </c>
    </row>
    <row r="88" spans="1:13" ht="15" customHeight="1" x14ac:dyDescent="0.3">
      <c r="B88" t="s">
        <v>118</v>
      </c>
      <c r="F88" s="47">
        <v>1</v>
      </c>
      <c r="G88" s="47">
        <v>1</v>
      </c>
      <c r="H88" s="1">
        <f>H61*Scenarios!$H$19</f>
        <v>3697500</v>
      </c>
      <c r="I88" s="1">
        <f>I61*Scenarios!$I$19</f>
        <v>3766400</v>
      </c>
      <c r="J88" s="1">
        <f>J61*Scenarios!$J$19</f>
        <v>4479200</v>
      </c>
      <c r="K88" s="1">
        <f>K61*Scenarios!$K$19</f>
        <v>4320800</v>
      </c>
      <c r="L88" s="1">
        <f>L61*Scenarios!L$19</f>
        <v>3731200</v>
      </c>
      <c r="M88" s="1">
        <f>M61*Scenarios!M$19</f>
        <v>3967040</v>
      </c>
    </row>
    <row r="89" spans="1:13" ht="15" customHeight="1" x14ac:dyDescent="0.3">
      <c r="B89" t="s">
        <v>119</v>
      </c>
      <c r="F89" s="47">
        <v>1</v>
      </c>
      <c r="G89" s="47"/>
      <c r="H89" s="1">
        <f>H62*Scenarios!$H$19</f>
        <v>3697500</v>
      </c>
      <c r="I89" s="1">
        <f>I62*Scenarios!$I$19</f>
        <v>3766400</v>
      </c>
      <c r="J89" s="1">
        <f>J62*Scenarios!$J$19</f>
        <v>4479200</v>
      </c>
      <c r="K89" s="1">
        <f>K62*Scenarios!$K$19</f>
        <v>1473000</v>
      </c>
      <c r="L89" s="1">
        <f>L62*Scenarios!L$19</f>
        <v>3731200</v>
      </c>
      <c r="M89" s="1">
        <f>M62*Scenarios!M$19</f>
        <v>3967040</v>
      </c>
    </row>
    <row r="90" spans="1:13" ht="15" customHeight="1" x14ac:dyDescent="0.3">
      <c r="B90" t="s">
        <v>120</v>
      </c>
      <c r="F90" s="47">
        <v>1</v>
      </c>
      <c r="G90" s="47"/>
      <c r="H90" s="1">
        <f>H63*Scenarios!$H$19</f>
        <v>3697500</v>
      </c>
      <c r="I90" s="1">
        <f>I63*Scenarios!$I$19</f>
        <v>3766400</v>
      </c>
      <c r="J90" s="1">
        <f>J63*Scenarios!$J$19</f>
        <v>4479200</v>
      </c>
      <c r="K90" s="1">
        <f>K63*Scenarios!$K$19</f>
        <v>4320800</v>
      </c>
      <c r="L90" s="1">
        <f>L63*Scenarios!L$19</f>
        <v>1272000</v>
      </c>
      <c r="M90" s="1">
        <f>M63*Scenarios!M$19</f>
        <v>3967040</v>
      </c>
    </row>
    <row r="91" spans="1:13" ht="15" customHeight="1" x14ac:dyDescent="0.3">
      <c r="B91" t="s">
        <v>121</v>
      </c>
      <c r="F91" s="47">
        <v>1</v>
      </c>
      <c r="G91" s="47"/>
      <c r="H91" s="1">
        <f>H64*Scenarios!$H$19</f>
        <v>3697500</v>
      </c>
      <c r="I91" s="1">
        <f>I64*Scenarios!$I$19</f>
        <v>3766400</v>
      </c>
      <c r="J91" s="1">
        <f>J64*Scenarios!$J$19</f>
        <v>4479200</v>
      </c>
      <c r="K91" s="1">
        <f>K64*Scenarios!$K$19</f>
        <v>4320800</v>
      </c>
      <c r="L91" s="1">
        <f>L64*Scenarios!L$19</f>
        <v>3731200</v>
      </c>
      <c r="M91" s="1">
        <f>M64*Scenarios!M$19</f>
        <v>1352400</v>
      </c>
    </row>
    <row r="92" spans="1:13" ht="15" customHeight="1" x14ac:dyDescent="0.3">
      <c r="B92" t="s">
        <v>122</v>
      </c>
      <c r="F92" s="47">
        <v>1</v>
      </c>
      <c r="G92" s="47"/>
      <c r="H92" s="1">
        <f>H65*Scenarios!$H$19</f>
        <v>3697500</v>
      </c>
      <c r="I92" s="1">
        <f>I65*Scenarios!$I$19</f>
        <v>3766400</v>
      </c>
      <c r="J92" s="1">
        <f>J65*Scenarios!$J$19</f>
        <v>4479200</v>
      </c>
      <c r="K92" s="1">
        <f>K65*Scenarios!$K$19</f>
        <v>4320800</v>
      </c>
      <c r="L92" s="1">
        <f>L65*Scenarios!L$19</f>
        <v>3731200</v>
      </c>
      <c r="M92" s="1">
        <f>M65*Scenarios!M$19</f>
        <v>3967040</v>
      </c>
    </row>
    <row r="93" spans="1:13" ht="15" customHeight="1" x14ac:dyDescent="0.3">
      <c r="B93" t="s">
        <v>131</v>
      </c>
      <c r="F93" s="47">
        <v>1</v>
      </c>
      <c r="G93" s="47">
        <v>1</v>
      </c>
      <c r="H93" s="1">
        <f>H66*Scenarios!$H$19</f>
        <v>3697500</v>
      </c>
      <c r="I93" s="1">
        <f>I66*Scenarios!$I$19</f>
        <v>3766400</v>
      </c>
      <c r="J93" s="1">
        <f>J66*Scenarios!$J$19</f>
        <v>4479200</v>
      </c>
      <c r="K93" s="1">
        <f>K66*Scenarios!$K$19</f>
        <v>4320800</v>
      </c>
      <c r="L93" s="1">
        <f>L66*Scenarios!L$19</f>
        <v>3731200</v>
      </c>
      <c r="M93" s="1">
        <f>M66*Scenarios!M$19</f>
        <v>3967040</v>
      </c>
    </row>
    <row r="96" spans="1:13" ht="15" customHeight="1" x14ac:dyDescent="0.3">
      <c r="A96" s="1" t="s">
        <v>18</v>
      </c>
      <c r="B96" s="8" t="s">
        <v>254</v>
      </c>
      <c r="F96" s="53" t="s">
        <v>253</v>
      </c>
      <c r="G96" s="53" t="s">
        <v>251</v>
      </c>
    </row>
    <row r="97" spans="2:7" ht="15" customHeight="1" x14ac:dyDescent="0.3">
      <c r="B97" t="s">
        <v>97</v>
      </c>
      <c r="F97" s="47">
        <v>1</v>
      </c>
      <c r="G97" s="47">
        <v>1</v>
      </c>
    </row>
    <row r="98" spans="2:7" ht="15" customHeight="1" x14ac:dyDescent="0.3">
      <c r="B98" t="s">
        <v>99</v>
      </c>
      <c r="F98" s="47">
        <v>1</v>
      </c>
      <c r="G98" s="47">
        <v>1</v>
      </c>
    </row>
    <row r="99" spans="2:7" ht="15" customHeight="1" x14ac:dyDescent="0.3">
      <c r="B99" t="s">
        <v>101</v>
      </c>
      <c r="F99" s="47">
        <v>1</v>
      </c>
      <c r="G99" s="47">
        <v>1</v>
      </c>
    </row>
    <row r="100" spans="2:7" ht="15" customHeight="1" x14ac:dyDescent="0.3">
      <c r="B100" t="s">
        <v>103</v>
      </c>
      <c r="F100" s="47">
        <v>1</v>
      </c>
      <c r="G100" s="47">
        <v>1</v>
      </c>
    </row>
    <row r="101" spans="2:7" ht="15" customHeight="1" x14ac:dyDescent="0.3">
      <c r="B101" t="s">
        <v>104</v>
      </c>
      <c r="F101" s="47">
        <v>1</v>
      </c>
      <c r="G101" s="47">
        <v>1</v>
      </c>
    </row>
    <row r="102" spans="2:7" ht="15" customHeight="1" x14ac:dyDescent="0.3">
      <c r="B102" t="s">
        <v>105</v>
      </c>
      <c r="F102" s="47">
        <v>1</v>
      </c>
      <c r="G102" s="47">
        <v>1</v>
      </c>
    </row>
    <row r="103" spans="2:7" ht="15" customHeight="1" x14ac:dyDescent="0.3">
      <c r="B103" t="s">
        <v>106</v>
      </c>
      <c r="F103" s="47">
        <v>1</v>
      </c>
      <c r="G103" s="47">
        <v>1</v>
      </c>
    </row>
    <row r="104" spans="2:7" ht="15" customHeight="1" x14ac:dyDescent="0.3">
      <c r="B104" t="s">
        <v>107</v>
      </c>
      <c r="F104" s="47">
        <v>1</v>
      </c>
      <c r="G104" s="47">
        <v>1</v>
      </c>
    </row>
    <row r="105" spans="2:7" ht="15" customHeight="1" x14ac:dyDescent="0.3">
      <c r="B105" t="s">
        <v>108</v>
      </c>
      <c r="F105" s="47">
        <v>1</v>
      </c>
      <c r="G105" s="47">
        <v>1</v>
      </c>
    </row>
    <row r="106" spans="2:7" ht="15" customHeight="1" x14ac:dyDescent="0.3">
      <c r="B106" t="s">
        <v>109</v>
      </c>
      <c r="F106" s="47">
        <v>1</v>
      </c>
      <c r="G106" s="47">
        <v>1</v>
      </c>
    </row>
    <row r="107" spans="2:7" ht="15" customHeight="1" x14ac:dyDescent="0.3">
      <c r="B107" t="s">
        <v>110</v>
      </c>
      <c r="F107" s="47">
        <v>1</v>
      </c>
      <c r="G107" s="47">
        <v>1</v>
      </c>
    </row>
    <row r="108" spans="2:7" ht="15" customHeight="1" x14ac:dyDescent="0.3">
      <c r="B108" t="s">
        <v>111</v>
      </c>
      <c r="F108" s="47">
        <v>1</v>
      </c>
      <c r="G108" s="47">
        <v>1</v>
      </c>
    </row>
    <row r="109" spans="2:7" ht="15" customHeight="1" x14ac:dyDescent="0.3">
      <c r="B109" t="s">
        <v>112</v>
      </c>
      <c r="F109" s="47">
        <v>1</v>
      </c>
      <c r="G109" s="47">
        <v>1</v>
      </c>
    </row>
    <row r="110" spans="2:7" ht="15" customHeight="1" x14ac:dyDescent="0.3">
      <c r="B110" t="s">
        <v>113</v>
      </c>
      <c r="F110" s="47">
        <v>1</v>
      </c>
      <c r="G110" s="47">
        <v>1</v>
      </c>
    </row>
    <row r="111" spans="2:7" ht="15" customHeight="1" x14ac:dyDescent="0.3">
      <c r="B111" t="s">
        <v>114</v>
      </c>
      <c r="F111" s="47">
        <v>1</v>
      </c>
      <c r="G111" s="47">
        <v>1</v>
      </c>
    </row>
    <row r="112" spans="2:7" ht="15" customHeight="1" x14ac:dyDescent="0.3">
      <c r="B112" t="s">
        <v>115</v>
      </c>
      <c r="F112" s="47">
        <v>1</v>
      </c>
      <c r="G112" s="47">
        <v>1</v>
      </c>
    </row>
    <row r="113" spans="1:7" ht="15" customHeight="1" x14ac:dyDescent="0.3">
      <c r="B113" t="s">
        <v>116</v>
      </c>
      <c r="F113" s="47">
        <v>1</v>
      </c>
      <c r="G113" s="47">
        <v>1</v>
      </c>
    </row>
    <row r="114" spans="1:7" ht="15" customHeight="1" x14ac:dyDescent="0.3">
      <c r="B114" t="s">
        <v>117</v>
      </c>
      <c r="F114" s="47">
        <v>1</v>
      </c>
      <c r="G114" s="47">
        <v>1</v>
      </c>
    </row>
    <row r="115" spans="1:7" ht="15" customHeight="1" x14ac:dyDescent="0.3">
      <c r="B115" t="s">
        <v>118</v>
      </c>
      <c r="F115" s="47">
        <v>1</v>
      </c>
      <c r="G115" s="47">
        <v>1</v>
      </c>
    </row>
    <row r="116" spans="1:7" ht="15" customHeight="1" x14ac:dyDescent="0.3">
      <c r="B116" t="s">
        <v>119</v>
      </c>
      <c r="F116" s="47">
        <v>1</v>
      </c>
      <c r="G116" s="47"/>
    </row>
    <row r="117" spans="1:7" ht="15" customHeight="1" x14ac:dyDescent="0.3">
      <c r="B117" t="s">
        <v>120</v>
      </c>
      <c r="F117" s="47">
        <v>1</v>
      </c>
      <c r="G117" s="47"/>
    </row>
    <row r="118" spans="1:7" ht="15" customHeight="1" x14ac:dyDescent="0.3">
      <c r="B118" t="s">
        <v>121</v>
      </c>
      <c r="F118" s="47">
        <v>1</v>
      </c>
      <c r="G118" s="47"/>
    </row>
    <row r="119" spans="1:7" ht="15" customHeight="1" x14ac:dyDescent="0.3">
      <c r="B119" t="s">
        <v>122</v>
      </c>
      <c r="F119" s="47">
        <v>1</v>
      </c>
      <c r="G119" s="47"/>
    </row>
    <row r="120" spans="1:7" ht="15" customHeight="1" x14ac:dyDescent="0.3">
      <c r="B120" t="s">
        <v>131</v>
      </c>
      <c r="F120" s="47">
        <v>1</v>
      </c>
      <c r="G120" s="47">
        <v>1</v>
      </c>
    </row>
    <row r="123" spans="1:7" ht="15" customHeight="1" x14ac:dyDescent="0.3">
      <c r="A123" s="1" t="s">
        <v>18</v>
      </c>
      <c r="B123" s="8" t="s">
        <v>81</v>
      </c>
      <c r="F123" s="53" t="s">
        <v>253</v>
      </c>
      <c r="G123" s="53" t="s">
        <v>251</v>
      </c>
    </row>
    <row r="124" spans="1:7" ht="15" customHeight="1" x14ac:dyDescent="0.3">
      <c r="B124" t="s">
        <v>97</v>
      </c>
      <c r="F124" s="47">
        <v>1</v>
      </c>
      <c r="G124" s="47">
        <v>1</v>
      </c>
    </row>
    <row r="125" spans="1:7" ht="15" customHeight="1" x14ac:dyDescent="0.3">
      <c r="B125" t="s">
        <v>99</v>
      </c>
      <c r="F125" s="47">
        <v>1</v>
      </c>
      <c r="G125" s="47">
        <v>1</v>
      </c>
    </row>
    <row r="126" spans="1:7" ht="15" customHeight="1" x14ac:dyDescent="0.3">
      <c r="B126" t="s">
        <v>101</v>
      </c>
      <c r="F126" s="47">
        <v>1</v>
      </c>
      <c r="G126" s="47">
        <v>1</v>
      </c>
    </row>
    <row r="127" spans="1:7" ht="15" customHeight="1" x14ac:dyDescent="0.3">
      <c r="B127" t="s">
        <v>103</v>
      </c>
      <c r="F127" s="47">
        <v>1</v>
      </c>
      <c r="G127" s="47">
        <v>1</v>
      </c>
    </row>
    <row r="128" spans="1:7" ht="15" customHeight="1" x14ac:dyDescent="0.3">
      <c r="B128" t="s">
        <v>104</v>
      </c>
      <c r="F128" s="47">
        <v>1</v>
      </c>
      <c r="G128" s="47">
        <v>1</v>
      </c>
    </row>
    <row r="129" spans="2:7" ht="15" customHeight="1" x14ac:dyDescent="0.3">
      <c r="B129" t="s">
        <v>105</v>
      </c>
      <c r="F129" s="47">
        <v>1</v>
      </c>
      <c r="G129" s="47">
        <v>1</v>
      </c>
    </row>
    <row r="130" spans="2:7" ht="15" customHeight="1" x14ac:dyDescent="0.3">
      <c r="B130" t="s">
        <v>106</v>
      </c>
      <c r="F130" s="47">
        <v>1</v>
      </c>
      <c r="G130" s="47">
        <v>1</v>
      </c>
    </row>
    <row r="131" spans="2:7" ht="15" customHeight="1" x14ac:dyDescent="0.3">
      <c r="B131" t="s">
        <v>107</v>
      </c>
      <c r="F131" s="47">
        <v>1</v>
      </c>
      <c r="G131" s="47">
        <v>1</v>
      </c>
    </row>
    <row r="132" spans="2:7" ht="15" customHeight="1" x14ac:dyDescent="0.3">
      <c r="B132" t="s">
        <v>108</v>
      </c>
      <c r="F132" s="47">
        <v>1</v>
      </c>
      <c r="G132" s="47">
        <v>1</v>
      </c>
    </row>
    <row r="133" spans="2:7" ht="15" customHeight="1" x14ac:dyDescent="0.3">
      <c r="B133" t="s">
        <v>109</v>
      </c>
      <c r="F133" s="47">
        <v>1</v>
      </c>
      <c r="G133" s="47">
        <v>1</v>
      </c>
    </row>
    <row r="134" spans="2:7" ht="15" customHeight="1" x14ac:dyDescent="0.3">
      <c r="B134" t="s">
        <v>110</v>
      </c>
      <c r="F134" s="47">
        <v>1</v>
      </c>
      <c r="G134" s="47">
        <v>1</v>
      </c>
    </row>
    <row r="135" spans="2:7" ht="15" customHeight="1" x14ac:dyDescent="0.3">
      <c r="B135" t="s">
        <v>111</v>
      </c>
      <c r="F135" s="47">
        <v>1</v>
      </c>
      <c r="G135" s="47">
        <v>1</v>
      </c>
    </row>
    <row r="136" spans="2:7" ht="15" customHeight="1" x14ac:dyDescent="0.3">
      <c r="B136" t="s">
        <v>112</v>
      </c>
      <c r="F136" s="47">
        <v>1</v>
      </c>
      <c r="G136" s="47">
        <v>1</v>
      </c>
    </row>
    <row r="137" spans="2:7" ht="15" customHeight="1" x14ac:dyDescent="0.3">
      <c r="B137" t="s">
        <v>113</v>
      </c>
      <c r="F137" s="47">
        <v>1</v>
      </c>
      <c r="G137" s="47">
        <v>1</v>
      </c>
    </row>
    <row r="138" spans="2:7" ht="15" customHeight="1" x14ac:dyDescent="0.3">
      <c r="B138" t="s">
        <v>114</v>
      </c>
      <c r="F138" s="47">
        <v>1</v>
      </c>
      <c r="G138" s="47">
        <v>1</v>
      </c>
    </row>
    <row r="139" spans="2:7" ht="15" customHeight="1" x14ac:dyDescent="0.3">
      <c r="B139" t="s">
        <v>115</v>
      </c>
      <c r="F139" s="47">
        <v>1</v>
      </c>
      <c r="G139" s="47">
        <v>1</v>
      </c>
    </row>
    <row r="140" spans="2:7" ht="15" customHeight="1" x14ac:dyDescent="0.3">
      <c r="B140" t="s">
        <v>116</v>
      </c>
      <c r="F140" s="47">
        <v>1</v>
      </c>
      <c r="G140" s="47">
        <v>1</v>
      </c>
    </row>
    <row r="141" spans="2:7" ht="15" customHeight="1" x14ac:dyDescent="0.3">
      <c r="B141" t="s">
        <v>117</v>
      </c>
      <c r="F141" s="47">
        <v>1</v>
      </c>
      <c r="G141" s="47">
        <v>1</v>
      </c>
    </row>
    <row r="142" spans="2:7" ht="15" customHeight="1" x14ac:dyDescent="0.3">
      <c r="B142" t="s">
        <v>118</v>
      </c>
      <c r="F142" s="47">
        <v>1</v>
      </c>
      <c r="G142" s="47">
        <v>1</v>
      </c>
    </row>
    <row r="143" spans="2:7" ht="15" customHeight="1" x14ac:dyDescent="0.3">
      <c r="B143" t="s">
        <v>119</v>
      </c>
      <c r="F143" s="47">
        <v>1</v>
      </c>
      <c r="G143" s="47"/>
    </row>
    <row r="144" spans="2:7" ht="15" customHeight="1" x14ac:dyDescent="0.3">
      <c r="B144" t="s">
        <v>120</v>
      </c>
      <c r="F144" s="47">
        <v>1</v>
      </c>
      <c r="G144" s="47"/>
    </row>
    <row r="145" spans="1:7" ht="15" customHeight="1" x14ac:dyDescent="0.3">
      <c r="B145" t="s">
        <v>121</v>
      </c>
      <c r="F145" s="47">
        <v>1</v>
      </c>
      <c r="G145" s="47"/>
    </row>
    <row r="146" spans="1:7" ht="15" customHeight="1" x14ac:dyDescent="0.3">
      <c r="B146" t="s">
        <v>122</v>
      </c>
      <c r="F146" s="47">
        <v>1</v>
      </c>
      <c r="G146" s="47"/>
    </row>
    <row r="147" spans="1:7" ht="15" customHeight="1" x14ac:dyDescent="0.3">
      <c r="B147" t="s">
        <v>131</v>
      </c>
      <c r="F147" s="47">
        <v>1</v>
      </c>
      <c r="G147" s="47">
        <v>1</v>
      </c>
    </row>
    <row r="150" spans="1:7" ht="15" customHeight="1" x14ac:dyDescent="0.3">
      <c r="A150" s="1" t="s">
        <v>18</v>
      </c>
      <c r="B150" s="8" t="s">
        <v>255</v>
      </c>
      <c r="F150" s="53" t="s">
        <v>253</v>
      </c>
      <c r="G150" s="53" t="s">
        <v>251</v>
      </c>
    </row>
    <row r="151" spans="1:7" ht="15" customHeight="1" x14ac:dyDescent="0.3">
      <c r="B151" t="s">
        <v>97</v>
      </c>
      <c r="F151" s="47">
        <v>1</v>
      </c>
      <c r="G151" s="47">
        <v>1</v>
      </c>
    </row>
    <row r="152" spans="1:7" ht="15" customHeight="1" x14ac:dyDescent="0.3">
      <c r="B152" t="s">
        <v>99</v>
      </c>
      <c r="F152" s="47">
        <v>1</v>
      </c>
      <c r="G152" s="47">
        <v>1</v>
      </c>
    </row>
    <row r="153" spans="1:7" ht="15" customHeight="1" x14ac:dyDescent="0.3">
      <c r="B153" t="s">
        <v>101</v>
      </c>
      <c r="F153" s="47">
        <v>1</v>
      </c>
      <c r="G153" s="47">
        <v>1</v>
      </c>
    </row>
    <row r="154" spans="1:7" ht="15" customHeight="1" x14ac:dyDescent="0.3">
      <c r="B154" t="s">
        <v>103</v>
      </c>
      <c r="F154" s="47">
        <v>1</v>
      </c>
      <c r="G154" s="47">
        <v>1</v>
      </c>
    </row>
    <row r="155" spans="1:7" ht="15" customHeight="1" x14ac:dyDescent="0.3">
      <c r="B155" t="s">
        <v>104</v>
      </c>
      <c r="F155" s="47">
        <v>1</v>
      </c>
      <c r="G155" s="47">
        <v>1</v>
      </c>
    </row>
    <row r="156" spans="1:7" ht="15" customHeight="1" x14ac:dyDescent="0.3">
      <c r="B156" t="s">
        <v>105</v>
      </c>
      <c r="F156" s="47">
        <v>1</v>
      </c>
      <c r="G156" s="47">
        <v>1</v>
      </c>
    </row>
    <row r="157" spans="1:7" ht="15" customHeight="1" x14ac:dyDescent="0.3">
      <c r="B157" t="s">
        <v>106</v>
      </c>
      <c r="F157" s="47">
        <v>1</v>
      </c>
      <c r="G157" s="47">
        <v>1</v>
      </c>
    </row>
    <row r="158" spans="1:7" ht="15" customHeight="1" x14ac:dyDescent="0.3">
      <c r="B158" t="s">
        <v>107</v>
      </c>
      <c r="F158" s="47">
        <v>1</v>
      </c>
      <c r="G158" s="47">
        <v>1</v>
      </c>
    </row>
    <row r="159" spans="1:7" ht="15" customHeight="1" x14ac:dyDescent="0.3">
      <c r="B159" t="s">
        <v>108</v>
      </c>
      <c r="F159" s="47">
        <v>1</v>
      </c>
      <c r="G159" s="47">
        <v>1</v>
      </c>
    </row>
    <row r="160" spans="1:7" ht="15" customHeight="1" x14ac:dyDescent="0.3">
      <c r="B160" t="s">
        <v>109</v>
      </c>
      <c r="F160" s="47">
        <v>1</v>
      </c>
      <c r="G160" s="47">
        <v>1</v>
      </c>
    </row>
    <row r="161" spans="2:7" ht="15" customHeight="1" x14ac:dyDescent="0.3">
      <c r="B161" t="s">
        <v>110</v>
      </c>
      <c r="F161" s="47">
        <v>1</v>
      </c>
      <c r="G161" s="47">
        <v>1</v>
      </c>
    </row>
    <row r="162" spans="2:7" ht="15" customHeight="1" x14ac:dyDescent="0.3">
      <c r="B162" t="s">
        <v>111</v>
      </c>
      <c r="F162" s="47">
        <v>1</v>
      </c>
      <c r="G162" s="47">
        <v>1</v>
      </c>
    </row>
    <row r="163" spans="2:7" ht="15" customHeight="1" x14ac:dyDescent="0.3">
      <c r="B163" t="s">
        <v>112</v>
      </c>
      <c r="F163" s="47">
        <v>1</v>
      </c>
      <c r="G163" s="47">
        <v>1</v>
      </c>
    </row>
    <row r="164" spans="2:7" ht="15" customHeight="1" x14ac:dyDescent="0.3">
      <c r="B164" t="s">
        <v>113</v>
      </c>
      <c r="F164" s="47">
        <v>1</v>
      </c>
      <c r="G164" s="47">
        <v>1</v>
      </c>
    </row>
    <row r="165" spans="2:7" ht="15" customHeight="1" x14ac:dyDescent="0.3">
      <c r="B165" t="s">
        <v>114</v>
      </c>
      <c r="F165" s="47">
        <v>1</v>
      </c>
      <c r="G165" s="47">
        <v>1</v>
      </c>
    </row>
    <row r="166" spans="2:7" ht="15" customHeight="1" x14ac:dyDescent="0.3">
      <c r="B166" t="s">
        <v>115</v>
      </c>
      <c r="F166" s="47">
        <v>1</v>
      </c>
      <c r="G166" s="47">
        <v>1</v>
      </c>
    </row>
    <row r="167" spans="2:7" ht="15" customHeight="1" x14ac:dyDescent="0.3">
      <c r="B167" t="s">
        <v>116</v>
      </c>
      <c r="F167" s="47">
        <v>1</v>
      </c>
      <c r="G167" s="47">
        <v>1</v>
      </c>
    </row>
    <row r="168" spans="2:7" ht="15" customHeight="1" x14ac:dyDescent="0.3">
      <c r="B168" t="s">
        <v>117</v>
      </c>
      <c r="F168" s="47">
        <v>1</v>
      </c>
      <c r="G168" s="47">
        <v>1</v>
      </c>
    </row>
    <row r="169" spans="2:7" ht="15" customHeight="1" x14ac:dyDescent="0.3">
      <c r="B169" t="s">
        <v>118</v>
      </c>
      <c r="F169" s="47">
        <v>1</v>
      </c>
      <c r="G169" s="47">
        <v>1</v>
      </c>
    </row>
    <row r="170" spans="2:7" ht="15" customHeight="1" x14ac:dyDescent="0.3">
      <c r="B170" t="s">
        <v>119</v>
      </c>
      <c r="F170" s="47">
        <v>1</v>
      </c>
      <c r="G170" s="47"/>
    </row>
    <row r="171" spans="2:7" ht="15" customHeight="1" x14ac:dyDescent="0.3">
      <c r="B171" t="s">
        <v>120</v>
      </c>
      <c r="F171" s="47">
        <v>1</v>
      </c>
      <c r="G171" s="47"/>
    </row>
    <row r="172" spans="2:7" ht="15" customHeight="1" x14ac:dyDescent="0.3">
      <c r="B172" t="s">
        <v>121</v>
      </c>
      <c r="F172" s="47">
        <v>1</v>
      </c>
      <c r="G172" s="47"/>
    </row>
    <row r="173" spans="2:7" ht="15" customHeight="1" x14ac:dyDescent="0.3">
      <c r="B173" t="s">
        <v>122</v>
      </c>
      <c r="F173" s="47">
        <v>1</v>
      </c>
      <c r="G173" s="47"/>
    </row>
    <row r="174" spans="2:7" ht="15" customHeight="1" x14ac:dyDescent="0.3">
      <c r="B174" t="s">
        <v>131</v>
      </c>
      <c r="F174" s="47">
        <v>1</v>
      </c>
      <c r="G174" s="47">
        <v>1</v>
      </c>
    </row>
    <row r="177" spans="1:9" ht="15" customHeight="1" x14ac:dyDescent="0.3">
      <c r="A177" s="1" t="s">
        <v>18</v>
      </c>
      <c r="B177" s="8" t="s">
        <v>244</v>
      </c>
      <c r="F177" s="53" t="s">
        <v>253</v>
      </c>
      <c r="G177" s="53" t="s">
        <v>251</v>
      </c>
    </row>
    <row r="178" spans="1:9" ht="15" customHeight="1" x14ac:dyDescent="0.3">
      <c r="B178" t="s">
        <v>97</v>
      </c>
      <c r="F178" s="47">
        <v>1</v>
      </c>
      <c r="G178" s="47">
        <v>1</v>
      </c>
      <c r="I178" s="1">
        <f>I43*I97</f>
        <v>0</v>
      </c>
    </row>
    <row r="179" spans="1:9" ht="15" customHeight="1" x14ac:dyDescent="0.3">
      <c r="B179" t="s">
        <v>99</v>
      </c>
      <c r="F179" s="47">
        <v>1</v>
      </c>
      <c r="G179" s="47">
        <v>1</v>
      </c>
      <c r="I179" s="1">
        <f t="shared" ref="I179:I201" si="23">I44*I98</f>
        <v>0</v>
      </c>
    </row>
    <row r="180" spans="1:9" ht="15" customHeight="1" x14ac:dyDescent="0.3">
      <c r="B180" t="s">
        <v>101</v>
      </c>
      <c r="F180" s="47">
        <v>1</v>
      </c>
      <c r="G180" s="47">
        <v>1</v>
      </c>
      <c r="I180" s="1">
        <f t="shared" si="23"/>
        <v>0</v>
      </c>
    </row>
    <row r="181" spans="1:9" ht="15" customHeight="1" x14ac:dyDescent="0.3">
      <c r="B181" t="s">
        <v>103</v>
      </c>
      <c r="F181" s="47">
        <v>1</v>
      </c>
      <c r="G181" s="47">
        <v>1</v>
      </c>
      <c r="I181" s="1">
        <f t="shared" si="23"/>
        <v>0</v>
      </c>
    </row>
    <row r="182" spans="1:9" ht="15" customHeight="1" x14ac:dyDescent="0.3">
      <c r="B182" t="s">
        <v>104</v>
      </c>
      <c r="F182" s="47">
        <v>1</v>
      </c>
      <c r="G182" s="47">
        <v>1</v>
      </c>
      <c r="I182" s="1">
        <f t="shared" si="23"/>
        <v>0</v>
      </c>
    </row>
    <row r="183" spans="1:9" ht="15" customHeight="1" x14ac:dyDescent="0.3">
      <c r="B183" t="s">
        <v>105</v>
      </c>
      <c r="F183" s="47">
        <v>1</v>
      </c>
      <c r="G183" s="47">
        <v>1</v>
      </c>
      <c r="I183" s="1">
        <f t="shared" si="23"/>
        <v>0</v>
      </c>
    </row>
    <row r="184" spans="1:9" ht="15" customHeight="1" x14ac:dyDescent="0.3">
      <c r="B184" t="s">
        <v>106</v>
      </c>
      <c r="F184" s="47">
        <v>1</v>
      </c>
      <c r="G184" s="47">
        <v>1</v>
      </c>
      <c r="I184" s="1">
        <f t="shared" si="23"/>
        <v>0</v>
      </c>
    </row>
    <row r="185" spans="1:9" ht="15" customHeight="1" x14ac:dyDescent="0.3">
      <c r="B185" t="s">
        <v>107</v>
      </c>
      <c r="F185" s="47">
        <v>1</v>
      </c>
      <c r="G185" s="47">
        <v>1</v>
      </c>
      <c r="I185" s="1">
        <f t="shared" si="23"/>
        <v>0</v>
      </c>
    </row>
    <row r="186" spans="1:9" ht="15" customHeight="1" x14ac:dyDescent="0.3">
      <c r="B186" t="s">
        <v>108</v>
      </c>
      <c r="F186" s="47">
        <v>1</v>
      </c>
      <c r="G186" s="47">
        <v>1</v>
      </c>
      <c r="I186" s="1">
        <f t="shared" si="23"/>
        <v>0</v>
      </c>
    </row>
    <row r="187" spans="1:9" ht="15" customHeight="1" x14ac:dyDescent="0.3">
      <c r="B187" t="s">
        <v>109</v>
      </c>
      <c r="F187" s="47">
        <v>1</v>
      </c>
      <c r="G187" s="47">
        <v>1</v>
      </c>
      <c r="I187" s="1">
        <f t="shared" si="23"/>
        <v>0</v>
      </c>
    </row>
    <row r="188" spans="1:9" ht="15" customHeight="1" x14ac:dyDescent="0.3">
      <c r="B188" t="s">
        <v>110</v>
      </c>
      <c r="F188" s="47">
        <v>1</v>
      </c>
      <c r="G188" s="47">
        <v>1</v>
      </c>
      <c r="I188" s="1">
        <f t="shared" si="23"/>
        <v>0</v>
      </c>
    </row>
    <row r="189" spans="1:9" ht="15" customHeight="1" x14ac:dyDescent="0.3">
      <c r="B189" t="s">
        <v>111</v>
      </c>
      <c r="F189" s="47">
        <v>1</v>
      </c>
      <c r="G189" s="47">
        <v>1</v>
      </c>
      <c r="I189" s="1">
        <f t="shared" si="23"/>
        <v>0</v>
      </c>
    </row>
    <row r="190" spans="1:9" ht="15" customHeight="1" x14ac:dyDescent="0.3">
      <c r="B190" t="s">
        <v>112</v>
      </c>
      <c r="F190" s="47">
        <v>1</v>
      </c>
      <c r="G190" s="47">
        <v>1</v>
      </c>
      <c r="I190" s="1">
        <f t="shared" si="23"/>
        <v>0</v>
      </c>
    </row>
    <row r="191" spans="1:9" ht="15" customHeight="1" x14ac:dyDescent="0.3">
      <c r="B191" t="s">
        <v>113</v>
      </c>
      <c r="F191" s="47">
        <v>1</v>
      </c>
      <c r="G191" s="47">
        <v>1</v>
      </c>
      <c r="I191" s="1">
        <f t="shared" si="23"/>
        <v>0</v>
      </c>
    </row>
    <row r="192" spans="1:9" ht="15" customHeight="1" x14ac:dyDescent="0.3">
      <c r="B192" t="s">
        <v>114</v>
      </c>
      <c r="F192" s="47">
        <v>1</v>
      </c>
      <c r="G192" s="47">
        <v>1</v>
      </c>
      <c r="I192" s="1">
        <f t="shared" si="23"/>
        <v>0</v>
      </c>
    </row>
    <row r="193" spans="1:9" ht="15" customHeight="1" x14ac:dyDescent="0.3">
      <c r="B193" t="s">
        <v>115</v>
      </c>
      <c r="F193" s="47">
        <v>1</v>
      </c>
      <c r="G193" s="47">
        <v>1</v>
      </c>
      <c r="I193" s="1">
        <f t="shared" si="23"/>
        <v>0</v>
      </c>
    </row>
    <row r="194" spans="1:9" ht="15" customHeight="1" x14ac:dyDescent="0.3">
      <c r="B194" t="s">
        <v>116</v>
      </c>
      <c r="F194" s="47">
        <v>1</v>
      </c>
      <c r="G194" s="47">
        <v>1</v>
      </c>
      <c r="I194" s="1">
        <f t="shared" si="23"/>
        <v>0</v>
      </c>
    </row>
    <row r="195" spans="1:9" ht="15" customHeight="1" x14ac:dyDescent="0.3">
      <c r="B195" t="s">
        <v>117</v>
      </c>
      <c r="F195" s="47">
        <v>1</v>
      </c>
      <c r="G195" s="47">
        <v>1</v>
      </c>
      <c r="I195" s="1">
        <f t="shared" si="23"/>
        <v>0</v>
      </c>
    </row>
    <row r="196" spans="1:9" ht="15" customHeight="1" x14ac:dyDescent="0.3">
      <c r="B196" t="s">
        <v>118</v>
      </c>
      <c r="F196" s="47">
        <v>1</v>
      </c>
      <c r="G196" s="47">
        <v>1</v>
      </c>
      <c r="I196" s="1">
        <f t="shared" si="23"/>
        <v>0</v>
      </c>
    </row>
    <row r="197" spans="1:9" ht="15" customHeight="1" x14ac:dyDescent="0.3">
      <c r="B197" t="s">
        <v>119</v>
      </c>
      <c r="F197" s="47">
        <v>1</v>
      </c>
      <c r="G197" s="47"/>
      <c r="I197" s="1">
        <f t="shared" si="23"/>
        <v>0</v>
      </c>
    </row>
    <row r="198" spans="1:9" ht="15" customHeight="1" x14ac:dyDescent="0.3">
      <c r="B198" t="s">
        <v>120</v>
      </c>
      <c r="F198" s="47">
        <v>1</v>
      </c>
      <c r="G198" s="47"/>
      <c r="I198" s="1">
        <f t="shared" si="23"/>
        <v>0</v>
      </c>
    </row>
    <row r="199" spans="1:9" ht="15" customHeight="1" x14ac:dyDescent="0.3">
      <c r="B199" t="s">
        <v>121</v>
      </c>
      <c r="F199" s="47">
        <v>1</v>
      </c>
      <c r="G199" s="47"/>
      <c r="I199" s="1">
        <f t="shared" si="23"/>
        <v>0</v>
      </c>
    </row>
    <row r="200" spans="1:9" ht="15" customHeight="1" x14ac:dyDescent="0.3">
      <c r="B200" t="s">
        <v>122</v>
      </c>
      <c r="F200" s="47">
        <v>1</v>
      </c>
      <c r="G200" s="47"/>
      <c r="I200" s="1">
        <f t="shared" si="23"/>
        <v>0</v>
      </c>
    </row>
    <row r="201" spans="1:9" ht="15" customHeight="1" x14ac:dyDescent="0.3">
      <c r="B201" t="s">
        <v>131</v>
      </c>
      <c r="F201" s="47">
        <v>1</v>
      </c>
      <c r="G201" s="47">
        <v>1</v>
      </c>
      <c r="I201" s="1">
        <f t="shared" si="23"/>
        <v>0</v>
      </c>
    </row>
    <row r="204" spans="1:9" ht="15" customHeight="1" x14ac:dyDescent="0.3">
      <c r="A204" s="1" t="s">
        <v>18</v>
      </c>
      <c r="B204" s="8" t="s">
        <v>256</v>
      </c>
      <c r="F204" s="53" t="s">
        <v>253</v>
      </c>
      <c r="G204" s="53" t="s">
        <v>251</v>
      </c>
    </row>
    <row r="205" spans="1:9" ht="15" customHeight="1" x14ac:dyDescent="0.3">
      <c r="B205" t="s">
        <v>97</v>
      </c>
      <c r="F205" s="47">
        <v>1</v>
      </c>
      <c r="G205" s="47">
        <v>1</v>
      </c>
    </row>
    <row r="206" spans="1:9" ht="15" customHeight="1" x14ac:dyDescent="0.3">
      <c r="B206" t="s">
        <v>99</v>
      </c>
      <c r="F206" s="47">
        <v>1</v>
      </c>
      <c r="G206" s="47">
        <v>1</v>
      </c>
    </row>
    <row r="207" spans="1:9" ht="15" customHeight="1" x14ac:dyDescent="0.3">
      <c r="B207" t="s">
        <v>101</v>
      </c>
      <c r="F207" s="47">
        <v>1</v>
      </c>
      <c r="G207" s="47">
        <v>1</v>
      </c>
    </row>
    <row r="208" spans="1:9" ht="15" customHeight="1" x14ac:dyDescent="0.3">
      <c r="B208" t="s">
        <v>103</v>
      </c>
      <c r="F208" s="47">
        <v>1</v>
      </c>
      <c r="G208" s="47">
        <v>1</v>
      </c>
    </row>
    <row r="209" spans="2:7" ht="15" customHeight="1" x14ac:dyDescent="0.3">
      <c r="B209" t="s">
        <v>104</v>
      </c>
      <c r="F209" s="47">
        <v>1</v>
      </c>
      <c r="G209" s="47">
        <v>1</v>
      </c>
    </row>
    <row r="210" spans="2:7" ht="15" customHeight="1" x14ac:dyDescent="0.3">
      <c r="B210" t="s">
        <v>105</v>
      </c>
      <c r="F210" s="47">
        <v>1</v>
      </c>
      <c r="G210" s="47">
        <v>1</v>
      </c>
    </row>
    <row r="211" spans="2:7" ht="15" customHeight="1" x14ac:dyDescent="0.3">
      <c r="B211" t="s">
        <v>106</v>
      </c>
      <c r="F211" s="47">
        <v>1</v>
      </c>
      <c r="G211" s="47">
        <v>1</v>
      </c>
    </row>
    <row r="212" spans="2:7" ht="15" customHeight="1" x14ac:dyDescent="0.3">
      <c r="B212" t="s">
        <v>107</v>
      </c>
      <c r="F212" s="47">
        <v>1</v>
      </c>
      <c r="G212" s="47">
        <v>1</v>
      </c>
    </row>
    <row r="213" spans="2:7" ht="15" customHeight="1" x14ac:dyDescent="0.3">
      <c r="B213" t="s">
        <v>108</v>
      </c>
      <c r="F213" s="47">
        <v>1</v>
      </c>
      <c r="G213" s="47">
        <v>1</v>
      </c>
    </row>
    <row r="214" spans="2:7" ht="15" customHeight="1" x14ac:dyDescent="0.3">
      <c r="B214" t="s">
        <v>109</v>
      </c>
      <c r="F214" s="47">
        <v>1</v>
      </c>
      <c r="G214" s="47">
        <v>1</v>
      </c>
    </row>
    <row r="215" spans="2:7" ht="15" customHeight="1" x14ac:dyDescent="0.3">
      <c r="B215" t="s">
        <v>110</v>
      </c>
      <c r="F215" s="47">
        <v>1</v>
      </c>
      <c r="G215" s="47">
        <v>1</v>
      </c>
    </row>
    <row r="216" spans="2:7" ht="15" customHeight="1" x14ac:dyDescent="0.3">
      <c r="B216" t="s">
        <v>111</v>
      </c>
      <c r="F216" s="47">
        <v>1</v>
      </c>
      <c r="G216" s="47">
        <v>1</v>
      </c>
    </row>
    <row r="217" spans="2:7" ht="15" customHeight="1" x14ac:dyDescent="0.3">
      <c r="B217" t="s">
        <v>112</v>
      </c>
      <c r="F217" s="47">
        <v>1</v>
      </c>
      <c r="G217" s="47">
        <v>1</v>
      </c>
    </row>
    <row r="218" spans="2:7" ht="15" customHeight="1" x14ac:dyDescent="0.3">
      <c r="B218" t="s">
        <v>113</v>
      </c>
      <c r="F218" s="47">
        <v>1</v>
      </c>
      <c r="G218" s="47">
        <v>1</v>
      </c>
    </row>
    <row r="219" spans="2:7" ht="15" customHeight="1" x14ac:dyDescent="0.3">
      <c r="B219" t="s">
        <v>114</v>
      </c>
      <c r="F219" s="47">
        <v>1</v>
      </c>
      <c r="G219" s="47">
        <v>1</v>
      </c>
    </row>
    <row r="220" spans="2:7" ht="15" customHeight="1" x14ac:dyDescent="0.3">
      <c r="B220" t="s">
        <v>115</v>
      </c>
      <c r="F220" s="47">
        <v>1</v>
      </c>
      <c r="G220" s="47">
        <v>1</v>
      </c>
    </row>
    <row r="221" spans="2:7" ht="15" customHeight="1" x14ac:dyDescent="0.3">
      <c r="B221" t="s">
        <v>116</v>
      </c>
      <c r="F221" s="47">
        <v>1</v>
      </c>
      <c r="G221" s="47">
        <v>1</v>
      </c>
    </row>
    <row r="222" spans="2:7" ht="15" customHeight="1" x14ac:dyDescent="0.3">
      <c r="B222" t="s">
        <v>117</v>
      </c>
      <c r="F222" s="47">
        <v>1</v>
      </c>
      <c r="G222" s="47">
        <v>1</v>
      </c>
    </row>
    <row r="223" spans="2:7" ht="15" customHeight="1" x14ac:dyDescent="0.3">
      <c r="B223" t="s">
        <v>118</v>
      </c>
      <c r="F223" s="47">
        <v>1</v>
      </c>
      <c r="G223" s="47">
        <v>1</v>
      </c>
    </row>
    <row r="224" spans="2:7" ht="15" customHeight="1" x14ac:dyDescent="0.3">
      <c r="B224" t="s">
        <v>119</v>
      </c>
      <c r="F224" s="47">
        <v>1</v>
      </c>
      <c r="G224" s="47"/>
    </row>
    <row r="225" spans="2:7" ht="15" customHeight="1" x14ac:dyDescent="0.3">
      <c r="B225" t="s">
        <v>120</v>
      </c>
      <c r="F225" s="47">
        <v>1</v>
      </c>
      <c r="G225" s="47"/>
    </row>
    <row r="226" spans="2:7" ht="15" customHeight="1" x14ac:dyDescent="0.3">
      <c r="B226" t="s">
        <v>121</v>
      </c>
      <c r="F226" s="47">
        <v>1</v>
      </c>
      <c r="G226" s="47"/>
    </row>
    <row r="227" spans="2:7" ht="15" customHeight="1" x14ac:dyDescent="0.3">
      <c r="B227" t="s">
        <v>122</v>
      </c>
      <c r="F227" s="47">
        <v>1</v>
      </c>
      <c r="G227" s="47"/>
    </row>
    <row r="228" spans="2:7" ht="15" customHeight="1" x14ac:dyDescent="0.3">
      <c r="B228" t="s">
        <v>131</v>
      </c>
      <c r="F228" s="47">
        <v>1</v>
      </c>
      <c r="G228" s="47">
        <v>1</v>
      </c>
    </row>
  </sheetData>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B1:JP79"/>
  <sheetViews>
    <sheetView showGridLines="0" zoomScaleNormal="100" workbookViewId="0">
      <pane xSplit="2" ySplit="1" topLeftCell="C2" activePane="bottomRight" state="frozen"/>
      <selection pane="topRight" activeCell="C1" sqref="C1"/>
      <selection pane="bottomLeft" activeCell="A2" sqref="A2"/>
      <selection pane="bottomRight" activeCell="L50" sqref="L50"/>
    </sheetView>
  </sheetViews>
  <sheetFormatPr baseColWidth="10" defaultColWidth="12.77734375" defaultRowHeight="15" customHeight="1" x14ac:dyDescent="0.3"/>
  <cols>
    <col min="1" max="1" width="2.77734375" style="1" customWidth="1"/>
    <col min="2" max="2" width="55.5546875" style="1" bestFit="1" customWidth="1"/>
    <col min="3" max="5" width="12.77734375" style="1"/>
    <col min="6" max="9" width="12.77734375" style="1" customWidth="1"/>
    <col min="10" max="16384" width="12.77734375" style="1"/>
  </cols>
  <sheetData>
    <row r="1" spans="2:276" customFormat="1" ht="14.4" x14ac:dyDescent="0.3">
      <c r="B1" s="5" t="s">
        <v>208</v>
      </c>
      <c r="C1" s="6">
        <f>D1-1</f>
        <v>2021</v>
      </c>
      <c r="D1" s="6">
        <v>2022</v>
      </c>
      <c r="E1" s="6">
        <v>2023</v>
      </c>
      <c r="F1" s="6" t="s">
        <v>23</v>
      </c>
      <c r="G1" s="6" t="s">
        <v>24</v>
      </c>
      <c r="H1" s="6" t="s">
        <v>20</v>
      </c>
      <c r="I1" s="6" t="s">
        <v>25</v>
      </c>
      <c r="J1" s="6" t="s">
        <v>82</v>
      </c>
      <c r="K1" s="6" t="s">
        <v>83</v>
      </c>
      <c r="L1" s="4" t="s">
        <v>84</v>
      </c>
      <c r="M1" s="4" t="s">
        <v>59</v>
      </c>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row>
    <row r="2" spans="2:276" ht="15" customHeight="1" x14ac:dyDescent="0.3">
      <c r="B2" s="5" t="s">
        <v>1</v>
      </c>
      <c r="C2" s="6"/>
      <c r="D2" s="6"/>
      <c r="E2" s="6"/>
      <c r="F2" s="6"/>
      <c r="G2" s="6"/>
      <c r="H2" s="6"/>
      <c r="I2" s="6"/>
      <c r="J2" s="6"/>
      <c r="K2" s="6"/>
      <c r="L2" s="2"/>
      <c r="M2" s="2"/>
    </row>
    <row r="3" spans="2:276" ht="15" customHeight="1" x14ac:dyDescent="0.3">
      <c r="B3" s="9" t="s">
        <v>26</v>
      </c>
      <c r="C3" s="9">
        <f>SUM(C4:C9)</f>
        <v>131972</v>
      </c>
      <c r="D3" s="9">
        <f t="shared" ref="D3:I3" si="0">SUM(D4:D9)</f>
        <v>235590</v>
      </c>
      <c r="E3" s="9">
        <f t="shared" si="0"/>
        <v>0</v>
      </c>
      <c r="F3" s="9">
        <f t="shared" si="0"/>
        <v>213214</v>
      </c>
      <c r="G3" s="9">
        <f t="shared" si="0"/>
        <v>234317</v>
      </c>
      <c r="H3" s="9">
        <f t="shared" si="0"/>
        <v>179227</v>
      </c>
      <c r="I3" s="9">
        <f t="shared" si="0"/>
        <v>200498</v>
      </c>
      <c r="J3" s="9">
        <f t="shared" ref="J3:K3" si="1">SUM(J4:J9)</f>
        <v>203397</v>
      </c>
      <c r="K3" s="9">
        <f t="shared" si="1"/>
        <v>195748</v>
      </c>
      <c r="L3" s="9">
        <f t="shared" ref="L3:M3" si="2">SUM(L4:L9)</f>
        <v>195574.6</v>
      </c>
      <c r="M3" s="9">
        <f t="shared" si="2"/>
        <v>220988.32</v>
      </c>
    </row>
    <row r="4" spans="2:276" ht="15" customHeight="1" x14ac:dyDescent="0.3">
      <c r="B4" s="66" t="s">
        <v>71</v>
      </c>
      <c r="C4" s="30">
        <v>60658</v>
      </c>
      <c r="D4" s="30">
        <v>125948</v>
      </c>
      <c r="E4" s="30"/>
      <c r="F4" s="30">
        <v>117549</v>
      </c>
      <c r="G4" s="30">
        <v>130649</v>
      </c>
      <c r="H4" s="30">
        <v>73920</v>
      </c>
      <c r="I4" s="30">
        <v>74738</v>
      </c>
      <c r="J4" s="30">
        <v>73076</v>
      </c>
      <c r="K4" s="30">
        <v>72642</v>
      </c>
      <c r="L4" s="30">
        <f>CashFlow!L62</f>
        <v>72468.600000000006</v>
      </c>
      <c r="M4" s="30">
        <f>CashFlow!M62</f>
        <v>97882.32</v>
      </c>
    </row>
    <row r="5" spans="2:276" ht="15" customHeight="1" x14ac:dyDescent="0.3">
      <c r="B5" s="66" t="s">
        <v>157</v>
      </c>
      <c r="C5" s="30">
        <v>30361</v>
      </c>
      <c r="D5" s="30">
        <v>59465</v>
      </c>
      <c r="E5" s="30"/>
      <c r="F5" s="30">
        <v>55010</v>
      </c>
      <c r="G5" s="30">
        <v>56831</v>
      </c>
      <c r="H5" s="30">
        <v>55684</v>
      </c>
      <c r="I5" s="130">
        <v>75848</v>
      </c>
      <c r="J5" s="130">
        <v>80561</v>
      </c>
      <c r="K5" s="130">
        <v>70355</v>
      </c>
      <c r="L5" s="112">
        <v>70355</v>
      </c>
      <c r="M5" s="112">
        <v>70355</v>
      </c>
    </row>
    <row r="6" spans="2:276" ht="15" customHeight="1" x14ac:dyDescent="0.3">
      <c r="B6" s="66" t="s">
        <v>158</v>
      </c>
      <c r="C6" s="30">
        <v>1395</v>
      </c>
      <c r="D6" s="30">
        <v>2799</v>
      </c>
      <c r="E6" s="30"/>
      <c r="F6" s="30">
        <v>3487</v>
      </c>
      <c r="G6" s="30">
        <v>2192</v>
      </c>
      <c r="H6" s="30">
        <v>2817</v>
      </c>
      <c r="I6" s="130">
        <v>2549</v>
      </c>
      <c r="J6" s="130">
        <v>4679</v>
      </c>
      <c r="K6" s="130">
        <v>6051</v>
      </c>
      <c r="L6" s="112">
        <v>6051</v>
      </c>
      <c r="M6" s="112">
        <v>6051</v>
      </c>
    </row>
    <row r="7" spans="2:276" ht="15" customHeight="1" x14ac:dyDescent="0.3">
      <c r="B7" s="66" t="s">
        <v>159</v>
      </c>
      <c r="C7" s="30">
        <v>6162</v>
      </c>
      <c r="D7" s="30">
        <v>10550</v>
      </c>
      <c r="E7" s="30"/>
      <c r="F7" s="30">
        <v>9440</v>
      </c>
      <c r="G7" s="30">
        <v>10287</v>
      </c>
      <c r="H7" s="30">
        <v>9023</v>
      </c>
      <c r="I7" s="130">
        <v>13557</v>
      </c>
      <c r="J7" s="130">
        <v>7650</v>
      </c>
      <c r="K7" s="130">
        <v>9894</v>
      </c>
      <c r="L7" s="112">
        <v>9894</v>
      </c>
      <c r="M7" s="112">
        <v>9894</v>
      </c>
    </row>
    <row r="8" spans="2:276" ht="15" customHeight="1" x14ac:dyDescent="0.3">
      <c r="B8" s="66" t="s">
        <v>160</v>
      </c>
      <c r="C8" s="30"/>
      <c r="D8" s="30">
        <v>3759</v>
      </c>
      <c r="E8" s="30"/>
      <c r="F8" s="30">
        <v>70</v>
      </c>
      <c r="G8" s="30"/>
      <c r="H8" s="30">
        <v>0</v>
      </c>
      <c r="I8" s="130">
        <v>0</v>
      </c>
      <c r="J8" s="130">
        <v>0</v>
      </c>
      <c r="K8" s="130">
        <v>0</v>
      </c>
      <c r="L8" s="112">
        <v>0</v>
      </c>
      <c r="M8" s="112">
        <v>0</v>
      </c>
    </row>
    <row r="9" spans="2:276" ht="15" customHeight="1" x14ac:dyDescent="0.3">
      <c r="B9" s="66" t="s">
        <v>161</v>
      </c>
      <c r="C9" s="30">
        <v>33396</v>
      </c>
      <c r="D9" s="30">
        <v>33069</v>
      </c>
      <c r="E9" s="30"/>
      <c r="F9" s="30">
        <v>27658</v>
      </c>
      <c r="G9" s="30">
        <v>34358</v>
      </c>
      <c r="H9" s="30">
        <v>37783</v>
      </c>
      <c r="I9" s="130">
        <v>33806</v>
      </c>
      <c r="J9" s="130">
        <v>37431</v>
      </c>
      <c r="K9" s="130">
        <v>36806</v>
      </c>
      <c r="L9" s="112">
        <v>36806</v>
      </c>
      <c r="M9" s="112">
        <v>36806</v>
      </c>
    </row>
    <row r="10" spans="2:276" ht="15" customHeight="1" x14ac:dyDescent="0.3">
      <c r="B10" s="29"/>
      <c r="C10" s="30"/>
      <c r="D10" s="30"/>
      <c r="E10" s="30"/>
      <c r="F10" s="30"/>
      <c r="G10" s="30"/>
      <c r="H10" s="30"/>
      <c r="I10" s="30"/>
      <c r="J10" s="14"/>
      <c r="K10" s="14"/>
    </row>
    <row r="11" spans="2:276" ht="15" customHeight="1" x14ac:dyDescent="0.3">
      <c r="B11" s="9" t="s">
        <v>70</v>
      </c>
      <c r="C11" s="9">
        <f>SUM(C12:C18)</f>
        <v>1477390</v>
      </c>
      <c r="D11" s="9">
        <f>SUM(D12:D18)</f>
        <v>1272886</v>
      </c>
      <c r="E11" s="9">
        <f t="shared" ref="E11:I11" si="3">SUM(E12:E18)</f>
        <v>0</v>
      </c>
      <c r="F11" s="9">
        <f t="shared" si="3"/>
        <v>1264323</v>
      </c>
      <c r="G11" s="9">
        <f t="shared" si="3"/>
        <v>1255535</v>
      </c>
      <c r="H11" s="9">
        <f t="shared" si="3"/>
        <v>1318248</v>
      </c>
      <c r="I11" s="9">
        <f t="shared" si="3"/>
        <v>1291725</v>
      </c>
      <c r="J11" s="9">
        <f t="shared" ref="J11:K11" si="4">SUM(J12:J18)</f>
        <v>1268933</v>
      </c>
      <c r="K11" s="9">
        <f t="shared" si="4"/>
        <v>1292295</v>
      </c>
      <c r="L11" s="9">
        <f t="shared" ref="L11:M11" si="5">SUM(L12:L18)</f>
        <v>1267917</v>
      </c>
      <c r="M11" s="9">
        <f t="shared" si="5"/>
        <v>1240039</v>
      </c>
    </row>
    <row r="12" spans="2:276" ht="15" customHeight="1" x14ac:dyDescent="0.3">
      <c r="B12" s="66" t="s">
        <v>87</v>
      </c>
      <c r="C12" s="30">
        <v>1467846</v>
      </c>
      <c r="D12" s="30">
        <v>1261998</v>
      </c>
      <c r="E12" s="30"/>
      <c r="F12" s="30">
        <v>1254056</v>
      </c>
      <c r="G12" s="30">
        <v>1237411</v>
      </c>
      <c r="H12" s="30">
        <v>1311892</v>
      </c>
      <c r="I12" s="30">
        <v>1283710</v>
      </c>
      <c r="J12" s="30">
        <v>1261388</v>
      </c>
      <c r="K12" s="130">
        <v>1233164</v>
      </c>
      <c r="L12" s="30">
        <f>K12+'P&amp;L'!L12+Balance!L77</f>
        <v>1208786</v>
      </c>
      <c r="M12" s="30">
        <f>L12+'P&amp;L'!M12+Balance!M77</f>
        <v>1180908</v>
      </c>
    </row>
    <row r="13" spans="2:276" ht="15" customHeight="1" x14ac:dyDescent="0.3">
      <c r="B13" s="66" t="s">
        <v>276</v>
      </c>
      <c r="C13" s="30"/>
      <c r="D13" s="30"/>
      <c r="E13" s="30"/>
      <c r="F13" s="30"/>
      <c r="G13" s="30"/>
      <c r="H13" s="30"/>
      <c r="I13" s="30"/>
      <c r="J13" s="130">
        <v>43</v>
      </c>
      <c r="K13" s="130">
        <v>51866</v>
      </c>
      <c r="L13" s="112">
        <v>51866</v>
      </c>
      <c r="M13" s="112">
        <v>51866</v>
      </c>
    </row>
    <row r="14" spans="2:276" ht="15" customHeight="1" x14ac:dyDescent="0.3">
      <c r="B14" s="66" t="s">
        <v>162</v>
      </c>
      <c r="C14" s="30">
        <v>372</v>
      </c>
      <c r="D14" s="30">
        <v>4583</v>
      </c>
      <c r="E14" s="30"/>
      <c r="F14" s="30">
        <v>4594</v>
      </c>
      <c r="G14" s="30">
        <v>11369</v>
      </c>
      <c r="H14" s="30">
        <v>15</v>
      </c>
      <c r="I14" s="130">
        <v>10</v>
      </c>
      <c r="J14" s="130">
        <v>160</v>
      </c>
      <c r="K14" s="130">
        <v>382</v>
      </c>
      <c r="L14" s="112">
        <v>382</v>
      </c>
      <c r="M14" s="112">
        <v>382</v>
      </c>
    </row>
    <row r="15" spans="2:276" ht="15" customHeight="1" x14ac:dyDescent="0.3">
      <c r="B15" s="66" t="s">
        <v>163</v>
      </c>
      <c r="C15" s="30">
        <v>3766</v>
      </c>
      <c r="D15" s="30">
        <v>4949</v>
      </c>
      <c r="E15" s="30"/>
      <c r="F15" s="30">
        <v>4317</v>
      </c>
      <c r="G15" s="30">
        <v>5399</v>
      </c>
      <c r="H15" s="30">
        <v>4985</v>
      </c>
      <c r="I15" s="130">
        <v>6649</v>
      </c>
      <c r="J15" s="130">
        <v>5986</v>
      </c>
      <c r="K15" s="130">
        <v>5527</v>
      </c>
      <c r="L15" s="112">
        <v>5527</v>
      </c>
      <c r="M15" s="112">
        <v>5527</v>
      </c>
    </row>
    <row r="16" spans="2:276" ht="15" customHeight="1" x14ac:dyDescent="0.3">
      <c r="B16" s="66" t="s">
        <v>164</v>
      </c>
      <c r="C16" s="30">
        <v>5406</v>
      </c>
      <c r="D16" s="30"/>
      <c r="E16" s="30"/>
      <c r="F16" s="30"/>
      <c r="G16" s="30"/>
      <c r="H16" s="30"/>
      <c r="I16" s="130"/>
      <c r="J16" s="130"/>
      <c r="K16" s="130"/>
      <c r="L16" s="112"/>
      <c r="M16" s="112"/>
    </row>
    <row r="17" spans="2:13" ht="15" customHeight="1" x14ac:dyDescent="0.3">
      <c r="B17" s="66" t="s">
        <v>72</v>
      </c>
      <c r="C17" s="30"/>
      <c r="D17" s="30">
        <v>1356</v>
      </c>
      <c r="E17" s="30"/>
      <c r="F17" s="30">
        <v>1356</v>
      </c>
      <c r="G17" s="30">
        <v>1356</v>
      </c>
      <c r="H17" s="30">
        <v>1356</v>
      </c>
      <c r="I17" s="130">
        <v>1356</v>
      </c>
      <c r="J17" s="130">
        <v>1356</v>
      </c>
      <c r="K17" s="130">
        <v>1356</v>
      </c>
      <c r="L17" s="112">
        <v>1356</v>
      </c>
      <c r="M17" s="112">
        <v>1356</v>
      </c>
    </row>
    <row r="18" spans="2:13" ht="15" customHeight="1" x14ac:dyDescent="0.3">
      <c r="B18" s="66" t="s">
        <v>160</v>
      </c>
      <c r="C18" s="30"/>
      <c r="D18" s="30"/>
      <c r="E18" s="30"/>
      <c r="F18" s="30"/>
      <c r="G18" s="30"/>
      <c r="H18" s="30"/>
      <c r="I18" s="30"/>
      <c r="K18" s="14"/>
    </row>
    <row r="19" spans="2:13" ht="15" customHeight="1" x14ac:dyDescent="0.3">
      <c r="B19" s="29"/>
      <c r="C19" s="30"/>
      <c r="D19" s="30"/>
      <c r="E19" s="30"/>
      <c r="F19" s="30"/>
      <c r="G19" s="30"/>
      <c r="H19" s="30"/>
      <c r="I19" s="30"/>
    </row>
    <row r="20" spans="2:13" ht="15" customHeight="1" x14ac:dyDescent="0.3">
      <c r="B20" s="40" t="s">
        <v>27</v>
      </c>
      <c r="C20" s="40">
        <f>SUM(C3+C11)</f>
        <v>1609362</v>
      </c>
      <c r="D20" s="40">
        <f>SUM(D3+D11)</f>
        <v>1508476</v>
      </c>
      <c r="E20" s="40">
        <f t="shared" ref="E20:J20" si="6">SUM(E3+E11)</f>
        <v>0</v>
      </c>
      <c r="F20" s="40">
        <f t="shared" si="6"/>
        <v>1477537</v>
      </c>
      <c r="G20" s="40">
        <f t="shared" si="6"/>
        <v>1489852</v>
      </c>
      <c r="H20" s="40">
        <f t="shared" si="6"/>
        <v>1497475</v>
      </c>
      <c r="I20" s="40">
        <f t="shared" si="6"/>
        <v>1492223</v>
      </c>
      <c r="J20" s="40">
        <f t="shared" si="6"/>
        <v>1472330</v>
      </c>
      <c r="K20" s="40">
        <f t="shared" ref="K20:L20" si="7">SUM(K3+K11)</f>
        <v>1488043</v>
      </c>
      <c r="L20" s="40">
        <f t="shared" si="7"/>
        <v>1463491.6</v>
      </c>
      <c r="M20" s="40">
        <f t="shared" ref="M20" si="8">SUM(M3+M11)</f>
        <v>1461027.32</v>
      </c>
    </row>
    <row r="21" spans="2:13" ht="15" customHeight="1" x14ac:dyDescent="0.3">
      <c r="B21" s="39"/>
      <c r="C21" s="39"/>
      <c r="D21" s="39"/>
      <c r="E21" s="39"/>
      <c r="F21" s="39"/>
      <c r="G21" s="39"/>
      <c r="H21" s="39"/>
      <c r="I21" s="39"/>
    </row>
    <row r="23" spans="2:13" ht="15" customHeight="1" x14ac:dyDescent="0.3">
      <c r="B23" s="9" t="s">
        <v>73</v>
      </c>
      <c r="C23" s="9">
        <f>SUM(C24:C28)</f>
        <v>41945</v>
      </c>
      <c r="D23" s="9">
        <f>SUM(D24:D28)</f>
        <v>64374</v>
      </c>
      <c r="E23" s="9">
        <f t="shared" ref="E23:I23" si="9">SUM(E24:E28)</f>
        <v>0</v>
      </c>
      <c r="F23" s="9">
        <f t="shared" si="9"/>
        <v>61243</v>
      </c>
      <c r="G23" s="9">
        <f t="shared" si="9"/>
        <v>75160</v>
      </c>
      <c r="H23" s="9">
        <f t="shared" si="9"/>
        <v>78755</v>
      </c>
      <c r="I23" s="9">
        <f t="shared" si="9"/>
        <v>56605</v>
      </c>
      <c r="J23" s="9">
        <f t="shared" ref="J23:K23" si="10">SUM(J24:J28)</f>
        <v>61723</v>
      </c>
      <c r="K23" s="9">
        <f t="shared" si="10"/>
        <v>68204</v>
      </c>
      <c r="L23" s="9">
        <f t="shared" ref="L23:M23" si="11">SUM(L24:L28)</f>
        <v>26179</v>
      </c>
      <c r="M23" s="9">
        <f t="shared" si="11"/>
        <v>26179</v>
      </c>
    </row>
    <row r="24" spans="2:13" ht="15" customHeight="1" x14ac:dyDescent="0.3">
      <c r="B24" s="66" t="s">
        <v>165</v>
      </c>
      <c r="C24" s="30">
        <v>19662</v>
      </c>
      <c r="D24" s="30">
        <v>29398</v>
      </c>
      <c r="E24" s="30"/>
      <c r="F24" s="30">
        <v>22020</v>
      </c>
      <c r="G24" s="30">
        <v>29302</v>
      </c>
      <c r="H24" s="30">
        <v>25111</v>
      </c>
      <c r="I24" s="130">
        <v>20493</v>
      </c>
      <c r="J24" s="130">
        <v>24150</v>
      </c>
      <c r="K24" s="130">
        <v>21495</v>
      </c>
      <c r="L24" s="112">
        <v>21495</v>
      </c>
      <c r="M24" s="112">
        <v>21495</v>
      </c>
    </row>
    <row r="25" spans="2:13" ht="15" customHeight="1" x14ac:dyDescent="0.3">
      <c r="B25" s="66" t="s">
        <v>166</v>
      </c>
      <c r="C25" s="30">
        <v>7002</v>
      </c>
      <c r="D25" s="30">
        <v>29626</v>
      </c>
      <c r="E25" s="30"/>
      <c r="F25" s="30"/>
      <c r="G25" s="30"/>
      <c r="H25" s="30"/>
      <c r="I25" s="130"/>
      <c r="J25" s="130"/>
      <c r="K25" s="130"/>
      <c r="L25" s="130"/>
      <c r="M25" s="130"/>
    </row>
    <row r="26" spans="2:13" ht="15" customHeight="1" x14ac:dyDescent="0.3">
      <c r="B26" s="66" t="s">
        <v>167</v>
      </c>
      <c r="C26" s="30">
        <v>9792</v>
      </c>
      <c r="D26" s="30">
        <v>1178</v>
      </c>
      <c r="E26" s="30"/>
      <c r="F26" s="30">
        <v>33109</v>
      </c>
      <c r="G26" s="30">
        <v>38947</v>
      </c>
      <c r="H26" s="30">
        <v>47933</v>
      </c>
      <c r="I26" s="130">
        <v>30300</v>
      </c>
      <c r="J26" s="130">
        <v>36161</v>
      </c>
      <c r="K26" s="130">
        <v>42025</v>
      </c>
      <c r="L26" s="114"/>
      <c r="M26" s="114"/>
    </row>
    <row r="27" spans="2:13" ht="15" customHeight="1" x14ac:dyDescent="0.3">
      <c r="B27" s="66" t="s">
        <v>78</v>
      </c>
      <c r="C27" s="30">
        <v>624</v>
      </c>
      <c r="D27" s="30">
        <v>4172</v>
      </c>
      <c r="E27" s="30"/>
      <c r="F27" s="30">
        <v>1022</v>
      </c>
      <c r="G27" s="30">
        <v>1401</v>
      </c>
      <c r="H27" s="30">
        <v>1317</v>
      </c>
      <c r="I27" s="130">
        <v>1418</v>
      </c>
      <c r="J27" s="130">
        <v>1412</v>
      </c>
      <c r="K27" s="130">
        <v>1437</v>
      </c>
      <c r="L27" s="112">
        <v>1437</v>
      </c>
      <c r="M27" s="112">
        <v>1437</v>
      </c>
    </row>
    <row r="28" spans="2:13" ht="15" customHeight="1" x14ac:dyDescent="0.3">
      <c r="B28" s="66" t="s">
        <v>168</v>
      </c>
      <c r="C28" s="30">
        <v>4865</v>
      </c>
      <c r="D28" s="30"/>
      <c r="E28" s="30"/>
      <c r="F28" s="30">
        <v>5092</v>
      </c>
      <c r="G28" s="30">
        <v>5510</v>
      </c>
      <c r="H28" s="30">
        <v>4394</v>
      </c>
      <c r="I28" s="130">
        <v>4394</v>
      </c>
      <c r="J28" s="130">
        <v>0</v>
      </c>
      <c r="K28" s="130">
        <v>3247</v>
      </c>
      <c r="L28" s="112">
        <v>3247</v>
      </c>
      <c r="M28" s="112">
        <v>3247</v>
      </c>
    </row>
    <row r="30" spans="2:13" ht="15" customHeight="1" x14ac:dyDescent="0.3">
      <c r="B30" s="9" t="s">
        <v>74</v>
      </c>
      <c r="C30" s="9">
        <f>SUM(C31:C33)</f>
        <v>520059</v>
      </c>
      <c r="D30" s="9">
        <f t="shared" ref="D30:I30" si="12">SUM(D31:D33)</f>
        <v>370614</v>
      </c>
      <c r="E30" s="9">
        <f t="shared" si="12"/>
        <v>0</v>
      </c>
      <c r="F30" s="9">
        <f t="shared" si="12"/>
        <v>365740</v>
      </c>
      <c r="G30" s="9">
        <f t="shared" si="12"/>
        <v>353152</v>
      </c>
      <c r="H30" s="9">
        <f t="shared" si="12"/>
        <v>392204</v>
      </c>
      <c r="I30" s="9">
        <f t="shared" si="12"/>
        <v>403952</v>
      </c>
      <c r="J30" s="9">
        <f t="shared" ref="J30:K30" si="13">SUM(J31:J33)</f>
        <v>366547</v>
      </c>
      <c r="K30" s="9">
        <f t="shared" si="13"/>
        <v>377113</v>
      </c>
      <c r="L30" s="9">
        <f t="shared" ref="L30:M30" si="14">SUM(L31:L33)</f>
        <v>410704</v>
      </c>
      <c r="M30" s="9">
        <f t="shared" si="14"/>
        <v>402270</v>
      </c>
    </row>
    <row r="31" spans="2:13" ht="15" customHeight="1" x14ac:dyDescent="0.3">
      <c r="B31" s="66" t="s">
        <v>75</v>
      </c>
      <c r="C31" s="30">
        <v>512507</v>
      </c>
      <c r="D31" s="30">
        <v>367069</v>
      </c>
      <c r="E31" s="30"/>
      <c r="F31" s="30">
        <v>362616</v>
      </c>
      <c r="G31" s="30">
        <v>349352</v>
      </c>
      <c r="H31" s="30">
        <v>388647</v>
      </c>
      <c r="I31" s="30">
        <v>398425</v>
      </c>
      <c r="J31" s="130">
        <v>361619</v>
      </c>
      <c r="K31" s="30">
        <v>372579</v>
      </c>
      <c r="L31" s="30">
        <f>(K31+K26)-(Debt!$I$7/3)</f>
        <v>406170</v>
      </c>
      <c r="M31" s="30">
        <f>(L31+L26)-(Debt!$I$7/3)</f>
        <v>397736</v>
      </c>
    </row>
    <row r="32" spans="2:13" ht="15" customHeight="1" x14ac:dyDescent="0.3">
      <c r="B32" s="25" t="s">
        <v>166</v>
      </c>
      <c r="C32" s="30">
        <v>4222</v>
      </c>
      <c r="D32" s="30"/>
      <c r="E32" s="30"/>
      <c r="F32" s="30"/>
      <c r="G32" s="30"/>
      <c r="H32" s="30"/>
      <c r="I32" s="30"/>
      <c r="J32" s="130"/>
      <c r="K32" s="30"/>
      <c r="L32" s="30"/>
      <c r="M32" s="30"/>
    </row>
    <row r="33" spans="2:13" ht="15" customHeight="1" x14ac:dyDescent="0.3">
      <c r="B33" s="66" t="s">
        <v>169</v>
      </c>
      <c r="C33" s="30">
        <v>3330</v>
      </c>
      <c r="D33" s="30">
        <v>3545</v>
      </c>
      <c r="E33" s="30"/>
      <c r="F33" s="30">
        <v>3124</v>
      </c>
      <c r="G33" s="30">
        <v>3800</v>
      </c>
      <c r="H33" s="30">
        <v>3557</v>
      </c>
      <c r="I33" s="130">
        <v>5527</v>
      </c>
      <c r="J33" s="130">
        <v>4928</v>
      </c>
      <c r="K33" s="130">
        <v>4534</v>
      </c>
      <c r="L33" s="112">
        <v>4534</v>
      </c>
      <c r="M33" s="112">
        <v>4534</v>
      </c>
    </row>
    <row r="34" spans="2:13" ht="15" customHeight="1" x14ac:dyDescent="0.3">
      <c r="B34" s="29"/>
      <c r="C34" s="30"/>
      <c r="D34" s="30"/>
      <c r="E34" s="30"/>
      <c r="F34" s="30"/>
      <c r="G34" s="30"/>
      <c r="H34" s="30"/>
      <c r="I34" s="30"/>
    </row>
    <row r="35" spans="2:13" ht="15" customHeight="1" x14ac:dyDescent="0.3">
      <c r="B35" s="40" t="s">
        <v>29</v>
      </c>
      <c r="C35" s="40">
        <f>C23+C30</f>
        <v>562004</v>
      </c>
      <c r="D35" s="40">
        <f>D23+D30</f>
        <v>434988</v>
      </c>
      <c r="E35" s="40">
        <f t="shared" ref="E35:J35" si="15">E23+E30</f>
        <v>0</v>
      </c>
      <c r="F35" s="40">
        <f t="shared" si="15"/>
        <v>426983</v>
      </c>
      <c r="G35" s="40">
        <f t="shared" si="15"/>
        <v>428312</v>
      </c>
      <c r="H35" s="40">
        <f t="shared" si="15"/>
        <v>470959</v>
      </c>
      <c r="I35" s="40">
        <f t="shared" si="15"/>
        <v>460557</v>
      </c>
      <c r="J35" s="40">
        <f t="shared" si="15"/>
        <v>428270</v>
      </c>
      <c r="K35" s="40">
        <f t="shared" ref="K35:L35" si="16">K23+K30</f>
        <v>445317</v>
      </c>
      <c r="L35" s="40">
        <f t="shared" si="16"/>
        <v>436883</v>
      </c>
      <c r="M35" s="40">
        <f t="shared" ref="M35" si="17">M23+M30</f>
        <v>428449</v>
      </c>
    </row>
    <row r="36" spans="2:13" ht="15" customHeight="1" x14ac:dyDescent="0.3">
      <c r="B36" s="39"/>
      <c r="C36" s="39"/>
      <c r="D36" s="39"/>
      <c r="E36" s="39"/>
      <c r="F36" s="39"/>
      <c r="G36" s="39"/>
      <c r="H36" s="39"/>
      <c r="I36" s="39"/>
    </row>
    <row r="37" spans="2:13" ht="15" customHeight="1" x14ac:dyDescent="0.3">
      <c r="B37" s="39"/>
      <c r="C37" s="39"/>
      <c r="D37" s="39"/>
      <c r="E37" s="39"/>
      <c r="F37" s="39"/>
      <c r="G37" s="39"/>
      <c r="H37" s="39"/>
      <c r="I37" s="39"/>
    </row>
    <row r="38" spans="2:13" ht="15" customHeight="1" x14ac:dyDescent="0.3">
      <c r="B38" s="9" t="s">
        <v>28</v>
      </c>
      <c r="C38" s="9">
        <f>C40+C47</f>
        <v>1047359</v>
      </c>
      <c r="D38" s="9">
        <f>D40+D47</f>
        <v>1073486</v>
      </c>
      <c r="E38" s="9">
        <f t="shared" ref="E38:K38" si="18">E40+E47</f>
        <v>0</v>
      </c>
      <c r="F38" s="9">
        <f t="shared" si="18"/>
        <v>1050553</v>
      </c>
      <c r="G38" s="9">
        <f t="shared" si="18"/>
        <v>1061542</v>
      </c>
      <c r="H38" s="9">
        <f t="shared" si="18"/>
        <v>1026515</v>
      </c>
      <c r="I38" s="9">
        <f t="shared" si="18"/>
        <v>1031667</v>
      </c>
      <c r="J38" s="9">
        <f t="shared" si="18"/>
        <v>1044060</v>
      </c>
      <c r="K38" s="9">
        <f t="shared" si="18"/>
        <v>1042727</v>
      </c>
      <c r="L38" s="9">
        <f>K38+'P&amp;L'!L28+CashFlow!L45+CashFlow!L49</f>
        <v>1026286.6000000001</v>
      </c>
      <c r="M38" s="9">
        <f>L38+'P&amp;L'!M28+CashFlow!M45+CashFlow!M49</f>
        <v>1031934.3200000002</v>
      </c>
    </row>
    <row r="39" spans="2:13" s="30" customFormat="1" ht="15" customHeight="1" x14ac:dyDescent="0.3">
      <c r="B39" s="56"/>
      <c r="C39" s="56"/>
      <c r="D39" s="56"/>
      <c r="E39" s="56"/>
      <c r="F39" s="56"/>
      <c r="G39" s="56"/>
      <c r="H39" s="56"/>
      <c r="I39" s="56"/>
    </row>
    <row r="40" spans="2:13" ht="15" customHeight="1" x14ac:dyDescent="0.3">
      <c r="B40" s="8" t="s">
        <v>176</v>
      </c>
      <c r="C40" s="8">
        <f>SUM(C41:C46)</f>
        <v>1047325</v>
      </c>
      <c r="D40" s="8">
        <f>SUM(D41:D46)</f>
        <v>1068478</v>
      </c>
      <c r="E40" s="8">
        <f t="shared" ref="E40:K40" si="19">SUM(E41:E46)</f>
        <v>0</v>
      </c>
      <c r="F40" s="8">
        <f t="shared" si="19"/>
        <v>1045646</v>
      </c>
      <c r="G40" s="8">
        <f t="shared" si="19"/>
        <v>1057276</v>
      </c>
      <c r="H40" s="8">
        <f t="shared" si="19"/>
        <v>1022094</v>
      </c>
      <c r="I40" s="8">
        <f t="shared" si="19"/>
        <v>1027154</v>
      </c>
      <c r="J40" s="8">
        <f t="shared" si="19"/>
        <v>1039438</v>
      </c>
      <c r="K40" s="8">
        <f t="shared" si="19"/>
        <v>1037985</v>
      </c>
      <c r="L40" s="113"/>
      <c r="M40" s="113"/>
    </row>
    <row r="41" spans="2:13" ht="15" customHeight="1" x14ac:dyDescent="0.3">
      <c r="B41" s="66" t="s">
        <v>170</v>
      </c>
      <c r="C41" s="1">
        <v>1661</v>
      </c>
      <c r="D41" s="1">
        <v>1627</v>
      </c>
      <c r="F41" s="1">
        <v>1630</v>
      </c>
      <c r="G41" s="1">
        <v>1624</v>
      </c>
      <c r="H41" s="1">
        <v>1610</v>
      </c>
      <c r="I41" s="30">
        <v>1610</v>
      </c>
      <c r="J41" s="30">
        <v>1613</v>
      </c>
      <c r="K41" s="30">
        <v>1615</v>
      </c>
      <c r="L41" s="113"/>
      <c r="M41" s="113"/>
    </row>
    <row r="42" spans="2:13" ht="15" customHeight="1" x14ac:dyDescent="0.3">
      <c r="B42" s="66" t="s">
        <v>171</v>
      </c>
      <c r="C42" s="1">
        <v>1264000</v>
      </c>
      <c r="D42" s="1">
        <v>1243754</v>
      </c>
      <c r="F42" s="1">
        <v>1245698</v>
      </c>
      <c r="G42" s="1">
        <v>1240068</v>
      </c>
      <c r="H42" s="1">
        <v>1228037</v>
      </c>
      <c r="I42" s="30">
        <v>1228254</v>
      </c>
      <c r="J42" s="30">
        <v>1229905</v>
      </c>
      <c r="K42" s="30">
        <v>1230832</v>
      </c>
      <c r="L42" s="113"/>
      <c r="M42" s="113"/>
    </row>
    <row r="43" spans="2:13" ht="15" customHeight="1" x14ac:dyDescent="0.3">
      <c r="B43" s="66" t="s">
        <v>172</v>
      </c>
      <c r="G43" s="1">
        <v>-2102</v>
      </c>
      <c r="I43" s="30"/>
      <c r="J43" s="30"/>
      <c r="K43" s="30"/>
      <c r="L43" s="113"/>
      <c r="M43" s="113"/>
    </row>
    <row r="44" spans="2:13" ht="15" customHeight="1" x14ac:dyDescent="0.3">
      <c r="B44" s="66" t="s">
        <v>173</v>
      </c>
      <c r="C44" s="1">
        <v>-222405</v>
      </c>
      <c r="D44" s="1">
        <v>-180664</v>
      </c>
      <c r="F44" s="1">
        <v>-204422</v>
      </c>
      <c r="G44" s="1">
        <v>-184853</v>
      </c>
      <c r="H44" s="1">
        <v>-210754</v>
      </c>
      <c r="I44" s="30">
        <v>-206477</v>
      </c>
      <c r="J44" s="30">
        <v>-195079</v>
      </c>
      <c r="K44" s="30">
        <v>-197519</v>
      </c>
      <c r="L44" s="113"/>
      <c r="M44" s="113"/>
    </row>
    <row r="45" spans="2:13" ht="15" customHeight="1" x14ac:dyDescent="0.3">
      <c r="B45" s="66" t="s">
        <v>174</v>
      </c>
      <c r="C45" s="14">
        <v>101</v>
      </c>
      <c r="D45" s="14">
        <v>138</v>
      </c>
      <c r="E45" s="14"/>
      <c r="F45" s="14">
        <v>173</v>
      </c>
      <c r="G45" s="14">
        <v>123</v>
      </c>
      <c r="H45" s="14">
        <v>69</v>
      </c>
      <c r="I45" s="130">
        <v>201</v>
      </c>
      <c r="J45" s="130">
        <v>97</v>
      </c>
      <c r="K45" s="130">
        <v>78</v>
      </c>
      <c r="L45" s="114"/>
      <c r="M45" s="114"/>
    </row>
    <row r="46" spans="2:13" ht="15" customHeight="1" x14ac:dyDescent="0.3">
      <c r="B46" s="66" t="s">
        <v>175</v>
      </c>
      <c r="C46" s="1">
        <v>3968</v>
      </c>
      <c r="D46" s="1">
        <v>3623</v>
      </c>
      <c r="F46" s="1">
        <v>2567</v>
      </c>
      <c r="G46" s="1">
        <v>2416</v>
      </c>
      <c r="H46" s="1">
        <v>3132</v>
      </c>
      <c r="I46" s="30">
        <v>3566</v>
      </c>
      <c r="J46" s="30">
        <v>2902</v>
      </c>
      <c r="K46" s="30">
        <v>2979</v>
      </c>
      <c r="L46" s="113"/>
      <c r="M46" s="113"/>
    </row>
    <row r="47" spans="2:13" ht="15" customHeight="1" x14ac:dyDescent="0.3">
      <c r="B47" t="s">
        <v>76</v>
      </c>
      <c r="C47" s="14">
        <v>34</v>
      </c>
      <c r="D47" s="14">
        <v>5008</v>
      </c>
      <c r="E47" s="14"/>
      <c r="F47" s="14">
        <v>4907</v>
      </c>
      <c r="G47" s="14">
        <v>4266</v>
      </c>
      <c r="H47" s="14">
        <v>4421</v>
      </c>
      <c r="I47" s="130">
        <v>4513</v>
      </c>
      <c r="J47" s="130">
        <v>4622</v>
      </c>
      <c r="K47" s="130">
        <v>4742</v>
      </c>
      <c r="L47" s="114"/>
      <c r="M47" s="114"/>
    </row>
    <row r="49" spans="2:13" ht="15" customHeight="1" x14ac:dyDescent="0.3">
      <c r="B49" s="7" t="s">
        <v>30</v>
      </c>
      <c r="C49" s="7">
        <f>C38+C35</f>
        <v>1609363</v>
      </c>
      <c r="D49" s="7">
        <f>D38+D35</f>
        <v>1508474</v>
      </c>
      <c r="E49" s="7">
        <f t="shared" ref="E49:I49" si="20">E38+E35</f>
        <v>0</v>
      </c>
      <c r="F49" s="7">
        <f t="shared" si="20"/>
        <v>1477536</v>
      </c>
      <c r="G49" s="7">
        <f t="shared" si="20"/>
        <v>1489854</v>
      </c>
      <c r="H49" s="7">
        <f t="shared" si="20"/>
        <v>1497474</v>
      </c>
      <c r="I49" s="7">
        <f t="shared" si="20"/>
        <v>1492224</v>
      </c>
      <c r="J49" s="7">
        <f t="shared" ref="J49:K49" si="21">J38+J35</f>
        <v>1472330</v>
      </c>
      <c r="K49" s="7">
        <f t="shared" si="21"/>
        <v>1488044</v>
      </c>
      <c r="L49" s="7">
        <f t="shared" ref="L49:M49" si="22">L38+L35</f>
        <v>1463169.6</v>
      </c>
      <c r="M49" s="7">
        <f t="shared" si="22"/>
        <v>1460383.3200000003</v>
      </c>
    </row>
    <row r="50" spans="2:13" ht="15" customHeight="1" x14ac:dyDescent="0.3">
      <c r="B50" s="1" t="s">
        <v>7</v>
      </c>
      <c r="C50" s="1">
        <f>C20-C49</f>
        <v>-1</v>
      </c>
      <c r="D50" s="1">
        <f>D20-D49</f>
        <v>2</v>
      </c>
      <c r="F50" s="1">
        <f t="shared" ref="F50:I50" si="23">F20-F49</f>
        <v>1</v>
      </c>
      <c r="G50" s="1">
        <f t="shared" si="23"/>
        <v>-2</v>
      </c>
      <c r="H50" s="1">
        <f t="shared" si="23"/>
        <v>1</v>
      </c>
      <c r="I50" s="1">
        <f t="shared" si="23"/>
        <v>-1</v>
      </c>
      <c r="J50" s="1">
        <f t="shared" ref="J50:K50" si="24">J20-J49</f>
        <v>0</v>
      </c>
      <c r="K50" s="1">
        <f t="shared" si="24"/>
        <v>-1</v>
      </c>
      <c r="L50" s="1">
        <f t="shared" ref="L50:M50" si="25">L20-L49</f>
        <v>322</v>
      </c>
      <c r="M50" s="1">
        <f t="shared" si="25"/>
        <v>643.99999999976717</v>
      </c>
    </row>
    <row r="52" spans="2:13" ht="15" customHeight="1" x14ac:dyDescent="0.3">
      <c r="B52" s="12" t="s">
        <v>31</v>
      </c>
      <c r="C52" s="13"/>
      <c r="D52" s="13"/>
      <c r="E52" s="13"/>
      <c r="F52" s="13"/>
      <c r="G52" s="13"/>
      <c r="H52" s="13"/>
      <c r="I52" s="13"/>
      <c r="J52" s="13"/>
      <c r="K52" s="13"/>
      <c r="L52" s="2"/>
      <c r="M52" s="2"/>
    </row>
    <row r="53" spans="2:13" ht="15" customHeight="1" x14ac:dyDescent="0.3">
      <c r="B53" t="s">
        <v>32</v>
      </c>
      <c r="C53" s="30">
        <f>C26+C31</f>
        <v>522299</v>
      </c>
      <c r="D53" s="30">
        <f>D26+D31</f>
        <v>368247</v>
      </c>
      <c r="E53" s="30"/>
      <c r="F53" s="30">
        <f t="shared" ref="F53:K53" si="26">F26+F31</f>
        <v>395725</v>
      </c>
      <c r="G53" s="30">
        <f t="shared" si="26"/>
        <v>388299</v>
      </c>
      <c r="H53" s="30">
        <f t="shared" si="26"/>
        <v>436580</v>
      </c>
      <c r="I53" s="30">
        <f t="shared" si="26"/>
        <v>428725</v>
      </c>
      <c r="J53" s="30">
        <f t="shared" si="26"/>
        <v>397780</v>
      </c>
      <c r="K53" s="30">
        <f t="shared" si="26"/>
        <v>414604</v>
      </c>
      <c r="L53" s="30">
        <f t="shared" ref="L53:M53" si="27">L26+L31</f>
        <v>406170</v>
      </c>
      <c r="M53" s="30">
        <f t="shared" si="27"/>
        <v>397736</v>
      </c>
    </row>
    <row r="54" spans="2:13" ht="15" customHeight="1" x14ac:dyDescent="0.3">
      <c r="B54" s="41" t="s">
        <v>8</v>
      </c>
      <c r="C54" s="31"/>
      <c r="D54" s="31">
        <f>D53/C53-1</f>
        <v>-0.29494982758917787</v>
      </c>
      <c r="F54" s="31">
        <f>F53/D53-1</f>
        <v>7.4618394718762193E-2</v>
      </c>
      <c r="G54" s="31">
        <f>G53/F53-1</f>
        <v>-1.8765556889253854E-2</v>
      </c>
      <c r="H54" s="31">
        <f t="shared" ref="H54:M54" si="28">H53/G53-1</f>
        <v>0.12433974849278528</v>
      </c>
      <c r="I54" s="31">
        <f t="shared" si="28"/>
        <v>-1.7992120573548931E-2</v>
      </c>
      <c r="J54" s="31">
        <f t="shared" si="28"/>
        <v>-7.2179135809668171E-2</v>
      </c>
      <c r="K54" s="31">
        <f t="shared" si="28"/>
        <v>4.2294735783598991E-2</v>
      </c>
      <c r="L54" s="31">
        <f t="shared" si="28"/>
        <v>-2.0342302534466672E-2</v>
      </c>
      <c r="M54" s="31">
        <f t="shared" si="28"/>
        <v>-2.0764704434103942E-2</v>
      </c>
    </row>
    <row r="55" spans="2:13" ht="15" customHeight="1" x14ac:dyDescent="0.3">
      <c r="B55" t="s">
        <v>33</v>
      </c>
      <c r="C55" s="30">
        <f t="shared" ref="C55:G55" si="29">C53-C4</f>
        <v>461641</v>
      </c>
      <c r="D55" s="30">
        <f t="shared" si="29"/>
        <v>242299</v>
      </c>
      <c r="E55" s="30"/>
      <c r="F55" s="30">
        <f t="shared" si="29"/>
        <v>278176</v>
      </c>
      <c r="G55" s="30">
        <f t="shared" si="29"/>
        <v>257650</v>
      </c>
      <c r="H55" s="30">
        <f t="shared" ref="H55:M55" si="30">H53-H4</f>
        <v>362660</v>
      </c>
      <c r="I55" s="30">
        <f t="shared" si="30"/>
        <v>353987</v>
      </c>
      <c r="J55" s="30">
        <f t="shared" si="30"/>
        <v>324704</v>
      </c>
      <c r="K55" s="30">
        <f t="shared" si="30"/>
        <v>341962</v>
      </c>
      <c r="L55" s="30">
        <f t="shared" si="30"/>
        <v>333701.40000000002</v>
      </c>
      <c r="M55" s="30">
        <f t="shared" si="30"/>
        <v>299853.68</v>
      </c>
    </row>
    <row r="56" spans="2:13" ht="15" customHeight="1" x14ac:dyDescent="0.3">
      <c r="B56" s="41" t="s">
        <v>9</v>
      </c>
      <c r="C56" s="31"/>
      <c r="D56" s="31"/>
      <c r="F56" s="31"/>
      <c r="G56" s="31"/>
      <c r="H56" s="31"/>
    </row>
    <row r="57" spans="2:13" ht="15" customHeight="1" x14ac:dyDescent="0.3">
      <c r="B57" t="s">
        <v>34</v>
      </c>
      <c r="C57" s="32"/>
      <c r="D57" s="32"/>
      <c r="E57" s="18"/>
      <c r="F57" s="32"/>
      <c r="G57" s="32"/>
      <c r="H57" s="32"/>
      <c r="I57" s="18"/>
      <c r="J57" s="18"/>
      <c r="K57" s="18"/>
    </row>
    <row r="58" spans="2:13" ht="15" customHeight="1" x14ac:dyDescent="0.3">
      <c r="B58" s="17" t="s">
        <v>35</v>
      </c>
      <c r="C58" s="30"/>
      <c r="D58" s="30"/>
      <c r="F58" s="30"/>
      <c r="G58" s="30"/>
      <c r="H58" s="30"/>
    </row>
    <row r="59" spans="2:13" ht="15" customHeight="1" x14ac:dyDescent="0.3">
      <c r="B59" s="17" t="s">
        <v>36</v>
      </c>
      <c r="C59" s="32"/>
      <c r="D59" s="32"/>
      <c r="F59" s="32"/>
      <c r="G59" s="32"/>
      <c r="H59" s="32"/>
    </row>
    <row r="60" spans="2:13" ht="15" customHeight="1" x14ac:dyDescent="0.3">
      <c r="B60"/>
      <c r="C60" s="19"/>
      <c r="D60" s="19"/>
    </row>
    <row r="61" spans="2:13" ht="15" customHeight="1" x14ac:dyDescent="0.3">
      <c r="B61"/>
      <c r="C61" s="19"/>
      <c r="D61" s="19"/>
    </row>
    <row r="62" spans="2:13" ht="15" customHeight="1" x14ac:dyDescent="0.3">
      <c r="B62" s="12" t="s">
        <v>37</v>
      </c>
      <c r="C62" s="13"/>
      <c r="D62" s="13"/>
      <c r="E62" s="13"/>
      <c r="F62" s="13"/>
      <c r="G62" s="13"/>
      <c r="H62" s="13"/>
      <c r="I62" s="13"/>
      <c r="J62" s="13"/>
      <c r="K62" s="13"/>
      <c r="L62" s="2"/>
      <c r="M62" s="2"/>
    </row>
    <row r="63" spans="2:13" ht="15" customHeight="1" x14ac:dyDescent="0.3">
      <c r="B63" s="66" t="s">
        <v>157</v>
      </c>
      <c r="C63" s="33"/>
      <c r="D63" s="33"/>
      <c r="F63" s="33"/>
      <c r="G63" s="33"/>
      <c r="H63" s="33"/>
    </row>
    <row r="64" spans="2:13" ht="15" customHeight="1" x14ac:dyDescent="0.3">
      <c r="B64" s="66" t="s">
        <v>158</v>
      </c>
      <c r="C64" s="33"/>
      <c r="D64" s="33"/>
      <c r="F64" s="33"/>
      <c r="G64" s="33"/>
      <c r="H64" s="33"/>
    </row>
    <row r="65" spans="2:13" ht="15" customHeight="1" x14ac:dyDescent="0.3">
      <c r="B65" s="66" t="s">
        <v>159</v>
      </c>
      <c r="C65" s="33"/>
      <c r="D65" s="33"/>
      <c r="F65" s="33"/>
      <c r="G65" s="33"/>
      <c r="H65" s="33"/>
    </row>
    <row r="66" spans="2:13" ht="15" customHeight="1" x14ac:dyDescent="0.3">
      <c r="B66" s="66" t="s">
        <v>165</v>
      </c>
      <c r="C66" s="33"/>
      <c r="D66" s="33"/>
      <c r="F66" s="33"/>
      <c r="G66" s="33"/>
      <c r="H66" s="33"/>
    </row>
    <row r="67" spans="2:13" ht="15" customHeight="1" x14ac:dyDescent="0.3">
      <c r="B67" s="66" t="s">
        <v>168</v>
      </c>
      <c r="C67" s="33"/>
      <c r="D67" s="33"/>
      <c r="F67" s="33"/>
      <c r="G67" s="33"/>
      <c r="H67" s="33"/>
    </row>
    <row r="68" spans="2:13" ht="15" customHeight="1" x14ac:dyDescent="0.3">
      <c r="B68" s="20" t="s">
        <v>4</v>
      </c>
      <c r="C68" s="21">
        <f>SUM(C63:C67)</f>
        <v>0</v>
      </c>
      <c r="D68" s="21">
        <f>SUM(D63:D67)</f>
        <v>0</v>
      </c>
      <c r="E68" s="10"/>
      <c r="F68" s="21">
        <f>SUM(F63:F67)</f>
        <v>0</v>
      </c>
      <c r="G68" s="21"/>
      <c r="H68" s="21"/>
      <c r="I68" s="10"/>
      <c r="J68" s="10"/>
      <c r="K68" s="10"/>
      <c r="L68" s="10"/>
    </row>
    <row r="69" spans="2:13" ht="15" customHeight="1" x14ac:dyDescent="0.3">
      <c r="B69"/>
      <c r="C69" s="19"/>
      <c r="D69" s="19"/>
    </row>
    <row r="70" spans="2:13" ht="15" customHeight="1" x14ac:dyDescent="0.3">
      <c r="B70" s="24" t="s">
        <v>13</v>
      </c>
      <c r="C70" s="23">
        <f>(C5+C6+C7+C9+C13+C14)-(C24+C28-C27-C33)</f>
        <v>51113</v>
      </c>
      <c r="D70" s="23">
        <f>(D5+D6+D7+D9+D13+D14)-(D24+D28-D27-D33)</f>
        <v>88785</v>
      </c>
      <c r="E70" s="23"/>
      <c r="F70" s="23">
        <f t="shared" ref="F70:M70" si="31">(F5+F6+F7+F9+F13+F14)-(F24+F28-F27-F33)</f>
        <v>77223</v>
      </c>
      <c r="G70" s="23">
        <f t="shared" si="31"/>
        <v>85426</v>
      </c>
      <c r="H70" s="23">
        <f t="shared" si="31"/>
        <v>80691</v>
      </c>
      <c r="I70" s="23">
        <f t="shared" si="31"/>
        <v>107828</v>
      </c>
      <c r="J70" s="23">
        <f t="shared" si="31"/>
        <v>112714</v>
      </c>
      <c r="K70" s="23">
        <f t="shared" si="31"/>
        <v>156583</v>
      </c>
      <c r="L70" s="23">
        <f t="shared" si="31"/>
        <v>156583</v>
      </c>
      <c r="M70" s="23">
        <f t="shared" si="31"/>
        <v>156583</v>
      </c>
    </row>
    <row r="71" spans="2:13" ht="15" customHeight="1" x14ac:dyDescent="0.3">
      <c r="B71" s="41" t="s">
        <v>10</v>
      </c>
      <c r="C71" s="15"/>
      <c r="D71" s="15"/>
      <c r="F71" s="15"/>
      <c r="G71" s="15"/>
      <c r="H71" s="15"/>
    </row>
    <row r="72" spans="2:13" ht="15" customHeight="1" x14ac:dyDescent="0.3">
      <c r="B72" s="41" t="s">
        <v>11</v>
      </c>
      <c r="C72" s="15"/>
      <c r="D72" s="15"/>
      <c r="F72" s="15"/>
      <c r="G72" s="15"/>
      <c r="H72" s="15"/>
    </row>
    <row r="73" spans="2:13" ht="15" customHeight="1" x14ac:dyDescent="0.3">
      <c r="B73" s="16"/>
      <c r="C73" s="15"/>
      <c r="D73" s="15"/>
    </row>
    <row r="75" spans="2:13" ht="15" customHeight="1" x14ac:dyDescent="0.3">
      <c r="B75" s="5" t="s">
        <v>3</v>
      </c>
      <c r="C75" s="6"/>
      <c r="D75" s="6"/>
      <c r="E75" s="6"/>
      <c r="F75" s="6"/>
      <c r="G75" s="6"/>
      <c r="H75" s="6"/>
      <c r="I75" s="6"/>
      <c r="J75" s="6"/>
      <c r="K75" s="6"/>
      <c r="L75" s="2"/>
      <c r="M75" s="2"/>
    </row>
    <row r="77" spans="2:13" ht="15" customHeight="1" x14ac:dyDescent="0.3">
      <c r="B77" s="1" t="s">
        <v>3</v>
      </c>
      <c r="H77" s="1">
        <v>0</v>
      </c>
      <c r="I77" s="1">
        <v>0</v>
      </c>
      <c r="J77" s="1">
        <v>3500</v>
      </c>
      <c r="K77" s="1">
        <v>3500</v>
      </c>
      <c r="L77" s="1">
        <v>3500</v>
      </c>
      <c r="M77" s="1">
        <v>0</v>
      </c>
    </row>
    <row r="79" spans="2:13" ht="15" customHeight="1" x14ac:dyDescent="0.3">
      <c r="J79" s="126" t="s">
        <v>269</v>
      </c>
    </row>
  </sheetData>
  <pageMargins left="0.7" right="0.7" top="0.75" bottom="0.75" header="0.3" footer="0.3"/>
  <pageSetup paperSize="9" orientation="portrait" horizontalDpi="0" verticalDpi="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B1:JP90"/>
  <sheetViews>
    <sheetView showGridLines="0" zoomScaleNormal="100" workbookViewId="0">
      <pane xSplit="2" ySplit="1" topLeftCell="C2" activePane="bottomRight" state="frozen"/>
      <selection pane="topRight" activeCell="C1" sqref="C1"/>
      <selection pane="bottomLeft" activeCell="A2" sqref="A2"/>
      <selection pane="bottomRight" activeCell="N68" sqref="N68"/>
    </sheetView>
  </sheetViews>
  <sheetFormatPr baseColWidth="10" defaultColWidth="12.77734375" defaultRowHeight="15" customHeight="1" x14ac:dyDescent="0.3"/>
  <cols>
    <col min="1" max="1" width="2.77734375" style="1" customWidth="1"/>
    <col min="2" max="2" width="55.5546875" style="1" bestFit="1" customWidth="1"/>
    <col min="3" max="5" width="12.77734375" style="1"/>
    <col min="6" max="9" width="12.77734375" style="1" customWidth="1"/>
    <col min="10" max="16384" width="12.77734375" style="1"/>
  </cols>
  <sheetData>
    <row r="1" spans="2:276" customFormat="1" ht="14.4" x14ac:dyDescent="0.3">
      <c r="B1" s="5" t="s">
        <v>208</v>
      </c>
      <c r="C1" s="6">
        <f>D1-1</f>
        <v>2021</v>
      </c>
      <c r="D1" s="6">
        <v>2022</v>
      </c>
      <c r="E1" s="6">
        <v>2023</v>
      </c>
      <c r="F1" s="6" t="s">
        <v>23</v>
      </c>
      <c r="G1" s="6" t="s">
        <v>24</v>
      </c>
      <c r="H1" s="6" t="s">
        <v>20</v>
      </c>
      <c r="I1" s="6" t="s">
        <v>25</v>
      </c>
      <c r="J1" s="6" t="s">
        <v>82</v>
      </c>
      <c r="K1" s="6" t="s">
        <v>83</v>
      </c>
      <c r="L1" s="4" t="s">
        <v>84</v>
      </c>
      <c r="M1" s="4" t="s">
        <v>59</v>
      </c>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row>
    <row r="2" spans="2:276" ht="15" customHeight="1" x14ac:dyDescent="0.3">
      <c r="B2" s="5" t="s">
        <v>38</v>
      </c>
      <c r="C2" s="6"/>
      <c r="D2" s="6"/>
      <c r="E2" s="6"/>
      <c r="F2" s="6"/>
      <c r="G2" s="6"/>
      <c r="H2" s="6"/>
      <c r="I2" s="6"/>
      <c r="J2" s="6"/>
      <c r="K2" s="6"/>
      <c r="L2" s="2"/>
      <c r="M2" s="2"/>
    </row>
    <row r="3" spans="2:276" ht="15" customHeight="1" x14ac:dyDescent="0.3">
      <c r="B3" s="63" t="s">
        <v>151</v>
      </c>
      <c r="C3" s="8">
        <f>'P&amp;L'!C28</f>
        <v>-11506</v>
      </c>
      <c r="D3" s="8">
        <f>'P&amp;L'!D28</f>
        <v>61980</v>
      </c>
      <c r="E3" s="8">
        <f>'P&amp;L'!E28</f>
        <v>156916</v>
      </c>
      <c r="F3" s="8">
        <f>'P&amp;L'!F28</f>
        <v>38041</v>
      </c>
      <c r="G3" s="8">
        <f>'P&amp;L'!G28</f>
        <v>57081</v>
      </c>
      <c r="H3" s="8">
        <f>'P&amp;L'!H28</f>
        <v>30967</v>
      </c>
      <c r="I3" s="8">
        <f>'P&amp;L'!I28</f>
        <v>35308</v>
      </c>
      <c r="J3" s="8">
        <f>'P&amp;L'!J28</f>
        <v>47071</v>
      </c>
      <c r="K3" s="8">
        <f>'P&amp;L'!K28</f>
        <v>44490</v>
      </c>
      <c r="L3" s="8">
        <f>'P&amp;L'!L28</f>
        <v>27906.600000000006</v>
      </c>
      <c r="M3" s="8">
        <f>'P&amp;L'!M28</f>
        <v>33411.320000000007</v>
      </c>
    </row>
    <row r="4" spans="2:276" ht="15" customHeight="1" x14ac:dyDescent="0.3">
      <c r="B4"/>
      <c r="C4" s="14"/>
      <c r="D4" s="14"/>
      <c r="E4" s="77"/>
      <c r="F4" s="14"/>
      <c r="G4" s="14"/>
      <c r="H4" s="14"/>
      <c r="I4" s="14"/>
    </row>
    <row r="5" spans="2:276" ht="15" customHeight="1" x14ac:dyDescent="0.3">
      <c r="B5" s="63" t="s">
        <v>177</v>
      </c>
      <c r="C5" s="8">
        <f>SUM(C6:C17)</f>
        <v>103606</v>
      </c>
      <c r="D5" s="8">
        <f t="shared" ref="D5:L5" si="0">SUM(D6:D17)</f>
        <v>94232</v>
      </c>
      <c r="E5" s="69">
        <f t="shared" si="0"/>
        <v>114902</v>
      </c>
      <c r="F5" s="8">
        <f t="shared" si="0"/>
        <v>27204</v>
      </c>
      <c r="G5" s="8">
        <f t="shared" si="0"/>
        <v>28140</v>
      </c>
      <c r="H5" s="8">
        <f t="shared" si="0"/>
        <v>29705</v>
      </c>
      <c r="I5" s="8">
        <f t="shared" si="0"/>
        <v>29853</v>
      </c>
      <c r="J5" s="8">
        <f t="shared" si="0"/>
        <v>29956</v>
      </c>
      <c r="K5" s="8">
        <f t="shared" si="0"/>
        <v>29554</v>
      </c>
      <c r="L5" s="8">
        <f t="shared" si="0"/>
        <v>28540</v>
      </c>
      <c r="M5" s="8">
        <f t="shared" ref="M5" si="1">SUM(M6:M17)</f>
        <v>28540</v>
      </c>
    </row>
    <row r="6" spans="2:276" ht="15" customHeight="1" x14ac:dyDescent="0.3">
      <c r="B6" s="66" t="s">
        <v>2</v>
      </c>
      <c r="C6" s="14">
        <v>128639</v>
      </c>
      <c r="D6" s="14">
        <v>123255</v>
      </c>
      <c r="E6" s="77">
        <f t="shared" ref="E6:E17" si="2">SUM(F6:I6)</f>
        <v>108903</v>
      </c>
      <c r="F6" s="14">
        <v>25726</v>
      </c>
      <c r="G6" s="14">
        <v>26376</v>
      </c>
      <c r="H6" s="14">
        <v>28326</v>
      </c>
      <c r="I6" s="14">
        <v>28475</v>
      </c>
      <c r="J6" s="1">
        <v>28250</v>
      </c>
      <c r="K6" s="1">
        <f>-'P&amp;L'!K12</f>
        <v>27878</v>
      </c>
      <c r="L6" s="1">
        <f>-'P&amp;L'!L12</f>
        <v>27878</v>
      </c>
      <c r="M6" s="1">
        <f>-'P&amp;L'!M12</f>
        <v>27878</v>
      </c>
    </row>
    <row r="7" spans="2:276" ht="15" customHeight="1" x14ac:dyDescent="0.3">
      <c r="B7" s="66" t="s">
        <v>141</v>
      </c>
      <c r="C7" s="14"/>
      <c r="D7" s="14"/>
      <c r="E7" s="77">
        <f t="shared" si="2"/>
        <v>0</v>
      </c>
      <c r="F7" s="14"/>
      <c r="G7" s="14"/>
      <c r="H7" s="14"/>
      <c r="I7" s="14"/>
    </row>
    <row r="8" spans="2:276" ht="15" customHeight="1" x14ac:dyDescent="0.3">
      <c r="B8" s="66" t="s">
        <v>178</v>
      </c>
      <c r="C8" s="14">
        <v>2550</v>
      </c>
      <c r="D8" s="14">
        <v>2281</v>
      </c>
      <c r="E8" s="77">
        <f t="shared" si="2"/>
        <v>0</v>
      </c>
      <c r="F8" s="14"/>
      <c r="G8" s="14"/>
      <c r="H8" s="14"/>
      <c r="I8" s="14"/>
    </row>
    <row r="9" spans="2:276" ht="15" customHeight="1" x14ac:dyDescent="0.3">
      <c r="B9" s="66" t="s">
        <v>179</v>
      </c>
      <c r="C9" s="14"/>
      <c r="D9" s="14">
        <v>621</v>
      </c>
      <c r="E9" s="77">
        <f t="shared" si="2"/>
        <v>2971</v>
      </c>
      <c r="F9" s="14">
        <v>836</v>
      </c>
      <c r="G9" s="14">
        <v>722</v>
      </c>
      <c r="H9" s="14">
        <v>664</v>
      </c>
      <c r="I9" s="14">
        <v>749</v>
      </c>
      <c r="J9" s="1">
        <v>680</v>
      </c>
      <c r="K9" s="14">
        <v>662</v>
      </c>
      <c r="L9" s="152">
        <v>662</v>
      </c>
      <c r="M9" s="152">
        <v>662</v>
      </c>
    </row>
    <row r="10" spans="2:276" ht="15" customHeight="1" x14ac:dyDescent="0.3">
      <c r="B10" s="66" t="s">
        <v>180</v>
      </c>
      <c r="C10" s="14"/>
      <c r="D10" s="14"/>
      <c r="E10" s="77">
        <f t="shared" si="2"/>
        <v>17</v>
      </c>
      <c r="F10" s="14">
        <v>9</v>
      </c>
      <c r="G10" s="14"/>
      <c r="H10" s="14">
        <v>8</v>
      </c>
      <c r="I10" s="14"/>
      <c r="J10" s="1">
        <v>0</v>
      </c>
      <c r="K10" s="152">
        <v>0</v>
      </c>
      <c r="L10" s="152">
        <v>0</v>
      </c>
      <c r="M10" s="152">
        <v>0</v>
      </c>
    </row>
    <row r="11" spans="2:276" ht="15" customHeight="1" x14ac:dyDescent="0.3">
      <c r="B11" s="66" t="s">
        <v>181</v>
      </c>
      <c r="C11" s="14">
        <v>-15153</v>
      </c>
      <c r="D11" s="14">
        <v>-19512</v>
      </c>
      <c r="E11" s="77">
        <f t="shared" si="2"/>
        <v>0</v>
      </c>
      <c r="F11" s="14"/>
      <c r="G11" s="14"/>
      <c r="H11" s="14"/>
      <c r="I11" s="14"/>
      <c r="J11" s="1">
        <v>0</v>
      </c>
      <c r="K11" s="152">
        <v>0</v>
      </c>
      <c r="L11" s="152">
        <v>0</v>
      </c>
      <c r="M11" s="152">
        <v>0</v>
      </c>
    </row>
    <row r="12" spans="2:276" ht="15" customHeight="1" x14ac:dyDescent="0.3">
      <c r="B12" s="66" t="s">
        <v>182</v>
      </c>
      <c r="C12" s="14">
        <v>-12450</v>
      </c>
      <c r="D12" s="14">
        <v>-14983</v>
      </c>
      <c r="E12" s="77">
        <f t="shared" si="2"/>
        <v>503</v>
      </c>
      <c r="F12" s="14">
        <v>433</v>
      </c>
      <c r="G12" s="14">
        <v>70</v>
      </c>
      <c r="H12" s="14"/>
      <c r="I12" s="14"/>
      <c r="J12" s="1">
        <v>0</v>
      </c>
      <c r="K12" s="152">
        <v>0</v>
      </c>
      <c r="L12" s="152">
        <v>0</v>
      </c>
      <c r="M12" s="152">
        <v>0</v>
      </c>
    </row>
    <row r="13" spans="2:276" ht="15" customHeight="1" x14ac:dyDescent="0.3">
      <c r="B13" s="66" t="s">
        <v>183</v>
      </c>
      <c r="C13" s="14"/>
      <c r="D13" s="14">
        <v>637</v>
      </c>
      <c r="E13" s="77">
        <f t="shared" si="2"/>
        <v>0</v>
      </c>
      <c r="F13" s="14"/>
      <c r="G13" s="14"/>
      <c r="H13" s="14"/>
      <c r="I13" s="14"/>
    </row>
    <row r="14" spans="2:276" ht="15" customHeight="1" x14ac:dyDescent="0.3">
      <c r="B14" s="66" t="s">
        <v>184</v>
      </c>
      <c r="C14" s="14">
        <v>4347</v>
      </c>
      <c r="D14" s="14">
        <v>4133</v>
      </c>
      <c r="E14" s="77">
        <f t="shared" si="2"/>
        <v>3233</v>
      </c>
      <c r="F14" s="14">
        <v>891</v>
      </c>
      <c r="G14" s="14">
        <v>976</v>
      </c>
      <c r="H14" s="14">
        <v>716</v>
      </c>
      <c r="I14" s="14">
        <v>650</v>
      </c>
      <c r="J14" s="1">
        <v>991</v>
      </c>
      <c r="K14" s="1">
        <v>1005</v>
      </c>
    </row>
    <row r="15" spans="2:276" ht="15" customHeight="1" x14ac:dyDescent="0.3">
      <c r="B15" s="66" t="s">
        <v>185</v>
      </c>
      <c r="C15" s="14"/>
      <c r="D15" s="14">
        <v>-204</v>
      </c>
      <c r="E15" s="77">
        <f t="shared" si="2"/>
        <v>-32</v>
      </c>
      <c r="F15" s="14">
        <v>2</v>
      </c>
      <c r="G15" s="14">
        <v>-4</v>
      </c>
      <c r="H15" s="14">
        <v>-9</v>
      </c>
      <c r="I15" s="14">
        <v>-21</v>
      </c>
      <c r="J15" s="1">
        <v>35</v>
      </c>
      <c r="K15" s="1">
        <v>9</v>
      </c>
    </row>
    <row r="16" spans="2:276" ht="15" customHeight="1" x14ac:dyDescent="0.3">
      <c r="B16" s="66" t="s">
        <v>186</v>
      </c>
      <c r="C16" s="14">
        <v>-3049</v>
      </c>
      <c r="D16" s="14">
        <v>-669</v>
      </c>
      <c r="E16" s="77">
        <f t="shared" si="2"/>
        <v>-693</v>
      </c>
      <c r="F16" s="14">
        <v>-693</v>
      </c>
      <c r="G16" s="14"/>
      <c r="H16" s="14"/>
      <c r="I16" s="14"/>
      <c r="J16" s="1">
        <v>0</v>
      </c>
    </row>
    <row r="17" spans="2:13" ht="15" customHeight="1" x14ac:dyDescent="0.3">
      <c r="B17" s="66" t="s">
        <v>187</v>
      </c>
      <c r="C17" s="14">
        <v>-1278</v>
      </c>
      <c r="D17" s="14">
        <v>-1327</v>
      </c>
      <c r="E17" s="77">
        <f t="shared" si="2"/>
        <v>0</v>
      </c>
      <c r="F17" s="14"/>
      <c r="G17" s="14"/>
      <c r="H17" s="14"/>
      <c r="I17" s="14"/>
    </row>
    <row r="18" spans="2:13" ht="15" customHeight="1" x14ac:dyDescent="0.3">
      <c r="B18" s="20" t="s">
        <v>188</v>
      </c>
      <c r="C18" s="10">
        <f>C3+C5</f>
        <v>92100</v>
      </c>
      <c r="D18" s="10">
        <f t="shared" ref="D18:L18" si="3">D3+D5</f>
        <v>156212</v>
      </c>
      <c r="E18" s="74">
        <f t="shared" si="3"/>
        <v>271818</v>
      </c>
      <c r="F18" s="10">
        <f t="shared" si="3"/>
        <v>65245</v>
      </c>
      <c r="G18" s="10">
        <f t="shared" si="3"/>
        <v>85221</v>
      </c>
      <c r="H18" s="10">
        <f t="shared" si="3"/>
        <v>60672</v>
      </c>
      <c r="I18" s="10">
        <f t="shared" si="3"/>
        <v>65161</v>
      </c>
      <c r="J18" s="10">
        <f t="shared" si="3"/>
        <v>77027</v>
      </c>
      <c r="K18" s="10">
        <f t="shared" si="3"/>
        <v>74044</v>
      </c>
      <c r="L18" s="10">
        <f t="shared" si="3"/>
        <v>56446.600000000006</v>
      </c>
      <c r="M18" s="10">
        <f t="shared" ref="M18" si="4">M3+M5</f>
        <v>61951.320000000007</v>
      </c>
    </row>
    <row r="19" spans="2:13" ht="15" customHeight="1" x14ac:dyDescent="0.3">
      <c r="B19" s="66"/>
      <c r="C19" s="14"/>
      <c r="D19" s="14"/>
      <c r="E19" s="77"/>
      <c r="F19" s="14"/>
      <c r="G19" s="14"/>
      <c r="H19" s="14"/>
      <c r="I19" s="14"/>
    </row>
    <row r="20" spans="2:13" ht="15" customHeight="1" x14ac:dyDescent="0.3">
      <c r="B20" s="63" t="s">
        <v>77</v>
      </c>
      <c r="C20" s="8">
        <f>SUM(C21:C27)</f>
        <v>-31538</v>
      </c>
      <c r="D20" s="8">
        <f t="shared" ref="D20:L20" si="5">SUM(D21:D27)</f>
        <v>-28436</v>
      </c>
      <c r="E20" s="69">
        <f t="shared" si="5"/>
        <v>-24890</v>
      </c>
      <c r="F20" s="8">
        <f t="shared" si="5"/>
        <v>1209</v>
      </c>
      <c r="G20" s="8">
        <f t="shared" si="5"/>
        <v>1744</v>
      </c>
      <c r="H20" s="8">
        <f t="shared" si="5"/>
        <v>-4948</v>
      </c>
      <c r="I20" s="8">
        <f t="shared" si="5"/>
        <v>-22895</v>
      </c>
      <c r="J20" s="8">
        <f t="shared" si="5"/>
        <v>-7160</v>
      </c>
      <c r="K20" s="8">
        <f t="shared" si="5"/>
        <v>8815</v>
      </c>
      <c r="L20" s="8">
        <f t="shared" si="5"/>
        <v>0</v>
      </c>
      <c r="M20" s="8">
        <f t="shared" ref="M20" si="6">SUM(M21:M27)</f>
        <v>0</v>
      </c>
    </row>
    <row r="21" spans="2:13" ht="15" customHeight="1" x14ac:dyDescent="0.3">
      <c r="B21" s="66" t="s">
        <v>157</v>
      </c>
      <c r="C21" s="14">
        <v>-301</v>
      </c>
      <c r="D21" s="14">
        <v>-28702</v>
      </c>
      <c r="E21" s="77">
        <f t="shared" ref="E21:E27" si="7">SUM(F21:I21)</f>
        <v>-16383</v>
      </c>
      <c r="F21" s="14">
        <v>4454</v>
      </c>
      <c r="G21" s="14">
        <v>-1820</v>
      </c>
      <c r="H21" s="14">
        <v>1147</v>
      </c>
      <c r="I21" s="14">
        <v>-20164</v>
      </c>
      <c r="J21" s="1">
        <v>-4713</v>
      </c>
      <c r="K21" s="1">
        <v>10206</v>
      </c>
    </row>
    <row r="22" spans="2:13" ht="15" customHeight="1" x14ac:dyDescent="0.3">
      <c r="B22" s="66" t="s">
        <v>158</v>
      </c>
      <c r="C22" s="14">
        <v>-356</v>
      </c>
      <c r="D22" s="14">
        <v>-1403</v>
      </c>
      <c r="E22" s="77">
        <f t="shared" si="7"/>
        <v>250</v>
      </c>
      <c r="F22" s="14">
        <v>-688</v>
      </c>
      <c r="G22" s="14">
        <v>1295</v>
      </c>
      <c r="H22" s="14">
        <v>-625</v>
      </c>
      <c r="I22" s="14">
        <v>268</v>
      </c>
      <c r="J22" s="1">
        <v>-2129</v>
      </c>
      <c r="K22" s="1">
        <v>-1373</v>
      </c>
    </row>
    <row r="23" spans="2:13" ht="15" customHeight="1" x14ac:dyDescent="0.3">
      <c r="B23" s="66" t="s">
        <v>159</v>
      </c>
      <c r="C23" s="14">
        <v>523</v>
      </c>
      <c r="D23" s="14">
        <v>-3538</v>
      </c>
      <c r="E23" s="77">
        <f t="shared" si="7"/>
        <v>-3009</v>
      </c>
      <c r="F23" s="14">
        <v>1109</v>
      </c>
      <c r="G23" s="14">
        <v>-847</v>
      </c>
      <c r="H23" s="14">
        <v>1264</v>
      </c>
      <c r="I23" s="14">
        <v>-4535</v>
      </c>
      <c r="J23" s="1">
        <v>5907</v>
      </c>
      <c r="K23" s="1">
        <v>-2244</v>
      </c>
    </row>
    <row r="24" spans="2:13" ht="15" customHeight="1" x14ac:dyDescent="0.3">
      <c r="B24" s="66" t="s">
        <v>165</v>
      </c>
      <c r="C24" s="14">
        <v>1510</v>
      </c>
      <c r="D24" s="14">
        <v>5641</v>
      </c>
      <c r="E24" s="77">
        <f t="shared" si="7"/>
        <v>-4938</v>
      </c>
      <c r="F24" s="14">
        <v>-9932</v>
      </c>
      <c r="G24" s="14">
        <v>9506</v>
      </c>
      <c r="H24" s="14">
        <v>-2214</v>
      </c>
      <c r="I24" s="14">
        <v>-2298</v>
      </c>
      <c r="J24" s="1">
        <v>1894</v>
      </c>
      <c r="K24" s="1">
        <v>-1626</v>
      </c>
    </row>
    <row r="25" spans="2:13" ht="15" customHeight="1" x14ac:dyDescent="0.3">
      <c r="B25" s="66" t="s">
        <v>168</v>
      </c>
      <c r="C25" s="14">
        <v>-11372</v>
      </c>
      <c r="D25" s="14">
        <v>-692</v>
      </c>
      <c r="E25" s="77">
        <f t="shared" si="7"/>
        <v>222</v>
      </c>
      <c r="F25" s="14">
        <v>920</v>
      </c>
      <c r="G25" s="14">
        <v>418</v>
      </c>
      <c r="H25" s="14">
        <v>-1116</v>
      </c>
      <c r="I25" s="14">
        <v>0</v>
      </c>
      <c r="J25" s="1">
        <v>-4394</v>
      </c>
      <c r="K25" s="1">
        <v>3247</v>
      </c>
    </row>
    <row r="26" spans="2:13" ht="15" customHeight="1" x14ac:dyDescent="0.3">
      <c r="B26" s="66" t="s">
        <v>161</v>
      </c>
      <c r="C26" s="14">
        <v>-21542</v>
      </c>
      <c r="D26" s="14">
        <v>327</v>
      </c>
      <c r="E26" s="77">
        <f t="shared" si="7"/>
        <v>-737</v>
      </c>
      <c r="F26" s="14">
        <v>5411</v>
      </c>
      <c r="G26" s="14">
        <v>-6700</v>
      </c>
      <c r="H26" s="14">
        <v>-3425</v>
      </c>
      <c r="I26" s="14">
        <v>3977</v>
      </c>
      <c r="J26" s="1">
        <v>-3625</v>
      </c>
      <c r="K26" s="1">
        <v>625</v>
      </c>
    </row>
    <row r="27" spans="2:13" ht="15" customHeight="1" x14ac:dyDescent="0.3">
      <c r="B27" s="66" t="s">
        <v>189</v>
      </c>
      <c r="C27" s="14"/>
      <c r="D27" s="14">
        <v>-69</v>
      </c>
      <c r="E27" s="77">
        <f t="shared" si="7"/>
        <v>-295</v>
      </c>
      <c r="F27" s="14">
        <v>-65</v>
      </c>
      <c r="G27" s="14">
        <v>-108</v>
      </c>
      <c r="H27" s="14">
        <v>21</v>
      </c>
      <c r="I27" s="14">
        <v>-143</v>
      </c>
      <c r="J27" s="1">
        <v>-100</v>
      </c>
      <c r="K27" s="1">
        <v>-20</v>
      </c>
    </row>
    <row r="28" spans="2:13" ht="15" customHeight="1" x14ac:dyDescent="0.3">
      <c r="B28" s="20" t="s">
        <v>190</v>
      </c>
      <c r="C28" s="10">
        <f>C18+C20</f>
        <v>60562</v>
      </c>
      <c r="D28" s="10">
        <f t="shared" ref="D28:L28" si="8">D18+D20</f>
        <v>127776</v>
      </c>
      <c r="E28" s="74">
        <f t="shared" si="8"/>
        <v>246928</v>
      </c>
      <c r="F28" s="10">
        <f t="shared" si="8"/>
        <v>66454</v>
      </c>
      <c r="G28" s="10">
        <f t="shared" si="8"/>
        <v>86965</v>
      </c>
      <c r="H28" s="10">
        <f t="shared" si="8"/>
        <v>55724</v>
      </c>
      <c r="I28" s="10">
        <f t="shared" si="8"/>
        <v>42266</v>
      </c>
      <c r="J28" s="10">
        <f t="shared" si="8"/>
        <v>69867</v>
      </c>
      <c r="K28" s="10">
        <f t="shared" si="8"/>
        <v>82859</v>
      </c>
      <c r="L28" s="10">
        <f t="shared" si="8"/>
        <v>56446.600000000006</v>
      </c>
      <c r="M28" s="10">
        <f t="shared" ref="M28" si="9">M18+M20</f>
        <v>61951.320000000007</v>
      </c>
    </row>
    <row r="29" spans="2:13" ht="15" customHeight="1" x14ac:dyDescent="0.3">
      <c r="C29" s="42"/>
      <c r="D29" s="42"/>
      <c r="E29" s="78"/>
      <c r="F29" s="42"/>
      <c r="G29" s="42"/>
      <c r="H29" s="42"/>
      <c r="I29" s="42"/>
    </row>
    <row r="30" spans="2:13" ht="15" customHeight="1" x14ac:dyDescent="0.3">
      <c r="E30" s="70"/>
    </row>
    <row r="31" spans="2:13" ht="15" customHeight="1" x14ac:dyDescent="0.3">
      <c r="B31" t="s">
        <v>191</v>
      </c>
      <c r="C31" s="1">
        <v>-174558</v>
      </c>
      <c r="D31" s="1">
        <v>-9902</v>
      </c>
      <c r="E31" s="77">
        <f t="shared" ref="E31:E37" si="10">SUM(F31:I31)</f>
        <v>-128082</v>
      </c>
      <c r="F31" s="1">
        <v>-14829</v>
      </c>
      <c r="G31" s="1">
        <v>-18125</v>
      </c>
      <c r="H31" s="1">
        <v>-92943</v>
      </c>
      <c r="I31" s="1">
        <v>-2185</v>
      </c>
      <c r="J31" s="1">
        <v>-3832</v>
      </c>
      <c r="K31" s="1">
        <v>-798</v>
      </c>
      <c r="L31" s="1">
        <f>-Balance!L77</f>
        <v>-3500</v>
      </c>
      <c r="M31" s="1">
        <f>-Balance!M77</f>
        <v>0</v>
      </c>
    </row>
    <row r="32" spans="2:13" ht="15" customHeight="1" x14ac:dyDescent="0.3">
      <c r="B32" t="s">
        <v>277</v>
      </c>
      <c r="E32" s="77"/>
      <c r="J32" s="1">
        <v>-43</v>
      </c>
      <c r="K32" s="1">
        <v>-51454</v>
      </c>
    </row>
    <row r="33" spans="2:13" ht="15" customHeight="1" x14ac:dyDescent="0.3">
      <c r="B33" t="s">
        <v>79</v>
      </c>
      <c r="C33" s="1">
        <v>87062</v>
      </c>
      <c r="D33" s="1">
        <v>112399</v>
      </c>
      <c r="E33" s="77">
        <f t="shared" si="10"/>
        <v>0</v>
      </c>
      <c r="J33" s="1">
        <v>0</v>
      </c>
    </row>
    <row r="34" spans="2:13" ht="15" customHeight="1" x14ac:dyDescent="0.3">
      <c r="B34" t="s">
        <v>192</v>
      </c>
      <c r="D34" s="1">
        <v>-2</v>
      </c>
      <c r="E34" s="77">
        <f t="shared" si="10"/>
        <v>0</v>
      </c>
    </row>
    <row r="35" spans="2:13" ht="15" customHeight="1" x14ac:dyDescent="0.3">
      <c r="B35" t="s">
        <v>193</v>
      </c>
      <c r="D35" s="1">
        <v>8267</v>
      </c>
      <c r="E35" s="77">
        <f t="shared" si="10"/>
        <v>0</v>
      </c>
    </row>
    <row r="36" spans="2:13" ht="15" customHeight="1" x14ac:dyDescent="0.3">
      <c r="B36" t="s">
        <v>194</v>
      </c>
      <c r="C36" s="1">
        <v>1031</v>
      </c>
      <c r="D36" s="1">
        <v>0</v>
      </c>
      <c r="E36" s="77">
        <f t="shared" si="10"/>
        <v>0</v>
      </c>
    </row>
    <row r="37" spans="2:13" ht="15" customHeight="1" x14ac:dyDescent="0.3">
      <c r="B37" t="s">
        <v>195</v>
      </c>
      <c r="C37" s="1">
        <v>-48</v>
      </c>
      <c r="D37" s="1">
        <v>-243</v>
      </c>
      <c r="E37" s="77">
        <f t="shared" si="10"/>
        <v>-151</v>
      </c>
      <c r="F37" s="1">
        <v>-35</v>
      </c>
      <c r="G37" s="1">
        <v>-10</v>
      </c>
      <c r="H37" s="1">
        <v>-89</v>
      </c>
      <c r="I37" s="1">
        <v>-17</v>
      </c>
      <c r="J37" s="1">
        <v>-3</v>
      </c>
      <c r="K37" s="1">
        <v>-19</v>
      </c>
    </row>
    <row r="38" spans="2:13" ht="15" customHeight="1" x14ac:dyDescent="0.3">
      <c r="B38" s="10" t="s">
        <v>39</v>
      </c>
      <c r="C38" s="10">
        <f>SUM(C31:C37)</f>
        <v>-86513</v>
      </c>
      <c r="D38" s="10">
        <f>SUM(D31:D37)</f>
        <v>110519</v>
      </c>
      <c r="E38" s="74">
        <f>SUM(E31:E37)</f>
        <v>-128233</v>
      </c>
      <c r="F38" s="10">
        <f t="shared" ref="F38:L38" si="11">SUM(F31:F37)</f>
        <v>-14864</v>
      </c>
      <c r="G38" s="10">
        <f t="shared" si="11"/>
        <v>-18135</v>
      </c>
      <c r="H38" s="10">
        <f t="shared" si="11"/>
        <v>-93032</v>
      </c>
      <c r="I38" s="10">
        <f t="shared" si="11"/>
        <v>-2202</v>
      </c>
      <c r="J38" s="10">
        <f t="shared" si="11"/>
        <v>-3878</v>
      </c>
      <c r="K38" s="10">
        <f t="shared" si="11"/>
        <v>-52271</v>
      </c>
      <c r="L38" s="10">
        <f t="shared" si="11"/>
        <v>-3500</v>
      </c>
      <c r="M38" s="10">
        <f t="shared" ref="M38" si="12">SUM(M31:M37)</f>
        <v>0</v>
      </c>
    </row>
    <row r="39" spans="2:13" ht="15" customHeight="1" x14ac:dyDescent="0.3">
      <c r="E39" s="70"/>
    </row>
    <row r="40" spans="2:13" ht="15" customHeight="1" x14ac:dyDescent="0.3">
      <c r="E40" s="70"/>
    </row>
    <row r="41" spans="2:13" ht="15" customHeight="1" x14ac:dyDescent="0.3">
      <c r="B41" s="7" t="s">
        <v>6</v>
      </c>
      <c r="C41" s="7">
        <f>C28+C31+C37</f>
        <v>-114044</v>
      </c>
      <c r="D41" s="7">
        <f>D28+D31+D37</f>
        <v>117631</v>
      </c>
      <c r="E41" s="79">
        <f>SUM(F41:I41)</f>
        <v>123176</v>
      </c>
      <c r="F41" s="7">
        <f t="shared" ref="F41:L41" si="13">F28+F31+F37</f>
        <v>51590</v>
      </c>
      <c r="G41" s="7">
        <f t="shared" si="13"/>
        <v>68830</v>
      </c>
      <c r="H41" s="7">
        <f t="shared" si="13"/>
        <v>-37308</v>
      </c>
      <c r="I41" s="7">
        <f t="shared" si="13"/>
        <v>40064</v>
      </c>
      <c r="J41" s="7">
        <f t="shared" si="13"/>
        <v>66032</v>
      </c>
      <c r="K41" s="7">
        <f t="shared" si="13"/>
        <v>82042</v>
      </c>
      <c r="L41" s="7">
        <f t="shared" si="13"/>
        <v>52946.600000000006</v>
      </c>
      <c r="M41" s="7">
        <f t="shared" ref="M41" si="14">M28+M31+M37</f>
        <v>61951.320000000007</v>
      </c>
    </row>
    <row r="42" spans="2:13" ht="15" customHeight="1" x14ac:dyDescent="0.3">
      <c r="B42" s="7" t="s">
        <v>212</v>
      </c>
      <c r="C42" s="7">
        <f>C41-'P&amp;L'!C22-'P&amp;L'!C21</f>
        <v>-88323</v>
      </c>
      <c r="D42" s="7">
        <f>D41-'P&amp;L'!D22-'P&amp;L'!D21</f>
        <v>140043</v>
      </c>
      <c r="E42" s="7">
        <f>E41-'P&amp;L'!E22-'P&amp;L'!E21</f>
        <v>151752</v>
      </c>
      <c r="F42" s="7">
        <f>F41-'P&amp;L'!F22-'P&amp;L'!F21</f>
        <v>58778</v>
      </c>
      <c r="G42" s="7">
        <f>G41-'P&amp;L'!G22-'P&amp;L'!G21</f>
        <v>74356</v>
      </c>
      <c r="H42" s="7">
        <f>H41-'P&amp;L'!H22-'P&amp;L'!H21</f>
        <v>-29732</v>
      </c>
      <c r="I42" s="7">
        <f>I41-'P&amp;L'!I22-'P&amp;L'!I21</f>
        <v>48350</v>
      </c>
      <c r="J42" s="7">
        <f>J41-'P&amp;L'!J22-'P&amp;L'!J21</f>
        <v>73716</v>
      </c>
      <c r="K42" s="7">
        <f>K41-'P&amp;L'!K22-'P&amp;L'!K21</f>
        <v>89028</v>
      </c>
      <c r="L42" s="7">
        <f>L41-'P&amp;L'!L22-'P&amp;L'!L21</f>
        <v>59867.600000000006</v>
      </c>
      <c r="M42" s="7">
        <f>M41-'P&amp;L'!M22-'P&amp;L'!M21</f>
        <v>68872.320000000007</v>
      </c>
    </row>
    <row r="43" spans="2:13" ht="15" customHeight="1" x14ac:dyDescent="0.3">
      <c r="E43" s="70"/>
    </row>
    <row r="44" spans="2:13" ht="15" customHeight="1" x14ac:dyDescent="0.3">
      <c r="E44" s="70"/>
    </row>
    <row r="45" spans="2:13" ht="15" customHeight="1" x14ac:dyDescent="0.3">
      <c r="B45" t="s">
        <v>80</v>
      </c>
      <c r="C45" s="1">
        <v>-22083</v>
      </c>
      <c r="D45" s="1">
        <v>-19678</v>
      </c>
      <c r="E45" s="70">
        <f t="shared" ref="E45:E56" si="15">SUM(F45:I45)</f>
        <v>-186673</v>
      </c>
      <c r="F45" s="1">
        <v>-61935</v>
      </c>
      <c r="G45" s="1">
        <v>-37487</v>
      </c>
      <c r="H45" s="1">
        <v>-56661</v>
      </c>
      <c r="I45" s="1">
        <v>-30590</v>
      </c>
      <c r="J45" s="1">
        <v>-35492</v>
      </c>
      <c r="K45" s="1">
        <v>-46786</v>
      </c>
      <c r="L45" s="1">
        <f>-('P&amp;L'!K34*('P&amp;L'!L37/1000))</f>
        <v>-44346.999999999993</v>
      </c>
      <c r="M45" s="1">
        <f>-('P&amp;L'!L34*('P&amp;L'!M37/1000))</f>
        <v>-27763.600000000002</v>
      </c>
    </row>
    <row r="46" spans="2:13" ht="15" customHeight="1" x14ac:dyDescent="0.3">
      <c r="B46" t="s">
        <v>196</v>
      </c>
      <c r="D46" s="1">
        <v>0</v>
      </c>
      <c r="E46" s="70">
        <f t="shared" si="15"/>
        <v>-590</v>
      </c>
      <c r="G46" s="1">
        <v>-590</v>
      </c>
      <c r="I46" s="1">
        <v>0</v>
      </c>
    </row>
    <row r="47" spans="2:13" ht="15" customHeight="1" x14ac:dyDescent="0.3">
      <c r="B47" t="s">
        <v>197</v>
      </c>
      <c r="C47" s="1">
        <v>-611</v>
      </c>
      <c r="D47" s="1">
        <v>-1089</v>
      </c>
      <c r="E47" s="70">
        <f t="shared" si="15"/>
        <v>-1424</v>
      </c>
      <c r="F47" s="1">
        <v>-386</v>
      </c>
      <c r="G47" s="1">
        <v>-350</v>
      </c>
      <c r="H47" s="1">
        <v>-346</v>
      </c>
      <c r="I47" s="1">
        <v>-342</v>
      </c>
      <c r="J47" s="1">
        <v>-340</v>
      </c>
      <c r="K47" s="1">
        <v>-340</v>
      </c>
      <c r="L47" s="1">
        <v>-340</v>
      </c>
      <c r="M47" s="1">
        <v>-340</v>
      </c>
    </row>
    <row r="48" spans="2:13" ht="15" customHeight="1" x14ac:dyDescent="0.3">
      <c r="B48" t="s">
        <v>198</v>
      </c>
      <c r="C48" s="1">
        <v>355840</v>
      </c>
      <c r="D48" s="1">
        <v>4008</v>
      </c>
      <c r="E48" s="70">
        <f t="shared" si="15"/>
        <v>339633</v>
      </c>
      <c r="F48" s="1">
        <v>216399</v>
      </c>
      <c r="G48" s="1">
        <v>-208</v>
      </c>
      <c r="H48" s="1">
        <v>99492</v>
      </c>
      <c r="I48" s="1">
        <v>23950</v>
      </c>
      <c r="J48" s="1">
        <v>49999</v>
      </c>
      <c r="K48" s="1">
        <v>25000</v>
      </c>
      <c r="L48" s="1">
        <v>0</v>
      </c>
      <c r="M48" s="1">
        <v>0</v>
      </c>
    </row>
    <row r="49" spans="2:13" ht="15" customHeight="1" x14ac:dyDescent="0.3">
      <c r="B49" t="s">
        <v>199</v>
      </c>
      <c r="C49" s="1">
        <v>-32178</v>
      </c>
      <c r="D49" s="1">
        <v>-24758</v>
      </c>
      <c r="E49" s="70">
        <f t="shared" si="15"/>
        <v>-18808</v>
      </c>
      <c r="G49" s="1">
        <v>-8866</v>
      </c>
      <c r="H49" s="1">
        <v>-9942</v>
      </c>
    </row>
    <row r="50" spans="2:13" ht="15" customHeight="1" x14ac:dyDescent="0.3">
      <c r="B50" t="s">
        <v>200</v>
      </c>
      <c r="D50" s="1">
        <v>0</v>
      </c>
      <c r="E50" s="70">
        <f t="shared" si="15"/>
        <v>0</v>
      </c>
    </row>
    <row r="51" spans="2:13" ht="15" customHeight="1" x14ac:dyDescent="0.3">
      <c r="B51" t="s">
        <v>201</v>
      </c>
      <c r="D51" s="1">
        <v>0</v>
      </c>
      <c r="E51" s="70">
        <f t="shared" si="15"/>
        <v>-4832</v>
      </c>
      <c r="F51" s="1">
        <v>3256</v>
      </c>
      <c r="G51" s="1">
        <v>-8088</v>
      </c>
    </row>
    <row r="52" spans="2:13" ht="15" customHeight="1" x14ac:dyDescent="0.3">
      <c r="B52" t="s">
        <v>202</v>
      </c>
      <c r="C52" s="1">
        <v>-283000</v>
      </c>
      <c r="D52" s="1">
        <v>-9454</v>
      </c>
      <c r="E52" s="70">
        <f t="shared" si="15"/>
        <v>-16338</v>
      </c>
      <c r="F52" s="1">
        <v>-625</v>
      </c>
      <c r="H52" s="1">
        <v>-6875</v>
      </c>
      <c r="I52" s="1">
        <v>-8838</v>
      </c>
      <c r="J52" s="1">
        <v>-7625</v>
      </c>
      <c r="K52" s="1">
        <v>-8838</v>
      </c>
      <c r="L52" s="1">
        <f>(Balance!L31+Balance!L26)-(Balance!K31+Balance!K26)</f>
        <v>-8434</v>
      </c>
      <c r="M52" s="1">
        <f>(Balance!M31+Balance!M26)-(Balance!L31+Balance!L26)</f>
        <v>-8434</v>
      </c>
    </row>
    <row r="53" spans="2:13" ht="15" customHeight="1" x14ac:dyDescent="0.3">
      <c r="B53" t="s">
        <v>203</v>
      </c>
      <c r="D53" s="1">
        <v>-96840</v>
      </c>
      <c r="E53" s="70">
        <f t="shared" si="15"/>
        <v>-68715</v>
      </c>
      <c r="H53" s="1">
        <v>-45000</v>
      </c>
      <c r="I53" s="1">
        <v>-23715</v>
      </c>
      <c r="J53" s="1">
        <v>-74000</v>
      </c>
    </row>
    <row r="54" spans="2:13" ht="15" customHeight="1" x14ac:dyDescent="0.3">
      <c r="B54" t="s">
        <v>204</v>
      </c>
      <c r="D54" s="1">
        <v>0</v>
      </c>
      <c r="E54" s="70">
        <f t="shared" si="15"/>
        <v>-216761</v>
      </c>
      <c r="F54" s="1">
        <v>-216761</v>
      </c>
    </row>
    <row r="55" spans="2:13" ht="15" customHeight="1" x14ac:dyDescent="0.3">
      <c r="B55" t="s">
        <v>205</v>
      </c>
      <c r="D55" s="1">
        <v>-25531</v>
      </c>
      <c r="E55" s="70">
        <f t="shared" si="15"/>
        <v>0</v>
      </c>
    </row>
    <row r="56" spans="2:13" ht="15" customHeight="1" x14ac:dyDescent="0.3">
      <c r="B56" t="s">
        <v>206</v>
      </c>
      <c r="D56" s="1">
        <v>0</v>
      </c>
      <c r="E56" s="70">
        <f t="shared" si="15"/>
        <v>0</v>
      </c>
    </row>
    <row r="57" spans="2:13" ht="15" customHeight="1" x14ac:dyDescent="0.3">
      <c r="B57" s="10" t="s">
        <v>40</v>
      </c>
      <c r="C57" s="10">
        <f>SUM(C45:C56)</f>
        <v>17968</v>
      </c>
      <c r="D57" s="10">
        <f>SUM(D45:D56)</f>
        <v>-173342</v>
      </c>
      <c r="E57" s="74">
        <f>SUM(E45:E56)</f>
        <v>-174508</v>
      </c>
      <c r="F57" s="10">
        <f t="shared" ref="F57:L57" si="16">SUM(F45:F56)</f>
        <v>-60052</v>
      </c>
      <c r="G57" s="10">
        <f t="shared" si="16"/>
        <v>-55589</v>
      </c>
      <c r="H57" s="10">
        <f t="shared" si="16"/>
        <v>-19332</v>
      </c>
      <c r="I57" s="10">
        <f t="shared" si="16"/>
        <v>-39535</v>
      </c>
      <c r="J57" s="10">
        <f t="shared" si="16"/>
        <v>-67458</v>
      </c>
      <c r="K57" s="10">
        <f t="shared" si="16"/>
        <v>-30964</v>
      </c>
      <c r="L57" s="10">
        <f t="shared" si="16"/>
        <v>-53120.999999999993</v>
      </c>
      <c r="M57" s="10">
        <f t="shared" ref="M57" si="17">SUM(M45:M56)</f>
        <v>-36537.600000000006</v>
      </c>
    </row>
    <row r="58" spans="2:13" ht="15" customHeight="1" x14ac:dyDescent="0.3">
      <c r="E58" s="70"/>
    </row>
    <row r="59" spans="2:13" ht="15" customHeight="1" x14ac:dyDescent="0.3">
      <c r="B59" s="8" t="s">
        <v>41</v>
      </c>
      <c r="C59" s="8">
        <f t="shared" ref="C59:L59" si="18">C28+C38+C57</f>
        <v>-7983</v>
      </c>
      <c r="D59" s="8">
        <f t="shared" si="18"/>
        <v>64953</v>
      </c>
      <c r="E59" s="69">
        <f t="shared" si="18"/>
        <v>-55813</v>
      </c>
      <c r="F59" s="8">
        <f t="shared" si="18"/>
        <v>-8462</v>
      </c>
      <c r="G59" s="8">
        <f t="shared" si="18"/>
        <v>13241</v>
      </c>
      <c r="H59" s="8">
        <f t="shared" si="18"/>
        <v>-56640</v>
      </c>
      <c r="I59" s="8">
        <f t="shared" si="18"/>
        <v>529</v>
      </c>
      <c r="J59" s="8">
        <f t="shared" si="18"/>
        <v>-1469</v>
      </c>
      <c r="K59" s="8">
        <f t="shared" si="18"/>
        <v>-376</v>
      </c>
      <c r="L59" s="8">
        <f t="shared" si="18"/>
        <v>-174.3999999999869</v>
      </c>
      <c r="M59" s="8">
        <f t="shared" ref="M59" si="19">M28+M38+M57</f>
        <v>25413.72</v>
      </c>
    </row>
    <row r="60" spans="2:13" ht="15" customHeight="1" x14ac:dyDescent="0.3">
      <c r="B60" t="s">
        <v>207</v>
      </c>
      <c r="C60" s="14"/>
      <c r="D60" s="14">
        <v>340</v>
      </c>
      <c r="E60" s="77"/>
      <c r="F60" s="14">
        <v>61</v>
      </c>
      <c r="G60" s="14">
        <v>-141</v>
      </c>
      <c r="H60" s="14">
        <v>-90</v>
      </c>
      <c r="I60" s="14">
        <v>289</v>
      </c>
      <c r="J60" s="1">
        <v>-194</v>
      </c>
      <c r="K60" s="1">
        <v>-56</v>
      </c>
    </row>
    <row r="61" spans="2:13" ht="15" customHeight="1" x14ac:dyDescent="0.3">
      <c r="B61" s="8" t="s">
        <v>42</v>
      </c>
      <c r="C61" s="8">
        <v>68641</v>
      </c>
      <c r="D61" s="8">
        <f>C62</f>
        <v>60658</v>
      </c>
      <c r="E61" s="69">
        <f>D62</f>
        <v>125951</v>
      </c>
      <c r="F61" s="8">
        <f>D62</f>
        <v>125951</v>
      </c>
      <c r="G61" s="8">
        <f t="shared" ref="G61:M61" si="20">F62</f>
        <v>117550</v>
      </c>
      <c r="H61" s="8">
        <f t="shared" si="20"/>
        <v>130650</v>
      </c>
      <c r="I61" s="8">
        <f t="shared" si="20"/>
        <v>73920</v>
      </c>
      <c r="J61" s="8">
        <f t="shared" si="20"/>
        <v>74738</v>
      </c>
      <c r="K61" s="8">
        <f t="shared" si="20"/>
        <v>73075</v>
      </c>
      <c r="L61" s="8">
        <f t="shared" si="20"/>
        <v>72643</v>
      </c>
      <c r="M61" s="8">
        <f t="shared" si="20"/>
        <v>72468.600000000006</v>
      </c>
    </row>
    <row r="62" spans="2:13" ht="15" customHeight="1" x14ac:dyDescent="0.3">
      <c r="B62" s="8" t="s">
        <v>43</v>
      </c>
      <c r="C62" s="8">
        <f>SUM(C59:C61)</f>
        <v>60658</v>
      </c>
      <c r="D62" s="8">
        <f>SUM(D59:D61)</f>
        <v>125951</v>
      </c>
      <c r="E62" s="69">
        <f>SUM(E59:E61)</f>
        <v>70138</v>
      </c>
      <c r="F62" s="8">
        <f t="shared" ref="F62:I62" si="21">SUM(F59:F61)</f>
        <v>117550</v>
      </c>
      <c r="G62" s="8">
        <f t="shared" si="21"/>
        <v>130650</v>
      </c>
      <c r="H62" s="8">
        <f t="shared" si="21"/>
        <v>73920</v>
      </c>
      <c r="I62" s="8">
        <f t="shared" si="21"/>
        <v>74738</v>
      </c>
      <c r="J62" s="8">
        <f t="shared" ref="J62:K62" si="22">SUM(J59:J61)</f>
        <v>73075</v>
      </c>
      <c r="K62" s="8">
        <f t="shared" si="22"/>
        <v>72643</v>
      </c>
      <c r="L62" s="8">
        <f t="shared" ref="L62:M62" si="23">SUM(L59:L61)</f>
        <v>72468.600000000006</v>
      </c>
      <c r="M62" s="8">
        <f t="shared" si="23"/>
        <v>97882.32</v>
      </c>
    </row>
    <row r="65" spans="2:13" ht="15" customHeight="1" x14ac:dyDescent="0.3">
      <c r="B65" s="5" t="s">
        <v>44</v>
      </c>
      <c r="C65" s="6"/>
      <c r="D65" s="6"/>
      <c r="E65" s="6"/>
      <c r="F65" s="6"/>
      <c r="G65" s="6"/>
      <c r="H65" s="6"/>
      <c r="I65" s="6"/>
      <c r="J65" s="6"/>
      <c r="K65" s="2"/>
      <c r="L65" s="2"/>
    </row>
    <row r="66" spans="2:13" ht="15" customHeight="1" x14ac:dyDescent="0.3">
      <c r="B66" s="8" t="s">
        <v>5</v>
      </c>
      <c r="C66" s="8"/>
      <c r="D66" s="8"/>
      <c r="E66" s="8"/>
      <c r="F66" s="8"/>
      <c r="G66" s="8"/>
      <c r="H66" s="8"/>
      <c r="I66" s="131">
        <f>'P&amp;L'!I28</f>
        <v>35308</v>
      </c>
      <c r="J66" s="131">
        <f>'P&amp;L'!J28</f>
        <v>47071</v>
      </c>
      <c r="K66" s="8">
        <f>'P&amp;L'!K28</f>
        <v>44490</v>
      </c>
      <c r="L66" s="8">
        <f>'P&amp;L'!L28</f>
        <v>27906.600000000006</v>
      </c>
      <c r="M66" s="8"/>
    </row>
    <row r="67" spans="2:13" ht="15" customHeight="1" x14ac:dyDescent="0.3">
      <c r="B67" s="1" t="s">
        <v>2</v>
      </c>
      <c r="I67" s="132">
        <f>-'P&amp;L'!I12</f>
        <v>28475</v>
      </c>
      <c r="J67" s="132">
        <f>-'P&amp;L'!J12</f>
        <v>28250</v>
      </c>
      <c r="K67" s="1">
        <f>-'P&amp;L'!K12</f>
        <v>27878</v>
      </c>
      <c r="L67" s="1">
        <f>-'P&amp;L'!L12</f>
        <v>27878</v>
      </c>
    </row>
    <row r="68" spans="2:13" ht="15" customHeight="1" x14ac:dyDescent="0.3">
      <c r="B68" s="1" t="s">
        <v>45</v>
      </c>
      <c r="I68" s="132">
        <v>0</v>
      </c>
      <c r="J68" s="132">
        <v>0</v>
      </c>
      <c r="K68" s="1">
        <v>0</v>
      </c>
      <c r="L68" s="1">
        <v>0</v>
      </c>
    </row>
    <row r="69" spans="2:13" ht="15" customHeight="1" x14ac:dyDescent="0.3">
      <c r="B69" s="10" t="s">
        <v>12</v>
      </c>
      <c r="C69" s="10"/>
      <c r="D69" s="10"/>
      <c r="E69" s="10"/>
      <c r="F69" s="10"/>
      <c r="G69" s="10"/>
      <c r="H69" s="10"/>
      <c r="I69" s="133">
        <f>SUM(I66:I68)</f>
        <v>63783</v>
      </c>
      <c r="J69" s="133">
        <f>SUM(J66:J68)</f>
        <v>75321</v>
      </c>
      <c r="K69" s="10">
        <f>SUM(K66:K68)</f>
        <v>72368</v>
      </c>
      <c r="L69" s="10">
        <f>SUM(L66:L68)</f>
        <v>55784.600000000006</v>
      </c>
    </row>
    <row r="70" spans="2:13" ht="15" customHeight="1" x14ac:dyDescent="0.3">
      <c r="B70" s="22"/>
      <c r="C70" s="22"/>
      <c r="D70" s="22"/>
      <c r="E70" s="22"/>
      <c r="F70" s="22"/>
      <c r="G70" s="22"/>
      <c r="H70" s="22"/>
      <c r="I70" s="134"/>
      <c r="J70" s="132"/>
    </row>
    <row r="71" spans="2:13" ht="15" customHeight="1" x14ac:dyDescent="0.3">
      <c r="I71" s="132"/>
      <c r="J71" s="132"/>
    </row>
    <row r="72" spans="2:13" ht="15" customHeight="1" x14ac:dyDescent="0.3">
      <c r="B72" s="1" t="s">
        <v>46</v>
      </c>
      <c r="I72" s="132">
        <f>-Balance!I77</f>
        <v>0</v>
      </c>
      <c r="J72" s="132">
        <f>-Balance!J77</f>
        <v>-3500</v>
      </c>
      <c r="K72" s="1">
        <f>-Balance!K77</f>
        <v>-3500</v>
      </c>
      <c r="L72" s="1">
        <f>-Balance!L77</f>
        <v>-3500</v>
      </c>
    </row>
    <row r="73" spans="2:13" ht="15" customHeight="1" x14ac:dyDescent="0.3">
      <c r="B73" s="1" t="s">
        <v>47</v>
      </c>
      <c r="I73" s="132">
        <v>0</v>
      </c>
      <c r="J73" s="132">
        <v>0</v>
      </c>
      <c r="K73" s="1">
        <v>0</v>
      </c>
      <c r="L73" s="1">
        <v>0</v>
      </c>
    </row>
    <row r="74" spans="2:13" ht="15" customHeight="1" x14ac:dyDescent="0.3">
      <c r="B74" s="10" t="s">
        <v>39</v>
      </c>
      <c r="C74" s="10"/>
      <c r="D74" s="10"/>
      <c r="E74" s="10"/>
      <c r="F74" s="10"/>
      <c r="G74" s="10"/>
      <c r="H74" s="10"/>
      <c r="I74" s="133">
        <f>SUM(I72:I73)</f>
        <v>0</v>
      </c>
      <c r="J74" s="133">
        <f>SUM(J72:J73)</f>
        <v>-3500</v>
      </c>
      <c r="K74" s="10">
        <f>SUM(K72:K73)</f>
        <v>-3500</v>
      </c>
      <c r="L74" s="10">
        <f>SUM(L72:L73)</f>
        <v>-3500</v>
      </c>
    </row>
    <row r="75" spans="2:13" ht="15" customHeight="1" x14ac:dyDescent="0.3">
      <c r="B75" s="22"/>
      <c r="C75" s="22"/>
      <c r="D75" s="22"/>
      <c r="E75" s="22"/>
      <c r="F75" s="22"/>
      <c r="G75" s="22"/>
      <c r="H75" s="22"/>
      <c r="I75" s="134"/>
      <c r="J75" s="132"/>
    </row>
    <row r="76" spans="2:13" ht="15" customHeight="1" x14ac:dyDescent="0.3">
      <c r="I76" s="132"/>
      <c r="J76" s="132"/>
    </row>
    <row r="77" spans="2:13" ht="15" customHeight="1" x14ac:dyDescent="0.3">
      <c r="B77" s="7" t="s">
        <v>6</v>
      </c>
      <c r="C77" s="7"/>
      <c r="D77" s="7"/>
      <c r="E77" s="7"/>
      <c r="F77" s="7"/>
      <c r="G77" s="7"/>
      <c r="H77" s="7"/>
      <c r="I77" s="135">
        <f>I69+I72+I73</f>
        <v>63783</v>
      </c>
      <c r="J77" s="135">
        <f>J69+J72+J73</f>
        <v>71821</v>
      </c>
      <c r="K77" s="7">
        <f>K69+K72+K73</f>
        <v>68868</v>
      </c>
      <c r="L77" s="7">
        <f>L69+L72+L73</f>
        <v>52284.600000000006</v>
      </c>
    </row>
    <row r="78" spans="2:13" ht="15" customHeight="1" x14ac:dyDescent="0.3">
      <c r="B78" s="7" t="s">
        <v>212</v>
      </c>
      <c r="C78" s="7"/>
      <c r="D78" s="7"/>
      <c r="E78" s="7"/>
      <c r="F78" s="7"/>
      <c r="G78" s="7"/>
      <c r="H78" s="7"/>
      <c r="I78" s="135">
        <f>I77-'P&amp;L'!I22-'P&amp;L'!I21</f>
        <v>72069</v>
      </c>
      <c r="J78" s="135">
        <f>J77-'P&amp;L'!J22-'P&amp;L'!J21</f>
        <v>79505</v>
      </c>
      <c r="K78" s="7">
        <f>K77-'P&amp;L'!K22-'P&amp;L'!K21</f>
        <v>75854</v>
      </c>
      <c r="L78" s="7">
        <f>L77-'P&amp;L'!L22-'P&amp;L'!L21</f>
        <v>59205.600000000006</v>
      </c>
    </row>
    <row r="79" spans="2:13" ht="15" customHeight="1" x14ac:dyDescent="0.3">
      <c r="I79" s="132"/>
      <c r="J79" s="132"/>
    </row>
    <row r="80" spans="2:13" ht="15" customHeight="1" x14ac:dyDescent="0.3">
      <c r="I80" s="132"/>
      <c r="J80" s="132"/>
    </row>
    <row r="81" spans="2:13" ht="15" customHeight="1" x14ac:dyDescent="0.3">
      <c r="B81" s="1" t="s">
        <v>48</v>
      </c>
      <c r="I81" s="132">
        <f>Balance!I31-(Balance!H31+Balance!H26)</f>
        <v>-38155</v>
      </c>
      <c r="J81" s="132">
        <f>Balance!J31-(Balance!I31+Balance!I26)</f>
        <v>-67106</v>
      </c>
      <c r="K81" s="1">
        <f>(Balance!K31+Balance!K26)-(Balance!J31+Balance!J26)</f>
        <v>16824</v>
      </c>
      <c r="L81" s="1">
        <f>(Balance!L31+Balance!L26)-(Balance!K31+Balance!K26)</f>
        <v>-8434</v>
      </c>
    </row>
    <row r="82" spans="2:13" ht="15" customHeight="1" x14ac:dyDescent="0.3">
      <c r="B82" s="1" t="s">
        <v>49</v>
      </c>
      <c r="I82" s="132">
        <v>0</v>
      </c>
      <c r="J82" s="132">
        <v>0</v>
      </c>
      <c r="K82" s="1">
        <v>0</v>
      </c>
      <c r="L82" s="1">
        <v>0</v>
      </c>
    </row>
    <row r="83" spans="2:13" ht="15" customHeight="1" x14ac:dyDescent="0.3">
      <c r="B83" s="1" t="s">
        <v>50</v>
      </c>
      <c r="I83" s="132">
        <f>-('P&amp;L'!H34*'P&amp;L'!I37)/1000</f>
        <v>-30618.951749357329</v>
      </c>
      <c r="J83" s="132">
        <f>(-0.22*('P&amp;L'!J37))/1000</f>
        <v>-35488.470820000002</v>
      </c>
      <c r="K83" s="30">
        <f>(-0.3*('P&amp;L'!K37))/1000</f>
        <v>-48410.8341</v>
      </c>
      <c r="L83" s="30">
        <f>(-0.23*('P&amp;L'!L37))/1000</f>
        <v>-37114.972809999999</v>
      </c>
    </row>
    <row r="84" spans="2:13" ht="15" customHeight="1" x14ac:dyDescent="0.3">
      <c r="B84" s="1" t="s">
        <v>51</v>
      </c>
      <c r="I84" s="132">
        <v>0</v>
      </c>
      <c r="J84" s="132">
        <v>0</v>
      </c>
      <c r="K84" s="1">
        <v>0</v>
      </c>
      <c r="L84" s="1">
        <v>0</v>
      </c>
    </row>
    <row r="85" spans="2:13" ht="15" customHeight="1" x14ac:dyDescent="0.3">
      <c r="B85" s="10" t="s">
        <v>52</v>
      </c>
      <c r="C85" s="10"/>
      <c r="D85" s="10"/>
      <c r="E85" s="10"/>
      <c r="F85" s="10"/>
      <c r="G85" s="10"/>
      <c r="H85" s="10"/>
      <c r="I85" s="133">
        <f>SUM(I81:I84)</f>
        <v>-68773.951749357337</v>
      </c>
      <c r="J85" s="133">
        <f>SUM(J81:J84)</f>
        <v>-102594.47082</v>
      </c>
      <c r="K85" s="10">
        <f>SUM(K81:K84)</f>
        <v>-31586.8341</v>
      </c>
      <c r="L85" s="10">
        <f>SUM(L81:L84)</f>
        <v>-45548.972809999999</v>
      </c>
    </row>
    <row r="86" spans="2:13" ht="15" customHeight="1" x14ac:dyDescent="0.3">
      <c r="I86" s="132"/>
      <c r="J86" s="132"/>
    </row>
    <row r="87" spans="2:13" ht="15" customHeight="1" x14ac:dyDescent="0.3">
      <c r="I87" s="132"/>
      <c r="J87" s="132"/>
    </row>
    <row r="88" spans="2:13" ht="15" customHeight="1" x14ac:dyDescent="0.3">
      <c r="B88" s="8" t="s">
        <v>262</v>
      </c>
      <c r="C88" s="8"/>
      <c r="D88" s="8"/>
      <c r="E88" s="8"/>
      <c r="F88" s="8"/>
      <c r="G88" s="8"/>
      <c r="H88" s="8"/>
      <c r="I88" s="131">
        <f>I69+I74+I85</f>
        <v>-4990.9517493573367</v>
      </c>
      <c r="J88" s="131">
        <f>J69+J74+J85</f>
        <v>-30773.470820000002</v>
      </c>
      <c r="K88" s="8">
        <f>K69+K74+K85</f>
        <v>37281.1659</v>
      </c>
      <c r="L88" s="8">
        <f>L69+L74+L85</f>
        <v>6735.6271900000065</v>
      </c>
      <c r="M88" s="8"/>
    </row>
    <row r="89" spans="2:13" ht="15" customHeight="1" x14ac:dyDescent="0.3">
      <c r="B89" s="8" t="s">
        <v>42</v>
      </c>
      <c r="C89" s="8"/>
      <c r="D89" s="8"/>
      <c r="E89" s="8"/>
      <c r="F89" s="8"/>
      <c r="G89" s="8"/>
      <c r="H89" s="8"/>
      <c r="I89" s="131">
        <f>H62</f>
        <v>73920</v>
      </c>
      <c r="J89" s="131">
        <f>I62</f>
        <v>74738</v>
      </c>
      <c r="K89" s="8">
        <f>J62</f>
        <v>73075</v>
      </c>
      <c r="L89" s="8">
        <f>K90</f>
        <v>110356.16589999999</v>
      </c>
      <c r="M89" s="8"/>
    </row>
    <row r="90" spans="2:13" ht="15" customHeight="1" x14ac:dyDescent="0.3">
      <c r="B90" s="8" t="s">
        <v>43</v>
      </c>
      <c r="C90" s="8"/>
      <c r="D90" s="8"/>
      <c r="E90" s="8"/>
      <c r="F90" s="8"/>
      <c r="G90" s="8"/>
      <c r="H90" s="8"/>
      <c r="I90" s="131">
        <f>I88+I89</f>
        <v>68929.048250642663</v>
      </c>
      <c r="J90" s="131">
        <f>J88+J89</f>
        <v>43964.529179999998</v>
      </c>
      <c r="K90" s="8">
        <f>K88+K89</f>
        <v>110356.16589999999</v>
      </c>
      <c r="L90" s="8">
        <f>L88+L89</f>
        <v>117091.79308999999</v>
      </c>
      <c r="M90" s="8"/>
    </row>
  </sheetData>
  <pageMargins left="0.7" right="0.7" top="0.75" bottom="0.75" header="0.3" footer="0.3"/>
  <pageSetup paperSize="9" orientation="portrait" horizontalDpi="0" verticalDpi="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AT34"/>
  <sheetViews>
    <sheetView zoomScale="90" zoomScaleNormal="90" workbookViewId="0">
      <pane ySplit="1" topLeftCell="A2" activePane="bottomLeft" state="frozen"/>
      <selection activeCell="E1" sqref="E1"/>
      <selection pane="bottomLeft" activeCell="I7" sqref="I7"/>
    </sheetView>
  </sheetViews>
  <sheetFormatPr baseColWidth="10" defaultColWidth="12.77734375" defaultRowHeight="15" customHeight="1" x14ac:dyDescent="0.3"/>
  <cols>
    <col min="1" max="1" width="2.77734375" style="1" customWidth="1"/>
    <col min="2" max="2" width="44" style="1" bestFit="1" customWidth="1"/>
    <col min="3" max="3" width="15.44140625" style="1" customWidth="1"/>
    <col min="4" max="4" width="14.6640625" style="1" bestFit="1" customWidth="1"/>
    <col min="5" max="7" width="12.77734375" style="1"/>
    <col min="8" max="8" width="10.77734375" style="1" customWidth="1"/>
    <col min="9" max="9" width="11.88671875" style="1" bestFit="1" customWidth="1"/>
    <col min="10" max="13" width="10.77734375" style="1" customWidth="1"/>
    <col min="14" max="14" width="12.88671875" style="1" customWidth="1"/>
    <col min="15" max="15" width="10.77734375" style="1" customWidth="1"/>
    <col min="16" max="17" width="11.109375" style="1" bestFit="1" customWidth="1"/>
    <col min="18" max="20" width="10.77734375" style="1" customWidth="1"/>
    <col min="21" max="16384" width="12.77734375" style="1"/>
  </cols>
  <sheetData>
    <row r="1" spans="1:46" ht="15" customHeight="1" x14ac:dyDescent="0.3">
      <c r="B1" s="35" t="s">
        <v>53</v>
      </c>
      <c r="C1" s="36" t="s">
        <v>85</v>
      </c>
      <c r="D1" s="36" t="s">
        <v>15</v>
      </c>
      <c r="E1" s="36" t="s">
        <v>16</v>
      </c>
      <c r="F1" s="36" t="s">
        <v>17</v>
      </c>
      <c r="G1" s="36" t="s">
        <v>88</v>
      </c>
      <c r="H1" s="13" t="s">
        <v>82</v>
      </c>
      <c r="I1" s="13" t="s">
        <v>271</v>
      </c>
      <c r="J1" s="13">
        <v>2025</v>
      </c>
      <c r="K1" s="13">
        <v>2026</v>
      </c>
      <c r="L1" s="13" t="s">
        <v>261</v>
      </c>
      <c r="M1" s="13"/>
      <c r="N1" s="13"/>
      <c r="O1" s="13"/>
      <c r="P1" s="13"/>
      <c r="Q1" s="13"/>
      <c r="R1" s="13"/>
      <c r="S1" s="13"/>
      <c r="T1" s="13"/>
      <c r="U1" s="13"/>
      <c r="V1" s="34"/>
      <c r="W1" s="34"/>
      <c r="X1" s="34"/>
      <c r="Y1" s="34"/>
      <c r="Z1" s="34"/>
      <c r="AA1" s="34"/>
      <c r="AB1" s="34"/>
      <c r="AC1" s="34"/>
      <c r="AD1" s="34"/>
      <c r="AE1" s="34"/>
      <c r="AF1" s="34"/>
      <c r="AG1" s="34"/>
      <c r="AH1" s="34"/>
      <c r="AI1" s="34"/>
      <c r="AJ1" s="34"/>
      <c r="AK1" s="34"/>
      <c r="AL1" s="34"/>
      <c r="AM1" s="34"/>
      <c r="AN1" s="34"/>
      <c r="AO1" s="34"/>
      <c r="AP1" s="34"/>
      <c r="AQ1" s="34"/>
      <c r="AR1" s="34"/>
      <c r="AS1" s="34"/>
      <c r="AT1" s="34"/>
    </row>
    <row r="2" spans="1:46" ht="15" customHeight="1" x14ac:dyDescent="0.3">
      <c r="B2" s="1" t="s">
        <v>257</v>
      </c>
      <c r="C2" s="52"/>
      <c r="E2" s="115">
        <v>2.0500000000000001E-2</v>
      </c>
      <c r="F2" s="116">
        <f>$C$22</f>
        <v>0.05</v>
      </c>
      <c r="H2" s="1">
        <v>625</v>
      </c>
      <c r="I2" s="1">
        <v>1875</v>
      </c>
      <c r="J2" s="1">
        <v>2500</v>
      </c>
      <c r="K2" s="1">
        <v>2500</v>
      </c>
      <c r="L2" s="1">
        <v>27500</v>
      </c>
    </row>
    <row r="3" spans="1:46" ht="15" customHeight="1" x14ac:dyDescent="0.3">
      <c r="B3" s="1" t="s">
        <v>258</v>
      </c>
      <c r="C3" s="52"/>
      <c r="E3" s="115">
        <v>0.02</v>
      </c>
      <c r="F3" s="116">
        <f>$C$22</f>
        <v>0.05</v>
      </c>
      <c r="I3" s="1">
        <v>2427</v>
      </c>
      <c r="J3" s="1">
        <v>26693</v>
      </c>
      <c r="L3" s="1">
        <v>0</v>
      </c>
    </row>
    <row r="4" spans="1:46" ht="15" customHeight="1" x14ac:dyDescent="0.3">
      <c r="B4" s="1" t="s">
        <v>259</v>
      </c>
      <c r="C4" s="52"/>
      <c r="E4" s="115">
        <v>1.9E-2</v>
      </c>
      <c r="F4" s="116">
        <f>$C$22</f>
        <v>0.05</v>
      </c>
      <c r="H4" s="1">
        <v>6250</v>
      </c>
      <c r="I4" s="1">
        <v>18750</v>
      </c>
      <c r="J4" s="1">
        <v>25000</v>
      </c>
      <c r="K4" s="1">
        <v>25000</v>
      </c>
      <c r="L4" s="1">
        <v>160150</v>
      </c>
    </row>
    <row r="5" spans="1:46" ht="15" customHeight="1" x14ac:dyDescent="0.3">
      <c r="B5" s="1" t="s">
        <v>259</v>
      </c>
      <c r="C5" s="52"/>
      <c r="E5" s="115">
        <v>1.7999999999999999E-2</v>
      </c>
      <c r="F5" s="116">
        <f>$C$22</f>
        <v>0.05</v>
      </c>
      <c r="H5" s="1">
        <v>750</v>
      </c>
      <c r="I5" s="1">
        <v>2250</v>
      </c>
      <c r="J5" s="1">
        <v>3000</v>
      </c>
      <c r="K5" s="1">
        <v>3000</v>
      </c>
      <c r="L5" s="1">
        <v>35250</v>
      </c>
    </row>
    <row r="6" spans="1:46" ht="15" customHeight="1" x14ac:dyDescent="0.3">
      <c r="B6" s="1" t="s">
        <v>260</v>
      </c>
      <c r="C6" s="52"/>
      <c r="E6" s="115">
        <f>1.9% + 0.26%</f>
        <v>2.1600000000000001E-2</v>
      </c>
      <c r="F6" s="116">
        <f>$C$22</f>
        <v>0.05</v>
      </c>
      <c r="H6" s="1">
        <v>0</v>
      </c>
      <c r="J6" s="1">
        <v>23715</v>
      </c>
      <c r="K6" s="1">
        <v>23715</v>
      </c>
      <c r="L6" s="1">
        <v>46091</v>
      </c>
    </row>
    <row r="7" spans="1:46" ht="15" customHeight="1" x14ac:dyDescent="0.3">
      <c r="B7" s="37" t="s">
        <v>89</v>
      </c>
      <c r="C7" s="54"/>
      <c r="D7" s="38"/>
      <c r="E7" s="38"/>
      <c r="F7" s="38"/>
      <c r="G7" s="38"/>
      <c r="H7" s="10">
        <f t="shared" ref="H7:U7" si="0">SUM(H2:H6)</f>
        <v>7625</v>
      </c>
      <c r="I7" s="10">
        <f t="shared" si="0"/>
        <v>25302</v>
      </c>
      <c r="J7" s="10">
        <f t="shared" si="0"/>
        <v>80908</v>
      </c>
      <c r="K7" s="10">
        <f t="shared" si="0"/>
        <v>54215</v>
      </c>
      <c r="L7" s="10">
        <f t="shared" si="0"/>
        <v>268991</v>
      </c>
      <c r="M7" s="10">
        <f t="shared" si="0"/>
        <v>0</v>
      </c>
      <c r="N7" s="10">
        <f t="shared" si="0"/>
        <v>0</v>
      </c>
      <c r="O7" s="10">
        <f t="shared" si="0"/>
        <v>0</v>
      </c>
      <c r="P7" s="10">
        <f t="shared" si="0"/>
        <v>0</v>
      </c>
      <c r="Q7" s="10">
        <f t="shared" si="0"/>
        <v>0</v>
      </c>
      <c r="R7" s="10">
        <f t="shared" si="0"/>
        <v>0</v>
      </c>
      <c r="S7" s="10">
        <f t="shared" si="0"/>
        <v>0</v>
      </c>
      <c r="T7" s="10">
        <f t="shared" si="0"/>
        <v>0</v>
      </c>
      <c r="U7" s="10">
        <f t="shared" si="0"/>
        <v>0</v>
      </c>
    </row>
    <row r="8" spans="1:46" ht="15" customHeight="1" x14ac:dyDescent="0.3">
      <c r="B8" s="8" t="s">
        <v>55</v>
      </c>
      <c r="C8" s="53"/>
      <c r="G8" s="8">
        <v>428726</v>
      </c>
      <c r="H8" s="8">
        <f>G8-H7</f>
        <v>421101</v>
      </c>
      <c r="I8" s="8">
        <f t="shared" ref="I8:T8" si="1">H8-I7</f>
        <v>395799</v>
      </c>
      <c r="J8" s="8">
        <f t="shared" si="1"/>
        <v>314891</v>
      </c>
      <c r="K8" s="8">
        <f t="shared" si="1"/>
        <v>260676</v>
      </c>
      <c r="L8" s="8">
        <f t="shared" si="1"/>
        <v>-8315</v>
      </c>
      <c r="M8" s="8">
        <f t="shared" si="1"/>
        <v>-8315</v>
      </c>
      <c r="N8" s="8">
        <f t="shared" si="1"/>
        <v>-8315</v>
      </c>
      <c r="O8" s="8">
        <f t="shared" si="1"/>
        <v>-8315</v>
      </c>
      <c r="P8" s="8">
        <f t="shared" si="1"/>
        <v>-8315</v>
      </c>
      <c r="Q8" s="8">
        <f t="shared" si="1"/>
        <v>-8315</v>
      </c>
      <c r="R8" s="8">
        <f t="shared" si="1"/>
        <v>-8315</v>
      </c>
      <c r="S8" s="8">
        <f t="shared" si="1"/>
        <v>-8315</v>
      </c>
      <c r="T8" s="8">
        <f t="shared" si="1"/>
        <v>-8315</v>
      </c>
      <c r="U8" s="8"/>
    </row>
    <row r="9" spans="1:46" ht="15" customHeight="1" x14ac:dyDescent="0.3">
      <c r="B9" s="8" t="s">
        <v>272</v>
      </c>
      <c r="C9" s="53"/>
      <c r="G9" s="8">
        <v>8315</v>
      </c>
      <c r="H9" s="8"/>
      <c r="I9" s="8"/>
      <c r="J9" s="8"/>
      <c r="K9" s="8"/>
      <c r="L9" s="8"/>
      <c r="M9" s="8"/>
      <c r="N9" s="8"/>
      <c r="O9" s="8"/>
      <c r="P9" s="8"/>
      <c r="Q9" s="8"/>
      <c r="R9" s="8"/>
      <c r="S9" s="8"/>
      <c r="T9" s="8"/>
    </row>
    <row r="12" spans="1:46" ht="15" customHeight="1" x14ac:dyDescent="0.3">
      <c r="A12" t="s">
        <v>18</v>
      </c>
      <c r="B12" s="35" t="s">
        <v>54</v>
      </c>
      <c r="C12" s="36" t="s">
        <v>85</v>
      </c>
      <c r="D12" s="36" t="s">
        <v>15</v>
      </c>
      <c r="E12" s="36" t="s">
        <v>16</v>
      </c>
      <c r="F12" s="36" t="s">
        <v>17</v>
      </c>
      <c r="G12" s="36" t="s">
        <v>88</v>
      </c>
      <c r="H12" s="13" t="s">
        <v>82</v>
      </c>
      <c r="I12" s="13" t="s">
        <v>271</v>
      </c>
      <c r="J12" s="13">
        <v>2025</v>
      </c>
      <c r="K12" s="13">
        <f t="shared" ref="K12" si="2">J12+1</f>
        <v>2026</v>
      </c>
      <c r="L12" s="13" t="s">
        <v>261</v>
      </c>
      <c r="M12" s="13"/>
      <c r="N12" s="13"/>
      <c r="O12" s="13"/>
      <c r="P12" s="13"/>
      <c r="Q12" s="13"/>
      <c r="R12" s="13"/>
      <c r="S12" s="13"/>
      <c r="T12" s="13"/>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row>
    <row r="13" spans="1:46" ht="15" customHeight="1" x14ac:dyDescent="0.3">
      <c r="B13" s="1" t="s">
        <v>257</v>
      </c>
      <c r="C13" s="52"/>
      <c r="E13" s="115">
        <v>2.0500000000000001E-2</v>
      </c>
      <c r="F13" s="116">
        <f>$C$22</f>
        <v>0.05</v>
      </c>
      <c r="G13" s="1">
        <f>SUM(H2:L2)</f>
        <v>35000</v>
      </c>
      <c r="H13" s="1">
        <f>(($E$13+$F$13)*($G$13-SUM($H$2:H2)))/4</f>
        <v>605.85937500000011</v>
      </c>
      <c r="I13" s="1">
        <f>(($E$13+$F$13)*($G$13-SUM($H$2:I2)))-H13</f>
        <v>1685.3906250000005</v>
      </c>
      <c r="J13" s="1">
        <f>(($E$13+$F$13)*($G$13-SUM($H$2:J2)))</f>
        <v>2115</v>
      </c>
      <c r="K13" s="1">
        <f>(($E$13+$F$13)*($G$13-SUM($H$2:K2)))</f>
        <v>1938.7500000000002</v>
      </c>
      <c r="L13" s="1">
        <f>(($E$13+$F$13)*($G$13-SUM($H$2:L2)))</f>
        <v>0</v>
      </c>
    </row>
    <row r="14" spans="1:46" ht="15" customHeight="1" x14ac:dyDescent="0.3">
      <c r="B14" s="1" t="s">
        <v>258</v>
      </c>
      <c r="C14" s="52"/>
      <c r="E14" s="115">
        <f>1.9% + 0.26%</f>
        <v>2.1600000000000001E-2</v>
      </c>
      <c r="F14" s="116">
        <f>$C$22</f>
        <v>0.05</v>
      </c>
      <c r="G14" s="1">
        <f>SUM(H3:L3)</f>
        <v>29120</v>
      </c>
      <c r="H14" s="1">
        <f>(($E$14+$F$14)*($G$14-SUM($H$3:H3)))/4</f>
        <v>521.24799999999993</v>
      </c>
      <c r="I14" s="1">
        <f>(($E$14+$F$14)*($G$14-SUM($H$3:I3)))-H14</f>
        <v>1389.9708000000001</v>
      </c>
      <c r="J14" s="1">
        <f>(($E$14+$F$14)*($G$14-SUM($H$3:J3)))</f>
        <v>0</v>
      </c>
      <c r="K14" s="1">
        <f>(($E$14+$F$14)*($G$14-SUM($H$3:K3)))</f>
        <v>0</v>
      </c>
      <c r="L14" s="1">
        <f>(($E$14+$F$14)*($G$14-SUM($H$3:L3)))</f>
        <v>0</v>
      </c>
    </row>
    <row r="15" spans="1:46" ht="15" customHeight="1" x14ac:dyDescent="0.3">
      <c r="B15" s="1" t="s">
        <v>259</v>
      </c>
      <c r="C15" s="52"/>
      <c r="E15" s="115">
        <v>1.9E-2</v>
      </c>
      <c r="F15" s="116">
        <f>$C$22</f>
        <v>0.05</v>
      </c>
      <c r="G15" s="1">
        <f>SUM(H4:L4)</f>
        <v>235150</v>
      </c>
      <c r="H15" s="1">
        <f>(($E$15+$F$15)*($G$15-SUM($H$4:H4)))/4</f>
        <v>3948.5250000000005</v>
      </c>
      <c r="I15" s="1">
        <f>(($E$15+$F$15)*($G$15-SUM($H$4:I4)))-H15</f>
        <v>10551.825000000001</v>
      </c>
      <c r="J15" s="1">
        <f>(($E$15+$F$15)*($G$15-SUM($H$4:J4)))</f>
        <v>12775.35</v>
      </c>
      <c r="K15" s="1">
        <f>(($E$15+$F$15)*($G$15-SUM($H$4:K4)))</f>
        <v>11050.35</v>
      </c>
      <c r="L15" s="1">
        <f>(($E$15+$F$15)*($G$15-SUM($H$4:L4)))</f>
        <v>0</v>
      </c>
    </row>
    <row r="16" spans="1:46" ht="15" customHeight="1" x14ac:dyDescent="0.3">
      <c r="B16" s="1" t="s">
        <v>259</v>
      </c>
      <c r="C16" s="52"/>
      <c r="E16" s="115">
        <v>1.7999999999999999E-2</v>
      </c>
      <c r="F16" s="116">
        <f>$C$22</f>
        <v>0.05</v>
      </c>
      <c r="G16" s="1">
        <f>SUM(H5:L5)</f>
        <v>44250</v>
      </c>
      <c r="H16" s="1">
        <f>(($E$16+$F$16)*($G$16-SUM($H$5:H5)))/4</f>
        <v>739.5</v>
      </c>
      <c r="I16" s="1">
        <f>(($E$16+$F$16)*($G$16-SUM($H$5:I5)))-H16</f>
        <v>2065.5</v>
      </c>
      <c r="J16" s="1">
        <f>(($E$16+$F$16)*($G$16-SUM($H$5:J5)))</f>
        <v>2601</v>
      </c>
      <c r="K16" s="1">
        <f>(($E$16+$F$16)*($G$16-SUM($H$5:K5)))</f>
        <v>2397</v>
      </c>
      <c r="L16" s="1">
        <f>(($E$16+$F$16)*($G$16-SUM($H$5:L5)))</f>
        <v>0</v>
      </c>
    </row>
    <row r="17" spans="2:20" ht="15" customHeight="1" x14ac:dyDescent="0.3">
      <c r="B17" s="1" t="s">
        <v>260</v>
      </c>
      <c r="C17" s="52"/>
      <c r="E17" s="115">
        <f>1.9% + 0.26%</f>
        <v>2.1600000000000001E-2</v>
      </c>
      <c r="F17" s="116">
        <f>$C$22</f>
        <v>0.05</v>
      </c>
      <c r="G17" s="1">
        <f>SUM(H6:L6)</f>
        <v>93521</v>
      </c>
      <c r="H17" s="1">
        <f>(($E$17+$F$17)*($G$17-SUM($H$6:H6)))/4</f>
        <v>1674.0258999999999</v>
      </c>
      <c r="I17" s="30">
        <f>((($E$17+$F$17)*($G$17-SUM($H$6:I6))))-H17</f>
        <v>5022.0776999999998</v>
      </c>
      <c r="J17" s="1">
        <f>(($E$17+$F$17)*($G$17-SUM($H$6:J6)))</f>
        <v>4998.1095999999998</v>
      </c>
      <c r="K17" s="1">
        <f>(($E$17+$F$17)*($G$17-SUM($H$6:K6)))</f>
        <v>3300.1156000000001</v>
      </c>
      <c r="L17" s="1">
        <f>(($E$17+$F$17)*($G$17-SUM($H$6:L6)))</f>
        <v>0</v>
      </c>
    </row>
    <row r="18" spans="2:20" ht="15" customHeight="1" x14ac:dyDescent="0.3">
      <c r="B18" s="10" t="s">
        <v>19</v>
      </c>
      <c r="C18" s="10"/>
      <c r="D18" s="10"/>
      <c r="E18" s="10"/>
      <c r="F18" s="10"/>
      <c r="G18" s="10"/>
      <c r="H18" s="10">
        <f t="shared" ref="H18:T18" si="3">SUM(H13:H17)</f>
        <v>7489.1582750000007</v>
      </c>
      <c r="I18" s="10">
        <f t="shared" si="3"/>
        <v>20714.764125000002</v>
      </c>
      <c r="J18" s="10">
        <f t="shared" si="3"/>
        <v>22489.459599999998</v>
      </c>
      <c r="K18" s="10">
        <f t="shared" si="3"/>
        <v>18686.2156</v>
      </c>
      <c r="L18" s="10">
        <f t="shared" si="3"/>
        <v>0</v>
      </c>
      <c r="M18" s="10">
        <f t="shared" si="3"/>
        <v>0</v>
      </c>
      <c r="N18" s="10">
        <f t="shared" si="3"/>
        <v>0</v>
      </c>
      <c r="O18" s="10">
        <f t="shared" si="3"/>
        <v>0</v>
      </c>
      <c r="P18" s="10">
        <f t="shared" si="3"/>
        <v>0</v>
      </c>
      <c r="Q18" s="10">
        <f t="shared" si="3"/>
        <v>0</v>
      </c>
      <c r="R18" s="10">
        <f t="shared" si="3"/>
        <v>0</v>
      </c>
      <c r="S18" s="10">
        <f t="shared" si="3"/>
        <v>0</v>
      </c>
      <c r="T18" s="10">
        <f t="shared" si="3"/>
        <v>0</v>
      </c>
    </row>
    <row r="22" spans="2:20" ht="15" customHeight="1" x14ac:dyDescent="0.3">
      <c r="B22" s="1" t="s">
        <v>86</v>
      </c>
      <c r="C22" s="117">
        <f>[1]Exchange!$E$3</f>
        <v>0.05</v>
      </c>
    </row>
    <row r="31" spans="2:20" ht="15" customHeight="1" x14ac:dyDescent="0.3">
      <c r="O31" s="42"/>
      <c r="P31" s="42"/>
    </row>
    <row r="32" spans="2:20" ht="15" customHeight="1" x14ac:dyDescent="0.3">
      <c r="O32" s="42"/>
      <c r="P32" s="42"/>
    </row>
    <row r="33" spans="12:16" ht="15" customHeight="1" x14ac:dyDescent="0.3">
      <c r="L33" s="42"/>
      <c r="M33" s="42"/>
      <c r="N33" s="42"/>
      <c r="O33" s="42"/>
      <c r="P33" s="42"/>
    </row>
    <row r="34" spans="12:16" ht="15" customHeight="1" x14ac:dyDescent="0.3">
      <c r="L34" s="42"/>
      <c r="M34" s="42"/>
      <c r="N34" s="42"/>
      <c r="O34" s="42"/>
    </row>
  </sheetData>
  <pageMargins left="0.7" right="0.7" top="0.75" bottom="0.75" header="0.3" footer="0.3"/>
  <pageSetup paperSize="9" orientation="portrait" horizontalDpi="0" verticalDpi="0" r:id="rId1"/>
  <ignoredErrors>
    <ignoredError sqref="J17 J13 J14 J15 J16" formulaRange="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B1:K514"/>
  <sheetViews>
    <sheetView showGridLines="0" topLeftCell="A571" workbookViewId="0">
      <selection activeCell="D607" sqref="D607"/>
    </sheetView>
  </sheetViews>
  <sheetFormatPr baseColWidth="10" defaultColWidth="12.77734375" defaultRowHeight="15" customHeight="1" x14ac:dyDescent="0.3"/>
  <cols>
    <col min="1" max="1" width="2.77734375" style="1" customWidth="1"/>
    <col min="2" max="16384" width="12.77734375" style="1"/>
  </cols>
  <sheetData>
    <row r="1" spans="2:2" ht="15" customHeight="1" x14ac:dyDescent="0.3">
      <c r="B1" s="11" t="s">
        <v>132</v>
      </c>
    </row>
    <row r="35" spans="2:2" ht="15" customHeight="1" x14ac:dyDescent="0.3">
      <c r="B35" s="11" t="s">
        <v>20</v>
      </c>
    </row>
    <row r="82" spans="2:11" ht="15" customHeight="1" x14ac:dyDescent="0.3">
      <c r="B82" s="11" t="s">
        <v>266</v>
      </c>
    </row>
    <row r="94" spans="2:11" ht="15" customHeight="1" x14ac:dyDescent="0.3">
      <c r="B94" s="11"/>
      <c r="K94" s="8" t="s">
        <v>267</v>
      </c>
    </row>
    <row r="108" spans="2:2" ht="15" customHeight="1" x14ac:dyDescent="0.3">
      <c r="B108" s="11" t="s">
        <v>268</v>
      </c>
    </row>
    <row r="177" spans="2:2" ht="15" customHeight="1" x14ac:dyDescent="0.3">
      <c r="B177" s="11" t="s">
        <v>25</v>
      </c>
    </row>
    <row r="215" spans="2:2" ht="15" customHeight="1" x14ac:dyDescent="0.3">
      <c r="B215" s="11"/>
    </row>
    <row r="340" spans="2:2" ht="15" customHeight="1" x14ac:dyDescent="0.3">
      <c r="B340" s="11" t="s">
        <v>273</v>
      </c>
    </row>
    <row r="359" spans="2:2" ht="15" customHeight="1" x14ac:dyDescent="0.3">
      <c r="B359" s="11" t="s">
        <v>274</v>
      </c>
    </row>
    <row r="386" spans="2:2" ht="15" customHeight="1" x14ac:dyDescent="0.3">
      <c r="B386" s="11" t="s">
        <v>82</v>
      </c>
    </row>
    <row r="497" spans="2:2" ht="15" customHeight="1" x14ac:dyDescent="0.3">
      <c r="B497" s="11" t="s">
        <v>278</v>
      </c>
    </row>
    <row r="514" spans="2:2" ht="15" customHeight="1" x14ac:dyDescent="0.3">
      <c r="B514" s="11" t="s">
        <v>83</v>
      </c>
    </row>
  </sheetData>
  <pageMargins left="0.7" right="0.7" top="0.75" bottom="0.75" header="0.3" footer="0.3"/>
  <pageSetup paperSize="9" orientation="portrait"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1"/>
  <sheetViews>
    <sheetView workbookViewId="0">
      <selection activeCell="L23" sqref="L23"/>
    </sheetView>
  </sheetViews>
  <sheetFormatPr baseColWidth="10" defaultRowHeight="14.4" x14ac:dyDescent="0.3"/>
  <cols>
    <col min="1" max="1" width="2.77734375" customWidth="1"/>
  </cols>
  <sheetData>
    <row r="1" spans="1:1" x14ac:dyDescent="0.3">
      <c r="A1" s="5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NAV</vt:lpstr>
      <vt:lpstr>Scenarios</vt:lpstr>
      <vt:lpstr>P&amp;L</vt:lpstr>
      <vt:lpstr>Balance</vt:lpstr>
      <vt:lpstr>CashFlow</vt:lpstr>
      <vt:lpstr>Debt</vt:lpstr>
      <vt:lpstr>Notes</vt:lpstr>
      <vt:lpstr>Dudas</vt:lpstr>
    </vt:vector>
  </TitlesOfParts>
  <Company>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Full name</dc:creator>
  <cp:lastModifiedBy>Full name</cp:lastModifiedBy>
  <dcterms:created xsi:type="dcterms:W3CDTF">2023-09-26T09:00:29Z</dcterms:created>
  <dcterms:modified xsi:type="dcterms:W3CDTF">2024-10-17T13:49:04Z</dcterms:modified>
</cp:coreProperties>
</file>