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harlottecountryday-my.sharepoint.com/personal/abhardwaj24_charlottecountryday_org/Documents/NCSSM/Computational Sci/Week 2/"/>
    </mc:Choice>
  </mc:AlternateContent>
  <xr:revisionPtr revIDLastSave="32" documentId="11_9578AE08E5E73308520A4D210B944E6290BE0B3B" xr6:coauthVersionLast="47" xr6:coauthVersionMax="47" xr10:uidLastSave="{4CA28309-00D9-413A-A7FD-623E1175784C}"/>
  <bookViews>
    <workbookView xWindow="-98" yWindow="-98" windowWidth="21795" windowHeight="13875" tabRatio="500" xr2:uid="{00000000-000D-0000-FFFF-FFFF00000000}"/>
  </bookViews>
  <sheets>
    <sheet name="plume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72" i="1"/>
  <c r="B52" i="1"/>
  <c r="C14" i="1"/>
  <c r="F14" i="1"/>
  <c r="G63" i="1"/>
  <c r="G72" i="1"/>
  <c r="G14" i="1"/>
  <c r="H63" i="1"/>
  <c r="H72" i="1"/>
  <c r="H14" i="1"/>
  <c r="I63" i="1"/>
  <c r="I72" i="1"/>
  <c r="I14" i="1"/>
  <c r="J63" i="1"/>
  <c r="J72" i="1"/>
  <c r="J14" i="1"/>
  <c r="K63" i="1"/>
  <c r="K72" i="1"/>
  <c r="K14" i="1"/>
  <c r="L63" i="1"/>
  <c r="L72" i="1"/>
  <c r="L14" i="1"/>
  <c r="M63" i="1"/>
  <c r="M72" i="1"/>
  <c r="M14" i="1"/>
  <c r="N63" i="1"/>
  <c r="N72" i="1"/>
  <c r="N14" i="1"/>
  <c r="O63" i="1"/>
  <c r="O72" i="1"/>
  <c r="O14" i="1"/>
  <c r="C15" i="1"/>
  <c r="F15" i="1"/>
  <c r="G15" i="1"/>
  <c r="H15" i="1"/>
  <c r="I15" i="1"/>
  <c r="J15" i="1"/>
  <c r="K15" i="1"/>
  <c r="L15" i="1"/>
  <c r="M15" i="1"/>
  <c r="N15" i="1"/>
  <c r="O15" i="1"/>
  <c r="C16" i="1"/>
  <c r="F16" i="1"/>
  <c r="G16" i="1"/>
  <c r="H16" i="1"/>
  <c r="I16" i="1"/>
  <c r="J16" i="1"/>
  <c r="K16" i="1"/>
  <c r="L16" i="1"/>
  <c r="M16" i="1"/>
  <c r="N16" i="1"/>
  <c r="O16" i="1"/>
  <c r="C17" i="1"/>
  <c r="F17" i="1"/>
  <c r="G17" i="1"/>
  <c r="H17" i="1"/>
  <c r="I17" i="1"/>
  <c r="J17" i="1"/>
  <c r="K17" i="1"/>
  <c r="L17" i="1"/>
  <c r="M17" i="1"/>
  <c r="N17" i="1"/>
  <c r="O17" i="1"/>
  <c r="C18" i="1"/>
  <c r="F18" i="1"/>
  <c r="G18" i="1"/>
  <c r="H18" i="1"/>
  <c r="I18" i="1"/>
  <c r="J18" i="1"/>
  <c r="K18" i="1"/>
  <c r="L18" i="1"/>
  <c r="M18" i="1"/>
  <c r="N18" i="1"/>
  <c r="O18" i="1"/>
  <c r="C19" i="1"/>
  <c r="F19" i="1"/>
  <c r="G19" i="1"/>
  <c r="H19" i="1"/>
  <c r="I19" i="1"/>
  <c r="J19" i="1"/>
  <c r="K19" i="1"/>
  <c r="L19" i="1"/>
  <c r="M19" i="1"/>
  <c r="N19" i="1"/>
  <c r="O19" i="1"/>
  <c r="C20" i="1"/>
  <c r="F20" i="1"/>
  <c r="G20" i="1"/>
  <c r="H20" i="1"/>
  <c r="I20" i="1"/>
  <c r="J20" i="1"/>
  <c r="K20" i="1"/>
  <c r="L20" i="1"/>
  <c r="M20" i="1"/>
  <c r="N20" i="1"/>
  <c r="O20" i="1"/>
  <c r="C21" i="1"/>
  <c r="F21" i="1"/>
  <c r="G21" i="1"/>
  <c r="H21" i="1"/>
  <c r="I21" i="1"/>
  <c r="J21" i="1"/>
  <c r="K21" i="1"/>
  <c r="L21" i="1"/>
  <c r="M21" i="1"/>
  <c r="N21" i="1"/>
  <c r="O21" i="1"/>
  <c r="C22" i="1"/>
  <c r="F22" i="1"/>
  <c r="G22" i="1"/>
  <c r="H22" i="1"/>
  <c r="I22" i="1"/>
  <c r="J22" i="1"/>
  <c r="K22" i="1"/>
  <c r="L22" i="1"/>
  <c r="M22" i="1"/>
  <c r="N22" i="1"/>
  <c r="O22" i="1"/>
  <c r="C23" i="1"/>
  <c r="F23" i="1"/>
  <c r="G23" i="1"/>
  <c r="H23" i="1"/>
  <c r="I23" i="1"/>
  <c r="J23" i="1"/>
  <c r="K23" i="1"/>
  <c r="L23" i="1"/>
  <c r="M23" i="1"/>
  <c r="N23" i="1"/>
  <c r="O23" i="1"/>
  <c r="E63" i="1"/>
  <c r="E72" i="1"/>
  <c r="E15" i="1"/>
  <c r="E16" i="1"/>
  <c r="E17" i="1"/>
  <c r="E18" i="1"/>
  <c r="E19" i="1"/>
  <c r="E20" i="1"/>
  <c r="E21" i="1"/>
  <c r="E22" i="1"/>
  <c r="E23" i="1"/>
  <c r="E14" i="1"/>
  <c r="B47" i="1"/>
  <c r="B48" i="1"/>
  <c r="B49" i="1"/>
  <c r="B50" i="1"/>
  <c r="B51" i="1"/>
  <c r="E59" i="1"/>
  <c r="E68" i="1"/>
  <c r="F59" i="1"/>
  <c r="F68" i="1"/>
  <c r="G59" i="1"/>
  <c r="G68" i="1"/>
  <c r="H59" i="1"/>
  <c r="H68" i="1"/>
  <c r="I59" i="1"/>
  <c r="I68" i="1"/>
  <c r="J59" i="1"/>
  <c r="J68" i="1"/>
  <c r="K59" i="1"/>
  <c r="K68" i="1"/>
  <c r="L59" i="1"/>
  <c r="L68" i="1"/>
  <c r="M59" i="1"/>
  <c r="M68" i="1"/>
  <c r="N59" i="1"/>
  <c r="N68" i="1"/>
  <c r="O59" i="1"/>
  <c r="O68" i="1"/>
  <c r="A15" i="1"/>
  <c r="A16" i="1"/>
  <c r="A17" i="1"/>
  <c r="A18" i="1"/>
  <c r="A19" i="1"/>
  <c r="A20" i="1"/>
  <c r="A21" i="1"/>
  <c r="A22" i="1"/>
  <c r="A23" i="1"/>
  <c r="E56" i="1"/>
  <c r="F56" i="1"/>
  <c r="G56" i="1"/>
  <c r="H56" i="1"/>
  <c r="I56" i="1"/>
  <c r="J56" i="1"/>
  <c r="K56" i="1"/>
  <c r="L56" i="1"/>
  <c r="M56" i="1"/>
  <c r="N56" i="1"/>
  <c r="O56" i="1"/>
  <c r="E57" i="1"/>
  <c r="F57" i="1"/>
  <c r="G57" i="1"/>
  <c r="H57" i="1"/>
  <c r="I57" i="1"/>
  <c r="J57" i="1"/>
  <c r="K57" i="1"/>
  <c r="L57" i="1"/>
  <c r="M57" i="1"/>
  <c r="N57" i="1"/>
  <c r="O57" i="1"/>
  <c r="E58" i="1"/>
  <c r="F58" i="1"/>
  <c r="G58" i="1"/>
  <c r="H58" i="1"/>
  <c r="I58" i="1"/>
  <c r="J58" i="1"/>
  <c r="K58" i="1"/>
  <c r="L58" i="1"/>
  <c r="M58" i="1"/>
  <c r="N58" i="1"/>
  <c r="O58" i="1"/>
  <c r="E60" i="1"/>
  <c r="F60" i="1"/>
  <c r="G60" i="1"/>
  <c r="H60" i="1"/>
  <c r="I60" i="1"/>
  <c r="J60" i="1"/>
  <c r="K60" i="1"/>
  <c r="L60" i="1"/>
  <c r="M60" i="1"/>
  <c r="N60" i="1"/>
  <c r="O60" i="1"/>
  <c r="E61" i="1"/>
  <c r="F61" i="1"/>
  <c r="G61" i="1"/>
  <c r="H61" i="1"/>
  <c r="I61" i="1"/>
  <c r="J61" i="1"/>
  <c r="K61" i="1"/>
  <c r="L61" i="1"/>
  <c r="M61" i="1"/>
  <c r="N61" i="1"/>
  <c r="O61" i="1"/>
  <c r="E65" i="1"/>
  <c r="F65" i="1"/>
  <c r="G65" i="1"/>
  <c r="H65" i="1"/>
  <c r="I65" i="1"/>
  <c r="J65" i="1"/>
  <c r="K65" i="1"/>
  <c r="L65" i="1"/>
  <c r="M65" i="1"/>
  <c r="N65" i="1"/>
  <c r="O65" i="1"/>
  <c r="E66" i="1"/>
  <c r="F66" i="1"/>
  <c r="G66" i="1"/>
  <c r="H66" i="1"/>
  <c r="I66" i="1"/>
  <c r="J66" i="1"/>
  <c r="K66" i="1"/>
  <c r="L66" i="1"/>
  <c r="M66" i="1"/>
  <c r="N66" i="1"/>
  <c r="O66" i="1"/>
  <c r="E67" i="1"/>
  <c r="F67" i="1"/>
  <c r="G67" i="1"/>
  <c r="H67" i="1"/>
  <c r="I67" i="1"/>
  <c r="J67" i="1"/>
  <c r="K67" i="1"/>
  <c r="L67" i="1"/>
  <c r="M67" i="1"/>
  <c r="N67" i="1"/>
  <c r="O67" i="1"/>
  <c r="E69" i="1"/>
  <c r="F69" i="1"/>
  <c r="G69" i="1"/>
  <c r="H69" i="1"/>
  <c r="I69" i="1"/>
  <c r="J69" i="1"/>
  <c r="K69" i="1"/>
  <c r="L69" i="1"/>
  <c r="M69" i="1"/>
  <c r="N69" i="1"/>
  <c r="O69" i="1"/>
  <c r="E70" i="1"/>
  <c r="F70" i="1"/>
  <c r="G70" i="1"/>
  <c r="H70" i="1"/>
  <c r="I70" i="1"/>
  <c r="J70" i="1"/>
  <c r="K70" i="1"/>
  <c r="L70" i="1"/>
  <c r="M70" i="1"/>
  <c r="N70" i="1"/>
  <c r="O70" i="1"/>
</calcChain>
</file>

<file path=xl/sharedStrings.xml><?xml version="1.0" encoding="utf-8"?>
<sst xmlns="http://schemas.openxmlformats.org/spreadsheetml/2006/main" count="48" uniqueCount="46">
  <si>
    <t>DIFFUSION OF POINT SOURCE POLLUTION</t>
  </si>
  <si>
    <t>Stack height (m)</t>
  </si>
  <si>
    <t>Gas exit velocity (m/s)</t>
  </si>
  <si>
    <t>Stack diameter (m)</t>
  </si>
  <si>
    <t>Gas exit temperature (C)</t>
  </si>
  <si>
    <t>Emission rate (g/s)</t>
  </si>
  <si>
    <t>Ambient Temperature</t>
  </si>
  <si>
    <t>Atmospheric</t>
  </si>
  <si>
    <t>1 = Very Unstable</t>
  </si>
  <si>
    <t>4 = Neutral</t>
  </si>
  <si>
    <t>Condition</t>
  </si>
  <si>
    <t>2 = Moderately Unstable</t>
  </si>
  <si>
    <t>5 = Somewhat stable</t>
  </si>
  <si>
    <t>Category:</t>
  </si>
  <si>
    <t>3 = Slight unstable</t>
  </si>
  <si>
    <t>6 = Stable</t>
  </si>
  <si>
    <t>Wind</t>
  </si>
  <si>
    <t>Stack</t>
  </si>
  <si>
    <t>Estimated Concentration of Ground-Level Pollution (mmg/m3)</t>
  </si>
  <si>
    <t>Veloc</t>
  </si>
  <si>
    <t>on Plume Centerline at Selected Distances (km) from Source</t>
  </si>
  <si>
    <t>SCRATCH AREA</t>
  </si>
  <si>
    <t>gas exit temperature in degrees Kelvin</t>
  </si>
  <si>
    <t>ambient temperature in degrees Kelvin</t>
  </si>
  <si>
    <t>}</t>
  </si>
  <si>
    <t>}   interim values for calculating effective stack height</t>
  </si>
  <si>
    <t xml:space="preserve">Lateral and Vertical Disperson Coefficients for Each Stability Category </t>
  </si>
  <si>
    <t>Lat-</t>
  </si>
  <si>
    <t>eral</t>
  </si>
  <si>
    <t>Ver-</t>
  </si>
  <si>
    <t>ti-</t>
  </si>
  <si>
    <t>cal</t>
  </si>
  <si>
    <t>LEGEND</t>
  </si>
  <si>
    <t>Your Formula goes here</t>
  </si>
  <si>
    <t>Cells to be filled with that formula</t>
  </si>
  <si>
    <t>Values changed by the user</t>
  </si>
  <si>
    <t>Lookup values needed in the formula</t>
  </si>
  <si>
    <t>Lateral Lookup</t>
  </si>
  <si>
    <t>Vertical Lookup</t>
  </si>
  <si>
    <t>Q</t>
  </si>
  <si>
    <r>
      <t>σ</t>
    </r>
    <r>
      <rPr>
        <b/>
        <vertAlign val="subscript"/>
        <sz val="12"/>
        <rFont val="Arial"/>
      </rPr>
      <t>y</t>
    </r>
  </si>
  <si>
    <r>
      <t>σ</t>
    </r>
    <r>
      <rPr>
        <b/>
        <vertAlign val="subscript"/>
        <sz val="12"/>
        <rFont val="Arial"/>
      </rPr>
      <t>z</t>
    </r>
  </si>
  <si>
    <r>
      <t>H</t>
    </r>
    <r>
      <rPr>
        <b/>
        <vertAlign val="subscript"/>
        <sz val="12"/>
        <rFont val="e"/>
      </rPr>
      <t>eff</t>
    </r>
  </si>
  <si>
    <t>u</t>
  </si>
  <si>
    <t>Values you will need in your formula</t>
  </si>
  <si>
    <t>Effective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</si>
</sst>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Geneva"/>
    </font>
    <font>
      <sz val="12"/>
      <name val="Arial"/>
    </font>
    <font>
      <b/>
      <sz val="12"/>
      <name val="Arial"/>
    </font>
    <font>
      <b/>
      <vertAlign val="subscript"/>
      <sz val="12"/>
      <name val="Arial"/>
    </font>
    <font>
      <u/>
      <sz val="10"/>
      <color theme="10"/>
      <name val="Geneva"/>
    </font>
    <font>
      <u/>
      <sz val="10"/>
      <color theme="11"/>
      <name val="Geneva"/>
    </font>
    <font>
      <b/>
      <vertAlign val="subscript"/>
      <sz val="12"/>
      <name val="e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5" borderId="0" xfId="0" applyNumberFormat="1" applyFont="1" applyFill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DIFFUSION OF POINT-SOURCE POLLUTION USING A GAUSSIAN DISTRIBUTION</a:t>
            </a:r>
          </a:p>
        </c:rich>
      </c:tx>
      <c:layout>
        <c:manualLayout>
          <c:xMode val="edge"/>
          <c:yMode val="edge"/>
          <c:x val="0.17335766423357701"/>
          <c:y val="3.35820589599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90510948905105E-2"/>
          <c:y val="0.26119379191038999"/>
          <c:w val="0.77737226277372296"/>
          <c:h val="0.52985026358964704"/>
        </c:manualLayout>
      </c:layout>
      <c:lineChart>
        <c:grouping val="standard"/>
        <c:varyColors val="0"/>
        <c:ser>
          <c:idx val="0"/>
          <c:order val="0"/>
          <c:tx>
            <c:strRef>
              <c:f>plume.xls!$A$14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plume.xls!$E$14:$O$14</c:f>
              <c:numCache>
                <c:formatCode>0</c:formatCode>
                <c:ptCount val="11"/>
                <c:pt idx="0">
                  <c:v>0</c:v>
                </c:pt>
                <c:pt idx="1">
                  <c:v>1.2567924240936207E-23</c:v>
                </c:pt>
                <c:pt idx="2">
                  <c:v>1.6267153068231043E-10</c:v>
                </c:pt>
                <c:pt idx="3">
                  <c:v>1.9789520613169532E-3</c:v>
                </c:pt>
                <c:pt idx="4">
                  <c:v>0.96565790076219948</c:v>
                </c:pt>
                <c:pt idx="5">
                  <c:v>4.9135236497463852</c:v>
                </c:pt>
                <c:pt idx="6">
                  <c:v>9.3210201061395583</c:v>
                </c:pt>
                <c:pt idx="7">
                  <c:v>8.1447716452272676</c:v>
                </c:pt>
                <c:pt idx="8">
                  <c:v>5.7437027098469882</c:v>
                </c:pt>
                <c:pt idx="9">
                  <c:v>3.7311153486553748</c:v>
                </c:pt>
                <c:pt idx="10">
                  <c:v>2.3698628617796058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8DC-A9AB-9E3A2EC013AB}"/>
            </c:ext>
          </c:extLst>
        </c:ser>
        <c:ser>
          <c:idx val="1"/>
          <c:order val="1"/>
          <c:tx>
            <c:strRef>
              <c:f>plume.xls!$A$15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plume.xls!$E$15:$O$15</c:f>
              <c:numCache>
                <c:formatCode>0</c:formatCode>
                <c:ptCount val="11"/>
                <c:pt idx="0">
                  <c:v>0</c:v>
                </c:pt>
                <c:pt idx="1">
                  <c:v>3.6385791922324308E-2</c:v>
                </c:pt>
                <c:pt idx="2">
                  <c:v>3.2188668720881797</c:v>
                </c:pt>
                <c:pt idx="3">
                  <c:v>22.200657017722847</c:v>
                </c:pt>
                <c:pt idx="4">
                  <c:v>26.484586274222998</c:v>
                </c:pt>
                <c:pt idx="5">
                  <c:v>19.048910649992081</c:v>
                </c:pt>
                <c:pt idx="6">
                  <c:v>9.8582592857997575</c:v>
                </c:pt>
                <c:pt idx="7">
                  <c:v>4.7495383534905811</c:v>
                </c:pt>
                <c:pt idx="8">
                  <c:v>2.6239060283645523</c:v>
                </c:pt>
                <c:pt idx="9">
                  <c:v>1.4925910307198338</c:v>
                </c:pt>
                <c:pt idx="10">
                  <c:v>0.88090092005056408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8DC-A9AB-9E3A2EC013AB}"/>
            </c:ext>
          </c:extLst>
        </c:ser>
        <c:ser>
          <c:idx val="2"/>
          <c:order val="2"/>
          <c:tx>
            <c:strRef>
              <c:f>plume.xls!$A$16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plume.xls!$E$16:$O$16</c:f>
              <c:numCache>
                <c:formatCode>0</c:formatCode>
                <c:ptCount val="11"/>
                <c:pt idx="0">
                  <c:v>0</c:v>
                </c:pt>
                <c:pt idx="1">
                  <c:v>3.4730068377725036</c:v>
                </c:pt>
                <c:pt idx="2">
                  <c:v>23.281352128258089</c:v>
                </c:pt>
                <c:pt idx="3">
                  <c:v>37.915793118951498</c:v>
                </c:pt>
                <c:pt idx="4">
                  <c:v>24.737145711539384</c:v>
                </c:pt>
                <c:pt idx="5">
                  <c:v>14.620335807750742</c:v>
                </c:pt>
                <c:pt idx="6">
                  <c:v>6.6416240426935946</c:v>
                </c:pt>
                <c:pt idx="7">
                  <c:v>3.0142394969601933</c:v>
                </c:pt>
                <c:pt idx="8">
                  <c:v>1.6249335230970012</c:v>
                </c:pt>
                <c:pt idx="9">
                  <c:v>0.9120998442958459</c:v>
                </c:pt>
                <c:pt idx="10">
                  <c:v>0.53435210963807056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6-48DC-A9AB-9E3A2EC013AB}"/>
            </c:ext>
          </c:extLst>
        </c:ser>
        <c:ser>
          <c:idx val="3"/>
          <c:order val="3"/>
          <c:tx>
            <c:strRef>
              <c:f>plume.xls!$A$17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plume.xls!$E$17:$O$17</c:f>
              <c:numCache>
                <c:formatCode>0</c:formatCode>
                <c:ptCount val="11"/>
                <c:pt idx="0">
                  <c:v>0</c:v>
                </c:pt>
                <c:pt idx="1">
                  <c:v>13.033320982576543</c:v>
                </c:pt>
                <c:pt idx="2">
                  <c:v>37.55658311028867</c:v>
                </c:pt>
                <c:pt idx="3">
                  <c:v>38.138364683132288</c:v>
                </c:pt>
                <c:pt idx="4">
                  <c:v>20.423039622500678</c:v>
                </c:pt>
                <c:pt idx="5">
                  <c:v>11.319413707912101</c:v>
                </c:pt>
                <c:pt idx="6">
                  <c:v>4.9273601789417469</c:v>
                </c:pt>
                <c:pt idx="7">
                  <c:v>2.1929384162858461</c:v>
                </c:pt>
                <c:pt idx="8">
                  <c:v>1.1727425160466503</c:v>
                </c:pt>
                <c:pt idx="9">
                  <c:v>0.65541453765192614</c:v>
                </c:pt>
                <c:pt idx="10">
                  <c:v>0.38304841138083223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6-48DC-A9AB-9E3A2EC013AB}"/>
            </c:ext>
          </c:extLst>
        </c:ser>
        <c:ser>
          <c:idx val="4"/>
          <c:order val="4"/>
          <c:tx>
            <c:strRef>
              <c:f>plume.xls!$A$18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plume.xls!$E$18:$O$18</c:f>
              <c:numCache>
                <c:formatCode>0</c:formatCode>
                <c:ptCount val="11"/>
                <c:pt idx="0">
                  <c:v>0</c:v>
                </c:pt>
                <c:pt idx="1">
                  <c:v>22.301887695816909</c:v>
                </c:pt>
                <c:pt idx="2">
                  <c:v>43.022900457955686</c:v>
                </c:pt>
                <c:pt idx="3">
                  <c:v>34.904222098606752</c:v>
                </c:pt>
                <c:pt idx="4">
                  <c:v>17.016517338697177</c:v>
                </c:pt>
                <c:pt idx="5">
                  <c:v>9.1476981712771135</c:v>
                </c:pt>
                <c:pt idx="6">
                  <c:v>3.9020859776778476</c:v>
                </c:pt>
                <c:pt idx="7">
                  <c:v>1.720573250221453</c:v>
                </c:pt>
                <c:pt idx="8">
                  <c:v>0.9166312320142106</c:v>
                </c:pt>
                <c:pt idx="9">
                  <c:v>0.51122037803862364</c:v>
                </c:pt>
                <c:pt idx="10">
                  <c:v>0.29843370366264071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6-48DC-A9AB-9E3A2EC013AB}"/>
            </c:ext>
          </c:extLst>
        </c:ser>
        <c:ser>
          <c:idx val="5"/>
          <c:order val="5"/>
          <c:tx>
            <c:strRef>
              <c:f>plume.xls!$A$19</c:f>
              <c:strCache>
                <c:ptCount val="1"/>
                <c:pt idx="0">
                  <c:v>11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plume.xls!$E$19:$O$19</c:f>
              <c:numCache>
                <c:formatCode>0</c:formatCode>
                <c:ptCount val="11"/>
                <c:pt idx="0">
                  <c:v>0</c:v>
                </c:pt>
                <c:pt idx="1">
                  <c:v>28.680946192217696</c:v>
                </c:pt>
                <c:pt idx="2">
                  <c:v>43.953851181516782</c:v>
                </c:pt>
                <c:pt idx="3">
                  <c:v>31.351273728894814</c:v>
                </c:pt>
                <c:pt idx="4">
                  <c:v>14.483272885136511</c:v>
                </c:pt>
                <c:pt idx="5">
                  <c:v>7.6507000908739276</c:v>
                </c:pt>
                <c:pt idx="6">
                  <c:v>3.2257881913408455</c:v>
                </c:pt>
                <c:pt idx="7">
                  <c:v>1.4148077884388719</c:v>
                </c:pt>
                <c:pt idx="8">
                  <c:v>0.75209004533918877</c:v>
                </c:pt>
                <c:pt idx="9">
                  <c:v>0.41895483900598979</c:v>
                </c:pt>
                <c:pt idx="10">
                  <c:v>0.2444113445695309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6-48DC-A9AB-9E3A2EC013AB}"/>
            </c:ext>
          </c:extLst>
        </c:ser>
        <c:ser>
          <c:idx val="6"/>
          <c:order val="6"/>
          <c:tx>
            <c:strRef>
              <c:f>plume.xls!$A$20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plume.xls!$E$20:$O$20</c:f>
              <c:numCache>
                <c:formatCode>0</c:formatCode>
                <c:ptCount val="11"/>
                <c:pt idx="0">
                  <c:v>0</c:v>
                </c:pt>
                <c:pt idx="1">
                  <c:v>32.449922131363621</c:v>
                </c:pt>
                <c:pt idx="2">
                  <c:v>42.894851288012426</c:v>
                </c:pt>
                <c:pt idx="3">
                  <c:v>28.166947077941714</c:v>
                </c:pt>
                <c:pt idx="4">
                  <c:v>12.569875087365432</c:v>
                </c:pt>
                <c:pt idx="5">
                  <c:v>6.5656663494369605</c:v>
                </c:pt>
                <c:pt idx="6">
                  <c:v>2.7476985577599673</c:v>
                </c:pt>
                <c:pt idx="7">
                  <c:v>1.2010018222207528</c:v>
                </c:pt>
                <c:pt idx="8">
                  <c:v>0.63753841978205417</c:v>
                </c:pt>
                <c:pt idx="9">
                  <c:v>0.35487234862627193</c:v>
                </c:pt>
                <c:pt idx="10">
                  <c:v>0.20693924563688962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C6-48DC-A9AB-9E3A2EC013AB}"/>
            </c:ext>
          </c:extLst>
        </c:ser>
        <c:ser>
          <c:idx val="7"/>
          <c:order val="7"/>
          <c:tx>
            <c:strRef>
              <c:f>plume.xls!$A$21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plume.xls!$E$21:$O$21</c:f>
              <c:numCache>
                <c:formatCode>0</c:formatCode>
                <c:ptCount val="11"/>
                <c:pt idx="0">
                  <c:v>0</c:v>
                </c:pt>
                <c:pt idx="1">
                  <c:v>34.394987556394625</c:v>
                </c:pt>
                <c:pt idx="2">
                  <c:v>41.038487131608669</c:v>
                </c:pt>
                <c:pt idx="3">
                  <c:v>25.446781413969354</c:v>
                </c:pt>
                <c:pt idx="4">
                  <c:v>11.087044252396852</c:v>
                </c:pt>
                <c:pt idx="5">
                  <c:v>5.7461568101864327</c:v>
                </c:pt>
                <c:pt idx="6">
                  <c:v>2.3923216216682794</c:v>
                </c:pt>
                <c:pt idx="7">
                  <c:v>1.0431907511772398</c:v>
                </c:pt>
                <c:pt idx="8">
                  <c:v>0.55322772012481325</c:v>
                </c:pt>
                <c:pt idx="9">
                  <c:v>0.30777969952499423</c:v>
                </c:pt>
                <c:pt idx="10">
                  <c:v>0.17942524692095596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C6-48DC-A9AB-9E3A2EC013AB}"/>
            </c:ext>
          </c:extLst>
        </c:ser>
        <c:ser>
          <c:idx val="8"/>
          <c:order val="8"/>
          <c:tx>
            <c:strRef>
              <c:f>plume.xls!$A$22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9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plume.xls!$E$22:$O$22</c:f>
              <c:numCache>
                <c:formatCode>0</c:formatCode>
                <c:ptCount val="11"/>
                <c:pt idx="0">
                  <c:v>0</c:v>
                </c:pt>
                <c:pt idx="1">
                  <c:v>35.162994924628762</c:v>
                </c:pt>
                <c:pt idx="2">
                  <c:v>38.925741502283067</c:v>
                </c:pt>
                <c:pt idx="3">
                  <c:v>23.145730444956637</c:v>
                </c:pt>
                <c:pt idx="4">
                  <c:v>9.9092528964267306</c:v>
                </c:pt>
                <c:pt idx="5">
                  <c:v>5.1065298462777298</c:v>
                </c:pt>
                <c:pt idx="6">
                  <c:v>2.1179884135924558</c:v>
                </c:pt>
                <c:pt idx="7">
                  <c:v>0.9219642164461489</c:v>
                </c:pt>
                <c:pt idx="8">
                  <c:v>0.48859075896833648</c:v>
                </c:pt>
                <c:pt idx="9">
                  <c:v>0.27171476187068311</c:v>
                </c:pt>
                <c:pt idx="10">
                  <c:v>0.15836668865693862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C6-48DC-A9AB-9E3A2EC013AB}"/>
            </c:ext>
          </c:extLst>
        </c:ser>
        <c:ser>
          <c:idx val="9"/>
          <c:order val="9"/>
          <c:tx>
            <c:strRef>
              <c:f>plume.xls!$A$23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13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plume.xls!$E$13:$O$13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60</c:v>
                </c:pt>
                <c:pt idx="10">
                  <c:v>100</c:v>
                </c:pt>
              </c:numCache>
            </c:numRef>
          </c:cat>
          <c:val>
            <c:numRef>
              <c:f>plume.xls!$E$23:$O$23</c:f>
              <c:numCache>
                <c:formatCode>0</c:formatCode>
                <c:ptCount val="11"/>
                <c:pt idx="0">
                  <c:v>0</c:v>
                </c:pt>
                <c:pt idx="1">
                  <c:v>35.195376701251938</c:v>
                </c:pt>
                <c:pt idx="2">
                  <c:v>36.800148683626617</c:v>
                </c:pt>
                <c:pt idx="3">
                  <c:v>21.194166113517877</c:v>
                </c:pt>
                <c:pt idx="4">
                  <c:v>8.9534045400916451</c:v>
                </c:pt>
                <c:pt idx="5">
                  <c:v>4.5939560837818334</c:v>
                </c:pt>
                <c:pt idx="6">
                  <c:v>1.8999061332661291</c:v>
                </c:pt>
                <c:pt idx="7">
                  <c:v>0.82594021718594524</c:v>
                </c:pt>
                <c:pt idx="8">
                  <c:v>0.43746613513146387</c:v>
                </c:pt>
                <c:pt idx="9">
                  <c:v>0.24321168199095519</c:v>
                </c:pt>
                <c:pt idx="10">
                  <c:v>0.14173079358904811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C6-48DC-A9AB-9E3A2EC0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36072"/>
        <c:axId val="516344280"/>
      </c:lineChart>
      <c:catAx>
        <c:axId val="5163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Distance from source (km)</a:t>
                </a:r>
              </a:p>
            </c:rich>
          </c:tx>
          <c:layout>
            <c:manualLayout>
              <c:xMode val="edge"/>
              <c:yMode val="edge"/>
              <c:x val="0.36131386861313902"/>
              <c:y val="0.891790232379758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344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34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Concentration (mmg/m3)</a:t>
                </a:r>
              </a:p>
            </c:rich>
          </c:tx>
          <c:layout>
            <c:manualLayout>
              <c:xMode val="edge"/>
              <c:yMode val="edge"/>
              <c:x val="2.37226277372263E-2"/>
              <c:y val="0.28358183121699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336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93430656934304"/>
          <c:y val="0.253731112141521"/>
          <c:w val="8.0291970802919693E-2"/>
          <c:h val="0.675372519082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&amp;F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3D Plot</a:t>
            </a:r>
          </a:p>
        </c:rich>
      </c:tx>
      <c:layout>
        <c:manualLayout>
          <c:xMode val="edge"/>
          <c:yMode val="edge"/>
          <c:x val="0.44125368561860501"/>
          <c:y val="3.3707803524762402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70"/>
      <c:depthPercent val="1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4476673900956001"/>
          <c:y val="7.3100618123060304E-2"/>
          <c:w val="0.321149132136618"/>
          <c:h val="0.59924984044022001"/>
        </c:manualLayout>
      </c:layout>
      <c:surface3DChart>
        <c:wireframe val="0"/>
        <c:ser>
          <c:idx val="0"/>
          <c:order val="0"/>
          <c:tx>
            <c:strRef>
              <c:f>plume.xls!$E$13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plume.xls!$E$14:$E$23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2-479C-A7B0-B96F59986F01}"/>
            </c:ext>
          </c:extLst>
        </c:ser>
        <c:ser>
          <c:idx val="1"/>
          <c:order val="1"/>
          <c:tx>
            <c:strRef>
              <c:f>plume.xls!$F$13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plume.xls!$F$14:$F$23</c:f>
              <c:numCache>
                <c:formatCode>0</c:formatCode>
                <c:ptCount val="10"/>
                <c:pt idx="0">
                  <c:v>1.2567924240936207E-23</c:v>
                </c:pt>
                <c:pt idx="1">
                  <c:v>3.6385791922324308E-2</c:v>
                </c:pt>
                <c:pt idx="2">
                  <c:v>3.4730068377725036</c:v>
                </c:pt>
                <c:pt idx="3">
                  <c:v>13.033320982576543</c:v>
                </c:pt>
                <c:pt idx="4">
                  <c:v>22.301887695816909</c:v>
                </c:pt>
                <c:pt idx="5">
                  <c:v>28.680946192217696</c:v>
                </c:pt>
                <c:pt idx="6">
                  <c:v>32.449922131363621</c:v>
                </c:pt>
                <c:pt idx="7">
                  <c:v>34.394987556394625</c:v>
                </c:pt>
                <c:pt idx="8">
                  <c:v>35.162994924628762</c:v>
                </c:pt>
                <c:pt idx="9">
                  <c:v>35.195376701251938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2-479C-A7B0-B96F59986F01}"/>
            </c:ext>
          </c:extLst>
        </c:ser>
        <c:ser>
          <c:idx val="2"/>
          <c:order val="2"/>
          <c:tx>
            <c:strRef>
              <c:f>plume.xls!$G$13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plume.xls!$G$14:$G$23</c:f>
              <c:numCache>
                <c:formatCode>0</c:formatCode>
                <c:ptCount val="10"/>
                <c:pt idx="0">
                  <c:v>1.6267153068231043E-10</c:v>
                </c:pt>
                <c:pt idx="1">
                  <c:v>3.2188668720881797</c:v>
                </c:pt>
                <c:pt idx="2">
                  <c:v>23.281352128258089</c:v>
                </c:pt>
                <c:pt idx="3">
                  <c:v>37.55658311028867</c:v>
                </c:pt>
                <c:pt idx="4">
                  <c:v>43.022900457955686</c:v>
                </c:pt>
                <c:pt idx="5">
                  <c:v>43.953851181516782</c:v>
                </c:pt>
                <c:pt idx="6">
                  <c:v>42.894851288012426</c:v>
                </c:pt>
                <c:pt idx="7">
                  <c:v>41.038487131608669</c:v>
                </c:pt>
                <c:pt idx="8">
                  <c:v>38.925741502283067</c:v>
                </c:pt>
                <c:pt idx="9">
                  <c:v>36.800148683626617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2-479C-A7B0-B96F59986F01}"/>
            </c:ext>
          </c:extLst>
        </c:ser>
        <c:ser>
          <c:idx val="3"/>
          <c:order val="3"/>
          <c:tx>
            <c:strRef>
              <c:f>plume.xls!$H$13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plume.xls!$H$14:$H$23</c:f>
              <c:numCache>
                <c:formatCode>0</c:formatCode>
                <c:ptCount val="10"/>
                <c:pt idx="0">
                  <c:v>1.9789520613169532E-3</c:v>
                </c:pt>
                <c:pt idx="1">
                  <c:v>22.200657017722847</c:v>
                </c:pt>
                <c:pt idx="2">
                  <c:v>37.915793118951498</c:v>
                </c:pt>
                <c:pt idx="3">
                  <c:v>38.138364683132288</c:v>
                </c:pt>
                <c:pt idx="4">
                  <c:v>34.904222098606752</c:v>
                </c:pt>
                <c:pt idx="5">
                  <c:v>31.351273728894814</c:v>
                </c:pt>
                <c:pt idx="6">
                  <c:v>28.166947077941714</c:v>
                </c:pt>
                <c:pt idx="7">
                  <c:v>25.446781413969354</c:v>
                </c:pt>
                <c:pt idx="8">
                  <c:v>23.145730444956637</c:v>
                </c:pt>
                <c:pt idx="9">
                  <c:v>21.194166113517877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2-479C-A7B0-B96F59986F01}"/>
            </c:ext>
          </c:extLst>
        </c:ser>
        <c:ser>
          <c:idx val="4"/>
          <c:order val="4"/>
          <c:tx>
            <c:strRef>
              <c:f>plume.xls!$I$13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plume.xls!$I$14:$I$23</c:f>
              <c:numCache>
                <c:formatCode>0</c:formatCode>
                <c:ptCount val="10"/>
                <c:pt idx="0">
                  <c:v>0.96565790076219948</c:v>
                </c:pt>
                <c:pt idx="1">
                  <c:v>26.484586274222998</c:v>
                </c:pt>
                <c:pt idx="2">
                  <c:v>24.737145711539384</c:v>
                </c:pt>
                <c:pt idx="3">
                  <c:v>20.423039622500678</c:v>
                </c:pt>
                <c:pt idx="4">
                  <c:v>17.016517338697177</c:v>
                </c:pt>
                <c:pt idx="5">
                  <c:v>14.483272885136511</c:v>
                </c:pt>
                <c:pt idx="6">
                  <c:v>12.569875087365432</c:v>
                </c:pt>
                <c:pt idx="7">
                  <c:v>11.087044252396852</c:v>
                </c:pt>
                <c:pt idx="8">
                  <c:v>9.9092528964267306</c:v>
                </c:pt>
                <c:pt idx="9">
                  <c:v>8.9534045400916451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2-479C-A7B0-B96F59986F01}"/>
            </c:ext>
          </c:extLst>
        </c:ser>
        <c:ser>
          <c:idx val="5"/>
          <c:order val="5"/>
          <c:tx>
            <c:strRef>
              <c:f>plume.xls!$J$13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plume.xls!$J$14:$J$23</c:f>
              <c:numCache>
                <c:formatCode>0</c:formatCode>
                <c:ptCount val="10"/>
                <c:pt idx="0">
                  <c:v>4.9135236497463852</c:v>
                </c:pt>
                <c:pt idx="1">
                  <c:v>19.048910649992081</c:v>
                </c:pt>
                <c:pt idx="2">
                  <c:v>14.620335807750742</c:v>
                </c:pt>
                <c:pt idx="3">
                  <c:v>11.319413707912101</c:v>
                </c:pt>
                <c:pt idx="4">
                  <c:v>9.1476981712771135</c:v>
                </c:pt>
                <c:pt idx="5">
                  <c:v>7.6507000908739276</c:v>
                </c:pt>
                <c:pt idx="6">
                  <c:v>6.5656663494369605</c:v>
                </c:pt>
                <c:pt idx="7">
                  <c:v>5.7461568101864327</c:v>
                </c:pt>
                <c:pt idx="8">
                  <c:v>5.1065298462777298</c:v>
                </c:pt>
                <c:pt idx="9">
                  <c:v>4.5939560837818334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2-479C-A7B0-B96F59986F01}"/>
            </c:ext>
          </c:extLst>
        </c:ser>
        <c:ser>
          <c:idx val="6"/>
          <c:order val="6"/>
          <c:tx>
            <c:strRef>
              <c:f>plume.xls!$K$13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plume.xls!$K$14:$K$23</c:f>
              <c:numCache>
                <c:formatCode>0</c:formatCode>
                <c:ptCount val="10"/>
                <c:pt idx="0">
                  <c:v>9.3210201061395583</c:v>
                </c:pt>
                <c:pt idx="1">
                  <c:v>9.8582592857997575</c:v>
                </c:pt>
                <c:pt idx="2">
                  <c:v>6.6416240426935946</c:v>
                </c:pt>
                <c:pt idx="3">
                  <c:v>4.9273601789417469</c:v>
                </c:pt>
                <c:pt idx="4">
                  <c:v>3.9020859776778476</c:v>
                </c:pt>
                <c:pt idx="5">
                  <c:v>3.2257881913408455</c:v>
                </c:pt>
                <c:pt idx="6">
                  <c:v>2.7476985577599673</c:v>
                </c:pt>
                <c:pt idx="7">
                  <c:v>2.3923216216682794</c:v>
                </c:pt>
                <c:pt idx="8">
                  <c:v>2.1179884135924558</c:v>
                </c:pt>
                <c:pt idx="9">
                  <c:v>1.8999061332661291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92-479C-A7B0-B96F59986F01}"/>
            </c:ext>
          </c:extLst>
        </c:ser>
        <c:ser>
          <c:idx val="7"/>
          <c:order val="7"/>
          <c:tx>
            <c:strRef>
              <c:f>plume.xls!$L$13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plume.xls!$L$14:$L$23</c:f>
              <c:numCache>
                <c:formatCode>0</c:formatCode>
                <c:ptCount val="10"/>
                <c:pt idx="0">
                  <c:v>8.1447716452272676</c:v>
                </c:pt>
                <c:pt idx="1">
                  <c:v>4.7495383534905811</c:v>
                </c:pt>
                <c:pt idx="2">
                  <c:v>3.0142394969601933</c:v>
                </c:pt>
                <c:pt idx="3">
                  <c:v>2.1929384162858461</c:v>
                </c:pt>
                <c:pt idx="4">
                  <c:v>1.720573250221453</c:v>
                </c:pt>
                <c:pt idx="5">
                  <c:v>1.4148077884388719</c:v>
                </c:pt>
                <c:pt idx="6">
                  <c:v>1.2010018222207528</c:v>
                </c:pt>
                <c:pt idx="7">
                  <c:v>1.0431907511772398</c:v>
                </c:pt>
                <c:pt idx="8">
                  <c:v>0.9219642164461489</c:v>
                </c:pt>
                <c:pt idx="9">
                  <c:v>0.82594021718594524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92-479C-A7B0-B96F59986F01}"/>
            </c:ext>
          </c:extLst>
        </c:ser>
        <c:ser>
          <c:idx val="8"/>
          <c:order val="8"/>
          <c:tx>
            <c:strRef>
              <c:f>plume.xls!$M$13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plume.xls!$M$14:$M$23</c:f>
              <c:numCache>
                <c:formatCode>0</c:formatCode>
                <c:ptCount val="10"/>
                <c:pt idx="0">
                  <c:v>5.7437027098469882</c:v>
                </c:pt>
                <c:pt idx="1">
                  <c:v>2.6239060283645523</c:v>
                </c:pt>
                <c:pt idx="2">
                  <c:v>1.6249335230970012</c:v>
                </c:pt>
                <c:pt idx="3">
                  <c:v>1.1727425160466503</c:v>
                </c:pt>
                <c:pt idx="4">
                  <c:v>0.9166312320142106</c:v>
                </c:pt>
                <c:pt idx="5">
                  <c:v>0.75209004533918877</c:v>
                </c:pt>
                <c:pt idx="6">
                  <c:v>0.63753841978205417</c:v>
                </c:pt>
                <c:pt idx="7">
                  <c:v>0.55322772012481325</c:v>
                </c:pt>
                <c:pt idx="8">
                  <c:v>0.48859075896833648</c:v>
                </c:pt>
                <c:pt idx="9">
                  <c:v>0.43746613513146387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92-479C-A7B0-B96F59986F01}"/>
            </c:ext>
          </c:extLst>
        </c:ser>
        <c:ser>
          <c:idx val="9"/>
          <c:order val="9"/>
          <c:tx>
            <c:strRef>
              <c:f>plume.xls!$N$13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plume.xls!$N$14:$N$23</c:f>
              <c:numCache>
                <c:formatCode>0</c:formatCode>
                <c:ptCount val="10"/>
                <c:pt idx="0">
                  <c:v>3.7311153486553748</c:v>
                </c:pt>
                <c:pt idx="1">
                  <c:v>1.4925910307198338</c:v>
                </c:pt>
                <c:pt idx="2">
                  <c:v>0.9120998442958459</c:v>
                </c:pt>
                <c:pt idx="3">
                  <c:v>0.65541453765192614</c:v>
                </c:pt>
                <c:pt idx="4">
                  <c:v>0.51122037803862364</c:v>
                </c:pt>
                <c:pt idx="5">
                  <c:v>0.41895483900598979</c:v>
                </c:pt>
                <c:pt idx="6">
                  <c:v>0.35487234862627193</c:v>
                </c:pt>
                <c:pt idx="7">
                  <c:v>0.30777969952499423</c:v>
                </c:pt>
                <c:pt idx="8">
                  <c:v>0.27171476187068311</c:v>
                </c:pt>
                <c:pt idx="9">
                  <c:v>0.24321168199095519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92-479C-A7B0-B96F59986F01}"/>
            </c:ext>
          </c:extLst>
        </c:ser>
        <c:ser>
          <c:idx val="10"/>
          <c:order val="10"/>
          <c:tx>
            <c:strRef>
              <c:f>plume.xls!$O$13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plume.xls!$A$14:$A$23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plume.xls!$O$14:$O$23</c:f>
              <c:numCache>
                <c:formatCode>0</c:formatCode>
                <c:ptCount val="10"/>
                <c:pt idx="0">
                  <c:v>2.3698628617796058</c:v>
                </c:pt>
                <c:pt idx="1">
                  <c:v>0.88090092005056408</c:v>
                </c:pt>
                <c:pt idx="2">
                  <c:v>0.53435210963807056</c:v>
                </c:pt>
                <c:pt idx="3">
                  <c:v>0.38304841138083223</c:v>
                </c:pt>
                <c:pt idx="4">
                  <c:v>0.29843370366264071</c:v>
                </c:pt>
                <c:pt idx="5">
                  <c:v>0.2444113445695309</c:v>
                </c:pt>
                <c:pt idx="6">
                  <c:v>0.20693924563688962</c:v>
                </c:pt>
                <c:pt idx="7">
                  <c:v>0.17942524692095596</c:v>
                </c:pt>
                <c:pt idx="8">
                  <c:v>0.15836668865693862</c:v>
                </c:pt>
                <c:pt idx="9">
                  <c:v>0.14173079358904811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92-479C-A7B0-B96F59986F01}"/>
            </c:ext>
          </c:extLst>
        </c:ser>
        <c:bandFmts>
          <c:bandFmt>
            <c:idx val="0"/>
            <c:spPr>
              <a:solidFill>
                <a:srgbClr val="DD080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1FB714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0000D4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FCF305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F20884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00ABEA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16393992"/>
        <c:axId val="516400088"/>
        <c:axId val="417558536"/>
      </c:surface3DChart>
      <c:catAx>
        <c:axId val="5163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Wind velocity</a:t>
                </a:r>
              </a:p>
            </c:rich>
          </c:tx>
          <c:layout>
            <c:manualLayout>
              <c:xMode val="edge"/>
              <c:yMode val="edge"/>
              <c:x val="3.6553559755387398E-2"/>
              <c:y val="0.647938889975988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400088"/>
        <c:crosses val="autoZero"/>
        <c:auto val="0"/>
        <c:lblAlgn val="ctr"/>
        <c:lblOffset val="100"/>
        <c:tickLblSkip val="6"/>
        <c:tickMarkSkip val="1"/>
        <c:noMultiLvlLbl val="1"/>
      </c:catAx>
      <c:valAx>
        <c:axId val="51640008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0.650131169935105"/>
              <c:y val="0.4719092493466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393992"/>
        <c:crosses val="max"/>
        <c:crossBetween val="midCat"/>
      </c:valAx>
      <c:serAx>
        <c:axId val="41755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Distance downwind</a:t>
                </a:r>
              </a:p>
            </c:rich>
          </c:tx>
          <c:layout>
            <c:manualLayout>
              <c:xMode val="edge"/>
              <c:yMode val="edge"/>
              <c:x val="0.49869499380564303"/>
              <c:y val="0.77902479257228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400088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423059135951696"/>
          <c:y val="0.35954990426413203"/>
          <c:w val="0.117493584928031"/>
          <c:h val="0.40823895379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&amp;F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23</xdr:row>
      <xdr:rowOff>25400</xdr:rowOff>
    </xdr:from>
    <xdr:to>
      <xdr:col>19</xdr:col>
      <xdr:colOff>0</xdr:colOff>
      <xdr:row>43</xdr:row>
      <xdr:rowOff>127000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23</xdr:row>
      <xdr:rowOff>25400</xdr:rowOff>
    </xdr:from>
    <xdr:to>
      <xdr:col>10</xdr:col>
      <xdr:colOff>266700</xdr:colOff>
      <xdr:row>43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A4" workbookViewId="0">
      <selection activeCell="E9" sqref="E9"/>
    </sheetView>
  </sheetViews>
  <sheetFormatPr defaultColWidth="12.3984375" defaultRowHeight="15"/>
  <cols>
    <col min="1" max="1" width="8.86328125" style="1" customWidth="1"/>
    <col min="2" max="2" width="5.73046875" style="1" customWidth="1"/>
    <col min="3" max="3" width="10.59765625" style="1" customWidth="1"/>
    <col min="4" max="4" width="2.3984375" style="1" customWidth="1"/>
    <col min="5" max="14" width="5.73046875" style="1" customWidth="1"/>
    <col min="15" max="15" width="8.73046875" style="1" customWidth="1"/>
    <col min="16" max="16" width="34.265625" style="2" customWidth="1"/>
    <col min="17" max="17" width="26" style="1" customWidth="1"/>
    <col min="18" max="16384" width="12.3984375" style="1"/>
  </cols>
  <sheetData>
    <row r="1" spans="1:16">
      <c r="A1" s="1" t="s">
        <v>0</v>
      </c>
    </row>
    <row r="3" spans="1:16">
      <c r="A3" s="3" t="s">
        <v>1</v>
      </c>
      <c r="B3" s="3"/>
      <c r="C3" s="3"/>
      <c r="D3" s="3"/>
      <c r="E3" s="3"/>
      <c r="F3" s="4">
        <v>30</v>
      </c>
      <c r="G3" s="3"/>
      <c r="H3" s="3"/>
      <c r="I3" s="3" t="s">
        <v>2</v>
      </c>
      <c r="J3" s="3"/>
      <c r="K3" s="3"/>
      <c r="L3" s="3"/>
      <c r="M3" s="3"/>
      <c r="N3" s="4">
        <v>6</v>
      </c>
    </row>
    <row r="4" spans="1:16">
      <c r="A4" s="3" t="s">
        <v>3</v>
      </c>
      <c r="B4" s="3"/>
      <c r="C4" s="3"/>
      <c r="D4" s="3"/>
      <c r="E4" s="3"/>
      <c r="F4" s="4">
        <v>2</v>
      </c>
      <c r="G4" s="3"/>
      <c r="H4" s="3"/>
      <c r="I4" s="3" t="s">
        <v>4</v>
      </c>
      <c r="J4" s="3"/>
      <c r="K4" s="3"/>
      <c r="L4" s="3"/>
      <c r="M4" s="3"/>
      <c r="N4" s="4">
        <v>200</v>
      </c>
    </row>
    <row r="5" spans="1:16">
      <c r="A5" s="3" t="s">
        <v>5</v>
      </c>
      <c r="B5" s="3"/>
      <c r="C5" s="3"/>
      <c r="D5" s="15" t="s">
        <v>39</v>
      </c>
      <c r="E5" s="3"/>
      <c r="F5" s="4">
        <v>10</v>
      </c>
      <c r="G5" s="3"/>
      <c r="H5" s="3"/>
      <c r="I5" s="3" t="s">
        <v>6</v>
      </c>
      <c r="J5" s="3"/>
      <c r="K5" s="3"/>
      <c r="L5" s="3"/>
      <c r="M5" s="3"/>
      <c r="N5" s="4">
        <v>20</v>
      </c>
    </row>
    <row r="6" spans="1:16">
      <c r="P6" s="5" t="s">
        <v>32</v>
      </c>
    </row>
    <row r="7" spans="1:16">
      <c r="A7" s="1" t="s">
        <v>7</v>
      </c>
      <c r="H7" s="1" t="s">
        <v>8</v>
      </c>
      <c r="M7" s="1" t="s">
        <v>9</v>
      </c>
      <c r="P7" s="16" t="s">
        <v>33</v>
      </c>
    </row>
    <row r="8" spans="1:16">
      <c r="A8" s="1" t="s">
        <v>10</v>
      </c>
      <c r="E8" s="4">
        <v>4</v>
      </c>
      <c r="H8" s="1" t="s">
        <v>11</v>
      </c>
      <c r="M8" s="1" t="s">
        <v>12</v>
      </c>
      <c r="P8" s="17" t="s">
        <v>34</v>
      </c>
    </row>
    <row r="9" spans="1:16">
      <c r="A9" s="1" t="s">
        <v>13</v>
      </c>
      <c r="H9" s="1" t="s">
        <v>14</v>
      </c>
      <c r="M9" s="1" t="s">
        <v>15</v>
      </c>
      <c r="P9" s="18" t="s">
        <v>35</v>
      </c>
    </row>
    <row r="10" spans="1:16">
      <c r="P10" s="19" t="s">
        <v>36</v>
      </c>
    </row>
    <row r="11" spans="1:16">
      <c r="A11" s="2" t="s">
        <v>16</v>
      </c>
      <c r="C11" s="2" t="s">
        <v>45</v>
      </c>
      <c r="E11" s="1" t="s">
        <v>18</v>
      </c>
      <c r="P11" s="20" t="s">
        <v>44</v>
      </c>
    </row>
    <row r="12" spans="1:16">
      <c r="A12" s="2" t="s">
        <v>19</v>
      </c>
      <c r="C12" s="2" t="s">
        <v>17</v>
      </c>
      <c r="E12" s="1" t="s">
        <v>20</v>
      </c>
    </row>
    <row r="13" spans="1:16" ht="18">
      <c r="A13" s="14" t="s">
        <v>43</v>
      </c>
      <c r="C13" s="14" t="s">
        <v>42</v>
      </c>
      <c r="E13" s="6">
        <v>0</v>
      </c>
      <c r="F13" s="6">
        <v>0.5</v>
      </c>
      <c r="G13" s="6">
        <v>0.8</v>
      </c>
      <c r="H13" s="6">
        <v>1.5</v>
      </c>
      <c r="I13" s="6">
        <v>3</v>
      </c>
      <c r="J13" s="6">
        <v>5</v>
      </c>
      <c r="K13" s="6">
        <v>10</v>
      </c>
      <c r="L13" s="6">
        <v>20</v>
      </c>
      <c r="M13" s="6">
        <v>35</v>
      </c>
      <c r="N13" s="6">
        <v>60</v>
      </c>
      <c r="O13" s="6">
        <v>100</v>
      </c>
    </row>
    <row r="14" spans="1:16">
      <c r="A14" s="1">
        <v>1</v>
      </c>
      <c r="C14" s="1">
        <f t="shared" ref="C14:C23" si="0">IF(E$8&lt;5, F$3 +B$51/A14, F$3+MIN(2.4*EXP(LN(B$49/(B$52*A14))/3),5*EXP(LN(B$49/(B$52*A14))/3)))</f>
        <v>250.31762140543719</v>
      </c>
      <c r="E14" s="7">
        <f>IF(OR(E$63 &lt; 0.01, E$72 &lt; 0.01), 0, ((1000000*$F$5)/(2*PI()*$A14*E$63*E$72))*(2*(EXP(-(0.5*($C14/E$72)^2)))))</f>
        <v>0</v>
      </c>
      <c r="F14" s="7">
        <f t="shared" ref="F14:O14" si="1">IF(OR(F$63 &lt; 0.01, F$72 &lt; 0.01), 0, ((1000000*$F$5)/(2*PI()*$A14*F$63*F$72))*(2*(EXP(-(0.5*($C14/F$72)^2)))))</f>
        <v>1.2567924240936207E-23</v>
      </c>
      <c r="G14" s="7">
        <f t="shared" si="1"/>
        <v>1.6267153068231043E-10</v>
      </c>
      <c r="H14" s="7">
        <f t="shared" si="1"/>
        <v>1.9789520613169532E-3</v>
      </c>
      <c r="I14" s="7">
        <f t="shared" si="1"/>
        <v>0.96565790076219948</v>
      </c>
      <c r="J14" s="7">
        <f t="shared" si="1"/>
        <v>4.9135236497463852</v>
      </c>
      <c r="K14" s="7">
        <f t="shared" si="1"/>
        <v>9.3210201061395583</v>
      </c>
      <c r="L14" s="7">
        <f t="shared" si="1"/>
        <v>8.1447716452272676</v>
      </c>
      <c r="M14" s="7">
        <f t="shared" si="1"/>
        <v>5.7437027098469882</v>
      </c>
      <c r="N14" s="7">
        <f t="shared" si="1"/>
        <v>3.7311153486553748</v>
      </c>
      <c r="O14" s="7">
        <f t="shared" si="1"/>
        <v>2.3698628617796058</v>
      </c>
    </row>
    <row r="15" spans="1:16">
      <c r="A15" s="1">
        <f t="shared" ref="A15:A23" si="2">A14+2</f>
        <v>3</v>
      </c>
      <c r="C15" s="1">
        <f t="shared" si="0"/>
        <v>103.43920713514574</v>
      </c>
      <c r="E15" s="7">
        <f t="shared" ref="E15:O23" si="3">IF(OR(E$63 &lt; 0.01, E$72 &lt; 0.01), 0, ((1000000*$F$5)/(2*PI()*$A15*E$63*E$72))*(2*(EXP(-(0.5*($C15/E$72)^2)))))</f>
        <v>0</v>
      </c>
      <c r="F15" s="7">
        <f t="shared" si="3"/>
        <v>3.6385791922324308E-2</v>
      </c>
      <c r="G15" s="7">
        <f t="shared" si="3"/>
        <v>3.2188668720881797</v>
      </c>
      <c r="H15" s="7">
        <f t="shared" si="3"/>
        <v>22.200657017722847</v>
      </c>
      <c r="I15" s="7">
        <f t="shared" si="3"/>
        <v>26.484586274222998</v>
      </c>
      <c r="J15" s="7">
        <f t="shared" si="3"/>
        <v>19.048910649992081</v>
      </c>
      <c r="K15" s="7">
        <f t="shared" si="3"/>
        <v>9.8582592857997575</v>
      </c>
      <c r="L15" s="7">
        <f t="shared" si="3"/>
        <v>4.7495383534905811</v>
      </c>
      <c r="M15" s="7">
        <f t="shared" si="3"/>
        <v>2.6239060283645523</v>
      </c>
      <c r="N15" s="7">
        <f t="shared" si="3"/>
        <v>1.4925910307198338</v>
      </c>
      <c r="O15" s="7">
        <f t="shared" si="3"/>
        <v>0.88090092005056408</v>
      </c>
    </row>
    <row r="16" spans="1:16">
      <c r="A16" s="1">
        <f t="shared" si="2"/>
        <v>5</v>
      </c>
      <c r="C16" s="1">
        <f t="shared" si="0"/>
        <v>74.063524281087439</v>
      </c>
      <c r="E16" s="7">
        <f t="shared" si="3"/>
        <v>0</v>
      </c>
      <c r="F16" s="7">
        <f t="shared" si="3"/>
        <v>3.4730068377725036</v>
      </c>
      <c r="G16" s="7">
        <f t="shared" si="3"/>
        <v>23.281352128258089</v>
      </c>
      <c r="H16" s="7">
        <f t="shared" si="3"/>
        <v>37.915793118951498</v>
      </c>
      <c r="I16" s="7">
        <f t="shared" si="3"/>
        <v>24.737145711539384</v>
      </c>
      <c r="J16" s="7">
        <f t="shared" si="3"/>
        <v>14.620335807750742</v>
      </c>
      <c r="K16" s="7">
        <f t="shared" si="3"/>
        <v>6.6416240426935946</v>
      </c>
      <c r="L16" s="7">
        <f t="shared" si="3"/>
        <v>3.0142394969601933</v>
      </c>
      <c r="M16" s="7">
        <f t="shared" si="3"/>
        <v>1.6249335230970012</v>
      </c>
      <c r="N16" s="7">
        <f t="shared" si="3"/>
        <v>0.9120998442958459</v>
      </c>
      <c r="O16" s="7">
        <f t="shared" si="3"/>
        <v>0.53435210963807056</v>
      </c>
    </row>
    <row r="17" spans="1:15">
      <c r="A17" s="1">
        <f t="shared" si="2"/>
        <v>7</v>
      </c>
      <c r="C17" s="1">
        <f t="shared" si="0"/>
        <v>61.473945915062458</v>
      </c>
      <c r="E17" s="7">
        <f t="shared" si="3"/>
        <v>0</v>
      </c>
      <c r="F17" s="7">
        <f t="shared" si="3"/>
        <v>13.033320982576543</v>
      </c>
      <c r="G17" s="7">
        <f t="shared" si="3"/>
        <v>37.55658311028867</v>
      </c>
      <c r="H17" s="7">
        <f t="shared" si="3"/>
        <v>38.138364683132288</v>
      </c>
      <c r="I17" s="7">
        <f t="shared" si="3"/>
        <v>20.423039622500678</v>
      </c>
      <c r="J17" s="7">
        <f t="shared" si="3"/>
        <v>11.319413707912101</v>
      </c>
      <c r="K17" s="7">
        <f t="shared" si="3"/>
        <v>4.9273601789417469</v>
      </c>
      <c r="L17" s="7">
        <f t="shared" si="3"/>
        <v>2.1929384162858461</v>
      </c>
      <c r="M17" s="7">
        <f t="shared" si="3"/>
        <v>1.1727425160466503</v>
      </c>
      <c r="N17" s="7">
        <f t="shared" si="3"/>
        <v>0.65541453765192614</v>
      </c>
      <c r="O17" s="7">
        <f t="shared" si="3"/>
        <v>0.38304841138083223</v>
      </c>
    </row>
    <row r="18" spans="1:15">
      <c r="A18" s="1">
        <f t="shared" si="2"/>
        <v>9</v>
      </c>
      <c r="C18" s="1">
        <f t="shared" si="0"/>
        <v>54.479735711715243</v>
      </c>
      <c r="E18" s="7">
        <f t="shared" si="3"/>
        <v>0</v>
      </c>
      <c r="F18" s="7">
        <f t="shared" si="3"/>
        <v>22.301887695816909</v>
      </c>
      <c r="G18" s="7">
        <f t="shared" si="3"/>
        <v>43.022900457955686</v>
      </c>
      <c r="H18" s="7">
        <f t="shared" si="3"/>
        <v>34.904222098606752</v>
      </c>
      <c r="I18" s="7">
        <f t="shared" si="3"/>
        <v>17.016517338697177</v>
      </c>
      <c r="J18" s="7">
        <f t="shared" si="3"/>
        <v>9.1476981712771135</v>
      </c>
      <c r="K18" s="7">
        <f t="shared" si="3"/>
        <v>3.9020859776778476</v>
      </c>
      <c r="L18" s="7">
        <f t="shared" si="3"/>
        <v>1.720573250221453</v>
      </c>
      <c r="M18" s="7">
        <f t="shared" si="3"/>
        <v>0.9166312320142106</v>
      </c>
      <c r="N18" s="7">
        <f t="shared" si="3"/>
        <v>0.51122037803862364</v>
      </c>
      <c r="O18" s="7">
        <f t="shared" si="3"/>
        <v>0.29843370366264071</v>
      </c>
    </row>
    <row r="19" spans="1:15">
      <c r="A19" s="1">
        <f t="shared" si="2"/>
        <v>11</v>
      </c>
      <c r="C19" s="1">
        <f t="shared" si="0"/>
        <v>50.028874673221566</v>
      </c>
      <c r="E19" s="7">
        <f t="shared" si="3"/>
        <v>0</v>
      </c>
      <c r="F19" s="7">
        <f t="shared" si="3"/>
        <v>28.680946192217696</v>
      </c>
      <c r="G19" s="7">
        <f t="shared" si="3"/>
        <v>43.953851181516782</v>
      </c>
      <c r="H19" s="7">
        <f t="shared" si="3"/>
        <v>31.351273728894814</v>
      </c>
      <c r="I19" s="7">
        <f t="shared" si="3"/>
        <v>14.483272885136511</v>
      </c>
      <c r="J19" s="7">
        <f t="shared" si="3"/>
        <v>7.6507000908739276</v>
      </c>
      <c r="K19" s="7">
        <f t="shared" si="3"/>
        <v>3.2257881913408455</v>
      </c>
      <c r="L19" s="7">
        <f t="shared" si="3"/>
        <v>1.4148077884388719</v>
      </c>
      <c r="M19" s="7">
        <f t="shared" si="3"/>
        <v>0.75209004533918877</v>
      </c>
      <c r="N19" s="7">
        <f t="shared" si="3"/>
        <v>0.41895483900598979</v>
      </c>
      <c r="O19" s="7">
        <f t="shared" si="3"/>
        <v>0.2444113445695309</v>
      </c>
    </row>
    <row r="20" spans="1:15">
      <c r="A20" s="1">
        <f t="shared" si="2"/>
        <v>13</v>
      </c>
      <c r="C20" s="1">
        <f t="shared" si="0"/>
        <v>46.947509338879783</v>
      </c>
      <c r="E20" s="7">
        <f t="shared" si="3"/>
        <v>0</v>
      </c>
      <c r="F20" s="7">
        <f t="shared" si="3"/>
        <v>32.449922131363621</v>
      </c>
      <c r="G20" s="7">
        <f t="shared" si="3"/>
        <v>42.894851288012426</v>
      </c>
      <c r="H20" s="7">
        <f t="shared" si="3"/>
        <v>28.166947077941714</v>
      </c>
      <c r="I20" s="7">
        <f t="shared" si="3"/>
        <v>12.569875087365432</v>
      </c>
      <c r="J20" s="7">
        <f t="shared" si="3"/>
        <v>6.5656663494369605</v>
      </c>
      <c r="K20" s="7">
        <f t="shared" si="3"/>
        <v>2.7476985577599673</v>
      </c>
      <c r="L20" s="7">
        <f t="shared" si="3"/>
        <v>1.2010018222207528</v>
      </c>
      <c r="M20" s="7">
        <f t="shared" si="3"/>
        <v>0.63753841978205417</v>
      </c>
      <c r="N20" s="7">
        <f t="shared" si="3"/>
        <v>0.35487234862627193</v>
      </c>
      <c r="O20" s="7">
        <f t="shared" si="3"/>
        <v>0.20693924563688962</v>
      </c>
    </row>
    <row r="21" spans="1:15">
      <c r="A21" s="1">
        <f t="shared" si="2"/>
        <v>15</v>
      </c>
      <c r="C21" s="1">
        <f t="shared" si="0"/>
        <v>44.687841427029149</v>
      </c>
      <c r="E21" s="7">
        <f t="shared" si="3"/>
        <v>0</v>
      </c>
      <c r="F21" s="7">
        <f t="shared" si="3"/>
        <v>34.394987556394625</v>
      </c>
      <c r="G21" s="7">
        <f t="shared" si="3"/>
        <v>41.038487131608669</v>
      </c>
      <c r="H21" s="7">
        <f t="shared" si="3"/>
        <v>25.446781413969354</v>
      </c>
      <c r="I21" s="7">
        <f t="shared" si="3"/>
        <v>11.087044252396852</v>
      </c>
      <c r="J21" s="7">
        <f t="shared" si="3"/>
        <v>5.7461568101864327</v>
      </c>
      <c r="K21" s="7">
        <f t="shared" si="3"/>
        <v>2.3923216216682794</v>
      </c>
      <c r="L21" s="7">
        <f t="shared" si="3"/>
        <v>1.0431907511772398</v>
      </c>
      <c r="M21" s="7">
        <f t="shared" si="3"/>
        <v>0.55322772012481325</v>
      </c>
      <c r="N21" s="7">
        <f t="shared" si="3"/>
        <v>0.30777969952499423</v>
      </c>
      <c r="O21" s="7">
        <f t="shared" si="3"/>
        <v>0.17942524692095596</v>
      </c>
    </row>
    <row r="22" spans="1:15">
      <c r="A22" s="1">
        <f t="shared" si="2"/>
        <v>17</v>
      </c>
      <c r="C22" s="1">
        <f t="shared" si="0"/>
        <v>42.959860082672776</v>
      </c>
      <c r="E22" s="7">
        <f t="shared" si="3"/>
        <v>0</v>
      </c>
      <c r="F22" s="7">
        <f t="shared" si="3"/>
        <v>35.162994924628762</v>
      </c>
      <c r="G22" s="7">
        <f t="shared" si="3"/>
        <v>38.925741502283067</v>
      </c>
      <c r="H22" s="7">
        <f t="shared" si="3"/>
        <v>23.145730444956637</v>
      </c>
      <c r="I22" s="7">
        <f t="shared" si="3"/>
        <v>9.9092528964267306</v>
      </c>
      <c r="J22" s="7">
        <f t="shared" si="3"/>
        <v>5.1065298462777298</v>
      </c>
      <c r="K22" s="7">
        <f t="shared" si="3"/>
        <v>2.1179884135924558</v>
      </c>
      <c r="L22" s="7">
        <f t="shared" si="3"/>
        <v>0.9219642164461489</v>
      </c>
      <c r="M22" s="7">
        <f t="shared" si="3"/>
        <v>0.48859075896833648</v>
      </c>
      <c r="N22" s="7">
        <f t="shared" si="3"/>
        <v>0.27171476187068311</v>
      </c>
      <c r="O22" s="7">
        <f t="shared" si="3"/>
        <v>0.15836668865693862</v>
      </c>
    </row>
    <row r="23" spans="1:15">
      <c r="A23" s="1">
        <f t="shared" si="2"/>
        <v>19</v>
      </c>
      <c r="C23" s="1">
        <f t="shared" si="0"/>
        <v>41.595664284496692</v>
      </c>
      <c r="E23" s="7">
        <f t="shared" si="3"/>
        <v>0</v>
      </c>
      <c r="F23" s="7">
        <f t="shared" si="3"/>
        <v>35.195376701251938</v>
      </c>
      <c r="G23" s="7">
        <f t="shared" si="3"/>
        <v>36.800148683626617</v>
      </c>
      <c r="H23" s="7">
        <f t="shared" si="3"/>
        <v>21.194166113517877</v>
      </c>
      <c r="I23" s="7">
        <f t="shared" si="3"/>
        <v>8.9534045400916451</v>
      </c>
      <c r="J23" s="7">
        <f t="shared" si="3"/>
        <v>4.5939560837818334</v>
      </c>
      <c r="K23" s="7">
        <f t="shared" si="3"/>
        <v>1.8999061332661291</v>
      </c>
      <c r="L23" s="7">
        <f t="shared" si="3"/>
        <v>0.82594021718594524</v>
      </c>
      <c r="M23" s="7">
        <f t="shared" si="3"/>
        <v>0.43746613513146387</v>
      </c>
      <c r="N23" s="7">
        <f t="shared" si="3"/>
        <v>0.24321168199095519</v>
      </c>
      <c r="O23" s="7">
        <f t="shared" si="3"/>
        <v>0.14173079358904811</v>
      </c>
    </row>
    <row r="45" spans="2:16" s="8" customFormat="1">
      <c r="P45" s="6"/>
    </row>
    <row r="46" spans="2:16">
      <c r="B46" s="8" t="s">
        <v>21</v>
      </c>
    </row>
    <row r="47" spans="2:16">
      <c r="B47" s="9">
        <f>N4+273.15</f>
        <v>473.15</v>
      </c>
      <c r="E47" s="1" t="s">
        <v>22</v>
      </c>
    </row>
    <row r="48" spans="2:16">
      <c r="B48" s="9">
        <f>N5+273.15</f>
        <v>293.14999999999998</v>
      </c>
      <c r="E48" s="1" t="s">
        <v>23</v>
      </c>
    </row>
    <row r="49" spans="1:18">
      <c r="B49" s="9">
        <f>3.12*0.785*N3*F4^2*(B47-B48)/B47</f>
        <v>22.361923280143721</v>
      </c>
      <c r="E49" s="1" t="s">
        <v>24</v>
      </c>
    </row>
    <row r="50" spans="1:18">
      <c r="B50" s="9">
        <f>IF(B49&gt;55, 34*(EXP(0.4*LN(B49))),14*(EXP(0.625*LN(B49))))</f>
        <v>97.627295021970752</v>
      </c>
      <c r="E50" s="1" t="s">
        <v>25</v>
      </c>
    </row>
    <row r="51" spans="1:18">
      <c r="B51" s="9">
        <f>1.6*EXP(LN(B49)/3)*EXP(LN(3.5*B50)*2/3)</f>
        <v>220.31762140543719</v>
      </c>
      <c r="E51" s="1" t="s">
        <v>24</v>
      </c>
    </row>
    <row r="52" spans="1:18">
      <c r="B52" s="9">
        <f>IF(E8&lt;6, 9.806*0.02/B48,9.806*0.035/B48)</f>
        <v>6.6900903974074707E-4</v>
      </c>
      <c r="E52" s="1" t="s">
        <v>24</v>
      </c>
    </row>
    <row r="54" spans="1:18">
      <c r="A54" s="1" t="s">
        <v>26</v>
      </c>
    </row>
    <row r="56" spans="1:18">
      <c r="A56" s="1" t="s">
        <v>27</v>
      </c>
      <c r="B56" s="1">
        <v>1</v>
      </c>
      <c r="E56" s="2">
        <f t="shared" ref="E56:O56" si="4">0.22*1000*E13*1/SQRT(1+0.1*E13)</f>
        <v>0</v>
      </c>
      <c r="F56" s="9">
        <f t="shared" si="4"/>
        <v>107.34900802433864</v>
      </c>
      <c r="G56" s="9">
        <f t="shared" si="4"/>
        <v>169.35607896229021</v>
      </c>
      <c r="H56" s="9">
        <f t="shared" si="4"/>
        <v>307.72658671930355</v>
      </c>
      <c r="I56" s="9">
        <f t="shared" si="4"/>
        <v>578.85829274263926</v>
      </c>
      <c r="J56" s="9">
        <f t="shared" si="4"/>
        <v>898.14623902049868</v>
      </c>
      <c r="K56" s="9">
        <f t="shared" si="4"/>
        <v>1555.6349186104044</v>
      </c>
      <c r="L56" s="9">
        <f t="shared" si="4"/>
        <v>2540.3411844343536</v>
      </c>
      <c r="M56" s="9">
        <f t="shared" si="4"/>
        <v>3629.8148100909443</v>
      </c>
      <c r="N56" s="9">
        <f t="shared" si="4"/>
        <v>4989.131043721799</v>
      </c>
      <c r="O56" s="9">
        <f t="shared" si="4"/>
        <v>6633.2495807107998</v>
      </c>
      <c r="Q56" s="2"/>
      <c r="R56" s="2"/>
    </row>
    <row r="57" spans="1:18">
      <c r="A57" s="1" t="s">
        <v>28</v>
      </c>
      <c r="B57" s="1">
        <v>2</v>
      </c>
      <c r="E57" s="2">
        <f t="shared" ref="E57:O57" si="5">0.16*1000*E13*1/SQRT(1+0.1*E13)</f>
        <v>0</v>
      </c>
      <c r="F57" s="9">
        <f t="shared" si="5"/>
        <v>78.072005835882649</v>
      </c>
      <c r="G57" s="9">
        <f t="shared" si="5"/>
        <v>123.16805742712015</v>
      </c>
      <c r="H57" s="9">
        <f t="shared" si="5"/>
        <v>223.80115397767528</v>
      </c>
      <c r="I57" s="9">
        <f t="shared" si="5"/>
        <v>420.98784926737397</v>
      </c>
      <c r="J57" s="9">
        <f t="shared" si="5"/>
        <v>653.19726474218089</v>
      </c>
      <c r="K57" s="9">
        <f t="shared" si="5"/>
        <v>1131.3708498984759</v>
      </c>
      <c r="L57" s="9">
        <f t="shared" si="5"/>
        <v>1847.5208614068026</v>
      </c>
      <c r="M57" s="9">
        <f t="shared" si="5"/>
        <v>2639.8653164297775</v>
      </c>
      <c r="N57" s="9">
        <f t="shared" si="5"/>
        <v>3628.4589408885813</v>
      </c>
      <c r="O57" s="9">
        <f t="shared" si="5"/>
        <v>4824.181513244218</v>
      </c>
      <c r="Q57" s="6"/>
      <c r="R57" s="2"/>
    </row>
    <row r="58" spans="1:18">
      <c r="B58" s="1">
        <v>3</v>
      </c>
      <c r="E58" s="2">
        <f t="shared" ref="E58:O58" si="6">0.11*1000*E13*1/SQRT(1+0.1*E13)</f>
        <v>0</v>
      </c>
      <c r="F58" s="9">
        <f t="shared" si="6"/>
        <v>53.674504012169322</v>
      </c>
      <c r="G58" s="9">
        <f t="shared" si="6"/>
        <v>84.678039481145106</v>
      </c>
      <c r="H58" s="9">
        <f t="shared" si="6"/>
        <v>153.86329335965178</v>
      </c>
      <c r="I58" s="9">
        <f t="shared" si="6"/>
        <v>289.42914637131963</v>
      </c>
      <c r="J58" s="9">
        <f t="shared" si="6"/>
        <v>449.07311951024934</v>
      </c>
      <c r="K58" s="9">
        <f t="shared" si="6"/>
        <v>777.81745930520219</v>
      </c>
      <c r="L58" s="9">
        <f t="shared" si="6"/>
        <v>1270.1705922171768</v>
      </c>
      <c r="M58" s="9">
        <f t="shared" si="6"/>
        <v>1814.9074050454722</v>
      </c>
      <c r="N58" s="9">
        <f t="shared" si="6"/>
        <v>2494.5655218608995</v>
      </c>
      <c r="O58" s="9">
        <f t="shared" si="6"/>
        <v>3316.6247903553999</v>
      </c>
      <c r="Q58" s="2"/>
      <c r="R58" s="2"/>
    </row>
    <row r="59" spans="1:18">
      <c r="B59" s="1">
        <v>4</v>
      </c>
      <c r="E59" s="2">
        <f t="shared" ref="E59:O59" si="7">0.08*1000*E13*1/SQRT(1+0.1*E13)</f>
        <v>0</v>
      </c>
      <c r="F59" s="9">
        <f t="shared" si="7"/>
        <v>39.036002917941325</v>
      </c>
      <c r="G59" s="9">
        <f t="shared" si="7"/>
        <v>61.584028713560073</v>
      </c>
      <c r="H59" s="9">
        <f t="shared" si="7"/>
        <v>111.90057698883764</v>
      </c>
      <c r="I59" s="9">
        <f t="shared" si="7"/>
        <v>210.49392463368699</v>
      </c>
      <c r="J59" s="9">
        <f t="shared" si="7"/>
        <v>326.59863237109045</v>
      </c>
      <c r="K59" s="9">
        <f t="shared" si="7"/>
        <v>565.68542494923793</v>
      </c>
      <c r="L59" s="9">
        <f t="shared" si="7"/>
        <v>923.76043070340131</v>
      </c>
      <c r="M59" s="9">
        <f t="shared" si="7"/>
        <v>1319.9326582148888</v>
      </c>
      <c r="N59" s="9">
        <f t="shared" si="7"/>
        <v>1814.2294704442907</v>
      </c>
      <c r="O59" s="9">
        <f t="shared" si="7"/>
        <v>2412.090756622109</v>
      </c>
      <c r="Q59" s="2"/>
      <c r="R59" s="2"/>
    </row>
    <row r="60" spans="1:18">
      <c r="B60" s="1">
        <v>5</v>
      </c>
      <c r="E60" s="2">
        <f t="shared" ref="E60:O60" si="8">0.06*1000*E13*1/SQRT(1+0.1*E13)</f>
        <v>0</v>
      </c>
      <c r="F60" s="9">
        <f t="shared" si="8"/>
        <v>29.277002188455992</v>
      </c>
      <c r="G60" s="9">
        <f t="shared" si="8"/>
        <v>46.188021535170058</v>
      </c>
      <c r="H60" s="9">
        <f t="shared" si="8"/>
        <v>83.925432741628242</v>
      </c>
      <c r="I60" s="9">
        <f t="shared" si="8"/>
        <v>157.87044347526526</v>
      </c>
      <c r="J60" s="9">
        <f t="shared" si="8"/>
        <v>244.94897427831782</v>
      </c>
      <c r="K60" s="9">
        <f t="shared" si="8"/>
        <v>424.26406871192847</v>
      </c>
      <c r="L60" s="9">
        <f t="shared" si="8"/>
        <v>692.82032302755101</v>
      </c>
      <c r="M60" s="9">
        <f t="shared" si="8"/>
        <v>989.94949366116657</v>
      </c>
      <c r="N60" s="9">
        <f t="shared" si="8"/>
        <v>1360.6721028332179</v>
      </c>
      <c r="O60" s="9">
        <f t="shared" si="8"/>
        <v>1809.0680674665819</v>
      </c>
      <c r="Q60" s="2"/>
      <c r="R60" s="2"/>
    </row>
    <row r="61" spans="1:18">
      <c r="B61" s="1">
        <v>6</v>
      </c>
      <c r="E61" s="2">
        <f t="shared" ref="E61:O61" si="9">0.04*1000*E13*1/SQRT(1+0.1*E13)</f>
        <v>0</v>
      </c>
      <c r="F61" s="9">
        <f t="shared" si="9"/>
        <v>19.518001458970662</v>
      </c>
      <c r="G61" s="9">
        <f t="shared" si="9"/>
        <v>30.792014356780037</v>
      </c>
      <c r="H61" s="9">
        <f t="shared" si="9"/>
        <v>55.950288494418821</v>
      </c>
      <c r="I61" s="9">
        <f t="shared" si="9"/>
        <v>105.24696231684349</v>
      </c>
      <c r="J61" s="9">
        <f t="shared" si="9"/>
        <v>163.29931618554522</v>
      </c>
      <c r="K61" s="9">
        <f t="shared" si="9"/>
        <v>282.84271247461896</v>
      </c>
      <c r="L61" s="9">
        <f t="shared" si="9"/>
        <v>461.88021535170066</v>
      </c>
      <c r="M61" s="9">
        <f t="shared" si="9"/>
        <v>659.96632910744438</v>
      </c>
      <c r="N61" s="9">
        <f t="shared" si="9"/>
        <v>907.11473522214533</v>
      </c>
      <c r="O61" s="9">
        <f t="shared" si="9"/>
        <v>1206.0453783110545</v>
      </c>
      <c r="Q61" s="2"/>
      <c r="R61" s="2"/>
    </row>
    <row r="62" spans="1:1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  <c r="R62" s="2"/>
    </row>
    <row r="63" spans="1:18" s="10" customFormat="1" ht="18">
      <c r="A63" s="10" t="s">
        <v>37</v>
      </c>
      <c r="C63" s="13" t="s">
        <v>40</v>
      </c>
      <c r="E63" s="12">
        <f>VLOOKUP($E$8,B$56:$O$61,4)</f>
        <v>0</v>
      </c>
      <c r="F63" s="12">
        <f>VLOOKUP($E$8,$B$56:$O$61,5)</f>
        <v>39.036002917941325</v>
      </c>
      <c r="G63" s="12">
        <f>VLOOKUP($E$8,$B$56:$O$61,6)</f>
        <v>61.584028713560073</v>
      </c>
      <c r="H63" s="12">
        <f>VLOOKUP($E$8,$B$56:$O$61,7)</f>
        <v>111.90057698883764</v>
      </c>
      <c r="I63" s="12">
        <f>VLOOKUP($E$8,$B$56:$O$61,8)</f>
        <v>210.49392463368699</v>
      </c>
      <c r="J63" s="12">
        <f>VLOOKUP($E$8,$B$56:$O$61,9)</f>
        <v>326.59863237109045</v>
      </c>
      <c r="K63" s="12">
        <f>VLOOKUP($E$8,$B$56:$O$61,10)</f>
        <v>565.68542494923793</v>
      </c>
      <c r="L63" s="12">
        <f>VLOOKUP($E$8,$B$56:$O$61,11)</f>
        <v>923.76043070340131</v>
      </c>
      <c r="M63" s="12">
        <f>VLOOKUP($E$8,$B$56:$O$61,12)</f>
        <v>1319.9326582148888</v>
      </c>
      <c r="N63" s="12">
        <f>VLOOKUP($E$8,$B$56:$O$61,13)</f>
        <v>1814.2294704442907</v>
      </c>
      <c r="O63" s="12">
        <f>VLOOKUP($E$8,$B$56:$O$61,14)</f>
        <v>2412.090756622109</v>
      </c>
      <c r="P63" s="9"/>
      <c r="Q63" s="9"/>
      <c r="R63" s="9"/>
    </row>
    <row r="64" spans="1:1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  <c r="R64" s="2"/>
    </row>
    <row r="65" spans="1:18">
      <c r="A65" s="1" t="s">
        <v>29</v>
      </c>
      <c r="B65" s="1">
        <v>1</v>
      </c>
      <c r="E65" s="2">
        <f t="shared" ref="E65:O65" si="10">0.2*1000*E13</f>
        <v>0</v>
      </c>
      <c r="F65" s="9">
        <f t="shared" si="10"/>
        <v>100</v>
      </c>
      <c r="G65" s="9">
        <f t="shared" si="10"/>
        <v>160</v>
      </c>
      <c r="H65" s="9">
        <f t="shared" si="10"/>
        <v>300</v>
      </c>
      <c r="I65" s="9">
        <f t="shared" si="10"/>
        <v>600</v>
      </c>
      <c r="J65" s="9">
        <f t="shared" si="10"/>
        <v>1000</v>
      </c>
      <c r="K65" s="9">
        <f t="shared" si="10"/>
        <v>2000</v>
      </c>
      <c r="L65" s="9">
        <f t="shared" si="10"/>
        <v>4000</v>
      </c>
      <c r="M65" s="9">
        <f t="shared" si="10"/>
        <v>7000</v>
      </c>
      <c r="N65" s="9">
        <f t="shared" si="10"/>
        <v>12000</v>
      </c>
      <c r="O65" s="9">
        <f t="shared" si="10"/>
        <v>20000</v>
      </c>
      <c r="Q65" s="2"/>
      <c r="R65" s="2"/>
    </row>
    <row r="66" spans="1:18">
      <c r="A66" s="1" t="s">
        <v>30</v>
      </c>
      <c r="B66" s="1">
        <v>2</v>
      </c>
      <c r="E66" s="2">
        <f t="shared" ref="E66:O66" si="11">0.12*1000*E13</f>
        <v>0</v>
      </c>
      <c r="F66" s="9">
        <f t="shared" si="11"/>
        <v>60</v>
      </c>
      <c r="G66" s="9">
        <f t="shared" si="11"/>
        <v>96</v>
      </c>
      <c r="H66" s="9">
        <f t="shared" si="11"/>
        <v>180</v>
      </c>
      <c r="I66" s="9">
        <f t="shared" si="11"/>
        <v>360</v>
      </c>
      <c r="J66" s="9">
        <f t="shared" si="11"/>
        <v>600</v>
      </c>
      <c r="K66" s="9">
        <f t="shared" si="11"/>
        <v>1200</v>
      </c>
      <c r="L66" s="9">
        <f t="shared" si="11"/>
        <v>2400</v>
      </c>
      <c r="M66" s="9">
        <f t="shared" si="11"/>
        <v>4200</v>
      </c>
      <c r="N66" s="9">
        <f t="shared" si="11"/>
        <v>7200</v>
      </c>
      <c r="O66" s="9">
        <f t="shared" si="11"/>
        <v>12000</v>
      </c>
      <c r="Q66" s="2"/>
      <c r="R66" s="2"/>
    </row>
    <row r="67" spans="1:18">
      <c r="A67" s="1" t="s">
        <v>31</v>
      </c>
      <c r="B67" s="1">
        <v>3</v>
      </c>
      <c r="E67" s="2">
        <f t="shared" ref="E67:O67" si="12">0.08*1000*E13*1/SQRT(1+0.2*E13)</f>
        <v>0</v>
      </c>
      <c r="F67" s="9">
        <f t="shared" si="12"/>
        <v>38.13850356982369</v>
      </c>
      <c r="G67" s="9">
        <f t="shared" si="12"/>
        <v>59.422508216656588</v>
      </c>
      <c r="H67" s="9">
        <f t="shared" si="12"/>
        <v>105.24696231684349</v>
      </c>
      <c r="I67" s="9">
        <f t="shared" si="12"/>
        <v>189.73665961010275</v>
      </c>
      <c r="J67" s="9">
        <f t="shared" si="12"/>
        <v>282.84271247461896</v>
      </c>
      <c r="K67" s="9">
        <f t="shared" si="12"/>
        <v>461.88021535170066</v>
      </c>
      <c r="L67" s="9">
        <f t="shared" si="12"/>
        <v>715.54175279993262</v>
      </c>
      <c r="M67" s="9">
        <f t="shared" si="12"/>
        <v>989.94949366116646</v>
      </c>
      <c r="N67" s="9">
        <f t="shared" si="12"/>
        <v>1331.28047094055</v>
      </c>
      <c r="O67" s="9">
        <f t="shared" si="12"/>
        <v>1745.7431218879392</v>
      </c>
      <c r="Q67" s="2"/>
      <c r="R67" s="2"/>
    </row>
    <row r="68" spans="1:18">
      <c r="B68" s="1">
        <v>4</v>
      </c>
      <c r="E68" s="2">
        <f t="shared" ref="E68:O68" si="13">0.06*1000*E13*1/SQRT(1+1.5*E13)</f>
        <v>0</v>
      </c>
      <c r="F68" s="9">
        <f t="shared" si="13"/>
        <v>22.677868380553633</v>
      </c>
      <c r="G68" s="9">
        <f t="shared" si="13"/>
        <v>32.36159339823562</v>
      </c>
      <c r="H68" s="9">
        <f t="shared" si="13"/>
        <v>49.923017660270624</v>
      </c>
      <c r="I68" s="9">
        <f t="shared" si="13"/>
        <v>76.752257888019756</v>
      </c>
      <c r="J68" s="9">
        <f t="shared" si="13"/>
        <v>102.8991510855053</v>
      </c>
      <c r="K68" s="9">
        <f t="shared" si="13"/>
        <v>150</v>
      </c>
      <c r="L68" s="9">
        <f t="shared" si="13"/>
        <v>215.5263624321299</v>
      </c>
      <c r="M68" s="9">
        <f t="shared" si="13"/>
        <v>287.10608935035856</v>
      </c>
      <c r="N68" s="9">
        <f t="shared" si="13"/>
        <v>377.38254121989058</v>
      </c>
      <c r="O68" s="9">
        <f t="shared" si="13"/>
        <v>488.27307526269567</v>
      </c>
      <c r="Q68" s="2"/>
      <c r="R68" s="2"/>
    </row>
    <row r="69" spans="1:18">
      <c r="B69" s="1">
        <v>5</v>
      </c>
      <c r="E69" s="2">
        <f t="shared" ref="E69:O69" si="14">0.03*1000*E13*1/(1+0.3*E13)</f>
        <v>0</v>
      </c>
      <c r="F69" s="9">
        <f t="shared" si="14"/>
        <v>13.043478260869566</v>
      </c>
      <c r="G69" s="9">
        <f t="shared" si="14"/>
        <v>19.35483870967742</v>
      </c>
      <c r="H69" s="9">
        <f t="shared" si="14"/>
        <v>31.03448275862069</v>
      </c>
      <c r="I69" s="9">
        <f t="shared" si="14"/>
        <v>47.368421052631582</v>
      </c>
      <c r="J69" s="9">
        <f t="shared" si="14"/>
        <v>60</v>
      </c>
      <c r="K69" s="9">
        <f t="shared" si="14"/>
        <v>75</v>
      </c>
      <c r="L69" s="9">
        <f t="shared" si="14"/>
        <v>85.714285714285708</v>
      </c>
      <c r="M69" s="9">
        <f t="shared" si="14"/>
        <v>91.304347826086953</v>
      </c>
      <c r="N69" s="9">
        <f t="shared" si="14"/>
        <v>94.736842105263165</v>
      </c>
      <c r="O69" s="9">
        <f t="shared" si="14"/>
        <v>96.774193548387103</v>
      </c>
      <c r="Q69" s="2"/>
      <c r="R69" s="2"/>
    </row>
    <row r="70" spans="1:18">
      <c r="B70" s="1">
        <v>6</v>
      </c>
      <c r="E70" s="2">
        <f t="shared" ref="E70:O70" si="15">0.016*1000*E13*1/(1+0.3*E13)</f>
        <v>0</v>
      </c>
      <c r="F70" s="9">
        <f t="shared" si="15"/>
        <v>6.9565217391304355</v>
      </c>
      <c r="G70" s="9">
        <f t="shared" si="15"/>
        <v>10.322580645161292</v>
      </c>
      <c r="H70" s="9">
        <f t="shared" si="15"/>
        <v>16.551724137931036</v>
      </c>
      <c r="I70" s="9">
        <f t="shared" si="15"/>
        <v>25.263157894736842</v>
      </c>
      <c r="J70" s="9">
        <f t="shared" si="15"/>
        <v>32</v>
      </c>
      <c r="K70" s="9">
        <f t="shared" si="15"/>
        <v>40</v>
      </c>
      <c r="L70" s="9">
        <f t="shared" si="15"/>
        <v>45.714285714285715</v>
      </c>
      <c r="M70" s="9">
        <f t="shared" si="15"/>
        <v>48.695652173913047</v>
      </c>
      <c r="N70" s="9">
        <f t="shared" si="15"/>
        <v>50.526315789473685</v>
      </c>
      <c r="O70" s="9">
        <f t="shared" si="15"/>
        <v>51.612903225806448</v>
      </c>
      <c r="Q70" s="2"/>
      <c r="R70" s="2"/>
    </row>
    <row r="71" spans="1:1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  <c r="R71" s="2"/>
    </row>
    <row r="72" spans="1:18" ht="18">
      <c r="A72" s="1" t="s">
        <v>38</v>
      </c>
      <c r="C72" s="13" t="s">
        <v>41</v>
      </c>
      <c r="E72" s="11">
        <f>VLOOKUP($E$8,$B$65:$O$70,4)</f>
        <v>0</v>
      </c>
      <c r="F72" s="11">
        <f>VLOOKUP($E$8,$B$65:$O$70,5)</f>
        <v>22.677868380553633</v>
      </c>
      <c r="G72" s="11">
        <f>VLOOKUP($E$8,$B$65:$O$70,6)</f>
        <v>32.36159339823562</v>
      </c>
      <c r="H72" s="11">
        <f>VLOOKUP($E$8,$B$65:$O$70,7)</f>
        <v>49.923017660270624</v>
      </c>
      <c r="I72" s="11">
        <f>VLOOKUP($E$8,$B$65:$O$70,8)</f>
        <v>76.752257888019756</v>
      </c>
      <c r="J72" s="11">
        <f>VLOOKUP($E$8,$B$65:$O$70,9)</f>
        <v>102.8991510855053</v>
      </c>
      <c r="K72" s="11">
        <f>VLOOKUP($E$8,$B$65:$O$70,10)</f>
        <v>150</v>
      </c>
      <c r="L72" s="11">
        <f>VLOOKUP($E$8,$B$65:$O$70,11)</f>
        <v>215.5263624321299</v>
      </c>
      <c r="M72" s="11">
        <f>VLOOKUP($E$8,$B$65:$O$70,12)</f>
        <v>287.10608935035856</v>
      </c>
      <c r="N72" s="11">
        <f>VLOOKUP($E$8,$B$65:$O$70,13)</f>
        <v>377.38254121989058</v>
      </c>
      <c r="O72" s="11">
        <f>VLOOKUP($E$8,$B$65:$O$70,14)</f>
        <v>488.27307526269567</v>
      </c>
      <c r="Q72" s="2"/>
      <c r="R72" s="2"/>
    </row>
    <row r="73" spans="1:1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  <c r="R73" s="2"/>
    </row>
  </sheetData>
  <printOptions gridLines="1" gridLinesSet="0"/>
  <pageMargins left="0.75" right="0.75" top="1" bottom="1" header="0.5" footer="0.5"/>
  <pageSetup orientation="landscape" horizontalDpi="4294967292" verticalDpi="4294967292" r:id="rId1"/>
  <headerFooter>
    <oddHeader>&amp;F</oddHeader>
    <oddFooter>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plume.xls</vt:lpstr>
    </vt:vector>
  </TitlesOfParts>
  <Company>NCSSM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Gotwals</dc:creator>
  <cp:lastModifiedBy>Arav Bhardwaj</cp:lastModifiedBy>
  <cp:lastPrinted>2022-08-28T20:01:00Z</cp:lastPrinted>
  <dcterms:created xsi:type="dcterms:W3CDTF">2012-09-11T09:22:40Z</dcterms:created>
  <dcterms:modified xsi:type="dcterms:W3CDTF">2022-08-28T20:02:12Z</dcterms:modified>
</cp:coreProperties>
</file>