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\Desktop\Easy To Pitch\Bishwa\"/>
    </mc:Choice>
  </mc:AlternateContent>
  <xr:revisionPtr revIDLastSave="0" documentId="13_ncr:1_{CFB09406-8AB0-4BA8-B4C3-9D5599E171DF}" xr6:coauthVersionLast="47" xr6:coauthVersionMax="47" xr10:uidLastSave="{00000000-0000-0000-0000-000000000000}"/>
  <bookViews>
    <workbookView xWindow="-108" yWindow="-108" windowWidth="23256" windowHeight="12576" tabRatio="868" xr2:uid="{00000000-000D-0000-FFFF-FFFF00000000}"/>
  </bookViews>
  <sheets>
    <sheet name="Summary" sheetId="18" r:id="rId1"/>
    <sheet name="Income Sheet" sheetId="9" r:id="rId2"/>
    <sheet name="Balance Sheet" sheetId="10" r:id="rId3"/>
    <sheet name="Cash Flow Statement" sheetId="11" r:id="rId4"/>
    <sheet name="Assumptions" sheetId="6" r:id="rId5"/>
    <sheet name="Revenue Assumptions" sheetId="2" r:id="rId6"/>
    <sheet name="Cost Assumptions" sheetId="3" r:id="rId7"/>
    <sheet name="Other Expenses" sheetId="7" r:id="rId8"/>
    <sheet name="Salary" sheetId="5" r:id="rId9"/>
    <sheet name="Capex" sheetId="17" r:id="rId10"/>
    <sheet name="Key Valuation Assumption" sheetId="14" r:id="rId11"/>
    <sheet name="Valuation_DCF" sheetId="12" r:id="rId12"/>
    <sheet name="RM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E4" i="3" s="1"/>
  <c r="F4" i="3" s="1"/>
  <c r="C4" i="3"/>
  <c r="C10" i="3" s="1"/>
  <c r="E13" i="3"/>
  <c r="F13" i="3" s="1"/>
  <c r="F23" i="3" s="1"/>
  <c r="C13" i="3"/>
  <c r="D13" i="3" s="1"/>
  <c r="C23" i="3"/>
  <c r="B10" i="3"/>
  <c r="E23" i="3"/>
  <c r="B23" i="3"/>
  <c r="I4" i="18"/>
  <c r="D14" i="2"/>
  <c r="F26" i="6"/>
  <c r="E26" i="6"/>
  <c r="D26" i="6"/>
  <c r="C26" i="6"/>
  <c r="B26" i="6"/>
  <c r="D26" i="5"/>
  <c r="E26" i="5"/>
  <c r="F26" i="5"/>
  <c r="G26" i="5"/>
  <c r="C26" i="5"/>
  <c r="C20" i="5"/>
  <c r="D20" i="5" s="1"/>
  <c r="E20" i="5" s="1"/>
  <c r="C17" i="5"/>
  <c r="D17" i="5" s="1"/>
  <c r="C14" i="5"/>
  <c r="C11" i="5"/>
  <c r="C12" i="5" s="1"/>
  <c r="C8" i="5"/>
  <c r="C9" i="5" s="1"/>
  <c r="C23" i="5" s="1"/>
  <c r="C5" i="5"/>
  <c r="C6" i="5" s="1"/>
  <c r="B21" i="5"/>
  <c r="C21" i="5"/>
  <c r="B18" i="5"/>
  <c r="D6" i="3"/>
  <c r="E6" i="3" s="1"/>
  <c r="F6" i="3" s="1"/>
  <c r="C6" i="3"/>
  <c r="D8" i="3"/>
  <c r="E8" i="3" s="1"/>
  <c r="F8" i="3" s="1"/>
  <c r="C8" i="3"/>
  <c r="B19" i="3"/>
  <c r="C19" i="3" s="1"/>
  <c r="D19" i="3" s="1"/>
  <c r="E19" i="3" s="1"/>
  <c r="F19" i="3" s="1"/>
  <c r="F4" i="17"/>
  <c r="G4" i="17" s="1"/>
  <c r="E4" i="17"/>
  <c r="D4" i="17"/>
  <c r="F7" i="17"/>
  <c r="G7" i="17" s="1"/>
  <c r="E7" i="17"/>
  <c r="D7" i="17"/>
  <c r="B6" i="3"/>
  <c r="B17" i="3"/>
  <c r="B4" i="3"/>
  <c r="B15" i="3"/>
  <c r="C15" i="3" s="1"/>
  <c r="D15" i="3" s="1"/>
  <c r="E15" i="3" s="1"/>
  <c r="F15" i="3" s="1"/>
  <c r="E10" i="18"/>
  <c r="D14" i="5"/>
  <c r="E14" i="5" s="1"/>
  <c r="D23" i="3" l="1"/>
  <c r="E17" i="5"/>
  <c r="D18" i="5"/>
  <c r="C18" i="5"/>
  <c r="E21" i="5"/>
  <c r="F20" i="5"/>
  <c r="D21" i="5"/>
  <c r="E18" i="5"/>
  <c r="F17" i="5"/>
  <c r="D27" i="5"/>
  <c r="C21" i="3" s="1"/>
  <c r="G27" i="5"/>
  <c r="F21" i="3" s="1"/>
  <c r="F27" i="5"/>
  <c r="E21" i="3" s="1"/>
  <c r="E27" i="5"/>
  <c r="D21" i="3" s="1"/>
  <c r="D11" i="5"/>
  <c r="E11" i="5" s="1"/>
  <c r="F11" i="5" s="1"/>
  <c r="G11" i="5" s="1"/>
  <c r="G12" i="5" s="1"/>
  <c r="D5" i="5"/>
  <c r="D6" i="5" s="1"/>
  <c r="D8" i="5"/>
  <c r="E8" i="5" s="1"/>
  <c r="F8" i="5" s="1"/>
  <c r="G8" i="5" s="1"/>
  <c r="G9" i="5" s="1"/>
  <c r="G23" i="5" s="1"/>
  <c r="C15" i="5"/>
  <c r="B20" i="6" s="1"/>
  <c r="E15" i="5"/>
  <c r="F14" i="5"/>
  <c r="D15" i="5"/>
  <c r="D10" i="3" l="1"/>
  <c r="F21" i="5"/>
  <c r="G20" i="5"/>
  <c r="G21" i="5" s="1"/>
  <c r="F18" i="5"/>
  <c r="G17" i="5"/>
  <c r="G18" i="5" s="1"/>
  <c r="D12" i="5"/>
  <c r="E12" i="5"/>
  <c r="F12" i="5"/>
  <c r="F9" i="5"/>
  <c r="F23" i="5" s="1"/>
  <c r="D9" i="5"/>
  <c r="D23" i="5" s="1"/>
  <c r="E9" i="5"/>
  <c r="E23" i="5" s="1"/>
  <c r="E5" i="5"/>
  <c r="E6" i="5" s="1"/>
  <c r="F15" i="5"/>
  <c r="G14" i="5"/>
  <c r="G15" i="5" s="1"/>
  <c r="F10" i="3" l="1"/>
  <c r="E10" i="3"/>
  <c r="C20" i="6"/>
  <c r="D20" i="6"/>
  <c r="F5" i="5"/>
  <c r="G5" i="5" s="1"/>
  <c r="G6" i="5" s="1"/>
  <c r="F20" i="6" s="1"/>
  <c r="F6" i="5" l="1"/>
  <c r="E20" i="6" s="1"/>
  <c r="E13" i="2" l="1"/>
  <c r="F13" i="2"/>
  <c r="G13" i="2"/>
  <c r="H13" i="2"/>
  <c r="E13" i="17"/>
  <c r="F13" i="17"/>
  <c r="G13" i="17"/>
  <c r="D13" i="17"/>
  <c r="C13" i="17"/>
  <c r="XFD4" i="3"/>
  <c r="E14" i="2" l="1"/>
  <c r="F14" i="2" s="1"/>
  <c r="G14" i="2" s="1"/>
  <c r="H14" i="2" s="1"/>
  <c r="J3" i="18"/>
  <c r="J9" i="18" s="1"/>
  <c r="K3" i="18"/>
  <c r="K9" i="18" s="1"/>
  <c r="L3" i="18"/>
  <c r="L9" i="18" s="1"/>
  <c r="M3" i="18"/>
  <c r="M9" i="18" s="1"/>
  <c r="I3" i="18"/>
  <c r="I9" i="18" s="1"/>
  <c r="I23" i="2"/>
  <c r="H23" i="2"/>
  <c r="G23" i="2"/>
  <c r="F23" i="2"/>
  <c r="E23" i="2"/>
  <c r="G5" i="2" l="1"/>
  <c r="D5" i="2"/>
  <c r="E5" i="2"/>
  <c r="F5" i="2"/>
  <c r="D28" i="2" l="1"/>
  <c r="D22" i="2"/>
  <c r="D14" i="15"/>
  <c r="C35" i="6" l="1"/>
  <c r="D35" i="6"/>
  <c r="E35" i="6"/>
  <c r="E33" i="10" s="1"/>
  <c r="F35" i="6"/>
  <c r="F33" i="10" s="1"/>
  <c r="B35" i="6"/>
  <c r="B24" i="9" s="1"/>
  <c r="B13" i="10"/>
  <c r="C13" i="10"/>
  <c r="D13" i="10"/>
  <c r="D14" i="10" s="1"/>
  <c r="D16" i="10" s="1"/>
  <c r="E13" i="10"/>
  <c r="F13" i="10"/>
  <c r="F24" i="11"/>
  <c r="D24" i="11"/>
  <c r="F13" i="12"/>
  <c r="B30" i="11"/>
  <c r="B33" i="11" s="1"/>
  <c r="C33" i="10"/>
  <c r="D33" i="10"/>
  <c r="D16" i="15"/>
  <c r="D18" i="15" s="1"/>
  <c r="B8" i="14" s="1"/>
  <c r="B9" i="14" s="1"/>
  <c r="B10" i="14" s="1"/>
  <c r="B15" i="14"/>
  <c r="B16" i="14"/>
  <c r="B25" i="12"/>
  <c r="B14" i="10"/>
  <c r="B16" i="10"/>
  <c r="F25" i="11"/>
  <c r="E25" i="11"/>
  <c r="D25" i="11"/>
  <c r="C25" i="11"/>
  <c r="B25" i="11"/>
  <c r="F9" i="11"/>
  <c r="E9" i="11"/>
  <c r="D9" i="11"/>
  <c r="C9" i="11"/>
  <c r="B9" i="11"/>
  <c r="F14" i="10"/>
  <c r="F16" i="10"/>
  <c r="C14" i="10"/>
  <c r="C16" i="10"/>
  <c r="B48" i="6"/>
  <c r="B34" i="10"/>
  <c r="B12" i="5"/>
  <c r="B15" i="5" s="1"/>
  <c r="D24" i="9"/>
  <c r="E14" i="12" s="1"/>
  <c r="F24" i="9"/>
  <c r="G14" i="12" s="1"/>
  <c r="C24" i="9"/>
  <c r="D14" i="12" s="1"/>
  <c r="E24" i="9"/>
  <c r="F14" i="12" s="1"/>
  <c r="D33" i="11"/>
  <c r="E14" i="10"/>
  <c r="E16" i="10"/>
  <c r="C33" i="11"/>
  <c r="E33" i="11"/>
  <c r="F33" i="11"/>
  <c r="B11" i="11" l="1"/>
  <c r="C14" i="12"/>
  <c r="B33" i="10"/>
  <c r="F27" i="11"/>
  <c r="G13" i="12"/>
  <c r="E13" i="12"/>
  <c r="D27" i="11"/>
  <c r="E24" i="11"/>
  <c r="E27" i="11" s="1"/>
  <c r="B24" i="11"/>
  <c r="B27" i="11" s="1"/>
  <c r="C13" i="12"/>
  <c r="B27" i="6"/>
  <c r="B28" i="6" s="1"/>
  <c r="B23" i="9" s="1"/>
  <c r="B10" i="11" s="1"/>
  <c r="B11" i="14"/>
  <c r="B22" i="14"/>
  <c r="B24" i="14" s="1"/>
  <c r="B20" i="12" s="1"/>
  <c r="C25" i="12" s="1"/>
  <c r="B16" i="9" l="1"/>
  <c r="D13" i="12"/>
  <c r="C24" i="11"/>
  <c r="C27" i="11" s="1"/>
  <c r="B29" i="6"/>
  <c r="G21" i="12"/>
  <c r="E21" i="12"/>
  <c r="C21" i="12"/>
  <c r="D21" i="12"/>
  <c r="F21" i="12"/>
  <c r="C25" i="6" l="1"/>
  <c r="C27" i="6" s="1"/>
  <c r="B24" i="6"/>
  <c r="B20" i="10" s="1"/>
  <c r="B23" i="10" s="1"/>
  <c r="E16" i="9" l="1"/>
  <c r="F16" i="9"/>
  <c r="C16" i="9"/>
  <c r="D16" i="9"/>
  <c r="C35" i="10"/>
  <c r="C28" i="6"/>
  <c r="C23" i="9" s="1"/>
  <c r="C10" i="11" s="1"/>
  <c r="B35" i="10"/>
  <c r="C29" i="6" l="1"/>
  <c r="D35" i="10" l="1"/>
  <c r="C24" i="6"/>
  <c r="D25" i="6"/>
  <c r="D27" i="6" s="1"/>
  <c r="D28" i="6" l="1"/>
  <c r="D23" i="9" s="1"/>
  <c r="D10" i="11" s="1"/>
  <c r="C20" i="10"/>
  <c r="C23" i="10" s="1"/>
  <c r="F35" i="10"/>
  <c r="E35" i="10"/>
  <c r="D29" i="6" l="1"/>
  <c r="D24" i="6" s="1"/>
  <c r="E25" i="6" l="1"/>
  <c r="E27" i="6" s="1"/>
  <c r="E28" i="6" s="1"/>
  <c r="E23" i="9" s="1"/>
  <c r="E10" i="11" s="1"/>
  <c r="D20" i="10"/>
  <c r="D23" i="10" s="1"/>
  <c r="E29" i="6" l="1"/>
  <c r="E24" i="6" s="1"/>
  <c r="F25" i="6" l="1"/>
  <c r="F27" i="6" s="1"/>
  <c r="F28" i="6" s="1"/>
  <c r="F23" i="9" s="1"/>
  <c r="E20" i="10"/>
  <c r="E23" i="10" s="1"/>
  <c r="F29" i="6" l="1"/>
  <c r="F24" i="6" s="1"/>
  <c r="F10" i="11"/>
  <c r="F20" i="10" l="1"/>
  <c r="F23" i="10" s="1"/>
  <c r="D16" i="2" l="1"/>
  <c r="B6" i="7" l="1"/>
  <c r="B14" i="3"/>
  <c r="B7" i="6"/>
  <c r="C17" i="3"/>
  <c r="D17" i="3" s="1"/>
  <c r="E17" i="3" s="1"/>
  <c r="F17" i="3" s="1"/>
  <c r="B4" i="7"/>
  <c r="B9" i="6"/>
  <c r="B7" i="9" s="1"/>
  <c r="B8" i="9" s="1"/>
  <c r="E28" i="2"/>
  <c r="B28" i="10" s="1"/>
  <c r="C4" i="7" l="1"/>
  <c r="B9" i="7"/>
  <c r="B17" i="6" s="1"/>
  <c r="B17" i="9" s="1"/>
  <c r="B15" i="6"/>
  <c r="B15" i="9" s="1"/>
  <c r="B12" i="6"/>
  <c r="B13" i="6" s="1"/>
  <c r="B10" i="9" s="1"/>
  <c r="B12" i="9" s="1"/>
  <c r="B13" i="9" s="1"/>
  <c r="B27" i="10"/>
  <c r="B17" i="11" s="1"/>
  <c r="B53" i="6"/>
  <c r="B36" i="10" s="1"/>
  <c r="B47" i="10" s="1"/>
  <c r="B23" i="6"/>
  <c r="B41" i="6"/>
  <c r="B29" i="10" s="1"/>
  <c r="B46" i="10" s="1"/>
  <c r="B16" i="11"/>
  <c r="B25" i="3" l="1"/>
  <c r="B19" i="9"/>
  <c r="B20" i="9" s="1"/>
  <c r="B25" i="9" s="1"/>
  <c r="B20" i="11"/>
  <c r="C27" i="10"/>
  <c r="C17" i="11" s="1"/>
  <c r="D4" i="7"/>
  <c r="B18" i="11"/>
  <c r="B48" i="10"/>
  <c r="B50" i="10" s="1"/>
  <c r="C11" i="12" s="1"/>
  <c r="C12" i="6" l="1"/>
  <c r="C13" i="6" s="1"/>
  <c r="C10" i="9" s="1"/>
  <c r="D12" i="6"/>
  <c r="D13" i="6" s="1"/>
  <c r="D10" i="9" s="1"/>
  <c r="D27" i="10"/>
  <c r="D17" i="11" s="1"/>
  <c r="E4" i="7"/>
  <c r="F4" i="7" s="1"/>
  <c r="B21" i="9"/>
  <c r="I10" i="18" s="1"/>
  <c r="C8" i="12"/>
  <c r="B27" i="9"/>
  <c r="B26" i="9"/>
  <c r="E12" i="6" l="1"/>
  <c r="E13" i="6" s="1"/>
  <c r="E10" i="9" s="1"/>
  <c r="E27" i="10"/>
  <c r="E17" i="11" s="1"/>
  <c r="B37" i="10"/>
  <c r="C12" i="12"/>
  <c r="C16" i="12" s="1"/>
  <c r="I6" i="18" s="1"/>
  <c r="B28" i="9"/>
  <c r="I5" i="18" s="1"/>
  <c r="F12" i="6" l="1"/>
  <c r="F13" i="6" s="1"/>
  <c r="F10" i="9" s="1"/>
  <c r="F27" i="10"/>
  <c r="F17" i="11" s="1"/>
  <c r="B13" i="11"/>
  <c r="C19" i="11" s="1"/>
  <c r="B38" i="10"/>
  <c r="C22" i="12"/>
  <c r="C23" i="12" s="1"/>
  <c r="B9" i="10"/>
  <c r="B10" i="10" s="1"/>
  <c r="I12" i="18"/>
  <c r="B29" i="9"/>
  <c r="I11" i="18" s="1"/>
  <c r="B6" i="11"/>
  <c r="B14" i="11" l="1"/>
  <c r="B21" i="11" s="1"/>
  <c r="B35" i="11" s="1"/>
  <c r="B37" i="11" s="1"/>
  <c r="C36" i="11" s="1"/>
  <c r="B26" i="10" l="1"/>
  <c r="B38" i="11" s="1"/>
  <c r="B30" i="10" l="1"/>
  <c r="B40" i="10" s="1"/>
  <c r="F16" i="2"/>
  <c r="D7" i="6" s="1"/>
  <c r="D9" i="6" s="1"/>
  <c r="G16" i="2"/>
  <c r="H16" i="2"/>
  <c r="E16" i="2"/>
  <c r="C7" i="6" s="1"/>
  <c r="E6" i="7" l="1"/>
  <c r="E7" i="6"/>
  <c r="E9" i="6" s="1"/>
  <c r="E23" i="6" s="1"/>
  <c r="F6" i="7"/>
  <c r="F7" i="6"/>
  <c r="F9" i="6" s="1"/>
  <c r="F44" i="6" s="1"/>
  <c r="F48" i="6" s="1"/>
  <c r="F34" i="10" s="1"/>
  <c r="D25" i="3"/>
  <c r="D6" i="7"/>
  <c r="D9" i="7" s="1"/>
  <c r="D17" i="6" s="1"/>
  <c r="D17" i="9" s="1"/>
  <c r="C15" i="6"/>
  <c r="C15" i="9" s="1"/>
  <c r="C6" i="7"/>
  <c r="C9" i="7" s="1"/>
  <c r="C17" i="6" s="1"/>
  <c r="C17" i="9" s="1"/>
  <c r="E9" i="7"/>
  <c r="E17" i="6" s="1"/>
  <c r="E17" i="9" s="1"/>
  <c r="F9" i="7"/>
  <c r="F17" i="6" s="1"/>
  <c r="F17" i="9" s="1"/>
  <c r="B51" i="10"/>
  <c r="B42" i="10"/>
  <c r="G28" i="2"/>
  <c r="D28" i="10" s="1"/>
  <c r="F28" i="2"/>
  <c r="C28" i="10" s="1"/>
  <c r="C16" i="11" s="1"/>
  <c r="I28" i="2"/>
  <c r="F28" i="10" s="1"/>
  <c r="H28" i="2"/>
  <c r="E28" i="10" s="1"/>
  <c r="C9" i="6"/>
  <c r="C53" i="6" s="1"/>
  <c r="C36" i="10" s="1"/>
  <c r="C47" i="10" s="1"/>
  <c r="D44" i="6"/>
  <c r="D48" i="6" s="1"/>
  <c r="D34" i="10" s="1"/>
  <c r="D53" i="6"/>
  <c r="D36" i="10" s="1"/>
  <c r="D47" i="10" s="1"/>
  <c r="D41" i="6"/>
  <c r="D29" i="10" s="1"/>
  <c r="D23" i="6"/>
  <c r="D7" i="9"/>
  <c r="D8" i="9" s="1"/>
  <c r="K4" i="18" s="1"/>
  <c r="F53" i="6" l="1"/>
  <c r="F36" i="10" s="1"/>
  <c r="F47" i="10" s="1"/>
  <c r="F23" i="6"/>
  <c r="F41" i="6"/>
  <c r="F29" i="10" s="1"/>
  <c r="F7" i="9"/>
  <c r="F8" i="9" s="1"/>
  <c r="M4" i="18" s="1"/>
  <c r="D15" i="6"/>
  <c r="D15" i="9" s="1"/>
  <c r="D19" i="9" s="1"/>
  <c r="C19" i="9"/>
  <c r="C25" i="3"/>
  <c r="E25" i="3"/>
  <c r="E16" i="11"/>
  <c r="D16" i="11"/>
  <c r="C41" i="6"/>
  <c r="C29" i="10" s="1"/>
  <c r="C46" i="10" s="1"/>
  <c r="C48" i="10" s="1"/>
  <c r="C50" i="10" s="1"/>
  <c r="D11" i="12" s="1"/>
  <c r="C23" i="6"/>
  <c r="C7" i="9"/>
  <c r="C8" i="9" s="1"/>
  <c r="J4" i="18" s="1"/>
  <c r="C44" i="6"/>
  <c r="C48" i="6" s="1"/>
  <c r="C34" i="10" s="1"/>
  <c r="C20" i="11" s="1"/>
  <c r="E44" i="6"/>
  <c r="E48" i="6" s="1"/>
  <c r="E34" i="10" s="1"/>
  <c r="F46" i="10"/>
  <c r="F48" i="10" s="1"/>
  <c r="F50" i="10" s="1"/>
  <c r="G11" i="12" s="1"/>
  <c r="E53" i="6"/>
  <c r="E36" i="10" s="1"/>
  <c r="E47" i="10" s="1"/>
  <c r="E41" i="6"/>
  <c r="E29" i="10" s="1"/>
  <c r="F18" i="11" s="1"/>
  <c r="E7" i="9"/>
  <c r="E8" i="9" s="1"/>
  <c r="L4" i="18" s="1"/>
  <c r="F16" i="11"/>
  <c r="D12" i="9"/>
  <c r="D46" i="10"/>
  <c r="D48" i="10" s="1"/>
  <c r="D50" i="10" s="1"/>
  <c r="E11" i="12" s="1"/>
  <c r="F12" i="9" l="1"/>
  <c r="E12" i="9"/>
  <c r="E13" i="9" s="1"/>
  <c r="E15" i="6"/>
  <c r="E15" i="9" s="1"/>
  <c r="E19" i="9" s="1"/>
  <c r="F15" i="6"/>
  <c r="F15" i="9" s="1"/>
  <c r="F19" i="9" s="1"/>
  <c r="F20" i="9" s="1"/>
  <c r="F25" i="3"/>
  <c r="C12" i="9"/>
  <c r="C13" i="9" s="1"/>
  <c r="E20" i="11"/>
  <c r="D18" i="11"/>
  <c r="C18" i="11"/>
  <c r="D20" i="11"/>
  <c r="F20" i="11"/>
  <c r="E18" i="11"/>
  <c r="E46" i="10"/>
  <c r="E48" i="10" s="1"/>
  <c r="E50" i="10" s="1"/>
  <c r="F11" i="12" s="1"/>
  <c r="D13" i="9"/>
  <c r="D20" i="9"/>
  <c r="F13" i="9"/>
  <c r="C20" i="9" l="1"/>
  <c r="C25" i="9" s="1"/>
  <c r="E20" i="9"/>
  <c r="E21" i="9" s="1"/>
  <c r="L10" i="18" s="1"/>
  <c r="F21" i="9"/>
  <c r="M10" i="18" s="1"/>
  <c r="F25" i="9"/>
  <c r="G8" i="12"/>
  <c r="E8" i="12"/>
  <c r="D21" i="9"/>
  <c r="K10" i="18" s="1"/>
  <c r="D25" i="9"/>
  <c r="C21" i="9"/>
  <c r="J10" i="18" s="1"/>
  <c r="D8" i="12" l="1"/>
  <c r="E25" i="9"/>
  <c r="E26" i="9" s="1"/>
  <c r="F8" i="12"/>
  <c r="C27" i="9"/>
  <c r="C26" i="9"/>
  <c r="D26" i="9"/>
  <c r="D27" i="9"/>
  <c r="F27" i="9"/>
  <c r="F28" i="9" s="1"/>
  <c r="M5" i="18" s="1"/>
  <c r="F26" i="9"/>
  <c r="E27" i="9" l="1"/>
  <c r="E28" i="9" s="1"/>
  <c r="L5" i="18" s="1"/>
  <c r="M12" i="18"/>
  <c r="F6" i="11"/>
  <c r="F29" i="9"/>
  <c r="M11" i="18" s="1"/>
  <c r="C37" i="10"/>
  <c r="D12" i="12"/>
  <c r="D16" i="12" s="1"/>
  <c r="J6" i="18" s="1"/>
  <c r="E12" i="12"/>
  <c r="E16" i="12" s="1"/>
  <c r="K6" i="18" s="1"/>
  <c r="D37" i="10"/>
  <c r="G12" i="12"/>
  <c r="G16" i="12" s="1"/>
  <c r="M6" i="18" s="1"/>
  <c r="F37" i="10"/>
  <c r="D28" i="9"/>
  <c r="K5" i="18" s="1"/>
  <c r="C28" i="9"/>
  <c r="J5" i="18" s="1"/>
  <c r="F12" i="12" l="1"/>
  <c r="F16" i="12" s="1"/>
  <c r="L6" i="18" s="1"/>
  <c r="E6" i="11"/>
  <c r="E29" i="9"/>
  <c r="L11" i="18" s="1"/>
  <c r="E37" i="10"/>
  <c r="E38" i="10" s="1"/>
  <c r="L12" i="18"/>
  <c r="D22" i="12"/>
  <c r="D23" i="12" s="1"/>
  <c r="F13" i="11"/>
  <c r="F14" i="11" s="1"/>
  <c r="F38" i="10"/>
  <c r="G22" i="12"/>
  <c r="G23" i="12" s="1"/>
  <c r="G26" i="12" s="1"/>
  <c r="G27" i="12" s="1"/>
  <c r="D13" i="11"/>
  <c r="E19" i="11" s="1"/>
  <c r="D38" i="10"/>
  <c r="E22" i="12"/>
  <c r="E23" i="12" s="1"/>
  <c r="C13" i="11"/>
  <c r="D19" i="11" s="1"/>
  <c r="C38" i="10"/>
  <c r="C6" i="11"/>
  <c r="J12" i="18"/>
  <c r="C9" i="10"/>
  <c r="C10" i="10" s="1"/>
  <c r="C29" i="9"/>
  <c r="J11" i="18" s="1"/>
  <c r="D29" i="9"/>
  <c r="K11" i="18" s="1"/>
  <c r="D6" i="11"/>
  <c r="K12" i="18"/>
  <c r="F22" i="12" l="1"/>
  <c r="F23" i="12" s="1"/>
  <c r="B28" i="12" s="1"/>
  <c r="C4" i="18" s="1"/>
  <c r="E4" i="18" s="1"/>
  <c r="E5" i="18" s="1"/>
  <c r="E13" i="11"/>
  <c r="F19" i="11" s="1"/>
  <c r="F21" i="11" s="1"/>
  <c r="F35" i="11" s="1"/>
  <c r="D14" i="11"/>
  <c r="D21" i="11" s="1"/>
  <c r="D35" i="11" s="1"/>
  <c r="C14" i="11"/>
  <c r="C21" i="11" s="1"/>
  <c r="C35" i="11" s="1"/>
  <c r="C37" i="11" s="1"/>
  <c r="D36" i="11" s="1"/>
  <c r="D9" i="10"/>
  <c r="E14" i="11" l="1"/>
  <c r="E21" i="11" s="1"/>
  <c r="E35" i="11" s="1"/>
  <c r="D37" i="11"/>
  <c r="D26" i="10" s="1"/>
  <c r="C26" i="10"/>
  <c r="C30" i="10" s="1"/>
  <c r="D10" i="10"/>
  <c r="E9" i="10"/>
  <c r="E36" i="11" l="1"/>
  <c r="E37" i="11" s="1"/>
  <c r="F36" i="11" s="1"/>
  <c r="F37" i="11" s="1"/>
  <c r="F26" i="10" s="1"/>
  <c r="C38" i="11"/>
  <c r="E10" i="10"/>
  <c r="F9" i="10"/>
  <c r="F10" i="10" s="1"/>
  <c r="C40" i="10"/>
  <c r="C42" i="10"/>
  <c r="C51" i="10"/>
  <c r="D38" i="11"/>
  <c r="D30" i="10"/>
  <c r="D51" i="10" s="1"/>
  <c r="E26" i="10" l="1"/>
  <c r="E38" i="11" s="1"/>
  <c r="D40" i="10"/>
  <c r="D42" i="10"/>
  <c r="F30" i="10"/>
  <c r="F38" i="11"/>
  <c r="E30" i="10" l="1"/>
  <c r="E51" i="10" s="1"/>
  <c r="E6" i="18"/>
  <c r="F42" i="10"/>
  <c r="F40" i="10"/>
  <c r="F51" i="10"/>
  <c r="E40" i="10" l="1"/>
  <c r="E42" i="10"/>
</calcChain>
</file>

<file path=xl/sharedStrings.xml><?xml version="1.0" encoding="utf-8"?>
<sst xmlns="http://schemas.openxmlformats.org/spreadsheetml/2006/main" count="365" uniqueCount="250">
  <si>
    <t>Total Revenue</t>
  </si>
  <si>
    <t>Direct Expenses</t>
  </si>
  <si>
    <t>% of Revenue</t>
  </si>
  <si>
    <t>Total</t>
  </si>
  <si>
    <t>Annual  Salary</t>
  </si>
  <si>
    <t>Total Salaries</t>
  </si>
  <si>
    <t>Column1</t>
  </si>
  <si>
    <t>SALARY</t>
  </si>
  <si>
    <t>Assumptions</t>
  </si>
  <si>
    <t>Assumptions for P&amp;L</t>
  </si>
  <si>
    <t>Revenue</t>
  </si>
  <si>
    <t>Sub-total</t>
  </si>
  <si>
    <t xml:space="preserve">COGS </t>
  </si>
  <si>
    <t>Total Direct Expenses</t>
  </si>
  <si>
    <t>Other Indirect Cost</t>
  </si>
  <si>
    <t>Other Expenses</t>
  </si>
  <si>
    <t>% of Sales</t>
  </si>
  <si>
    <t>Salaries</t>
  </si>
  <si>
    <t>Assumptions for Balance Sheet</t>
  </si>
  <si>
    <t>Fixed Asset Turn Over Ratio (Tangibles &amp; Intangibles)</t>
  </si>
  <si>
    <t>Fixed Assets (Tangibles &amp; Intangibles)</t>
  </si>
  <si>
    <t>Net Block - Opening</t>
  </si>
  <si>
    <t>Add: Net Additions</t>
  </si>
  <si>
    <t>Depreciation</t>
  </si>
  <si>
    <t>Closing Net Block</t>
  </si>
  <si>
    <t>Average Depreciation %</t>
  </si>
  <si>
    <t>Interest Rates on Long term borrowing</t>
  </si>
  <si>
    <t>Interest Expenses Accrued</t>
  </si>
  <si>
    <t>Sundry Debtors</t>
  </si>
  <si>
    <t>Other Current Assets</t>
  </si>
  <si>
    <t>Short-Term Borrowings</t>
  </si>
  <si>
    <t>Short-Term Borrowings % of Sales</t>
  </si>
  <si>
    <t>Interest Rates on Short term borrowing</t>
  </si>
  <si>
    <t>Interest Expenses</t>
  </si>
  <si>
    <t xml:space="preserve">Current Liabilities </t>
  </si>
  <si>
    <t>Sundry Creditors</t>
  </si>
  <si>
    <t>Accrued Expenses and other Current Liablities</t>
  </si>
  <si>
    <t>Corporate Tax</t>
  </si>
  <si>
    <t>Effective Tax Rate</t>
  </si>
  <si>
    <t>Profit and Loss Statement</t>
  </si>
  <si>
    <t>REVENUES</t>
  </si>
  <si>
    <t>Gross Revenue</t>
  </si>
  <si>
    <t>Gross Profit</t>
  </si>
  <si>
    <t>Gross Profit % to sales</t>
  </si>
  <si>
    <t>Indirect Costs</t>
  </si>
  <si>
    <t>Employee Cost</t>
  </si>
  <si>
    <t>Interest Charges (Short Term)</t>
  </si>
  <si>
    <t>EBITDA</t>
  </si>
  <si>
    <t>EBITDA %</t>
  </si>
  <si>
    <t>Depreciation &amp; Amortisation</t>
  </si>
  <si>
    <t>Interest &amp; Bank Charges (Long Term)</t>
  </si>
  <si>
    <t>Profit Before Tax (PBT)</t>
  </si>
  <si>
    <t>PBT %</t>
  </si>
  <si>
    <t>Provision for Tax</t>
  </si>
  <si>
    <t>PAT %</t>
  </si>
  <si>
    <t>Balance Sheet</t>
  </si>
  <si>
    <t>Sources of funds</t>
  </si>
  <si>
    <t>Share Capital</t>
  </si>
  <si>
    <t>Reserves and Surplus</t>
  </si>
  <si>
    <t>Sub-Total</t>
  </si>
  <si>
    <t>Non-Current Liabilities</t>
  </si>
  <si>
    <t>Deferred Tax Liability</t>
  </si>
  <si>
    <t/>
  </si>
  <si>
    <t>Application Of Funds</t>
  </si>
  <si>
    <t>Fixed Assets</t>
  </si>
  <si>
    <t>Tangible &amp; Intangibles</t>
  </si>
  <si>
    <t>Deferred Tax Asset (Net)</t>
  </si>
  <si>
    <t>Other non Current Assets</t>
  </si>
  <si>
    <t>Current Assets, Loans And Advances</t>
  </si>
  <si>
    <t>Cash &amp; Bank Balance</t>
  </si>
  <si>
    <t>Trade Receivables</t>
  </si>
  <si>
    <t>Current Liabilities And Provisions</t>
  </si>
  <si>
    <t>Short Term Borrowings</t>
  </si>
  <si>
    <t>Accrued Expenses &amp; Other Current Liablities</t>
  </si>
  <si>
    <t>Tax Provision</t>
  </si>
  <si>
    <t>Net Current Assets</t>
  </si>
  <si>
    <t>Total Assets</t>
  </si>
  <si>
    <t>Changes to Working Capital</t>
  </si>
  <si>
    <t>Current Assets (Net of Cash)</t>
  </si>
  <si>
    <t>Current Liabilities</t>
  </si>
  <si>
    <t>Net Working Capital (net of Cash)</t>
  </si>
  <si>
    <t>Working Capital Requirement</t>
  </si>
  <si>
    <t>check</t>
  </si>
  <si>
    <t>Cash Flow Statements</t>
  </si>
  <si>
    <t>Net Profit / (Loss) after Tax</t>
  </si>
  <si>
    <t>Adjustments for:</t>
  </si>
  <si>
    <t>Non cash adjustment</t>
  </si>
  <si>
    <t xml:space="preserve">Deferred Tax </t>
  </si>
  <si>
    <t>Depreciation and Amortisation</t>
  </si>
  <si>
    <t>Finance Costs + Borrowing cost</t>
  </si>
  <si>
    <t>Non operating income</t>
  </si>
  <si>
    <t>Provision For Tax</t>
  </si>
  <si>
    <t>Operating Profit / (Loss) before Working Capital Changes</t>
  </si>
  <si>
    <t>Changes in Working Capital:</t>
  </si>
  <si>
    <t>Tax Paid</t>
  </si>
  <si>
    <t>Liabilities</t>
  </si>
  <si>
    <t>Cash generated from operations</t>
  </si>
  <si>
    <t>B. Cash Flow from Investing Activities</t>
  </si>
  <si>
    <t>Addition  in Fixed Assets</t>
  </si>
  <si>
    <t>Other Non Current Assets</t>
  </si>
  <si>
    <t xml:space="preserve">Other income </t>
  </si>
  <si>
    <t>Net Cash Flow from / (used in) Investing Activities (B)</t>
  </si>
  <si>
    <t>C. Cash Flow from Financing Activities</t>
  </si>
  <si>
    <t>Proceeds from issue of Equity Shares</t>
  </si>
  <si>
    <t>Proceeds/ (Repayment) of Long-term Borrowings</t>
  </si>
  <si>
    <t>Finance Costs</t>
  </si>
  <si>
    <t>Net Cash Flow from / (used in) Financing Activities (C)</t>
  </si>
  <si>
    <t>Adj. For Group Business</t>
  </si>
  <si>
    <t>Net Increase / (Decrease) in Cash and Cash Equivalents (A+B+C)</t>
  </si>
  <si>
    <t>Cash and Cash Equivalents at the Beginning of the Year</t>
  </si>
  <si>
    <t xml:space="preserve">Cash and Cash Equivalents at the End of the Year </t>
  </si>
  <si>
    <t>Cash Balance as per FS</t>
  </si>
  <si>
    <t>Computation of Free cashflows</t>
  </si>
  <si>
    <t>Free Cash Flow</t>
  </si>
  <si>
    <t>Adjustments to :</t>
  </si>
  <si>
    <t>Taxation</t>
  </si>
  <si>
    <t>Additions to FA</t>
  </si>
  <si>
    <t>Free Cash flow</t>
  </si>
  <si>
    <t>DCF Value Computation</t>
  </si>
  <si>
    <t>Years Time Line</t>
  </si>
  <si>
    <t>WACC - Adjusted</t>
  </si>
  <si>
    <t>Time based Discount Factor</t>
  </si>
  <si>
    <t xml:space="preserve">FCF </t>
  </si>
  <si>
    <t xml:space="preserve">PV of FCF </t>
  </si>
  <si>
    <t>Continuing value</t>
  </si>
  <si>
    <t>Terminal growth rate of FCF</t>
  </si>
  <si>
    <t>Terminal Value</t>
  </si>
  <si>
    <t>PV of TV</t>
  </si>
  <si>
    <t>Particulars</t>
  </si>
  <si>
    <t>Key Assumptions summary</t>
  </si>
  <si>
    <t>Cost of equity</t>
  </si>
  <si>
    <t>Risk-free rate (Rf)</t>
  </si>
  <si>
    <t>Unlevered Equity Beta</t>
  </si>
  <si>
    <t>Average Market Return</t>
  </si>
  <si>
    <t>Equity Risk Premium</t>
  </si>
  <si>
    <t>Levered Cost of equity (Rf+b(Rm-Rf)</t>
  </si>
  <si>
    <t>Adjusted Cost of Equity</t>
  </si>
  <si>
    <t>Cost of debt</t>
  </si>
  <si>
    <t>Pre-tax cost of debt (d^)</t>
  </si>
  <si>
    <t xml:space="preserve">Interest rate on term loan </t>
  </si>
  <si>
    <t>Tax rate (T)</t>
  </si>
  <si>
    <t>After-tax cost of debt (1-T)d^</t>
  </si>
  <si>
    <t>Target capital structure</t>
  </si>
  <si>
    <t>Debt (D)</t>
  </si>
  <si>
    <t>Equity (E)</t>
  </si>
  <si>
    <t>Weighted Average Cost of Capital (WACC)</t>
  </si>
  <si>
    <t>Specific Company Risk Premium</t>
  </si>
  <si>
    <t>Adjusted WACC</t>
  </si>
  <si>
    <t>Terminal Growth Rate</t>
  </si>
  <si>
    <t>Assumed</t>
  </si>
  <si>
    <t>Market  Rate of Return Ascertainment</t>
  </si>
  <si>
    <t>BSE Sensex Values</t>
  </si>
  <si>
    <t>BSE SENSEX</t>
  </si>
  <si>
    <t>Date</t>
  </si>
  <si>
    <t>Value</t>
  </si>
  <si>
    <t xml:space="preserve">Base value of the Sensex </t>
  </si>
  <si>
    <t xml:space="preserve">Sensex Value </t>
  </si>
  <si>
    <t>Number of years</t>
  </si>
  <si>
    <t xml:space="preserve">Sensex multiple - Current over the Base year </t>
  </si>
  <si>
    <t>DCF Method</t>
  </si>
  <si>
    <t>Weighted Valuation</t>
  </si>
  <si>
    <t>Weight</t>
  </si>
  <si>
    <t>Valuation</t>
  </si>
  <si>
    <t>Assets</t>
  </si>
  <si>
    <t>(a)  loan</t>
  </si>
  <si>
    <t>All figures in INR wherever applicable</t>
  </si>
  <si>
    <t>Enterprise Value</t>
  </si>
  <si>
    <t>Long Term Borrowing</t>
  </si>
  <si>
    <t>Interest Paid</t>
  </si>
  <si>
    <t>Year 1</t>
  </si>
  <si>
    <t>Year 2</t>
  </si>
  <si>
    <t>Year 3</t>
  </si>
  <si>
    <t>Year 4</t>
  </si>
  <si>
    <t>Year 5</t>
  </si>
  <si>
    <t>Total  Revenue</t>
  </si>
  <si>
    <t>Closing Stock</t>
  </si>
  <si>
    <t>closing stock</t>
  </si>
  <si>
    <t xml:space="preserve">Revenue </t>
  </si>
  <si>
    <t>FY 2021-22</t>
  </si>
  <si>
    <t>FY 2022-23</t>
  </si>
  <si>
    <t>FY 2023-24</t>
  </si>
  <si>
    <t>FY 2024-25</t>
  </si>
  <si>
    <t>FY 2025-26</t>
  </si>
  <si>
    <t xml:space="preserve"> </t>
  </si>
  <si>
    <t>Interest rate on term deposit</t>
  </si>
  <si>
    <t>Selected Case</t>
  </si>
  <si>
    <t>1. Best Case</t>
  </si>
  <si>
    <t>2. Base Case</t>
  </si>
  <si>
    <t>3. Worst Case</t>
  </si>
  <si>
    <t>&lt;&lt;&lt;&lt;-----   Select case here</t>
  </si>
  <si>
    <t>Escalation</t>
  </si>
  <si>
    <t>WORKINGS:-</t>
  </si>
  <si>
    <t>Scenario</t>
  </si>
  <si>
    <t>Total Expenses</t>
  </si>
  <si>
    <t>Indirect Expenses</t>
  </si>
  <si>
    <t>INR</t>
  </si>
  <si>
    <t>Net Revenue</t>
  </si>
  <si>
    <t>Other Revenue</t>
  </si>
  <si>
    <t>Profit after tax</t>
  </si>
  <si>
    <t>Traction (In %)</t>
  </si>
  <si>
    <t>ROI %</t>
  </si>
  <si>
    <t>Cr</t>
  </si>
  <si>
    <t>Revenue 1</t>
  </si>
  <si>
    <t>Revenue 2</t>
  </si>
  <si>
    <t>Revenue 3</t>
  </si>
  <si>
    <t>Revenue 4</t>
  </si>
  <si>
    <t>Revenue Streams</t>
  </si>
  <si>
    <t>Repairs and Maintenance Expenses</t>
  </si>
  <si>
    <t>No. Needed</t>
  </si>
  <si>
    <t>Average Salary</t>
  </si>
  <si>
    <t>Annual Escalation</t>
  </si>
  <si>
    <t>Column2</t>
  </si>
  <si>
    <t>Column3</t>
  </si>
  <si>
    <t>Column4</t>
  </si>
  <si>
    <t>Column5</t>
  </si>
  <si>
    <t>Column6</t>
  </si>
  <si>
    <t>Column7</t>
  </si>
  <si>
    <t>0</t>
  </si>
  <si>
    <t>% increase</t>
  </si>
  <si>
    <t>Misc Expenses</t>
  </si>
  <si>
    <t>Other</t>
  </si>
  <si>
    <t>Profit After Tax (PAT)</t>
  </si>
  <si>
    <t>ASK</t>
  </si>
  <si>
    <t>Valuation Method</t>
  </si>
  <si>
    <t>Average Sales per month</t>
  </si>
  <si>
    <t>Cost of Sales (Raw materials)</t>
  </si>
  <si>
    <t>Utility Bills</t>
  </si>
  <si>
    <t>Furniture</t>
  </si>
  <si>
    <t xml:space="preserve">Counter Display </t>
  </si>
  <si>
    <t>Cup Plate Crockery</t>
  </si>
  <si>
    <t>Coffee Machine</t>
  </si>
  <si>
    <t>Coffee Roaster</t>
  </si>
  <si>
    <t>Interior Art</t>
  </si>
  <si>
    <t>Cooking Machinery</t>
  </si>
  <si>
    <t>Computer &amp; Printer</t>
  </si>
  <si>
    <t>Packaging Cost</t>
  </si>
  <si>
    <t>Branding and Marketing</t>
  </si>
  <si>
    <t>Staff Uniforms</t>
  </si>
  <si>
    <t>Manager</t>
  </si>
  <si>
    <t>Café Staff</t>
  </si>
  <si>
    <t>Cook</t>
  </si>
  <si>
    <t>Helper</t>
  </si>
  <si>
    <t>Cleaner</t>
  </si>
  <si>
    <t>Supervisor</t>
  </si>
  <si>
    <t>Existing Employees</t>
  </si>
  <si>
    <t>New Employees</t>
  </si>
  <si>
    <t>Rent Expense</t>
  </si>
  <si>
    <t>Research and Development Expenses</t>
  </si>
  <si>
    <t>Traction (In Cr)</t>
  </si>
  <si>
    <t>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</si>
</sst>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  <numFmt numFmtId="165" formatCode="&quot;₹&quot;\ #,##0"/>
    <numFmt numFmtId="166" formatCode="_ * #,##0.0_ ;_ * \-#,##0.0_ ;_ * &quot;-&quot;??_ ;_ @_ "/>
    <numFmt numFmtId="167" formatCode="_ [$₹-4009]\ * #,##0_ ;_ [$₹-4009]\ * \-#,##0_ ;_ [$₹-4009]\ * &quot;-&quot;??_ ;_ @_ "/>
    <numFmt numFmtId="168" formatCode="[$-409]mmm/yy;@"/>
    <numFmt numFmtId="169" formatCode="0.0%"/>
    <numFmt numFmtId="170" formatCode="0.0,,"/>
    <numFmt numFmtId="171" formatCode="[$-409]mmm/yy"/>
    <numFmt numFmtId="172" formatCode="_(* #,##0_);_(* \(#,##0\);_(* &quot;-&quot;??_);_(@_)"/>
    <numFmt numFmtId="173" formatCode="_ [$₹-4009]\ * #,##0.00_ ;_ [$₹-4009]\ * \-#,##0.00_ ;_ [$₹-4009]\ * &quot;-&quot;??_ ;_ @_ "/>
    <numFmt numFmtId="174" formatCode="_ &quot;₹&quot;\ * #,##0_ ;_ &quot;₹&quot;\ * \-#,##0_ ;_ &quot;₹&quot;\ * &quot;-&quot;??_ ;_ @_ 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color rgb="FF000000"/>
      <name val="Trebuchet MS"/>
      <family val="2"/>
    </font>
    <font>
      <i/>
      <sz val="10"/>
      <color rgb="FF000000"/>
      <name val="Trebuchet MS"/>
      <family val="2"/>
    </font>
    <font>
      <sz val="10"/>
      <color theme="1"/>
      <name val="Trebuchet MS"/>
      <family val="2"/>
    </font>
    <font>
      <sz val="10"/>
      <color theme="0"/>
      <name val="Trebuchet MS"/>
      <family val="2"/>
    </font>
    <font>
      <i/>
      <sz val="10"/>
      <color theme="1"/>
      <name val="Trebuchet MS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rebuchet MS"/>
      <family val="2"/>
    </font>
    <font>
      <sz val="11"/>
      <name val="Calibri"/>
      <family val="2"/>
      <scheme val="minor"/>
    </font>
    <font>
      <b/>
      <sz val="10"/>
      <color rgb="FF000000"/>
      <name val="Trebuchet MS"/>
      <family val="2"/>
    </font>
    <font>
      <b/>
      <sz val="10"/>
      <name val="Trebuchet MS"/>
      <family val="2"/>
    </font>
    <font>
      <b/>
      <sz val="10"/>
      <color theme="1"/>
      <name val="Trebuchet MS"/>
      <family val="2"/>
    </font>
    <font>
      <i/>
      <sz val="10"/>
      <name val="Trebuchet MS"/>
      <family val="2"/>
    </font>
    <font>
      <b/>
      <u/>
      <sz val="10"/>
      <name val="Trebuchet MS"/>
      <family val="2"/>
    </font>
    <font>
      <b/>
      <sz val="10"/>
      <color rgb="FFFF0000"/>
      <name val="Trebuchet MS"/>
      <family val="2"/>
    </font>
    <font>
      <sz val="10"/>
      <color rgb="FFFF0000"/>
      <name val="Trebuchet MS"/>
      <family val="2"/>
    </font>
    <font>
      <i/>
      <u/>
      <sz val="10"/>
      <color rgb="FF000000"/>
      <name val="Trebuchet MS"/>
      <family val="2"/>
    </font>
    <font>
      <b/>
      <sz val="10"/>
      <color rgb="FFFFFFFF"/>
      <name val="Trebuchet MS"/>
      <family val="2"/>
    </font>
    <font>
      <b/>
      <sz val="11"/>
      <color theme="1"/>
      <name val="Trebuchet MS"/>
      <family val="2"/>
    </font>
    <font>
      <b/>
      <sz val="10"/>
      <color rgb="FF385623"/>
      <name val="Trebuchet MS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i/>
      <sz val="10"/>
      <color theme="0"/>
      <name val="Trebuchet MS"/>
      <family val="2"/>
    </font>
    <font>
      <b/>
      <sz val="10"/>
      <color theme="0"/>
      <name val="Trebuchet MS"/>
      <family val="2"/>
    </font>
    <font>
      <b/>
      <sz val="11"/>
      <color rgb="FF000000"/>
      <name val="Calibri"/>
      <family val="2"/>
    </font>
    <font>
      <b/>
      <sz val="11"/>
      <color rgb="FF000000"/>
      <name val="Trebuchet MS"/>
      <family val="2"/>
    </font>
    <font>
      <b/>
      <sz val="12"/>
      <color rgb="FF000000"/>
      <name val="Trebuchet MS"/>
      <family val="2"/>
    </font>
    <font>
      <sz val="11"/>
      <color rgb="FF0070C0"/>
      <name val="Calibri"/>
      <family val="2"/>
      <scheme val="minor"/>
    </font>
    <font>
      <b/>
      <i/>
      <sz val="10"/>
      <color rgb="FF000000"/>
      <name val="Trebuchet MS"/>
      <family val="2"/>
    </font>
    <font>
      <b/>
      <sz val="12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70C0"/>
      <name val="Trebuchet MS"/>
      <family val="2"/>
    </font>
    <font>
      <b/>
      <sz val="14"/>
      <color theme="0"/>
      <name val="Calibri"/>
      <family val="2"/>
      <scheme val="minor"/>
    </font>
    <font>
      <b/>
      <sz val="10"/>
      <color theme="8" tint="-0.249977111117893"/>
      <name val="Trebuchet MS"/>
      <family val="2"/>
    </font>
    <font>
      <sz val="11"/>
      <color theme="8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rgb="FF00B0F0"/>
      <name val="Trebuchet MS"/>
      <family val="2"/>
    </font>
    <font>
      <i/>
      <sz val="11"/>
      <color rgb="FF00B0F0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Trebuchet MS"/>
      <family val="2"/>
    </font>
    <font>
      <sz val="11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0"/>
      <name val="Trebuchet MS"/>
      <family val="2"/>
    </font>
    <font>
      <sz val="11"/>
      <color theme="0"/>
      <name val="Trebuchet MS"/>
      <family val="2"/>
    </font>
  </fonts>
  <fills count="2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AEDF1"/>
        <bgColor rgb="FFEAEDF1"/>
      </patternFill>
    </fill>
    <fill>
      <patternFill patternType="solid">
        <fgColor rgb="FF44546A"/>
        <bgColor rgb="FF44546A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auto="1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1">
    <xf numFmtId="0" fontId="0" fillId="0" borderId="0" xfId="0"/>
    <xf numFmtId="0" fontId="5" fillId="0" borderId="0" xfId="0" applyFont="1" applyAlignment="1" applyProtection="1">
      <alignment vertical="center"/>
      <protection hidden="1"/>
    </xf>
    <xf numFmtId="0" fontId="6" fillId="0" borderId="0" xfId="0" applyFont="1"/>
    <xf numFmtId="0" fontId="10" fillId="0" borderId="1" xfId="0" applyFont="1" applyBorder="1" applyAlignment="1">
      <alignment horizontal="center" vertical="center"/>
    </xf>
    <xf numFmtId="164" fontId="0" fillId="0" borderId="0" xfId="0" applyNumberFormat="1"/>
    <xf numFmtId="0" fontId="6" fillId="0" borderId="0" xfId="0" applyFont="1" applyProtection="1"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166" fontId="4" fillId="0" borderId="0" xfId="1" applyNumberFormat="1" applyFont="1" applyAlignment="1" applyProtection="1">
      <alignment horizontal="right" vertical="center"/>
      <protection locked="0"/>
    </xf>
    <xf numFmtId="0" fontId="4" fillId="0" borderId="7" xfId="0" applyFont="1" applyBorder="1" applyAlignment="1" applyProtection="1">
      <alignment vertical="center"/>
      <protection locked="0"/>
    </xf>
    <xf numFmtId="0" fontId="11" fillId="0" borderId="0" xfId="0" applyFont="1" applyProtection="1">
      <protection locked="0"/>
    </xf>
    <xf numFmtId="9" fontId="4" fillId="0" borderId="0" xfId="2" applyFont="1" applyFill="1" applyBorder="1" applyAlignment="1" applyProtection="1">
      <alignment vertical="center"/>
      <protection hidden="1"/>
    </xf>
    <xf numFmtId="9" fontId="8" fillId="2" borderId="0" xfId="2" applyFont="1" applyFill="1" applyBorder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9" fontId="4" fillId="0" borderId="0" xfId="2" applyFont="1" applyFill="1" applyBorder="1" applyAlignment="1" applyProtection="1">
      <alignment vertical="center"/>
      <protection locked="0"/>
    </xf>
    <xf numFmtId="168" fontId="4" fillId="0" borderId="0" xfId="1" applyNumberFormat="1" applyFont="1" applyFill="1" applyBorder="1" applyAlignment="1" applyProtection="1">
      <alignment horizontal="left" vertical="center"/>
      <protection locked="0"/>
    </xf>
    <xf numFmtId="0" fontId="15" fillId="0" borderId="0" xfId="0" applyFont="1" applyProtection="1">
      <protection locked="0"/>
    </xf>
    <xf numFmtId="164" fontId="4" fillId="0" borderId="0" xfId="1" applyNumberFormat="1" applyFont="1" applyFill="1" applyBorder="1" applyAlignment="1" applyProtection="1">
      <alignment horizontal="center" vertical="center"/>
      <protection locked="0"/>
    </xf>
    <xf numFmtId="164" fontId="4" fillId="0" borderId="9" xfId="1" applyNumberFormat="1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hidden="1"/>
    </xf>
    <xf numFmtId="164" fontId="11" fillId="0" borderId="9" xfId="1" applyNumberFormat="1" applyFont="1" applyFill="1" applyBorder="1" applyAlignment="1" applyProtection="1">
      <alignment vertical="center"/>
      <protection hidden="1"/>
    </xf>
    <xf numFmtId="9" fontId="6" fillId="0" borderId="0" xfId="2" applyFont="1" applyFill="1" applyBorder="1" applyAlignment="1" applyProtection="1">
      <alignment vertical="center"/>
      <protection locked="0"/>
    </xf>
    <xf numFmtId="164" fontId="6" fillId="0" borderId="0" xfId="1" applyNumberFormat="1" applyFont="1" applyFill="1" applyBorder="1" applyAlignment="1" applyProtection="1">
      <alignment vertical="center"/>
      <protection locked="0"/>
    </xf>
    <xf numFmtId="43" fontId="8" fillId="0" borderId="0" xfId="1" applyFont="1" applyFill="1" applyBorder="1" applyAlignment="1" applyProtection="1">
      <alignment vertical="center"/>
      <protection locked="0"/>
    </xf>
    <xf numFmtId="164" fontId="8" fillId="0" borderId="0" xfId="1" applyNumberFormat="1" applyFont="1" applyFill="1" applyBorder="1" applyAlignment="1" applyProtection="1">
      <alignment vertical="center"/>
      <protection locked="0"/>
    </xf>
    <xf numFmtId="43" fontId="6" fillId="0" borderId="0" xfId="1" applyFont="1" applyFill="1" applyBorder="1" applyAlignment="1" applyProtection="1">
      <alignment vertical="center"/>
      <protection locked="0"/>
    </xf>
    <xf numFmtId="0" fontId="4" fillId="0" borderId="12" xfId="0" applyFont="1" applyBorder="1"/>
    <xf numFmtId="0" fontId="4" fillId="0" borderId="0" xfId="0" applyFont="1"/>
    <xf numFmtId="9" fontId="4" fillId="0" borderId="0" xfId="0" applyNumberFormat="1" applyFont="1"/>
    <xf numFmtId="0" fontId="4" fillId="0" borderId="0" xfId="0" applyFont="1" applyAlignment="1">
      <alignment horizontal="left"/>
    </xf>
    <xf numFmtId="164" fontId="4" fillId="0" borderId="0" xfId="0" applyNumberFormat="1" applyFont="1"/>
    <xf numFmtId="164" fontId="4" fillId="0" borderId="0" xfId="0" applyNumberFormat="1" applyFont="1" applyAlignment="1">
      <alignment horizontal="left"/>
    </xf>
    <xf numFmtId="164" fontId="11" fillId="0" borderId="13" xfId="0" applyNumberFormat="1" applyFont="1" applyBorder="1"/>
    <xf numFmtId="164" fontId="4" fillId="0" borderId="13" xfId="0" applyNumberFormat="1" applyFont="1" applyBorder="1"/>
    <xf numFmtId="164" fontId="4" fillId="0" borderId="14" xfId="0" applyNumberFormat="1" applyFont="1" applyBorder="1"/>
    <xf numFmtId="164" fontId="4" fillId="0" borderId="14" xfId="0" applyNumberFormat="1" applyFont="1" applyBorder="1" applyAlignment="1">
      <alignment horizontal="left"/>
    </xf>
    <xf numFmtId="164" fontId="4" fillId="0" borderId="0" xfId="0" applyNumberFormat="1" applyFont="1" applyAlignment="1">
      <alignment vertical="top"/>
    </xf>
    <xf numFmtId="0" fontId="13" fillId="0" borderId="0" xfId="0" applyFont="1"/>
    <xf numFmtId="0" fontId="4" fillId="0" borderId="0" xfId="0" applyFont="1" applyAlignment="1">
      <alignment vertical="top"/>
    </xf>
    <xf numFmtId="0" fontId="18" fillId="0" borderId="0" xfId="0" applyFont="1"/>
    <xf numFmtId="164" fontId="14" fillId="0" borderId="13" xfId="0" applyNumberFormat="1" applyFont="1" applyBorder="1" applyAlignment="1">
      <alignment vertical="top"/>
    </xf>
    <xf numFmtId="164" fontId="14" fillId="0" borderId="15" xfId="0" applyNumberFormat="1" applyFont="1" applyBorder="1" applyAlignment="1">
      <alignment vertical="top"/>
    </xf>
    <xf numFmtId="0" fontId="19" fillId="0" borderId="0" xfId="0" applyFont="1"/>
    <xf numFmtId="0" fontId="11" fillId="0" borderId="0" xfId="0" applyFont="1"/>
    <xf numFmtId="164" fontId="14" fillId="0" borderId="14" xfId="0" applyNumberFormat="1" applyFont="1" applyBorder="1" applyAlignment="1">
      <alignment vertical="top"/>
    </xf>
    <xf numFmtId="43" fontId="4" fillId="0" borderId="0" xfId="0" applyNumberFormat="1" applyFont="1"/>
    <xf numFmtId="0" fontId="13" fillId="0" borderId="0" xfId="0" applyFont="1" applyAlignment="1">
      <alignment vertical="center"/>
    </xf>
    <xf numFmtId="164" fontId="13" fillId="0" borderId="13" xfId="0" applyNumberFormat="1" applyFont="1" applyBorder="1" applyAlignment="1">
      <alignment vertical="center"/>
    </xf>
    <xf numFmtId="164" fontId="4" fillId="0" borderId="14" xfId="0" applyNumberFormat="1" applyFont="1" applyBorder="1" applyAlignment="1">
      <alignment vertical="center"/>
    </xf>
    <xf numFmtId="164" fontId="13" fillId="0" borderId="15" xfId="0" applyNumberFormat="1" applyFont="1" applyBorder="1" applyAlignment="1">
      <alignment vertical="center"/>
    </xf>
    <xf numFmtId="0" fontId="3" fillId="0" borderId="0" xfId="0" applyFont="1"/>
    <xf numFmtId="0" fontId="11" fillId="0" borderId="17" xfId="0" applyFont="1" applyBorder="1" applyAlignment="1">
      <alignment horizontal="left"/>
    </xf>
    <xf numFmtId="0" fontId="14" fillId="0" borderId="17" xfId="0" applyFont="1" applyBorder="1"/>
    <xf numFmtId="0" fontId="11" fillId="0" borderId="17" xfId="0" applyFont="1" applyBorder="1"/>
    <xf numFmtId="0" fontId="11" fillId="0" borderId="18" xfId="0" applyFont="1" applyBorder="1"/>
    <xf numFmtId="0" fontId="4" fillId="0" borderId="17" xfId="0" applyFont="1" applyBorder="1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3" fillId="7" borderId="16" xfId="0" applyFont="1" applyFill="1" applyBorder="1"/>
    <xf numFmtId="0" fontId="11" fillId="7" borderId="16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left"/>
    </xf>
    <xf numFmtId="10" fontId="4" fillId="7" borderId="17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4" fontId="11" fillId="7" borderId="17" xfId="0" applyNumberFormat="1" applyFont="1" applyFill="1" applyBorder="1" applyAlignment="1">
      <alignment horizontal="center"/>
    </xf>
    <xf numFmtId="9" fontId="11" fillId="7" borderId="17" xfId="0" applyNumberFormat="1" applyFont="1" applyFill="1" applyBorder="1" applyAlignment="1">
      <alignment horizontal="center"/>
    </xf>
    <xf numFmtId="0" fontId="13" fillId="0" borderId="17" xfId="0" applyFont="1" applyBorder="1"/>
    <xf numFmtId="10" fontId="11" fillId="0" borderId="17" xfId="0" applyNumberFormat="1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23" fillId="7" borderId="17" xfId="0" applyFont="1" applyFill="1" applyBorder="1"/>
    <xf numFmtId="10" fontId="11" fillId="7" borderId="17" xfId="0" applyNumberFormat="1" applyFont="1" applyFill="1" applyBorder="1" applyAlignment="1">
      <alignment horizontal="center"/>
    </xf>
    <xf numFmtId="0" fontId="11" fillId="7" borderId="17" xfId="0" applyFont="1" applyFill="1" applyBorder="1"/>
    <xf numFmtId="10" fontId="13" fillId="0" borderId="17" xfId="0" applyNumberFormat="1" applyFont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14" fillId="7" borderId="18" xfId="0" applyFont="1" applyFill="1" applyBorder="1"/>
    <xf numFmtId="0" fontId="11" fillId="7" borderId="18" xfId="0" applyFont="1" applyFill="1" applyBorder="1" applyAlignment="1">
      <alignment horizontal="center"/>
    </xf>
    <xf numFmtId="10" fontId="11" fillId="7" borderId="18" xfId="0" applyNumberFormat="1" applyFont="1" applyFill="1" applyBorder="1" applyAlignment="1">
      <alignment horizontal="center"/>
    </xf>
    <xf numFmtId="43" fontId="21" fillId="5" borderId="12" xfId="0" applyNumberFormat="1" applyFont="1" applyFill="1" applyBorder="1"/>
    <xf numFmtId="171" fontId="13" fillId="4" borderId="12" xfId="0" applyNumberFormat="1" applyFont="1" applyFill="1" applyBorder="1" applyAlignment="1">
      <alignment horizontal="left"/>
    </xf>
    <xf numFmtId="43" fontId="4" fillId="0" borderId="12" xfId="0" applyNumberFormat="1" applyFont="1" applyBorder="1"/>
    <xf numFmtId="15" fontId="4" fillId="0" borderId="12" xfId="0" applyNumberFormat="1" applyFont="1" applyBorder="1"/>
    <xf numFmtId="172" fontId="4" fillId="0" borderId="12" xfId="0" applyNumberFormat="1" applyFont="1" applyBorder="1"/>
    <xf numFmtId="0" fontId="21" fillId="5" borderId="12" xfId="0" applyFont="1" applyFill="1" applyBorder="1"/>
    <xf numFmtId="10" fontId="21" fillId="5" borderId="12" xfId="0" applyNumberFormat="1" applyFont="1" applyFill="1" applyBorder="1"/>
    <xf numFmtId="0" fontId="14" fillId="0" borderId="18" xfId="0" applyFont="1" applyBorder="1"/>
    <xf numFmtId="0" fontId="3" fillId="0" borderId="0" xfId="0" applyFont="1" applyBorder="1"/>
    <xf numFmtId="43" fontId="3" fillId="0" borderId="0" xfId="1" applyFont="1" applyBorder="1"/>
    <xf numFmtId="164" fontId="3" fillId="0" borderId="0" xfId="1" applyNumberFormat="1" applyFont="1" applyBorder="1"/>
    <xf numFmtId="173" fontId="4" fillId="0" borderId="0" xfId="1" applyNumberFormat="1" applyFont="1" applyFill="1" applyBorder="1" applyAlignment="1" applyProtection="1">
      <alignment vertical="center"/>
      <protection locked="0"/>
    </xf>
    <xf numFmtId="173" fontId="11" fillId="0" borderId="0" xfId="1" applyNumberFormat="1" applyFont="1" applyFill="1" applyBorder="1" applyProtection="1">
      <protection locked="0"/>
    </xf>
    <xf numFmtId="164" fontId="11" fillId="0" borderId="0" xfId="1" applyNumberFormat="1" applyFont="1" applyFill="1" applyBorder="1"/>
    <xf numFmtId="0" fontId="26" fillId="8" borderId="0" xfId="0" applyFont="1" applyFill="1" applyAlignment="1">
      <alignment vertical="center"/>
    </xf>
    <xf numFmtId="0" fontId="7" fillId="8" borderId="0" xfId="0" applyFont="1" applyFill="1"/>
    <xf numFmtId="0" fontId="25" fillId="8" borderId="0" xfId="0" applyFont="1" applyFill="1"/>
    <xf numFmtId="164" fontId="7" fillId="8" borderId="0" xfId="0" applyNumberFormat="1" applyFont="1" applyFill="1"/>
    <xf numFmtId="0" fontId="26" fillId="0" borderId="0" xfId="0" applyFont="1" applyFill="1" applyAlignment="1">
      <alignment vertical="center"/>
    </xf>
    <xf numFmtId="0" fontId="7" fillId="0" borderId="0" xfId="0" applyFont="1" applyFill="1"/>
    <xf numFmtId="0" fontId="25" fillId="0" borderId="0" xfId="0" applyFont="1" applyFill="1"/>
    <xf numFmtId="164" fontId="7" fillId="0" borderId="0" xfId="0" applyNumberFormat="1" applyFont="1" applyFill="1"/>
    <xf numFmtId="0" fontId="6" fillId="0" borderId="0" xfId="0" applyFont="1" applyFill="1" applyProtection="1">
      <protection locked="0"/>
    </xf>
    <xf numFmtId="0" fontId="0" fillId="0" borderId="0" xfId="0" applyFill="1"/>
    <xf numFmtId="10" fontId="4" fillId="0" borderId="17" xfId="0" applyNumberFormat="1" applyFont="1" applyFill="1" applyBorder="1" applyAlignment="1">
      <alignment horizontal="center"/>
    </xf>
    <xf numFmtId="10" fontId="4" fillId="0" borderId="18" xfId="0" applyNumberFormat="1" applyFont="1" applyFill="1" applyBorder="1" applyAlignment="1">
      <alignment horizontal="center"/>
    </xf>
    <xf numFmtId="10" fontId="19" fillId="0" borderId="17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171" fontId="13" fillId="0" borderId="2" xfId="0" applyNumberFormat="1" applyFont="1" applyFill="1" applyBorder="1" applyAlignment="1">
      <alignment horizontal="left"/>
    </xf>
    <xf numFmtId="171" fontId="13" fillId="0" borderId="1" xfId="0" applyNumberFormat="1" applyFont="1" applyFill="1" applyBorder="1" applyAlignment="1">
      <alignment horizontal="left"/>
    </xf>
    <xf numFmtId="171" fontId="13" fillId="0" borderId="21" xfId="0" applyNumberFormat="1" applyFont="1" applyFill="1" applyBorder="1" applyAlignment="1">
      <alignment horizontal="left"/>
    </xf>
    <xf numFmtId="0" fontId="3" fillId="0" borderId="0" xfId="0" applyFont="1" applyFill="1"/>
    <xf numFmtId="0" fontId="14" fillId="0" borderId="22" xfId="0" applyFont="1" applyFill="1" applyBorder="1"/>
    <xf numFmtId="164" fontId="22" fillId="0" borderId="11" xfId="1" applyNumberFormat="1" applyFont="1" applyFill="1" applyBorder="1"/>
    <xf numFmtId="0" fontId="3" fillId="0" borderId="0" xfId="0" applyFont="1" applyFill="1" applyBorder="1"/>
    <xf numFmtId="0" fontId="15" fillId="0" borderId="17" xfId="0" applyFont="1" applyFill="1" applyBorder="1" applyAlignment="1">
      <alignment horizontal="left"/>
    </xf>
    <xf numFmtId="171" fontId="13" fillId="0" borderId="18" xfId="0" applyNumberFormat="1" applyFont="1" applyFill="1" applyBorder="1" applyAlignment="1">
      <alignment horizontal="left"/>
    </xf>
    <xf numFmtId="0" fontId="12" fillId="0" borderId="0" xfId="0" applyFont="1" applyFill="1"/>
    <xf numFmtId="165" fontId="0" fillId="0" borderId="0" xfId="0" applyNumberFormat="1" applyBorder="1"/>
    <xf numFmtId="165" fontId="0" fillId="0" borderId="8" xfId="0" applyNumberFormat="1" applyBorder="1"/>
    <xf numFmtId="0" fontId="6" fillId="0" borderId="7" xfId="0" applyFont="1" applyBorder="1"/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164" fontId="4" fillId="0" borderId="8" xfId="0" applyNumberFormat="1" applyFont="1" applyBorder="1"/>
    <xf numFmtId="164" fontId="4" fillId="0" borderId="8" xfId="0" applyNumberFormat="1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164" fontId="11" fillId="0" borderId="24" xfId="0" applyNumberFormat="1" applyFont="1" applyBorder="1"/>
    <xf numFmtId="164" fontId="4" fillId="0" borderId="0" xfId="0" applyNumberFormat="1" applyFont="1" applyBorder="1"/>
    <xf numFmtId="9" fontId="4" fillId="0" borderId="7" xfId="0" applyNumberFormat="1" applyFont="1" applyBorder="1"/>
    <xf numFmtId="9" fontId="4" fillId="0" borderId="0" xfId="0" applyNumberFormat="1" applyFont="1" applyBorder="1"/>
    <xf numFmtId="9" fontId="4" fillId="0" borderId="8" xfId="0" applyNumberFormat="1" applyFont="1" applyBorder="1"/>
    <xf numFmtId="164" fontId="4" fillId="0" borderId="0" xfId="1" applyNumberFormat="1" applyFont="1" applyBorder="1" applyAlignment="1">
      <alignment horizontal="left"/>
    </xf>
    <xf numFmtId="164" fontId="4" fillId="0" borderId="8" xfId="1" applyNumberFormat="1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164" fontId="4" fillId="0" borderId="25" xfId="0" applyNumberFormat="1" applyFont="1" applyBorder="1"/>
    <xf numFmtId="9" fontId="5" fillId="0" borderId="23" xfId="0" applyNumberFormat="1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9" fontId="5" fillId="0" borderId="0" xfId="0" applyNumberFormat="1" applyFont="1" applyBorder="1" applyAlignment="1">
      <alignment horizontal="right"/>
    </xf>
    <xf numFmtId="9" fontId="5" fillId="0" borderId="8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 vertical="center"/>
    </xf>
    <xf numFmtId="9" fontId="5" fillId="0" borderId="7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6" xfId="0" applyNumberFormat="1" applyFont="1" applyBorder="1"/>
    <xf numFmtId="0" fontId="17" fillId="0" borderId="3" xfId="0" applyFont="1" applyBorder="1" applyAlignment="1">
      <alignment vertical="top"/>
    </xf>
    <xf numFmtId="0" fontId="17" fillId="0" borderId="9" xfId="0" applyFont="1" applyBorder="1" applyAlignment="1">
      <alignment vertical="top"/>
    </xf>
    <xf numFmtId="164" fontId="4" fillId="0" borderId="9" xfId="0" applyNumberFormat="1" applyFont="1" applyBorder="1" applyAlignment="1">
      <alignment vertical="top"/>
    </xf>
    <xf numFmtId="164" fontId="4" fillId="0" borderId="4" xfId="0" applyNumberFormat="1" applyFont="1" applyBorder="1" applyAlignment="1">
      <alignment vertical="top"/>
    </xf>
    <xf numFmtId="0" fontId="18" fillId="0" borderId="7" xfId="0" applyFont="1" applyBorder="1" applyAlignment="1">
      <alignment vertical="top"/>
    </xf>
    <xf numFmtId="164" fontId="14" fillId="0" borderId="0" xfId="0" applyNumberFormat="1" applyFont="1" applyFill="1" applyBorder="1" applyAlignment="1">
      <alignment vertical="top"/>
    </xf>
    <xf numFmtId="0" fontId="11" fillId="0" borderId="7" xfId="0" applyFont="1" applyBorder="1" applyAlignment="1">
      <alignment vertical="top"/>
    </xf>
    <xf numFmtId="164" fontId="11" fillId="0" borderId="0" xfId="0" applyNumberFormat="1" applyFont="1" applyBorder="1" applyAlignment="1">
      <alignment vertical="top"/>
    </xf>
    <xf numFmtId="164" fontId="11" fillId="0" borderId="8" xfId="0" applyNumberFormat="1" applyFont="1" applyBorder="1" applyAlignment="1">
      <alignment vertical="top"/>
    </xf>
    <xf numFmtId="0" fontId="14" fillId="0" borderId="23" xfId="0" applyFont="1" applyBorder="1" applyAlignment="1">
      <alignment vertical="top"/>
    </xf>
    <xf numFmtId="164" fontId="14" fillId="0" borderId="24" xfId="0" applyNumberFormat="1" applyFont="1" applyBorder="1" applyAlignment="1">
      <alignment vertical="top"/>
    </xf>
    <xf numFmtId="0" fontId="14" fillId="0" borderId="7" xfId="0" applyFont="1" applyBorder="1" applyAlignment="1">
      <alignment vertical="top"/>
    </xf>
    <xf numFmtId="164" fontId="14" fillId="0" borderId="0" xfId="0" applyNumberFormat="1" applyFont="1" applyBorder="1" applyAlignment="1">
      <alignment vertical="top"/>
    </xf>
    <xf numFmtId="164" fontId="14" fillId="0" borderId="8" xfId="0" applyNumberFormat="1" applyFont="1" applyBorder="1" applyAlignment="1">
      <alignment vertical="top"/>
    </xf>
    <xf numFmtId="0" fontId="11" fillId="0" borderId="7" xfId="0" applyFont="1" applyBorder="1" applyAlignment="1">
      <alignment horizontal="left" vertical="top"/>
    </xf>
    <xf numFmtId="0" fontId="14" fillId="0" borderId="27" xfId="0" applyFont="1" applyBorder="1" applyAlignment="1">
      <alignment vertical="top"/>
    </xf>
    <xf numFmtId="164" fontId="14" fillId="0" borderId="28" xfId="0" applyNumberFormat="1" applyFont="1" applyBorder="1" applyAlignment="1">
      <alignment vertical="top"/>
    </xf>
    <xf numFmtId="164" fontId="4" fillId="0" borderId="8" xfId="0" applyNumberFormat="1" applyFont="1" applyBorder="1" applyAlignment="1">
      <alignment vertical="top"/>
    </xf>
    <xf numFmtId="0" fontId="17" fillId="0" borderId="7" xfId="0" applyFont="1" applyBorder="1" applyAlignment="1">
      <alignment vertical="top"/>
    </xf>
    <xf numFmtId="164" fontId="17" fillId="0" borderId="0" xfId="0" applyNumberFormat="1" applyFont="1" applyBorder="1" applyAlignment="1">
      <alignment vertical="top"/>
    </xf>
    <xf numFmtId="0" fontId="4" fillId="0" borderId="7" xfId="0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164" fontId="11" fillId="0" borderId="0" xfId="0" applyNumberFormat="1" applyFont="1" applyBorder="1" applyAlignment="1">
      <alignment horizontal="left" vertical="top"/>
    </xf>
    <xf numFmtId="164" fontId="11" fillId="0" borderId="8" xfId="0" applyNumberFormat="1" applyFont="1" applyBorder="1" applyAlignment="1">
      <alignment horizontal="left" vertical="top"/>
    </xf>
    <xf numFmtId="0" fontId="14" fillId="0" borderId="26" xfId="0" applyFont="1" applyBorder="1" applyAlignment="1">
      <alignment vertical="top"/>
    </xf>
    <xf numFmtId="164" fontId="14" fillId="0" borderId="25" xfId="0" applyNumberFormat="1" applyFont="1" applyBorder="1" applyAlignment="1">
      <alignment vertical="top"/>
    </xf>
    <xf numFmtId="0" fontId="13" fillId="0" borderId="7" xfId="0" applyFont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0" fontId="4" fillId="0" borderId="7" xfId="0" applyFont="1" applyBorder="1" applyAlignment="1">
      <alignment horizontal="left" vertical="top"/>
    </xf>
    <xf numFmtId="0" fontId="13" fillId="0" borderId="23" xfId="0" applyFont="1" applyBorder="1" applyAlignment="1">
      <alignment horizontal="left" vertical="top"/>
    </xf>
    <xf numFmtId="0" fontId="4" fillId="0" borderId="5" xfId="0" applyFont="1" applyBorder="1"/>
    <xf numFmtId="171" fontId="27" fillId="0" borderId="5" xfId="0" applyNumberFormat="1" applyFont="1" applyFill="1" applyBorder="1" applyAlignment="1">
      <alignment horizontal="left" vertical="center"/>
    </xf>
    <xf numFmtId="164" fontId="13" fillId="0" borderId="11" xfId="0" applyNumberFormat="1" applyFont="1" applyFill="1" applyBorder="1" applyAlignment="1">
      <alignment horizontal="center" vertical="center"/>
    </xf>
    <xf numFmtId="164" fontId="13" fillId="0" borderId="6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164" fontId="13" fillId="0" borderId="0" xfId="0" applyNumberFormat="1" applyFont="1" applyBorder="1" applyAlignment="1">
      <alignment horizontal="right" vertical="center"/>
    </xf>
    <xf numFmtId="164" fontId="13" fillId="0" borderId="8" xfId="0" applyNumberFormat="1" applyFont="1" applyBorder="1" applyAlignment="1">
      <alignment horizontal="right" vertical="center"/>
    </xf>
    <xf numFmtId="164" fontId="13" fillId="0" borderId="0" xfId="0" applyNumberFormat="1" applyFont="1" applyBorder="1" applyAlignment="1">
      <alignment vertical="center"/>
    </xf>
    <xf numFmtId="164" fontId="13" fillId="0" borderId="8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4" fontId="4" fillId="0" borderId="0" xfId="0" applyNumberFormat="1" applyFont="1" applyBorder="1" applyAlignment="1">
      <alignment vertical="center"/>
    </xf>
    <xf numFmtId="164" fontId="4" fillId="0" borderId="8" xfId="0" applyNumberFormat="1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164" fontId="13" fillId="0" borderId="24" xfId="0" applyNumberFormat="1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164" fontId="20" fillId="0" borderId="0" xfId="0" applyNumberFormat="1" applyFont="1" applyBorder="1" applyAlignment="1">
      <alignment vertical="center"/>
    </xf>
    <xf numFmtId="164" fontId="20" fillId="0" borderId="8" xfId="0" applyNumberFormat="1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164" fontId="4" fillId="0" borderId="25" xfId="0" applyNumberFormat="1" applyFont="1" applyBorder="1" applyAlignment="1">
      <alignment vertical="center"/>
    </xf>
    <xf numFmtId="0" fontId="13" fillId="0" borderId="27" xfId="0" applyFont="1" applyBorder="1" applyAlignment="1">
      <alignment vertical="center"/>
    </xf>
    <xf numFmtId="164" fontId="13" fillId="0" borderId="28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4" fontId="4" fillId="0" borderId="11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169" fontId="8" fillId="0" borderId="0" xfId="2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6" fillId="0" borderId="0" xfId="0" applyFont="1" applyBorder="1" applyProtection="1">
      <protection locked="0"/>
    </xf>
    <xf numFmtId="173" fontId="4" fillId="0" borderId="0" xfId="1" applyNumberFormat="1" applyFont="1" applyBorder="1" applyAlignment="1" applyProtection="1">
      <alignment vertical="center"/>
      <protection locked="0"/>
    </xf>
    <xf numFmtId="173" fontId="6" fillId="0" borderId="0" xfId="1" applyNumberFormat="1" applyFont="1" applyBorder="1" applyAlignment="1" applyProtection="1">
      <alignment vertical="center"/>
      <protection locked="0"/>
    </xf>
    <xf numFmtId="173" fontId="6" fillId="0" borderId="0" xfId="1" applyNumberFormat="1" applyFont="1" applyBorder="1" applyProtection="1">
      <protection locked="0"/>
    </xf>
    <xf numFmtId="168" fontId="4" fillId="0" borderId="0" xfId="1" applyNumberFormat="1" applyFont="1" applyFill="1" applyBorder="1" applyAlignment="1" applyProtection="1">
      <alignment horizontal="right" vertical="center"/>
      <protection locked="0"/>
    </xf>
    <xf numFmtId="43" fontId="13" fillId="0" borderId="0" xfId="1" applyFont="1" applyFill="1" applyBorder="1" applyAlignment="1" applyProtection="1">
      <alignment horizontal="right" vertical="center"/>
      <protection locked="0"/>
    </xf>
    <xf numFmtId="164" fontId="11" fillId="0" borderId="0" xfId="1" applyNumberFormat="1" applyFont="1" applyFill="1" applyBorder="1" applyAlignment="1" applyProtection="1">
      <alignment vertical="center"/>
      <protection hidden="1"/>
    </xf>
    <xf numFmtId="9" fontId="16" fillId="0" borderId="0" xfId="2" applyFont="1" applyFill="1" applyBorder="1" applyAlignment="1" applyProtection="1">
      <alignment vertical="center"/>
      <protection hidden="1"/>
    </xf>
    <xf numFmtId="0" fontId="4" fillId="0" borderId="0" xfId="0" applyFont="1" applyBorder="1" applyAlignment="1" applyProtection="1">
      <alignment horizontal="left" vertical="center" wrapText="1"/>
      <protection locked="0"/>
    </xf>
    <xf numFmtId="170" fontId="6" fillId="0" borderId="0" xfId="0" applyNumberFormat="1" applyFont="1" applyBorder="1" applyAlignment="1" applyProtection="1">
      <alignment horizontal="right" vertical="center"/>
      <protection locked="0"/>
    </xf>
    <xf numFmtId="43" fontId="6" fillId="0" borderId="0" xfId="1" applyFont="1" applyFill="1" applyBorder="1" applyAlignment="1" applyProtection="1">
      <alignment horizontal="center" vertical="top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9" fontId="4" fillId="0" borderId="0" xfId="2" applyFont="1" applyFill="1" applyBorder="1" applyAlignment="1" applyProtection="1">
      <alignment horizontal="right" vertical="center" wrapText="1"/>
      <protection locked="0"/>
    </xf>
    <xf numFmtId="10" fontId="4" fillId="0" borderId="0" xfId="2" applyNumberFormat="1" applyFont="1" applyFill="1" applyBorder="1" applyAlignment="1" applyProtection="1">
      <alignment horizontal="center" vertical="top" wrapText="1"/>
      <protection locked="0"/>
    </xf>
    <xf numFmtId="164" fontId="4" fillId="0" borderId="0" xfId="1" applyNumberFormat="1" applyFont="1" applyFill="1" applyBorder="1" applyAlignment="1" applyProtection="1">
      <alignment horizontal="center" vertical="top" wrapText="1"/>
      <protection hidden="1"/>
    </xf>
    <xf numFmtId="164" fontId="5" fillId="0" borderId="0" xfId="1" applyNumberFormat="1" applyFont="1" applyFill="1" applyBorder="1" applyAlignment="1" applyProtection="1">
      <alignment horizontal="right" vertical="center"/>
      <protection locked="0"/>
    </xf>
    <xf numFmtId="164" fontId="8" fillId="0" borderId="0" xfId="1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 applyBorder="1" applyAlignment="1" applyProtection="1">
      <alignment vertical="center"/>
      <protection locked="0"/>
    </xf>
    <xf numFmtId="164" fontId="6" fillId="0" borderId="0" xfId="1" applyNumberFormat="1" applyFont="1" applyFill="1" applyBorder="1" applyAlignment="1" applyProtection="1">
      <alignment horizontal="right" vertical="center"/>
      <protection locked="0"/>
    </xf>
    <xf numFmtId="164" fontId="8" fillId="0" borderId="0" xfId="0" applyNumberFormat="1" applyFont="1" applyBorder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167" fontId="4" fillId="0" borderId="0" xfId="1" applyNumberFormat="1" applyFont="1" applyBorder="1" applyAlignment="1" applyProtection="1">
      <alignment vertical="center"/>
      <protection locked="0"/>
    </xf>
    <xf numFmtId="167" fontId="6" fillId="0" borderId="0" xfId="1" applyNumberFormat="1" applyFont="1" applyFill="1" applyBorder="1" applyProtection="1">
      <protection locked="0"/>
    </xf>
    <xf numFmtId="164" fontId="0" fillId="0" borderId="0" xfId="1" applyNumberFormat="1" applyFont="1"/>
    <xf numFmtId="164" fontId="4" fillId="0" borderId="0" xfId="1" applyNumberFormat="1" applyFont="1"/>
    <xf numFmtId="164" fontId="0" fillId="0" borderId="0" xfId="1" applyNumberFormat="1" applyFont="1" applyFill="1"/>
    <xf numFmtId="0" fontId="13" fillId="0" borderId="1" xfId="0" applyFont="1" applyFill="1" applyBorder="1"/>
    <xf numFmtId="166" fontId="11" fillId="0" borderId="0" xfId="0" applyNumberFormat="1" applyFont="1" applyBorder="1" applyAlignment="1">
      <alignment horizontal="left" vertical="top"/>
    </xf>
    <xf numFmtId="166" fontId="11" fillId="0" borderId="0" xfId="0" applyNumberFormat="1" applyFont="1" applyBorder="1" applyAlignment="1">
      <alignment vertical="top"/>
    </xf>
    <xf numFmtId="43" fontId="4" fillId="0" borderId="11" xfId="0" applyNumberFormat="1" applyFont="1" applyBorder="1"/>
    <xf numFmtId="43" fontId="4" fillId="0" borderId="6" xfId="0" applyNumberFormat="1" applyFont="1" applyBorder="1"/>
    <xf numFmtId="164" fontId="4" fillId="0" borderId="8" xfId="0" applyNumberFormat="1" applyFont="1" applyBorder="1" applyAlignment="1">
      <alignment horizontal="right" vertical="center"/>
    </xf>
    <xf numFmtId="166" fontId="11" fillId="0" borderId="8" xfId="0" applyNumberFormat="1" applyFont="1" applyBorder="1" applyAlignment="1">
      <alignment vertical="top"/>
    </xf>
    <xf numFmtId="166" fontId="11" fillId="0" borderId="8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right"/>
    </xf>
    <xf numFmtId="167" fontId="2" fillId="0" borderId="0" xfId="0" applyNumberFormat="1" applyFont="1" applyBorder="1"/>
    <xf numFmtId="167" fontId="4" fillId="0" borderId="1" xfId="0" applyNumberFormat="1" applyFont="1" applyFill="1" applyBorder="1"/>
    <xf numFmtId="167" fontId="4" fillId="0" borderId="1" xfId="0" applyNumberFormat="1" applyFont="1" applyBorder="1"/>
    <xf numFmtId="0" fontId="13" fillId="0" borderId="30" xfId="0" applyFont="1" applyBorder="1" applyAlignment="1" applyProtection="1">
      <alignment vertical="center"/>
      <protection locked="0"/>
    </xf>
    <xf numFmtId="169" fontId="8" fillId="0" borderId="8" xfId="2" applyNumberFormat="1" applyFont="1" applyFill="1" applyBorder="1" applyAlignment="1" applyProtection="1">
      <alignment horizontal="right" vertical="center"/>
      <protection locked="0"/>
    </xf>
    <xf numFmtId="0" fontId="13" fillId="0" borderId="7" xfId="0" applyFont="1" applyFill="1" applyBorder="1" applyAlignment="1" applyProtection="1">
      <alignment vertical="center"/>
      <protection locked="0"/>
    </xf>
    <xf numFmtId="9" fontId="4" fillId="0" borderId="8" xfId="2" applyFont="1" applyFill="1" applyBorder="1" applyAlignment="1" applyProtection="1">
      <alignment vertical="center"/>
      <protection hidden="1"/>
    </xf>
    <xf numFmtId="0" fontId="6" fillId="0" borderId="8" xfId="0" applyFont="1" applyBorder="1" applyProtection="1">
      <protection locked="0"/>
    </xf>
    <xf numFmtId="0" fontId="14" fillId="0" borderId="7" xfId="0" applyFont="1" applyBorder="1" applyAlignment="1" applyProtection="1">
      <alignment vertical="center"/>
      <protection locked="0"/>
    </xf>
    <xf numFmtId="173" fontId="6" fillId="0" borderId="8" xfId="1" applyNumberFormat="1" applyFont="1" applyBorder="1" applyAlignment="1" applyProtection="1">
      <alignment vertical="center"/>
      <protection locked="0"/>
    </xf>
    <xf numFmtId="0" fontId="6" fillId="0" borderId="7" xfId="0" applyFont="1" applyBorder="1" applyProtection="1">
      <protection locked="0"/>
    </xf>
    <xf numFmtId="173" fontId="6" fillId="0" borderId="8" xfId="1" applyNumberFormat="1" applyFont="1" applyBorder="1" applyProtection="1">
      <protection locked="0"/>
    </xf>
    <xf numFmtId="173" fontId="4" fillId="0" borderId="8" xfId="1" applyNumberFormat="1" applyFont="1" applyFill="1" applyBorder="1" applyAlignment="1" applyProtection="1">
      <alignment vertical="center"/>
      <protection locked="0"/>
    </xf>
    <xf numFmtId="173" fontId="11" fillId="0" borderId="8" xfId="1" applyNumberFormat="1" applyFont="1" applyFill="1" applyBorder="1" applyProtection="1">
      <protection locked="0"/>
    </xf>
    <xf numFmtId="0" fontId="11" fillId="0" borderId="7" xfId="0" applyFont="1" applyBorder="1" applyProtection="1">
      <protection locked="0"/>
    </xf>
    <xf numFmtId="9" fontId="4" fillId="0" borderId="8" xfId="2" applyFont="1" applyFill="1" applyBorder="1" applyAlignment="1" applyProtection="1">
      <alignment vertical="center"/>
      <protection locked="0"/>
    </xf>
    <xf numFmtId="168" fontId="4" fillId="3" borderId="7" xfId="1" applyNumberFormat="1" applyFont="1" applyFill="1" applyBorder="1" applyAlignment="1" applyProtection="1">
      <alignment horizontal="left" vertical="center"/>
      <protection locked="0"/>
    </xf>
    <xf numFmtId="168" fontId="4" fillId="0" borderId="8" xfId="1" applyNumberFormat="1" applyFont="1" applyFill="1" applyBorder="1" applyAlignment="1" applyProtection="1">
      <alignment horizontal="right" vertical="center"/>
      <protection locked="0"/>
    </xf>
    <xf numFmtId="168" fontId="13" fillId="3" borderId="7" xfId="1" applyNumberFormat="1" applyFont="1" applyFill="1" applyBorder="1" applyAlignment="1" applyProtection="1">
      <alignment horizontal="left" vertical="center"/>
      <protection locked="0"/>
    </xf>
    <xf numFmtId="43" fontId="13" fillId="0" borderId="8" xfId="1" applyFont="1" applyFill="1" applyBorder="1" applyAlignment="1" applyProtection="1">
      <alignment horizontal="right" vertical="center"/>
      <protection locked="0"/>
    </xf>
    <xf numFmtId="0" fontId="11" fillId="3" borderId="7" xfId="0" applyFont="1" applyFill="1" applyBorder="1" applyAlignment="1" applyProtection="1">
      <alignment vertical="center"/>
      <protection locked="0"/>
    </xf>
    <xf numFmtId="164" fontId="11" fillId="0" borderId="8" xfId="1" applyNumberFormat="1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 wrapText="1"/>
      <protection locked="0"/>
    </xf>
    <xf numFmtId="164" fontId="4" fillId="0" borderId="8" xfId="1" applyNumberFormat="1" applyFont="1" applyFill="1" applyBorder="1" applyAlignment="1" applyProtection="1">
      <alignment horizontal="center" vertical="center"/>
      <protection locked="0"/>
    </xf>
    <xf numFmtId="164" fontId="4" fillId="0" borderId="4" xfId="1" applyNumberFormat="1" applyFont="1" applyFill="1" applyBorder="1" applyAlignment="1" applyProtection="1">
      <alignment horizontal="center" vertical="center"/>
      <protection locked="0"/>
    </xf>
    <xf numFmtId="164" fontId="6" fillId="0" borderId="8" xfId="1" applyNumberFormat="1" applyFont="1" applyFill="1" applyBorder="1" applyProtection="1">
      <protection hidden="1"/>
    </xf>
    <xf numFmtId="164" fontId="11" fillId="0" borderId="4" xfId="1" applyNumberFormat="1" applyFont="1" applyFill="1" applyBorder="1" applyAlignment="1" applyProtection="1">
      <alignment vertical="center"/>
      <protection hidden="1"/>
    </xf>
    <xf numFmtId="9" fontId="16" fillId="0" borderId="8" xfId="2" applyFont="1" applyFill="1" applyBorder="1" applyAlignment="1" applyProtection="1">
      <alignment vertical="center"/>
      <protection hidden="1"/>
    </xf>
    <xf numFmtId="0" fontId="4" fillId="0" borderId="7" xfId="0" applyFont="1" applyBorder="1" applyAlignment="1" applyProtection="1">
      <alignment horizontal="left" vertical="center" wrapText="1"/>
      <protection locked="0"/>
    </xf>
    <xf numFmtId="170" fontId="6" fillId="0" borderId="8" xfId="0" applyNumberFormat="1" applyFont="1" applyBorder="1" applyAlignment="1" applyProtection="1">
      <alignment horizontal="right" vertical="center"/>
      <protection locked="0"/>
    </xf>
    <xf numFmtId="0" fontId="8" fillId="3" borderId="7" xfId="0" applyFont="1" applyFill="1" applyBorder="1" applyAlignment="1" applyProtection="1">
      <alignment vertical="center"/>
      <protection locked="0"/>
    </xf>
    <xf numFmtId="43" fontId="6" fillId="0" borderId="8" xfId="1" applyFont="1" applyFill="1" applyBorder="1" applyAlignment="1" applyProtection="1">
      <alignment horizontal="center" vertical="top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6" fillId="0" borderId="8" xfId="0" applyFont="1" applyBorder="1" applyAlignment="1" applyProtection="1">
      <alignment vertical="center"/>
      <protection locked="0"/>
    </xf>
    <xf numFmtId="0" fontId="4" fillId="3" borderId="7" xfId="0" applyFont="1" applyFill="1" applyBorder="1" applyAlignment="1" applyProtection="1">
      <alignment vertical="center"/>
      <protection locked="0"/>
    </xf>
    <xf numFmtId="0" fontId="6" fillId="0" borderId="7" xfId="0" applyFont="1" applyBorder="1" applyAlignment="1" applyProtection="1">
      <alignment vertical="center"/>
      <protection locked="0"/>
    </xf>
    <xf numFmtId="9" fontId="6" fillId="0" borderId="8" xfId="2" applyFont="1" applyFill="1" applyBorder="1" applyAlignment="1" applyProtection="1">
      <alignment vertical="center"/>
      <protection locked="0"/>
    </xf>
    <xf numFmtId="9" fontId="4" fillId="0" borderId="8" xfId="2" applyFont="1" applyFill="1" applyBorder="1" applyAlignment="1" applyProtection="1">
      <alignment horizontal="right" vertical="center" wrapText="1"/>
      <protection locked="0"/>
    </xf>
    <xf numFmtId="164" fontId="6" fillId="0" borderId="8" xfId="1" applyNumberFormat="1" applyFont="1" applyFill="1" applyBorder="1" applyAlignment="1" applyProtection="1">
      <alignment vertical="center"/>
      <protection locked="0"/>
    </xf>
    <xf numFmtId="43" fontId="6" fillId="0" borderId="8" xfId="1" applyFont="1" applyFill="1" applyBorder="1" applyAlignment="1" applyProtection="1">
      <alignment vertical="center"/>
      <protection locked="0"/>
    </xf>
    <xf numFmtId="164" fontId="11" fillId="0" borderId="8" xfId="1" applyNumberFormat="1" applyFont="1" applyFill="1" applyBorder="1"/>
    <xf numFmtId="0" fontId="11" fillId="0" borderId="7" xfId="0" applyFont="1" applyBorder="1" applyAlignment="1" applyProtection="1">
      <alignment horizontal="left" vertical="center"/>
      <protection locked="0"/>
    </xf>
    <xf numFmtId="9" fontId="8" fillId="2" borderId="8" xfId="2" applyFont="1" applyFill="1" applyBorder="1" applyAlignment="1" applyProtection="1">
      <alignment vertical="center"/>
      <protection locked="0"/>
    </xf>
    <xf numFmtId="10" fontId="4" fillId="0" borderId="8" xfId="2" applyNumberFormat="1" applyFont="1" applyFill="1" applyBorder="1" applyAlignment="1" applyProtection="1">
      <alignment horizontal="center" vertical="top" wrapText="1"/>
      <protection locked="0"/>
    </xf>
    <xf numFmtId="164" fontId="4" fillId="0" borderId="8" xfId="1" applyNumberFormat="1" applyFont="1" applyFill="1" applyBorder="1" applyAlignment="1" applyProtection="1">
      <alignment horizontal="center" vertical="top" wrapText="1"/>
      <protection hidden="1"/>
    </xf>
    <xf numFmtId="164" fontId="8" fillId="0" borderId="8" xfId="1" applyNumberFormat="1" applyFont="1" applyFill="1" applyBorder="1" applyAlignment="1" applyProtection="1">
      <alignment horizontal="right" vertical="center"/>
      <protection locked="0"/>
    </xf>
    <xf numFmtId="164" fontId="6" fillId="0" borderId="8" xfId="1" applyNumberFormat="1" applyFont="1" applyFill="1" applyBorder="1" applyAlignment="1" applyProtection="1">
      <alignment horizontal="right" vertical="center"/>
      <protection locked="0"/>
    </xf>
    <xf numFmtId="164" fontId="8" fillId="0" borderId="8" xfId="0" applyNumberFormat="1" applyFont="1" applyBorder="1" applyAlignment="1" applyProtection="1">
      <alignment horizontal="right" vertical="center"/>
      <protection locked="0"/>
    </xf>
    <xf numFmtId="0" fontId="6" fillId="0" borderId="8" xfId="0" applyFont="1" applyBorder="1" applyAlignment="1" applyProtection="1">
      <alignment horizontal="right" vertical="center"/>
      <protection locked="0"/>
    </xf>
    <xf numFmtId="0" fontId="6" fillId="0" borderId="5" xfId="0" applyFont="1" applyBorder="1" applyAlignment="1" applyProtection="1">
      <alignment vertical="center"/>
      <protection locked="0"/>
    </xf>
    <xf numFmtId="0" fontId="29" fillId="0" borderId="0" xfId="0" applyFont="1" applyAlignment="1">
      <alignment vertical="center"/>
    </xf>
    <xf numFmtId="0" fontId="29" fillId="0" borderId="0" xfId="0" applyFont="1" applyAlignment="1" applyProtection="1">
      <alignment vertical="center"/>
      <protection locked="0"/>
    </xf>
    <xf numFmtId="0" fontId="30" fillId="0" borderId="0" xfId="0" applyFont="1"/>
    <xf numFmtId="0" fontId="29" fillId="0" borderId="0" xfId="0" applyFont="1" applyAlignment="1">
      <alignment horizontal="left"/>
    </xf>
    <xf numFmtId="0" fontId="21" fillId="5" borderId="32" xfId="0" applyFont="1" applyFill="1" applyBorder="1"/>
    <xf numFmtId="0" fontId="2" fillId="0" borderId="0" xfId="0" applyFont="1" applyBorder="1" applyAlignment="1">
      <alignment horizontal="center"/>
    </xf>
    <xf numFmtId="167" fontId="13" fillId="0" borderId="31" xfId="0" applyNumberFormat="1" applyFont="1" applyFill="1" applyBorder="1" applyAlignment="1" applyProtection="1">
      <alignment vertical="center"/>
      <protection locked="0"/>
    </xf>
    <xf numFmtId="0" fontId="15" fillId="0" borderId="7" xfId="0" applyFont="1" applyBorder="1" applyProtection="1">
      <protection locked="0"/>
    </xf>
    <xf numFmtId="167" fontId="4" fillId="0" borderId="8" xfId="1" applyNumberFormat="1" applyFont="1" applyBorder="1" applyAlignment="1" applyProtection="1">
      <alignment vertical="center"/>
      <protection locked="0"/>
    </xf>
    <xf numFmtId="167" fontId="6" fillId="0" borderId="8" xfId="1" applyNumberFormat="1" applyFont="1" applyFill="1" applyBorder="1" applyProtection="1">
      <protection locked="0"/>
    </xf>
    <xf numFmtId="0" fontId="2" fillId="0" borderId="0" xfId="0" applyFont="1" applyFill="1" applyBorder="1" applyAlignment="1">
      <alignment horizontal="center"/>
    </xf>
    <xf numFmtId="9" fontId="31" fillId="0" borderId="0" xfId="2" applyFont="1" applyBorder="1" applyAlignment="1">
      <alignment horizontal="center" vertical="center"/>
    </xf>
    <xf numFmtId="167" fontId="14" fillId="0" borderId="9" xfId="1" applyNumberFormat="1" applyFont="1" applyBorder="1" applyAlignment="1" applyProtection="1">
      <alignment vertical="center"/>
      <protection locked="0"/>
    </xf>
    <xf numFmtId="167" fontId="14" fillId="0" borderId="4" xfId="1" applyNumberFormat="1" applyFont="1" applyBorder="1" applyAlignment="1" applyProtection="1">
      <alignment vertical="center"/>
      <protection locked="0"/>
    </xf>
    <xf numFmtId="169" fontId="6" fillId="0" borderId="0" xfId="2" applyNumberFormat="1" applyFont="1" applyFill="1" applyBorder="1" applyProtection="1">
      <protection locked="0"/>
    </xf>
    <xf numFmtId="0" fontId="2" fillId="10" borderId="1" xfId="0" applyFont="1" applyFill="1" applyBorder="1"/>
    <xf numFmtId="0" fontId="35" fillId="8" borderId="1" xfId="0" applyFont="1" applyFill="1" applyBorder="1" applyAlignment="1">
      <alignment horizontal="center" vertical="center"/>
    </xf>
    <xf numFmtId="0" fontId="2" fillId="0" borderId="7" xfId="0" applyFont="1" applyBorder="1"/>
    <xf numFmtId="0" fontId="13" fillId="0" borderId="1" xfId="0" applyFont="1" applyBorder="1"/>
    <xf numFmtId="0" fontId="15" fillId="0" borderId="7" xfId="0" applyFont="1" applyBorder="1" applyProtection="1">
      <protection hidden="1"/>
    </xf>
    <xf numFmtId="9" fontId="36" fillId="0" borderId="7" xfId="2" applyFont="1" applyBorder="1" applyProtection="1">
      <protection hidden="1"/>
    </xf>
    <xf numFmtId="165" fontId="21" fillId="5" borderId="32" xfId="0" applyNumberFormat="1" applyFont="1" applyFill="1" applyBorder="1"/>
    <xf numFmtId="164" fontId="14" fillId="0" borderId="8" xfId="0" applyNumberFormat="1" applyFont="1" applyFill="1" applyBorder="1" applyAlignment="1">
      <alignment vertical="top"/>
    </xf>
    <xf numFmtId="0" fontId="13" fillId="14" borderId="1" xfId="0" applyFont="1" applyFill="1" applyBorder="1"/>
    <xf numFmtId="167" fontId="13" fillId="14" borderId="1" xfId="0" applyNumberFormat="1" applyFont="1" applyFill="1" applyBorder="1"/>
    <xf numFmtId="0" fontId="2" fillId="14" borderId="30" xfId="0" applyFont="1" applyFill="1" applyBorder="1"/>
    <xf numFmtId="9" fontId="31" fillId="0" borderId="8" xfId="2" applyFont="1" applyBorder="1" applyAlignment="1">
      <alignment horizontal="center" vertical="center"/>
    </xf>
    <xf numFmtId="0" fontId="0" fillId="0" borderId="0" xfId="0"/>
    <xf numFmtId="0" fontId="15" fillId="14" borderId="30" xfId="0" applyFont="1" applyFill="1" applyBorder="1"/>
    <xf numFmtId="9" fontId="31" fillId="0" borderId="7" xfId="2" applyFont="1" applyBorder="1" applyAlignment="1">
      <alignment horizontal="center" vertical="center"/>
    </xf>
    <xf numFmtId="0" fontId="15" fillId="14" borderId="30" xfId="0" applyFont="1" applyFill="1" applyBorder="1" applyProtection="1">
      <protection hidden="1"/>
    </xf>
    <xf numFmtId="0" fontId="38" fillId="0" borderId="7" xfId="0" applyFont="1" applyBorder="1" applyProtection="1">
      <protection hidden="1"/>
    </xf>
    <xf numFmtId="9" fontId="39" fillId="0" borderId="7" xfId="2" applyFont="1" applyBorder="1"/>
    <xf numFmtId="9" fontId="39" fillId="0" borderId="0" xfId="2" applyFont="1" applyBorder="1"/>
    <xf numFmtId="9" fontId="39" fillId="0" borderId="8" xfId="2" applyFont="1" applyBorder="1"/>
    <xf numFmtId="9" fontId="0" fillId="0" borderId="0" xfId="2" applyFont="1"/>
    <xf numFmtId="167" fontId="13" fillId="0" borderId="30" xfId="0" applyNumberFormat="1" applyFont="1" applyFill="1" applyBorder="1" applyAlignment="1" applyProtection="1">
      <alignment vertical="center"/>
      <protection locked="0"/>
    </xf>
    <xf numFmtId="167" fontId="13" fillId="0" borderId="2" xfId="0" applyNumberFormat="1" applyFont="1" applyFill="1" applyBorder="1" applyAlignment="1" applyProtection="1">
      <alignment vertical="center"/>
      <protection locked="0"/>
    </xf>
    <xf numFmtId="167" fontId="4" fillId="0" borderId="7" xfId="1" applyNumberFormat="1" applyFont="1" applyBorder="1" applyAlignment="1" applyProtection="1">
      <alignment vertical="center"/>
      <protection locked="0"/>
    </xf>
    <xf numFmtId="167" fontId="14" fillId="0" borderId="3" xfId="1" applyNumberFormat="1" applyFont="1" applyBorder="1" applyAlignment="1" applyProtection="1">
      <alignment vertical="center"/>
      <protection locked="0"/>
    </xf>
    <xf numFmtId="173" fontId="4" fillId="0" borderId="7" xfId="1" applyNumberFormat="1" applyFont="1" applyBorder="1" applyAlignment="1" applyProtection="1">
      <alignment vertical="center"/>
      <protection locked="0"/>
    </xf>
    <xf numFmtId="173" fontId="6" fillId="0" borderId="7" xfId="1" applyNumberFormat="1" applyFont="1" applyBorder="1" applyProtection="1">
      <protection locked="0"/>
    </xf>
    <xf numFmtId="167" fontId="6" fillId="0" borderId="7" xfId="1" applyNumberFormat="1" applyFont="1" applyFill="1" applyBorder="1" applyProtection="1">
      <protection locked="0"/>
    </xf>
    <xf numFmtId="167" fontId="15" fillId="0" borderId="7" xfId="1" applyNumberFormat="1" applyFont="1" applyFill="1" applyBorder="1" applyProtection="1">
      <protection locked="0"/>
    </xf>
    <xf numFmtId="168" fontId="4" fillId="0" borderId="7" xfId="1" applyNumberFormat="1" applyFont="1" applyFill="1" applyBorder="1" applyAlignment="1" applyProtection="1">
      <alignment horizontal="left" vertical="center"/>
      <protection locked="0"/>
    </xf>
    <xf numFmtId="43" fontId="13" fillId="0" borderId="7" xfId="1" applyFont="1" applyFill="1" applyBorder="1" applyAlignment="1" applyProtection="1">
      <alignment horizontal="right" vertical="center"/>
      <protection locked="0"/>
    </xf>
    <xf numFmtId="164" fontId="11" fillId="0" borderId="7" xfId="1" applyNumberFormat="1" applyFont="1" applyFill="1" applyBorder="1" applyAlignment="1" applyProtection="1">
      <alignment vertical="center"/>
      <protection hidden="1"/>
    </xf>
    <xf numFmtId="164" fontId="4" fillId="0" borderId="7" xfId="1" applyNumberFormat="1" applyFont="1" applyFill="1" applyBorder="1" applyAlignment="1" applyProtection="1">
      <alignment horizontal="center" vertical="center"/>
      <protection locked="0"/>
    </xf>
    <xf numFmtId="164" fontId="4" fillId="0" borderId="3" xfId="1" applyNumberFormat="1" applyFont="1" applyFill="1" applyBorder="1" applyAlignment="1" applyProtection="1">
      <alignment horizontal="center" vertical="center"/>
      <protection locked="0"/>
    </xf>
    <xf numFmtId="164" fontId="6" fillId="0" borderId="7" xfId="1" applyNumberFormat="1" applyFont="1" applyFill="1" applyBorder="1" applyProtection="1">
      <protection hidden="1"/>
    </xf>
    <xf numFmtId="164" fontId="4" fillId="0" borderId="7" xfId="1" applyNumberFormat="1" applyFont="1" applyFill="1" applyBorder="1" applyAlignment="1" applyProtection="1">
      <alignment vertical="center"/>
      <protection locked="0"/>
    </xf>
    <xf numFmtId="9" fontId="8" fillId="2" borderId="7" xfId="2" applyFont="1" applyFill="1" applyBorder="1" applyAlignment="1" applyProtection="1">
      <alignment vertical="center"/>
      <protection locked="0"/>
    </xf>
    <xf numFmtId="164" fontId="6" fillId="0" borderId="7" xfId="1" applyNumberFormat="1" applyFont="1" applyFill="1" applyBorder="1" applyAlignment="1" applyProtection="1">
      <alignment vertical="center"/>
      <protection locked="0"/>
    </xf>
    <xf numFmtId="164" fontId="4" fillId="0" borderId="7" xfId="1" applyNumberFormat="1" applyFont="1" applyFill="1" applyBorder="1" applyAlignment="1" applyProtection="1">
      <alignment horizontal="center" vertical="top" wrapText="1"/>
      <protection hidden="1"/>
    </xf>
    <xf numFmtId="164" fontId="4" fillId="0" borderId="7" xfId="0" applyNumberFormat="1" applyFont="1" applyBorder="1" applyAlignment="1">
      <alignment horizontal="left"/>
    </xf>
    <xf numFmtId="164" fontId="11" fillId="0" borderId="23" xfId="0" applyNumberFormat="1" applyFont="1" applyBorder="1"/>
    <xf numFmtId="164" fontId="4" fillId="0" borderId="7" xfId="0" applyNumberFormat="1" applyFont="1" applyBorder="1"/>
    <xf numFmtId="164" fontId="4" fillId="0" borderId="7" xfId="1" applyNumberFormat="1" applyFont="1" applyBorder="1" applyAlignment="1">
      <alignment horizontal="left"/>
    </xf>
    <xf numFmtId="164" fontId="4" fillId="0" borderId="23" xfId="0" applyNumberFormat="1" applyFont="1" applyBorder="1"/>
    <xf numFmtId="164" fontId="4" fillId="0" borderId="24" xfId="0" applyNumberFormat="1" applyFont="1" applyBorder="1"/>
    <xf numFmtId="164" fontId="4" fillId="0" borderId="26" xfId="0" applyNumberFormat="1" applyFont="1" applyBorder="1"/>
    <xf numFmtId="164" fontId="4" fillId="0" borderId="26" xfId="0" applyNumberFormat="1" applyFont="1" applyBorder="1" applyAlignment="1">
      <alignment horizontal="left"/>
    </xf>
    <xf numFmtId="164" fontId="4" fillId="0" borderId="25" xfId="0" applyNumberFormat="1" applyFont="1" applyBorder="1" applyAlignment="1">
      <alignment horizontal="left"/>
    </xf>
    <xf numFmtId="9" fontId="5" fillId="0" borderId="7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 vertical="center"/>
    </xf>
    <xf numFmtId="164" fontId="13" fillId="0" borderId="7" xfId="0" applyNumberFormat="1" applyFont="1" applyBorder="1" applyAlignment="1">
      <alignment horizontal="right" vertical="center"/>
    </xf>
    <xf numFmtId="164" fontId="13" fillId="0" borderId="7" xfId="0" applyNumberFormat="1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164" fontId="13" fillId="0" borderId="23" xfId="0" applyNumberFormat="1" applyFont="1" applyBorder="1" applyAlignment="1">
      <alignment vertical="center"/>
    </xf>
    <xf numFmtId="164" fontId="20" fillId="0" borderId="7" xfId="0" applyNumberFormat="1" applyFont="1" applyBorder="1" applyAlignment="1">
      <alignment vertical="center"/>
    </xf>
    <xf numFmtId="43" fontId="4" fillId="0" borderId="7" xfId="0" applyNumberFormat="1" applyFont="1" applyBorder="1" applyAlignment="1">
      <alignment vertical="center"/>
    </xf>
    <xf numFmtId="164" fontId="4" fillId="0" borderId="26" xfId="0" applyNumberFormat="1" applyFont="1" applyBorder="1" applyAlignment="1">
      <alignment vertical="center"/>
    </xf>
    <xf numFmtId="164" fontId="14" fillId="0" borderId="7" xfId="0" applyNumberFormat="1" applyFont="1" applyFill="1" applyBorder="1" applyAlignment="1">
      <alignment vertical="top"/>
    </xf>
    <xf numFmtId="164" fontId="13" fillId="0" borderId="27" xfId="0" applyNumberFormat="1" applyFont="1" applyBorder="1" applyAlignment="1">
      <alignment vertical="center"/>
    </xf>
    <xf numFmtId="164" fontId="4" fillId="0" borderId="5" xfId="0" applyNumberFormat="1" applyFont="1" applyBorder="1" applyAlignment="1">
      <alignment vertical="center"/>
    </xf>
    <xf numFmtId="164" fontId="13" fillId="0" borderId="5" xfId="0" applyNumberFormat="1" applyFont="1" applyFill="1" applyBorder="1" applyAlignment="1">
      <alignment horizontal="center" vertical="center"/>
    </xf>
    <xf numFmtId="164" fontId="11" fillId="0" borderId="7" xfId="0" applyNumberFormat="1" applyFont="1" applyBorder="1" applyAlignment="1">
      <alignment vertical="top"/>
    </xf>
    <xf numFmtId="164" fontId="14" fillId="0" borderId="23" xfId="0" applyNumberFormat="1" applyFont="1" applyBorder="1" applyAlignment="1">
      <alignment vertical="top"/>
    </xf>
    <xf numFmtId="164" fontId="14" fillId="0" borderId="7" xfId="0" applyNumberFormat="1" applyFont="1" applyBorder="1" applyAlignment="1">
      <alignment vertical="top"/>
    </xf>
    <xf numFmtId="166" fontId="11" fillId="0" borderId="7" xfId="0" applyNumberFormat="1" applyFont="1" applyBorder="1" applyAlignment="1">
      <alignment vertical="top"/>
    </xf>
    <xf numFmtId="164" fontId="14" fillId="0" borderId="27" xfId="0" applyNumberFormat="1" applyFont="1" applyBorder="1" applyAlignment="1">
      <alignment vertical="top"/>
    </xf>
    <xf numFmtId="164" fontId="17" fillId="0" borderId="7" xfId="0" applyNumberFormat="1" applyFont="1" applyBorder="1" applyAlignment="1">
      <alignment vertical="top"/>
    </xf>
    <xf numFmtId="164" fontId="4" fillId="0" borderId="7" xfId="0" applyNumberFormat="1" applyFont="1" applyBorder="1" applyAlignment="1">
      <alignment vertical="top"/>
    </xf>
    <xf numFmtId="164" fontId="11" fillId="0" borderId="7" xfId="0" applyNumberFormat="1" applyFont="1" applyBorder="1" applyAlignment="1">
      <alignment horizontal="left" vertical="top"/>
    </xf>
    <xf numFmtId="166" fontId="11" fillId="0" borderId="7" xfId="0" applyNumberFormat="1" applyFont="1" applyBorder="1" applyAlignment="1">
      <alignment horizontal="left" vertical="top"/>
    </xf>
    <xf numFmtId="164" fontId="14" fillId="0" borderId="26" xfId="0" applyNumberFormat="1" applyFont="1" applyBorder="1" applyAlignment="1">
      <alignment vertical="top"/>
    </xf>
    <xf numFmtId="164" fontId="13" fillId="0" borderId="7" xfId="0" applyNumberFormat="1" applyFont="1" applyBorder="1" applyAlignment="1">
      <alignment vertical="top"/>
    </xf>
    <xf numFmtId="43" fontId="4" fillId="0" borderId="5" xfId="0" applyNumberFormat="1" applyFont="1" applyBorder="1"/>
    <xf numFmtId="9" fontId="15" fillId="0" borderId="7" xfId="2" applyFont="1" applyBorder="1" applyProtection="1">
      <protection hidden="1"/>
    </xf>
    <xf numFmtId="0" fontId="3" fillId="0" borderId="34" xfId="0" applyFont="1" applyBorder="1"/>
    <xf numFmtId="0" fontId="14" fillId="0" borderId="35" xfId="0" applyFont="1" applyFill="1" applyBorder="1"/>
    <xf numFmtId="0" fontId="3" fillId="0" borderId="34" xfId="0" applyFont="1" applyFill="1" applyBorder="1"/>
    <xf numFmtId="0" fontId="15" fillId="0" borderId="34" xfId="0" applyFont="1" applyFill="1" applyBorder="1" applyAlignment="1">
      <alignment horizontal="right"/>
    </xf>
    <xf numFmtId="10" fontId="14" fillId="0" borderId="34" xfId="0" applyNumberFormat="1" applyFont="1" applyBorder="1"/>
    <xf numFmtId="10" fontId="11" fillId="0" borderId="37" xfId="0" applyNumberFormat="1" applyFont="1" applyBorder="1"/>
    <xf numFmtId="164" fontId="11" fillId="0" borderId="34" xfId="0" applyNumberFormat="1" applyFont="1" applyBorder="1"/>
    <xf numFmtId="164" fontId="4" fillId="0" borderId="34" xfId="0" applyNumberFormat="1" applyFont="1" applyBorder="1"/>
    <xf numFmtId="3" fontId="4" fillId="0" borderId="34" xfId="0" applyNumberFormat="1" applyFont="1" applyBorder="1"/>
    <xf numFmtId="3" fontId="4" fillId="0" borderId="37" xfId="0" applyNumberFormat="1" applyFont="1" applyBorder="1"/>
    <xf numFmtId="0" fontId="3" fillId="0" borderId="3" xfId="0" applyFont="1" applyBorder="1"/>
    <xf numFmtId="0" fontId="3" fillId="0" borderId="9" xfId="0" applyFont="1" applyBorder="1"/>
    <xf numFmtId="0" fontId="3" fillId="0" borderId="4" xfId="0" applyFont="1" applyBorder="1"/>
    <xf numFmtId="164" fontId="22" fillId="0" borderId="5" xfId="1" applyNumberFormat="1" applyFont="1" applyFill="1" applyBorder="1"/>
    <xf numFmtId="164" fontId="22" fillId="0" borderId="6" xfId="1" applyNumberFormat="1" applyFont="1" applyFill="1" applyBorder="1"/>
    <xf numFmtId="0" fontId="3" fillId="0" borderId="7" xfId="0" applyFont="1" applyBorder="1"/>
    <xf numFmtId="0" fontId="3" fillId="0" borderId="8" xfId="0" applyFont="1" applyBorder="1"/>
    <xf numFmtId="164" fontId="3" fillId="0" borderId="7" xfId="1" applyNumberFormat="1" applyFont="1" applyBorder="1"/>
    <xf numFmtId="164" fontId="3" fillId="0" borderId="8" xfId="1" applyNumberFormat="1" applyFont="1" applyBorder="1"/>
    <xf numFmtId="0" fontId="3" fillId="0" borderId="7" xfId="0" applyFont="1" applyFill="1" applyBorder="1"/>
    <xf numFmtId="0" fontId="3" fillId="0" borderId="8" xfId="0" applyFont="1" applyFill="1" applyBorder="1"/>
    <xf numFmtId="43" fontId="3" fillId="0" borderId="7" xfId="1" applyFont="1" applyBorder="1"/>
    <xf numFmtId="43" fontId="3" fillId="0" borderId="8" xfId="1" applyFont="1" applyBorder="1"/>
    <xf numFmtId="10" fontId="22" fillId="0" borderId="7" xfId="0" applyNumberFormat="1" applyFont="1" applyBorder="1"/>
    <xf numFmtId="0" fontId="3" fillId="0" borderId="5" xfId="0" applyFont="1" applyBorder="1"/>
    <xf numFmtId="0" fontId="3" fillId="0" borderId="11" xfId="0" applyFont="1" applyBorder="1"/>
    <xf numFmtId="165" fontId="0" fillId="0" borderId="7" xfId="0" applyNumberFormat="1" applyBorder="1"/>
    <xf numFmtId="0" fontId="40" fillId="0" borderId="0" xfId="0" applyFont="1" applyAlignment="1">
      <alignment vertical="top"/>
    </xf>
    <xf numFmtId="0" fontId="40" fillId="0" borderId="0" xfId="0" applyFont="1" applyBorder="1"/>
    <xf numFmtId="0" fontId="40" fillId="0" borderId="0" xfId="0" applyFont="1" applyBorder="1" applyAlignment="1">
      <alignment vertical="top"/>
    </xf>
    <xf numFmtId="0" fontId="2" fillId="0" borderId="4" xfId="0" applyFont="1" applyBorder="1"/>
    <xf numFmtId="0" fontId="2" fillId="0" borderId="8" xfId="0" applyFont="1" applyBorder="1"/>
    <xf numFmtId="0" fontId="15" fillId="0" borderId="8" xfId="0" applyFont="1" applyFill="1" applyBorder="1" applyProtection="1">
      <protection hidden="1"/>
    </xf>
    <xf numFmtId="167" fontId="2" fillId="14" borderId="1" xfId="0" applyNumberFormat="1" applyFont="1" applyFill="1" applyBorder="1"/>
    <xf numFmtId="0" fontId="26" fillId="8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11" fillId="7" borderId="17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9" fontId="0" fillId="0" borderId="9" xfId="0" applyNumberFormat="1" applyBorder="1" applyAlignment="1">
      <alignment horizontal="right"/>
    </xf>
    <xf numFmtId="9" fontId="0" fillId="0" borderId="9" xfId="0" applyNumberFormat="1" applyBorder="1"/>
    <xf numFmtId="0" fontId="0" fillId="0" borderId="0" xfId="0" applyFont="1" applyAlignment="1">
      <alignment horizontal="right"/>
    </xf>
    <xf numFmtId="0" fontId="0" fillId="0" borderId="43" xfId="0" applyFont="1" applyBorder="1" applyAlignment="1">
      <alignment horizontal="right"/>
    </xf>
    <xf numFmtId="0" fontId="2" fillId="0" borderId="10" xfId="0" applyFont="1" applyFill="1" applyBorder="1"/>
    <xf numFmtId="0" fontId="2" fillId="0" borderId="53" xfId="0" applyFont="1" applyFill="1" applyBorder="1"/>
    <xf numFmtId="0" fontId="10" fillId="13" borderId="58" xfId="0" applyFont="1" applyFill="1" applyBorder="1" applyAlignment="1">
      <alignment horizontal="center"/>
    </xf>
    <xf numFmtId="0" fontId="2" fillId="9" borderId="58" xfId="0" applyFont="1" applyFill="1" applyBorder="1" applyAlignment="1">
      <alignment horizontal="center"/>
    </xf>
    <xf numFmtId="0" fontId="2" fillId="9" borderId="59" xfId="0" applyFont="1" applyFill="1" applyBorder="1" applyAlignment="1">
      <alignment horizontal="center"/>
    </xf>
    <xf numFmtId="165" fontId="0" fillId="0" borderId="42" xfId="1" applyNumberFormat="1" applyFont="1" applyBorder="1" applyAlignment="1">
      <alignment horizontal="center"/>
    </xf>
    <xf numFmtId="165" fontId="0" fillId="0" borderId="56" xfId="1" applyNumberFormat="1" applyFont="1" applyBorder="1" applyAlignment="1">
      <alignment horizontal="center"/>
    </xf>
    <xf numFmtId="9" fontId="0" fillId="0" borderId="10" xfId="0" applyNumberFormat="1" applyFont="1" applyBorder="1" applyAlignment="1">
      <alignment horizontal="center"/>
    </xf>
    <xf numFmtId="9" fontId="0" fillId="0" borderId="53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9" fontId="0" fillId="0" borderId="44" xfId="0" applyNumberFormat="1" applyFont="1" applyBorder="1" applyAlignment="1">
      <alignment horizontal="center"/>
    </xf>
    <xf numFmtId="9" fontId="0" fillId="0" borderId="46" xfId="0" applyNumberFormat="1" applyFont="1" applyBorder="1" applyAlignment="1">
      <alignment horizontal="center"/>
    </xf>
    <xf numFmtId="9" fontId="0" fillId="0" borderId="47" xfId="0" applyNumberFormat="1" applyFont="1" applyBorder="1" applyAlignment="1">
      <alignment horizontal="center"/>
    </xf>
    <xf numFmtId="0" fontId="2" fillId="15" borderId="38" xfId="0" applyFont="1" applyFill="1" applyBorder="1" applyAlignment="1">
      <alignment horizontal="center"/>
    </xf>
    <xf numFmtId="165" fontId="2" fillId="14" borderId="51" xfId="1" applyNumberFormat="1" applyFont="1" applyFill="1" applyBorder="1" applyAlignment="1">
      <alignment horizontal="center"/>
    </xf>
    <xf numFmtId="165" fontId="2" fillId="11" borderId="51" xfId="1" applyNumberFormat="1" applyFont="1" applyFill="1" applyBorder="1" applyAlignment="1">
      <alignment horizontal="center" wrapText="1"/>
    </xf>
    <xf numFmtId="10" fontId="0" fillId="0" borderId="0" xfId="2" applyNumberFormat="1" applyFont="1" applyBorder="1" applyAlignment="1">
      <alignment horizontal="center"/>
    </xf>
    <xf numFmtId="0" fontId="2" fillId="0" borderId="60" xfId="0" applyFont="1" applyBorder="1" applyAlignment="1">
      <alignment horizontal="left" vertical="center"/>
    </xf>
    <xf numFmtId="0" fontId="2" fillId="0" borderId="61" xfId="0" applyFont="1" applyBorder="1" applyAlignment="1">
      <alignment horizontal="left" vertical="center"/>
    </xf>
    <xf numFmtId="164" fontId="41" fillId="17" borderId="39" xfId="1" applyNumberFormat="1" applyFont="1" applyFill="1" applyBorder="1" applyAlignment="1">
      <alignment horizontal="left" vertical="center"/>
    </xf>
    <xf numFmtId="167" fontId="4" fillId="0" borderId="42" xfId="1" applyNumberFormat="1" applyFont="1" applyBorder="1" applyAlignment="1" applyProtection="1">
      <alignment vertical="center"/>
      <protection locked="0"/>
    </xf>
    <xf numFmtId="164" fontId="22" fillId="16" borderId="39" xfId="1" applyNumberFormat="1" applyFont="1" applyFill="1" applyBorder="1" applyAlignment="1">
      <alignment vertical="center"/>
    </xf>
    <xf numFmtId="0" fontId="13" fillId="0" borderId="38" xfId="0" applyFont="1" applyBorder="1"/>
    <xf numFmtId="0" fontId="2" fillId="0" borderId="0" xfId="0" applyFont="1"/>
    <xf numFmtId="164" fontId="41" fillId="17" borderId="60" xfId="1" applyNumberFormat="1" applyFont="1" applyFill="1" applyBorder="1" applyAlignment="1">
      <alignment horizontal="left" vertical="center"/>
    </xf>
    <xf numFmtId="167" fontId="37" fillId="10" borderId="62" xfId="1" applyNumberFormat="1" applyFont="1" applyFill="1" applyBorder="1"/>
    <xf numFmtId="3" fontId="0" fillId="15" borderId="7" xfId="0" applyNumberFormat="1" applyFill="1" applyBorder="1"/>
    <xf numFmtId="0" fontId="42" fillId="0" borderId="0" xfId="0" applyFont="1"/>
    <xf numFmtId="0" fontId="13" fillId="0" borderId="7" xfId="0" applyFont="1" applyBorder="1" applyAlignment="1">
      <alignment horizontal="left"/>
    </xf>
    <xf numFmtId="9" fontId="43" fillId="15" borderId="51" xfId="2" applyFont="1" applyFill="1" applyBorder="1" applyAlignment="1">
      <alignment horizontal="center"/>
    </xf>
    <xf numFmtId="9" fontId="43" fillId="15" borderId="52" xfId="2" applyFont="1" applyFill="1" applyBorder="1" applyAlignment="1">
      <alignment horizontal="center"/>
    </xf>
    <xf numFmtId="164" fontId="28" fillId="13" borderId="41" xfId="1" applyNumberFormat="1" applyFont="1" applyFill="1" applyBorder="1" applyAlignment="1">
      <alignment horizontal="center" vertical="center"/>
    </xf>
    <xf numFmtId="164" fontId="28" fillId="13" borderId="6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2" fillId="14" borderId="1" xfId="0" applyFont="1" applyFill="1" applyBorder="1"/>
    <xf numFmtId="0" fontId="44" fillId="0" borderId="1" xfId="0" applyFont="1" applyBorder="1"/>
    <xf numFmtId="9" fontId="44" fillId="0" borderId="1" xfId="2" applyFont="1" applyBorder="1"/>
    <xf numFmtId="0" fontId="45" fillId="0" borderId="0" xfId="0" applyFont="1" applyFill="1"/>
    <xf numFmtId="0" fontId="10" fillId="0" borderId="0" xfId="0" applyFont="1" applyBorder="1" applyAlignment="1">
      <alignment horizontal="center" vertical="center"/>
    </xf>
    <xf numFmtId="0" fontId="2" fillId="0" borderId="55" xfId="0" applyFont="1" applyBorder="1" applyAlignment="1"/>
    <xf numFmtId="0" fontId="2" fillId="0" borderId="0" xfId="0" applyFont="1" applyBorder="1" applyAlignment="1"/>
    <xf numFmtId="0" fontId="2" fillId="17" borderId="1" xfId="0" applyFont="1" applyFill="1" applyBorder="1"/>
    <xf numFmtId="0" fontId="30" fillId="17" borderId="33" xfId="0" applyFont="1" applyFill="1" applyBorder="1" applyAlignment="1">
      <alignment horizontal="left"/>
    </xf>
    <xf numFmtId="0" fontId="41" fillId="17" borderId="1" xfId="0" applyFont="1" applyFill="1" applyBorder="1"/>
    <xf numFmtId="0" fontId="14" fillId="17" borderId="17" xfId="0" applyFont="1" applyFill="1" applyBorder="1"/>
    <xf numFmtId="10" fontId="14" fillId="17" borderId="17" xfId="0" applyNumberFormat="1" applyFont="1" applyFill="1" applyBorder="1" applyAlignment="1">
      <alignment horizontal="center"/>
    </xf>
    <xf numFmtId="0" fontId="11" fillId="17" borderId="17" xfId="0" applyFont="1" applyFill="1" applyBorder="1" applyAlignment="1">
      <alignment horizontal="center"/>
    </xf>
    <xf numFmtId="10" fontId="11" fillId="17" borderId="17" xfId="0" applyNumberFormat="1" applyFont="1" applyFill="1" applyBorder="1" applyAlignment="1">
      <alignment horizontal="center"/>
    </xf>
    <xf numFmtId="43" fontId="15" fillId="17" borderId="16" xfId="0" applyNumberFormat="1" applyFont="1" applyFill="1" applyBorder="1"/>
    <xf numFmtId="0" fontId="14" fillId="17" borderId="12" xfId="0" applyFont="1" applyFill="1" applyBorder="1"/>
    <xf numFmtId="0" fontId="3" fillId="17" borderId="19" xfId="0" applyFont="1" applyFill="1" applyBorder="1"/>
    <xf numFmtId="164" fontId="3" fillId="17" borderId="26" xfId="1" applyNumberFormat="1" applyFont="1" applyFill="1" applyBorder="1"/>
    <xf numFmtId="164" fontId="3" fillId="17" borderId="14" xfId="1" applyNumberFormat="1" applyFont="1" applyFill="1" applyBorder="1"/>
    <xf numFmtId="164" fontId="3" fillId="17" borderId="25" xfId="1" applyNumberFormat="1" applyFont="1" applyFill="1" applyBorder="1"/>
    <xf numFmtId="0" fontId="15" fillId="17" borderId="17" xfId="0" applyFont="1" applyFill="1" applyBorder="1" applyAlignment="1">
      <alignment horizontal="left"/>
    </xf>
    <xf numFmtId="0" fontId="15" fillId="17" borderId="34" xfId="0" applyFont="1" applyFill="1" applyBorder="1" applyAlignment="1">
      <alignment horizontal="right"/>
    </xf>
    <xf numFmtId="0" fontId="15" fillId="17" borderId="16" xfId="0" applyFont="1" applyFill="1" applyBorder="1" applyAlignment="1">
      <alignment horizontal="left"/>
    </xf>
    <xf numFmtId="0" fontId="15" fillId="17" borderId="36" xfId="0" applyFont="1" applyFill="1" applyBorder="1" applyAlignment="1">
      <alignment horizontal="right"/>
    </xf>
    <xf numFmtId="0" fontId="3" fillId="17" borderId="23" xfId="0" applyFont="1" applyFill="1" applyBorder="1"/>
    <xf numFmtId="0" fontId="3" fillId="17" borderId="13" xfId="0" applyFont="1" applyFill="1" applyBorder="1"/>
    <xf numFmtId="0" fontId="3" fillId="17" borderId="24" xfId="0" applyFont="1" applyFill="1" applyBorder="1"/>
    <xf numFmtId="43" fontId="3" fillId="17" borderId="1" xfId="1" applyFont="1" applyFill="1" applyBorder="1"/>
    <xf numFmtId="0" fontId="15" fillId="17" borderId="38" xfId="0" applyFont="1" applyFill="1" applyBorder="1" applyAlignment="1">
      <alignment horizontal="left"/>
    </xf>
    <xf numFmtId="15" fontId="4" fillId="17" borderId="12" xfId="0" applyNumberFormat="1" applyFont="1" applyFill="1" applyBorder="1"/>
    <xf numFmtId="171" fontId="29" fillId="17" borderId="3" xfId="0" applyNumberFormat="1" applyFont="1" applyFill="1" applyBorder="1" applyAlignment="1">
      <alignment horizontal="left" vertical="center"/>
    </xf>
    <xf numFmtId="0" fontId="2" fillId="17" borderId="1" xfId="0" applyFont="1" applyFill="1" applyBorder="1" applyAlignment="1">
      <alignment horizontal="left" vertical="center"/>
    </xf>
    <xf numFmtId="0" fontId="25" fillId="0" borderId="6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1" fontId="12" fillId="18" borderId="1" xfId="3" applyNumberFormat="1" applyFont="1" applyFill="1" applyBorder="1" applyAlignment="1">
      <alignment horizontal="right" vertical="center" wrapText="1"/>
    </xf>
    <xf numFmtId="174" fontId="46" fillId="0" borderId="1" xfId="3" applyNumberFormat="1" applyFont="1" applyBorder="1" applyAlignment="1">
      <alignment horizontal="right"/>
    </xf>
    <xf numFmtId="0" fontId="0" fillId="0" borderId="0" xfId="0" applyAlignment="1">
      <alignment vertical="center"/>
    </xf>
    <xf numFmtId="167" fontId="2" fillId="0" borderId="0" xfId="0" applyNumberFormat="1" applyFont="1"/>
    <xf numFmtId="0" fontId="12" fillId="0" borderId="1" xfId="0" applyFont="1" applyBorder="1" applyAlignment="1">
      <alignment horizontal="center" vertical="center"/>
    </xf>
    <xf numFmtId="9" fontId="47" fillId="15" borderId="38" xfId="0" applyNumberFormat="1" applyFont="1" applyFill="1" applyBorder="1"/>
    <xf numFmtId="164" fontId="27" fillId="8" borderId="0" xfId="0" applyNumberFormat="1" applyFont="1" applyFill="1"/>
    <xf numFmtId="0" fontId="2" fillId="11" borderId="0" xfId="0" applyFont="1" applyFill="1" applyAlignment="1">
      <alignment vertical="center"/>
    </xf>
    <xf numFmtId="3" fontId="2" fillId="11" borderId="0" xfId="0" applyNumberFormat="1" applyFont="1" applyFill="1"/>
    <xf numFmtId="0" fontId="2" fillId="12" borderId="0" xfId="0" applyFont="1" applyFill="1" applyAlignment="1">
      <alignment vertical="center"/>
    </xf>
    <xf numFmtId="3" fontId="2" fillId="12" borderId="0" xfId="0" applyNumberFormat="1" applyFont="1" applyFill="1"/>
    <xf numFmtId="0" fontId="0" fillId="19" borderId="0" xfId="0" applyFill="1"/>
    <xf numFmtId="0" fontId="0" fillId="19" borderId="0" xfId="0" applyFill="1" applyAlignment="1">
      <alignment vertical="center"/>
    </xf>
    <xf numFmtId="9" fontId="31" fillId="0" borderId="0" xfId="2" applyNumberFormat="1" applyFont="1" applyBorder="1" applyAlignment="1">
      <alignment vertical="center"/>
    </xf>
    <xf numFmtId="9" fontId="31" fillId="0" borderId="8" xfId="2" applyNumberFormat="1" applyFont="1" applyBorder="1" applyAlignment="1">
      <alignment vertical="center"/>
    </xf>
    <xf numFmtId="0" fontId="19" fillId="0" borderId="7" xfId="0" applyFont="1" applyBorder="1" applyProtection="1">
      <protection locked="0"/>
    </xf>
    <xf numFmtId="0" fontId="19" fillId="0" borderId="7" xfId="0" applyFont="1" applyFill="1" applyBorder="1" applyAlignment="1" applyProtection="1">
      <alignment vertical="center"/>
      <protection locked="0"/>
    </xf>
    <xf numFmtId="10" fontId="6" fillId="0" borderId="5" xfId="0" applyNumberFormat="1" applyFont="1" applyBorder="1" applyAlignment="1" applyProtection="1">
      <alignment vertical="center"/>
      <protection locked="0"/>
    </xf>
    <xf numFmtId="10" fontId="6" fillId="0" borderId="11" xfId="0" applyNumberFormat="1" applyFont="1" applyBorder="1" applyAlignment="1" applyProtection="1">
      <alignment vertical="center"/>
      <protection locked="0"/>
    </xf>
    <xf numFmtId="10" fontId="6" fillId="0" borderId="6" xfId="0" applyNumberFormat="1" applyFont="1" applyBorder="1" applyAlignment="1" applyProtection="1">
      <alignment vertical="center"/>
      <protection locked="0"/>
    </xf>
    <xf numFmtId="169" fontId="8" fillId="2" borderId="0" xfId="2" applyNumberFormat="1" applyFont="1" applyFill="1" applyBorder="1" applyAlignment="1" applyProtection="1">
      <alignment vertical="center"/>
      <protection locked="0"/>
    </xf>
    <xf numFmtId="169" fontId="8" fillId="2" borderId="8" xfId="2" applyNumberFormat="1" applyFont="1" applyFill="1" applyBorder="1" applyAlignment="1" applyProtection="1">
      <alignment vertical="center"/>
      <protection locked="0"/>
    </xf>
    <xf numFmtId="9" fontId="4" fillId="0" borderId="0" xfId="2" applyFont="1" applyFill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left" vertical="center" wrapText="1"/>
      <protection locked="0"/>
    </xf>
    <xf numFmtId="0" fontId="0" fillId="0" borderId="0" xfId="0" applyBorder="1"/>
    <xf numFmtId="9" fontId="4" fillId="0" borderId="8" xfId="2" applyFont="1" applyFill="1" applyBorder="1" applyAlignment="1" applyProtection="1">
      <alignment horizontal="center" vertical="center"/>
      <protection locked="0"/>
    </xf>
    <xf numFmtId="0" fontId="0" fillId="0" borderId="8" xfId="0" applyBorder="1"/>
    <xf numFmtId="169" fontId="6" fillId="0" borderId="8" xfId="2" applyNumberFormat="1" applyFont="1" applyFill="1" applyBorder="1" applyProtection="1">
      <protection locked="0"/>
    </xf>
    <xf numFmtId="167" fontId="0" fillId="0" borderId="7" xfId="0" applyNumberFormat="1" applyFill="1" applyBorder="1"/>
    <xf numFmtId="167" fontId="1" fillId="0" borderId="0" xfId="1" applyNumberFormat="1" applyFont="1" applyBorder="1" applyAlignment="1">
      <alignment vertical="center"/>
    </xf>
    <xf numFmtId="167" fontId="1" fillId="0" borderId="8" xfId="1" applyNumberFormat="1" applyFont="1" applyBorder="1" applyAlignment="1">
      <alignment vertical="center"/>
    </xf>
    <xf numFmtId="167" fontId="1" fillId="0" borderId="7" xfId="1" applyNumberFormat="1" applyFont="1" applyFill="1" applyBorder="1" applyAlignment="1">
      <alignment vertical="center"/>
    </xf>
    <xf numFmtId="167" fontId="1" fillId="0" borderId="7" xfId="1" applyNumberFormat="1" applyFont="1" applyBorder="1" applyAlignment="1">
      <alignment vertical="center"/>
    </xf>
    <xf numFmtId="167" fontId="2" fillId="16" borderId="49" xfId="1" applyNumberFormat="1" applyFont="1" applyFill="1" applyBorder="1" applyAlignment="1">
      <alignment vertical="center"/>
    </xf>
    <xf numFmtId="167" fontId="2" fillId="16" borderId="51" xfId="1" applyNumberFormat="1" applyFont="1" applyFill="1" applyBorder="1" applyAlignment="1">
      <alignment vertical="center"/>
    </xf>
    <xf numFmtId="167" fontId="2" fillId="16" borderId="52" xfId="1" applyNumberFormat="1" applyFont="1" applyFill="1" applyBorder="1" applyAlignment="1">
      <alignment vertical="center"/>
    </xf>
    <xf numFmtId="167" fontId="35" fillId="8" borderId="1" xfId="1" applyNumberFormat="1" applyFont="1" applyFill="1" applyBorder="1" applyAlignment="1">
      <alignment horizontal="center" vertical="center"/>
    </xf>
    <xf numFmtId="167" fontId="2" fillId="0" borderId="4" xfId="1" applyNumberFormat="1" applyFont="1" applyBorder="1"/>
    <xf numFmtId="165" fontId="48" fillId="0" borderId="42" xfId="1" applyNumberFormat="1" applyFont="1" applyBorder="1" applyAlignment="1">
      <alignment horizontal="center"/>
    </xf>
    <xf numFmtId="165" fontId="48" fillId="0" borderId="56" xfId="1" applyNumberFormat="1" applyFont="1" applyBorder="1" applyAlignment="1">
      <alignment horizontal="center"/>
    </xf>
    <xf numFmtId="173" fontId="37" fillId="10" borderId="38" xfId="1" applyNumberFormat="1" applyFont="1" applyFill="1" applyBorder="1" applyAlignment="1">
      <alignment horizontal="center" vertical="center"/>
    </xf>
    <xf numFmtId="167" fontId="37" fillId="10" borderId="38" xfId="1" applyNumberFormat="1" applyFont="1" applyFill="1" applyBorder="1"/>
    <xf numFmtId="164" fontId="1" fillId="0" borderId="0" xfId="1" applyNumberFormat="1" applyFont="1"/>
    <xf numFmtId="164" fontId="29" fillId="13" borderId="39" xfId="1" applyNumberFormat="1" applyFont="1" applyFill="1" applyBorder="1" applyAlignment="1">
      <alignment horizontal="left" vertical="center" wrapText="1"/>
    </xf>
    <xf numFmtId="164" fontId="29" fillId="13" borderId="65" xfId="1" applyNumberFormat="1" applyFont="1" applyFill="1" applyBorder="1" applyAlignment="1">
      <alignment horizontal="center" vertical="center" wrapText="1"/>
    </xf>
    <xf numFmtId="164" fontId="29" fillId="13" borderId="45" xfId="1" applyNumberFormat="1" applyFont="1" applyFill="1" applyBorder="1"/>
    <xf numFmtId="167" fontId="1" fillId="0" borderId="63" xfId="1" applyNumberFormat="1" applyFont="1" applyBorder="1"/>
    <xf numFmtId="9" fontId="1" fillId="0" borderId="63" xfId="1" applyNumberFormat="1" applyFont="1" applyBorder="1" applyAlignment="1">
      <alignment horizontal="center" vertical="center"/>
    </xf>
    <xf numFmtId="167" fontId="1" fillId="0" borderId="64" xfId="1" applyNumberFormat="1" applyFont="1" applyBorder="1"/>
    <xf numFmtId="164" fontId="42" fillId="0" borderId="0" xfId="1" applyNumberFormat="1" applyFont="1" applyAlignment="1">
      <alignment vertical="center"/>
    </xf>
    <xf numFmtId="164" fontId="41" fillId="13" borderId="1" xfId="1" applyNumberFormat="1" applyFont="1" applyFill="1" applyBorder="1" applyAlignment="1">
      <alignment vertical="center"/>
    </xf>
    <xf numFmtId="164" fontId="41" fillId="13" borderId="1" xfId="1" applyNumberFormat="1" applyFont="1" applyFill="1" applyBorder="1" applyAlignment="1">
      <alignment horizontal="center" vertical="center"/>
    </xf>
    <xf numFmtId="173" fontId="42" fillId="0" borderId="29" xfId="1" applyNumberFormat="1" applyFont="1" applyBorder="1" applyAlignment="1">
      <alignment horizontal="center" vertical="center"/>
    </xf>
    <xf numFmtId="173" fontId="42" fillId="0" borderId="0" xfId="1" applyNumberFormat="1" applyFont="1" applyBorder="1" applyAlignment="1">
      <alignment horizontal="center" vertical="center"/>
    </xf>
    <xf numFmtId="173" fontId="42" fillId="0" borderId="8" xfId="1" applyNumberFormat="1" applyFont="1" applyBorder="1" applyAlignment="1">
      <alignment horizontal="center" vertical="center"/>
    </xf>
    <xf numFmtId="173" fontId="42" fillId="0" borderId="42" xfId="1" applyNumberFormat="1" applyFont="1" applyBorder="1" applyAlignment="1">
      <alignment horizontal="center" vertical="center"/>
    </xf>
    <xf numFmtId="173" fontId="42" fillId="0" borderId="10" xfId="1" applyNumberFormat="1" applyFont="1" applyBorder="1" applyAlignment="1">
      <alignment horizontal="center" vertical="center"/>
    </xf>
    <xf numFmtId="173" fontId="42" fillId="0" borderId="11" xfId="1" applyNumberFormat="1" applyFont="1" applyBorder="1" applyAlignment="1">
      <alignment horizontal="center" vertical="center"/>
    </xf>
    <xf numFmtId="173" fontId="42" fillId="0" borderId="6" xfId="1" applyNumberFormat="1" applyFont="1" applyBorder="1" applyAlignment="1">
      <alignment horizontal="center" vertical="center"/>
    </xf>
    <xf numFmtId="164" fontId="42" fillId="0" borderId="0" xfId="1" applyNumberFormat="1" applyFont="1" applyAlignment="1">
      <alignment horizontal="center" vertical="center"/>
    </xf>
    <xf numFmtId="164" fontId="41" fillId="13" borderId="29" xfId="1" applyNumberFormat="1" applyFont="1" applyFill="1" applyBorder="1" applyAlignment="1">
      <alignment horizontal="center" vertical="center"/>
    </xf>
    <xf numFmtId="164" fontId="41" fillId="13" borderId="30" xfId="1" applyNumberFormat="1" applyFont="1" applyFill="1" applyBorder="1" applyAlignment="1">
      <alignment vertical="center"/>
    </xf>
    <xf numFmtId="9" fontId="42" fillId="0" borderId="29" xfId="1" applyNumberFormat="1" applyFont="1" applyBorder="1" applyAlignment="1">
      <alignment horizontal="center" vertical="center"/>
    </xf>
    <xf numFmtId="9" fontId="42" fillId="0" borderId="9" xfId="1" applyNumberFormat="1" applyFont="1" applyBorder="1" applyAlignment="1">
      <alignment horizontal="center" vertical="center"/>
    </xf>
    <xf numFmtId="9" fontId="42" fillId="0" borderId="4" xfId="1" applyNumberFormat="1" applyFont="1" applyBorder="1" applyAlignment="1">
      <alignment horizontal="center" vertical="center"/>
    </xf>
    <xf numFmtId="9" fontId="42" fillId="0" borderId="42" xfId="1" applyNumberFormat="1" applyFont="1" applyBorder="1" applyAlignment="1">
      <alignment horizontal="center" vertical="center"/>
    </xf>
    <xf numFmtId="9" fontId="42" fillId="0" borderId="0" xfId="1" applyNumberFormat="1" applyFont="1" applyBorder="1" applyAlignment="1">
      <alignment horizontal="center" vertical="center"/>
    </xf>
    <xf numFmtId="9" fontId="42" fillId="0" borderId="8" xfId="1" applyNumberFormat="1" applyFont="1" applyBorder="1" applyAlignment="1">
      <alignment horizontal="center" vertical="center"/>
    </xf>
    <xf numFmtId="9" fontId="42" fillId="0" borderId="10" xfId="1" applyNumberFormat="1" applyFont="1" applyBorder="1" applyAlignment="1">
      <alignment horizontal="center" vertical="center"/>
    </xf>
    <xf numFmtId="9" fontId="42" fillId="0" borderId="11" xfId="1" applyNumberFormat="1" applyFont="1" applyBorder="1" applyAlignment="1">
      <alignment horizontal="center" vertical="center"/>
    </xf>
    <xf numFmtId="9" fontId="42" fillId="0" borderId="6" xfId="1" applyNumberFormat="1" applyFont="1" applyBorder="1" applyAlignment="1">
      <alignment horizontal="center" vertical="center"/>
    </xf>
    <xf numFmtId="0" fontId="50" fillId="8" borderId="0" xfId="0" applyFont="1" applyFill="1" applyAlignment="1">
      <alignment vertical="center"/>
    </xf>
    <xf numFmtId="164" fontId="51" fillId="8" borderId="0" xfId="0" applyNumberFormat="1" applyFont="1" applyFill="1"/>
    <xf numFmtId="0" fontId="51" fillId="8" borderId="0" xfId="0" applyFont="1" applyFill="1"/>
    <xf numFmtId="164" fontId="49" fillId="16" borderId="67" xfId="1" applyNumberFormat="1" applyFont="1" applyFill="1" applyBorder="1" applyAlignment="1">
      <alignment horizontal="center" vertical="center"/>
    </xf>
    <xf numFmtId="164" fontId="49" fillId="16" borderId="68" xfId="1" applyNumberFormat="1" applyFont="1" applyFill="1" applyBorder="1" applyAlignment="1">
      <alignment horizontal="center" vertical="center"/>
    </xf>
    <xf numFmtId="164" fontId="49" fillId="16" borderId="60" xfId="1" applyNumberFormat="1" applyFont="1" applyFill="1" applyBorder="1" applyAlignment="1">
      <alignment horizontal="center" vertical="center"/>
    </xf>
    <xf numFmtId="164" fontId="49" fillId="16" borderId="69" xfId="1" applyNumberFormat="1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15" borderId="49" xfId="0" applyFont="1" applyFill="1" applyBorder="1" applyAlignment="1">
      <alignment horizontal="left"/>
    </xf>
    <xf numFmtId="0" fontId="2" fillId="15" borderId="51" xfId="0" applyFont="1" applyFill="1" applyBorder="1" applyAlignment="1">
      <alignment horizontal="left"/>
    </xf>
    <xf numFmtId="0" fontId="2" fillId="11" borderId="39" xfId="0" applyFont="1" applyFill="1" applyBorder="1" applyAlignment="1">
      <alignment horizontal="left" wrapText="1"/>
    </xf>
    <xf numFmtId="0" fontId="2" fillId="11" borderId="40" xfId="0" applyFont="1" applyFill="1" applyBorder="1" applyAlignment="1">
      <alignment horizontal="left" wrapText="1"/>
    </xf>
    <xf numFmtId="0" fontId="2" fillId="0" borderId="5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6" fillId="0" borderId="0" xfId="0" applyFont="1" applyFill="1" applyBorder="1" applyAlignment="1">
      <alignment horizontal="center" vertical="center"/>
    </xf>
    <xf numFmtId="0" fontId="34" fillId="6" borderId="39" xfId="0" applyFont="1" applyFill="1" applyBorder="1" applyAlignment="1">
      <alignment horizontal="left" vertical="center"/>
    </xf>
    <xf numFmtId="0" fontId="34" fillId="6" borderId="40" xfId="0" applyFont="1" applyFill="1" applyBorder="1" applyAlignment="1">
      <alignment horizontal="left" vertical="center"/>
    </xf>
    <xf numFmtId="0" fontId="34" fillId="6" borderId="41" xfId="0" applyFont="1" applyFill="1" applyBorder="1" applyAlignment="1">
      <alignment horizontal="left" vertical="center"/>
    </xf>
    <xf numFmtId="0" fontId="33" fillId="0" borderId="54" xfId="0" applyFont="1" applyFill="1" applyBorder="1" applyAlignment="1">
      <alignment horizontal="center" vertical="center"/>
    </xf>
    <xf numFmtId="0" fontId="33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14" borderId="39" xfId="0" applyFont="1" applyFill="1" applyBorder="1" applyAlignment="1">
      <alignment horizontal="left"/>
    </xf>
    <xf numFmtId="0" fontId="2" fillId="14" borderId="50" xfId="0" applyFont="1" applyFill="1" applyBorder="1" applyAlignment="1">
      <alignment horizontal="left"/>
    </xf>
    <xf numFmtId="0" fontId="2" fillId="9" borderId="57" xfId="0" applyFont="1" applyFill="1" applyBorder="1" applyAlignment="1">
      <alignment horizontal="left" vertical="center"/>
    </xf>
    <xf numFmtId="0" fontId="2" fillId="9" borderId="48" xfId="0" applyFont="1" applyFill="1" applyBorder="1" applyAlignment="1">
      <alignment horizontal="left" vertical="center"/>
    </xf>
    <xf numFmtId="43" fontId="21" fillId="5" borderId="19" xfId="0" applyNumberFormat="1" applyFont="1" applyFill="1" applyBorder="1" applyAlignment="1">
      <alignment horizontal="center"/>
    </xf>
    <xf numFmtId="0" fontId="24" fillId="0" borderId="20" xfId="0" applyFont="1" applyBorder="1"/>
    <xf numFmtId="0" fontId="2" fillId="0" borderId="70" xfId="0" applyFont="1" applyBorder="1" applyAlignment="1">
      <alignment horizontal="left"/>
    </xf>
    <xf numFmtId="0" fontId="0" fillId="0" borderId="71" xfId="0" applyBorder="1" applyAlignment="1">
      <alignment horizontal="left"/>
    </xf>
    <xf numFmtId="0" fontId="2" fillId="0" borderId="7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73" xfId="0" applyFont="1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39" xfId="0" applyFont="1" applyBorder="1" applyAlignment="1">
      <alignment horizontal="left"/>
    </xf>
    <xf numFmtId="0" fontId="0" fillId="0" borderId="40" xfId="0" applyBorder="1" applyAlignment="1">
      <alignment horizontal="left"/>
    </xf>
    <xf numFmtId="0" fontId="35" fillId="8" borderId="39" xfId="0" applyFont="1" applyFill="1" applyBorder="1" applyAlignment="1">
      <alignment horizontal="left"/>
    </xf>
    <xf numFmtId="0" fontId="0" fillId="0" borderId="41" xfId="0" applyBorder="1" applyAlignment="1">
      <alignment horizontal="left"/>
    </xf>
    <xf numFmtId="0" fontId="14" fillId="13" borderId="30" xfId="0" applyFont="1" applyFill="1" applyBorder="1"/>
    <xf numFmtId="0" fontId="2" fillId="13" borderId="1" xfId="0" applyFont="1" applyFill="1" applyBorder="1" applyAlignment="1">
      <alignment horizontal="center"/>
    </xf>
    <xf numFmtId="0" fontId="2" fillId="13" borderId="29" xfId="0" applyFont="1" applyFill="1" applyBorder="1" applyAlignment="1">
      <alignment horizontal="center"/>
    </xf>
    <xf numFmtId="0" fontId="2" fillId="13" borderId="39" xfId="0" applyFont="1" applyFill="1" applyBorder="1" applyAlignment="1">
      <alignment horizontal="left"/>
    </xf>
    <xf numFmtId="0" fontId="2" fillId="13" borderId="50" xfId="0" applyFont="1" applyFill="1" applyBorder="1" applyAlignment="1">
      <alignment horizontal="left"/>
    </xf>
    <xf numFmtId="0" fontId="2" fillId="13" borderId="51" xfId="0" applyFont="1" applyFill="1" applyBorder="1" applyAlignment="1">
      <alignment horizontal="center"/>
    </xf>
    <xf numFmtId="0" fontId="2" fillId="13" borderId="52" xfId="0" applyFont="1" applyFill="1" applyBorder="1" applyAlignment="1">
      <alignment horizontal="center"/>
    </xf>
    <xf numFmtId="0" fontId="10" fillId="13" borderId="39" xfId="0" applyFont="1" applyFill="1" applyBorder="1" applyAlignment="1">
      <alignment horizontal="left"/>
    </xf>
    <xf numFmtId="0" fontId="10" fillId="13" borderId="40" xfId="0" applyFont="1" applyFill="1" applyBorder="1" applyAlignment="1">
      <alignment horizontal="left"/>
    </xf>
    <xf numFmtId="168" fontId="13" fillId="13" borderId="1" xfId="1" applyNumberFormat="1" applyFont="1" applyFill="1" applyBorder="1" applyAlignment="1" applyProtection="1">
      <alignment horizontal="left" vertical="center"/>
      <protection locked="0"/>
    </xf>
    <xf numFmtId="0" fontId="2" fillId="13" borderId="1" xfId="0" applyFont="1" applyFill="1" applyBorder="1"/>
    <xf numFmtId="0" fontId="28" fillId="13" borderId="1" xfId="0" applyFont="1" applyFill="1" applyBorder="1"/>
    <xf numFmtId="0" fontId="32" fillId="13" borderId="3" xfId="0" applyFont="1" applyFill="1" applyBorder="1" applyAlignment="1">
      <alignment vertical="center"/>
    </xf>
    <xf numFmtId="0" fontId="2" fillId="13" borderId="29" xfId="0" applyFont="1" applyFill="1" applyBorder="1"/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3" fontId="0" fillId="0" borderId="0" xfId="1" applyNumberFormat="1" applyFont="1" applyBorder="1" applyAlignment="1">
      <alignment vertical="center"/>
    </xf>
    <xf numFmtId="0" fontId="12" fillId="0" borderId="31" xfId="0" applyFont="1" applyBorder="1" applyAlignment="1">
      <alignment horizontal="center" vertical="center"/>
    </xf>
    <xf numFmtId="167" fontId="46" fillId="0" borderId="1" xfId="1" applyNumberFormat="1" applyFont="1" applyBorder="1" applyAlignment="1">
      <alignment horizontal="right" vertical="center"/>
    </xf>
    <xf numFmtId="167" fontId="2" fillId="0" borderId="0" xfId="1" applyNumberFormat="1" applyFont="1" applyBorder="1" applyAlignment="1">
      <alignment vertical="center"/>
    </xf>
    <xf numFmtId="43" fontId="2" fillId="0" borderId="0" xfId="1" applyFont="1" applyBorder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23">
    <dxf>
      <alignment horizontal="general" vertical="center" textRotation="0" wrapText="0" indent="0" justifyLastLine="0" shrinkToFit="0" readingOrder="0"/>
    </dxf>
    <dxf>
      <font>
        <b/>
        <color theme="0"/>
      </font>
      <numFmt numFmtId="167" formatCode="_ [$₹-4009]\ * #,##0_ ;_ [$₹-4009]\ * \-#,##0_ ;_ [$₹-4009]\ * &quot;-&quot;??_ ;_ @_ 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olor theme="0"/>
      </font>
      <numFmt numFmtId="167" formatCode="_ [$₹-4009]\ * #,##0_ ;_ [$₹-4009]\ * \-#,##0_ ;_ [$₹-4009]\ * &quot;-&quot;??_ ;_ @_ 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olor theme="0"/>
      </font>
      <numFmt numFmtId="167" formatCode="_ [$₹-4009]\ * #,##0_ ;_ [$₹-4009]\ * \-#,##0_ ;_ [$₹-4009]\ * &quot;-&quot;??_ ;_ @_ 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olor theme="0"/>
      </font>
      <numFmt numFmtId="167" formatCode="_ [$₹-4009]\ * #,##0_ ;_ [$₹-4009]\ * \-#,##0_ ;_ [$₹-4009]\ * &quot;-&quot;??_ ;_ @_ 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olor theme="0"/>
      </font>
      <numFmt numFmtId="167" formatCode="_ [$₹-4009]\ * #,##0_ ;_ [$₹-4009]\ * \-#,##0_ ;_ [$₹-4009]\ * &quot;-&quot;??_ ;_ @_ 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alignment vertical="center" textRotation="0" indent="0" justifyLastLine="0" shrinkToFit="0" readingOrder="0"/>
    </dxf>
    <dxf>
      <numFmt numFmtId="3" formatCode="#,##0"/>
      <alignment vertical="center" textRotation="0" indent="0" justifyLastLine="0" shrinkToFit="0" readingOrder="0"/>
    </dxf>
    <dxf>
      <numFmt numFmtId="3" formatCode="#,##0"/>
      <alignment vertical="center" textRotation="0" indent="0" justifyLastLine="0" shrinkToFit="0" readingOrder="0"/>
    </dxf>
    <dxf>
      <numFmt numFmtId="3" formatCode="#,##0"/>
      <alignment vertical="center" textRotation="0" indent="0" justifyLastLine="0" shrinkToFit="0" readingOrder="0"/>
    </dxf>
    <dxf>
      <numFmt numFmtId="3" formatCode="#,##0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numFmt numFmtId="164" formatCode="_ * #,##0_ ;_ * \-#,##0_ ;_ * &quot;-&quot;??_ ;_ @_ "/>
      <alignment vertical="center" textRotation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_ * #,##0_ ;_ * \-#,##0_ ;_ 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Key Financial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Summary!$H$4</c:f>
              <c:strCache>
                <c:ptCount val="1"/>
                <c:pt idx="0">
                  <c:v> Total Revenue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Summary!$I$3:$M$3</c:f>
              <c:strCache>
                <c:ptCount val="5"/>
                <c:pt idx="0">
                  <c:v> FY 2021-22 </c:v>
                </c:pt>
                <c:pt idx="1">
                  <c:v> FY 2022-23 </c:v>
                </c:pt>
                <c:pt idx="2">
                  <c:v> FY 2023-24 </c:v>
                </c:pt>
                <c:pt idx="3">
                  <c:v> FY 2024-25 </c:v>
                </c:pt>
                <c:pt idx="4">
                  <c:v> FY 2025-26 </c:v>
                </c:pt>
              </c:strCache>
            </c:strRef>
          </c:cat>
          <c:val>
            <c:numRef>
              <c:f>Summary!$I$4:$M$4</c:f>
              <c:numCache>
                <c:formatCode>_ [$₹-4009]\ * #,##0.00_ ;_ [$₹-4009]\ * \-#,##0.00_ ;_ [$₹-4009]\ * "-"??_ ;_ @_ </c:formatCode>
                <c:ptCount val="5"/>
                <c:pt idx="0">
                  <c:v>3.6</c:v>
                </c:pt>
                <c:pt idx="1">
                  <c:v>5.04</c:v>
                </c:pt>
                <c:pt idx="2">
                  <c:v>6.048</c:v>
                </c:pt>
                <c:pt idx="3">
                  <c:v>7.2576000000000001</c:v>
                </c:pt>
                <c:pt idx="4">
                  <c:v>7.9833600000000002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0-4787-8B2F-5C0375AA6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813600"/>
        <c:axId val="411813928"/>
      </c:barChart>
      <c:lineChart>
        <c:grouping val="standard"/>
        <c:varyColors val="0"/>
        <c:ser>
          <c:idx val="1"/>
          <c:order val="1"/>
          <c:tx>
            <c:strRef>
              <c:f>Summary!$H$5</c:f>
              <c:strCache>
                <c:ptCount val="1"/>
                <c:pt idx="0">
                  <c:v> Profit after tax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Summary!$I$3:$M$3</c:f>
              <c:strCache>
                <c:ptCount val="5"/>
                <c:pt idx="0">
                  <c:v> FY 2021-22 </c:v>
                </c:pt>
                <c:pt idx="1">
                  <c:v> FY 2022-23 </c:v>
                </c:pt>
                <c:pt idx="2">
                  <c:v> FY 2023-24 </c:v>
                </c:pt>
                <c:pt idx="3">
                  <c:v> FY 2024-25 </c:v>
                </c:pt>
                <c:pt idx="4">
                  <c:v> FY 2025-26 </c:v>
                </c:pt>
              </c:strCache>
            </c:strRef>
          </c:cat>
          <c:val>
            <c:numRef>
              <c:f>Summary!$I$5:$M$5</c:f>
              <c:numCache>
                <c:formatCode>_ [$₹-4009]\ * #,##0.00_ ;_ [$₹-4009]\ * \-#,##0.00_ ;_ [$₹-4009]\ * "-"??_ ;_ @_ </c:formatCode>
                <c:ptCount val="5"/>
                <c:pt idx="0">
                  <c:v>1.4537812000000001</c:v>
                </c:pt>
                <c:pt idx="1">
                  <c:v>2.4203462981818182</c:v>
                </c:pt>
                <c:pt idx="2">
                  <c:v>3.0336443341818176</c:v>
                </c:pt>
                <c:pt idx="3">
                  <c:v>3.8004142172727273</c:v>
                </c:pt>
                <c:pt idx="4">
                  <c:v>4.1801532318218175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0-4787-8B2F-5C0375AA63F7}"/>
            </c:ext>
          </c:extLst>
        </c:ser>
        <c:ser>
          <c:idx val="2"/>
          <c:order val="2"/>
          <c:tx>
            <c:strRef>
              <c:f>Summary!$H$6</c:f>
              <c:strCache>
                <c:ptCount val="1"/>
                <c:pt idx="0">
                  <c:v> Free Cash flow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Summary!$I$3:$M$3</c:f>
              <c:strCache>
                <c:ptCount val="5"/>
                <c:pt idx="0">
                  <c:v> FY 2021-22 </c:v>
                </c:pt>
                <c:pt idx="1">
                  <c:v> FY 2022-23 </c:v>
                </c:pt>
                <c:pt idx="2">
                  <c:v> FY 2023-24 </c:v>
                </c:pt>
                <c:pt idx="3">
                  <c:v> FY 2024-25 </c:v>
                </c:pt>
                <c:pt idx="4">
                  <c:v> FY 2025-26 </c:v>
                </c:pt>
              </c:strCache>
            </c:strRef>
          </c:cat>
          <c:val>
            <c:numRef>
              <c:f>Summary!$I$6:$M$6</c:f>
              <c:numCache>
                <c:formatCode>_ [$₹-4009]\ * #,##0.00_ ;_ [$₹-4009]\ * \-#,##0.00_ ;_ [$₹-4009]\ * "-"??_ ;_ @_ </c:formatCode>
                <c:ptCount val="5"/>
                <c:pt idx="0">
                  <c:v>1.2197811999999999</c:v>
                </c:pt>
                <c:pt idx="1">
                  <c:v>2.4293462981818181</c:v>
                </c:pt>
                <c:pt idx="2">
                  <c:v>3.0417443341818178</c:v>
                </c:pt>
                <c:pt idx="3">
                  <c:v>3.8077042172727271</c:v>
                </c:pt>
                <c:pt idx="4">
                  <c:v>4.186714231821818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5-44A0-A632-67AB55C11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813600"/>
        <c:axId val="411813928"/>
      </c:lineChart>
      <c:catAx>
        <c:axId val="4118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13928"/>
        <c:crosses val="autoZero"/>
        <c:auto val="1"/>
        <c:lblAlgn val="ctr"/>
        <c:lblOffset val="100"/>
        <c:noMultiLvlLbl val="0"/>
      </c:catAx>
      <c:valAx>
        <c:axId val="41181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13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Key 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Summary!$H$10</c:f>
              <c:strCache>
                <c:ptCount val="1"/>
                <c:pt idx="0">
                  <c:v> EBITDA %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Summary!$I$9:$M$9</c:f>
              <c:strCache>
                <c:ptCount val="5"/>
                <c:pt idx="0">
                  <c:v> FY 2021-22 </c:v>
                </c:pt>
                <c:pt idx="1">
                  <c:v> FY 2022-23 </c:v>
                </c:pt>
                <c:pt idx="2">
                  <c:v> FY 2023-24 </c:v>
                </c:pt>
                <c:pt idx="3">
                  <c:v> FY 2024-25 </c:v>
                </c:pt>
                <c:pt idx="4">
                  <c:v> FY 2025-26 </c:v>
                </c:pt>
              </c:strCache>
            </c:strRef>
          </c:cat>
          <c:val>
            <c:numRef>
              <c:f>Summary!$I$10:$M$10</c:f>
              <c:numCache>
                <c:formatCode>0%</c:formatCode>
                <c:ptCount val="5"/>
                <c:pt idx="0">
                  <c:v>0.54666666666666663</c:v>
                </c:pt>
                <c:pt idx="1">
                  <c:v>0.6464610389610389</c:v>
                </c:pt>
                <c:pt idx="2">
                  <c:v>0.67402837902837898</c:v>
                </c:pt>
                <c:pt idx="3">
                  <c:v>0.70270963604296943</c:v>
                </c:pt>
                <c:pt idx="4">
                  <c:v>0.70227598860174612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2-4B85-A3C2-C89487C65305}"/>
            </c:ext>
          </c:extLst>
        </c:ser>
        <c:ser>
          <c:idx val="1"/>
          <c:order val="1"/>
          <c:tx>
            <c:strRef>
              <c:f>Summary!$H$11</c:f>
              <c:strCache>
                <c:ptCount val="1"/>
                <c:pt idx="0">
                  <c:v> PAT %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Summary!$I$9:$M$9</c:f>
              <c:strCache>
                <c:ptCount val="5"/>
                <c:pt idx="0">
                  <c:v> FY 2021-22 </c:v>
                </c:pt>
                <c:pt idx="1">
                  <c:v> FY 2022-23 </c:v>
                </c:pt>
                <c:pt idx="2">
                  <c:v> FY 2023-24 </c:v>
                </c:pt>
                <c:pt idx="3">
                  <c:v> FY 2024-25 </c:v>
                </c:pt>
                <c:pt idx="4">
                  <c:v> FY 2025-26 </c:v>
                </c:pt>
              </c:strCache>
            </c:strRef>
          </c:cat>
          <c:val>
            <c:numRef>
              <c:f>Summary!$I$11:$M$11</c:f>
              <c:numCache>
                <c:formatCode>0%</c:formatCode>
                <c:ptCount val="5"/>
                <c:pt idx="0">
                  <c:v>0.40382811111111111</c:v>
                </c:pt>
                <c:pt idx="1">
                  <c:v>0.48022744011544011</c:v>
                </c:pt>
                <c:pt idx="2">
                  <c:v>0.50159463197450693</c:v>
                </c:pt>
                <c:pt idx="3">
                  <c:v>0.52364613884379507</c:v>
                </c:pt>
                <c:pt idx="4">
                  <c:v>0.52360825915677334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2-4B85-A3C2-C89487C65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403960"/>
        <c:axId val="300398712"/>
      </c:lineChart>
      <c:lineChart>
        <c:grouping val="standard"/>
        <c:varyColors val="0"/>
        <c:ser>
          <c:idx val="2"/>
          <c:order val="2"/>
          <c:tx>
            <c:strRef>
              <c:f>Summary!$H$12</c:f>
              <c:strCache>
                <c:ptCount val="1"/>
                <c:pt idx="0">
                  <c:v> ROI %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Summary!$I$9:$M$9</c:f>
              <c:strCache>
                <c:ptCount val="5"/>
                <c:pt idx="0">
                  <c:v> FY 2021-22 </c:v>
                </c:pt>
                <c:pt idx="1">
                  <c:v> FY 2022-23 </c:v>
                </c:pt>
                <c:pt idx="2">
                  <c:v> FY 2023-24 </c:v>
                </c:pt>
                <c:pt idx="3">
                  <c:v> FY 2024-25 </c:v>
                </c:pt>
                <c:pt idx="4">
                  <c:v> FY 2025-26 </c:v>
                </c:pt>
              </c:strCache>
            </c:strRef>
          </c:cat>
          <c:val>
            <c:numRef>
              <c:f>Summary!$I$12:$M$12</c:f>
              <c:numCache>
                <c:formatCode>0%</c:formatCode>
                <c:ptCount val="5"/>
                <c:pt idx="0">
                  <c:v>0.74476495901639339</c:v>
                </c:pt>
                <c:pt idx="1">
                  <c:v>1.3462550581001405</c:v>
                </c:pt>
                <c:pt idx="2">
                  <c:v>1.5263800816384778</c:v>
                </c:pt>
                <c:pt idx="3">
                  <c:v>1.7484306153637676</c:v>
                </c:pt>
                <c:pt idx="4">
                  <c:v>1.7469437109186008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2-4B85-A3C2-C89487C65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09712"/>
        <c:axId val="404520280"/>
      </c:lineChart>
      <c:catAx>
        <c:axId val="30040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98712"/>
        <c:crosses val="autoZero"/>
        <c:auto val="1"/>
        <c:lblAlgn val="ctr"/>
        <c:lblOffset val="100"/>
        <c:noMultiLvlLbl val="0"/>
      </c:catAx>
      <c:valAx>
        <c:axId val="3003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03960"/>
        <c:crosses val="autoZero"/>
        <c:crossBetween val="between"/>
      </c:valAx>
      <c:valAx>
        <c:axId val="404520280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413809712"/>
        <c:crosses val="max"/>
        <c:crossBetween val="between"/>
      </c:valAx>
      <c:catAx>
        <c:axId val="41380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45202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421639</xdr:colOff>
      <xdr:row>13</xdr:row>
      <xdr:rowOff>101601</xdr:rowOff>
    </xdr:from>
    <xdr:to>
      <xdr:col>6</xdr:col>
      <xdr:colOff>465666</xdr:colOff>
      <xdr:row>29</xdr:row>
      <xdr:rowOff>160866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101601</xdr:rowOff>
    </xdr:from>
    <xdr:to>
      <xdr:col>13</xdr:col>
      <xdr:colOff>59266</xdr:colOff>
      <xdr:row>29</xdr:row>
      <xdr:rowOff>160866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G21" totalsRowShown="0" headerRowDxfId="22" dataDxfId="20" headerRowBorderDxfId="21" tableBorderDxfId="19" headerRowCellStyle="Comma">
  <tableColumns count="7">
    <tableColumn id="1" xr3:uid="{00000000-0010-0000-0000-000001000000}" name="SALARY" dataDxfId="18"/>
    <tableColumn id="2" xr3:uid="{00000000-0010-0000-0000-000002000000}" name="Column1" dataDxfId="17"/>
    <tableColumn id="8" xr3:uid="{00000000-0010-0000-0000-000008000000}" name="Year 1" dataDxfId="16" dataCellStyle="Comma">
      <calculatedColumnFormula>#REF!</calculatedColumnFormula>
    </tableColumn>
    <tableColumn id="3" xr3:uid="{00000000-0010-0000-0000-000003000000}" name="Year 2" dataDxfId="15" dataCellStyle="Comma"/>
    <tableColumn id="4" xr3:uid="{00000000-0010-0000-0000-000004000000}" name="Year 3" dataDxfId="14" dataCellStyle="Comma"/>
    <tableColumn id="5" xr3:uid="{00000000-0010-0000-0000-000005000000}" name="Year 4" dataDxfId="13" dataCellStyle="Comma"/>
    <tableColumn id="6" xr3:uid="{00000000-0010-0000-0000-000006000000}" name="Year 5" dataDxfId="12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A22:G24" totalsRowCount="1" headerRowDxfId="11" dataDxfId="9" headerRowBorderDxfId="10" tableBorderDxfId="8" headerRowCellStyle="Comma" dataCellStyle="Comma">
  <tableColumns count="7">
    <tableColumn id="1" xr3:uid="{00000000-0010-0000-0100-000001000000}" name="0" dataDxfId="7"/>
    <tableColumn id="2" xr3:uid="{00000000-0010-0000-0100-000002000000}" name="Column2" dataDxfId="6" totalsRowDxfId="0"/>
    <tableColumn id="8" xr3:uid="{00000000-0010-0000-0100-000008000000}" name="Column3" dataDxfId="5" dataCellStyle="Comma">
      <calculatedColumnFormula>SUM(C6,C9,C12,C15,C18,C21)</calculatedColumnFormula>
    </tableColumn>
    <tableColumn id="3" xr3:uid="{00000000-0010-0000-0100-000003000000}" name="Column4" dataDxfId="4" dataCellStyle="Comma">
      <calculatedColumnFormula>SUM(D6,D9,D12,D15,D18,D21)</calculatedColumnFormula>
    </tableColumn>
    <tableColumn id="4" xr3:uid="{00000000-0010-0000-0100-000004000000}" name="Column5" dataDxfId="3" dataCellStyle="Comma">
      <calculatedColumnFormula>SUM(E6,E9,E12,E15,E18,E21)</calculatedColumnFormula>
    </tableColumn>
    <tableColumn id="5" xr3:uid="{00000000-0010-0000-0100-000005000000}" name="Column6" dataDxfId="2" dataCellStyle="Comma">
      <calculatedColumnFormula>SUM(F6,F9,F12,F15,F18,F21)</calculatedColumnFormula>
    </tableColumn>
    <tableColumn id="6" xr3:uid="{00000000-0010-0000-0100-000006000000}" name="Column7" dataDxfId="1" dataCellStyle="Comma">
      <calculatedColumnFormula>SUM(G6,G9,G12,G15,G18,G21)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M23"/>
  <sheetViews>
    <sheetView showGridLines="0" tabSelected="1" zoomScale="90" zoomScaleNormal="90" workbookViewId="0">
      <selection activeCell="B3" sqref="B3"/>
    </sheetView>
  </sheetViews>
  <sheetFormatPr defaultColWidth="8.88671875" defaultRowHeight="14.4" x14ac:dyDescent="0.3"/>
  <cols>
    <col min="1" max="1" width="6.77734375" style="225" customWidth="1"/>
    <col min="2" max="2" width="22.33203125" style="225" customWidth="1"/>
    <col min="3" max="3" width="17.33203125" style="225" customWidth="1"/>
    <col min="4" max="4" width="14.21875" style="225" bestFit="1" customWidth="1"/>
    <col min="5" max="5" width="22.21875" style="225" bestFit="1" customWidth="1"/>
    <col min="6" max="6" width="15.44140625" style="225" bestFit="1" customWidth="1"/>
    <col min="7" max="7" width="15.33203125" style="225" bestFit="1" customWidth="1"/>
    <col min="8" max="8" width="19.109375" style="225" bestFit="1" customWidth="1"/>
    <col min="9" max="13" width="16.33203125" style="225" customWidth="1"/>
    <col min="14" max="14" width="8.88671875" style="225"/>
    <col min="15" max="15" width="12.5546875" style="225" bestFit="1" customWidth="1"/>
    <col min="16" max="16384" width="8.88671875" style="225"/>
  </cols>
  <sheetData>
    <row r="1" spans="1:13" s="94" customFormat="1" ht="19.8" customHeight="1" x14ac:dyDescent="0.3">
      <c r="A1" s="561" t="s">
        <v>165</v>
      </c>
      <c r="C1" s="561"/>
      <c r="D1" s="561"/>
      <c r="E1" s="561"/>
      <c r="F1" s="562"/>
      <c r="G1" s="562"/>
      <c r="H1" s="563"/>
    </row>
    <row r="2" spans="1:13" ht="15.6" thickBot="1" x14ac:dyDescent="0.4">
      <c r="B2" s="226"/>
      <c r="C2" s="227"/>
      <c r="D2" s="227"/>
      <c r="E2" s="227"/>
    </row>
    <row r="3" spans="1:13" s="532" customFormat="1" ht="18" customHeight="1" thickBot="1" x14ac:dyDescent="0.35">
      <c r="B3" s="533" t="s">
        <v>223</v>
      </c>
      <c r="C3" s="534" t="s">
        <v>162</v>
      </c>
      <c r="D3" s="451" t="s">
        <v>161</v>
      </c>
      <c r="E3" s="450" t="s">
        <v>160</v>
      </c>
      <c r="H3" s="540" t="s">
        <v>248</v>
      </c>
      <c r="I3" s="541" t="str">
        <f>'Revenue Assumptions'!D11</f>
        <v>FY 2021-22</v>
      </c>
      <c r="J3" s="541" t="str">
        <f>'Revenue Assumptions'!E11</f>
        <v>FY 2022-23</v>
      </c>
      <c r="K3" s="541" t="str">
        <f>'Revenue Assumptions'!F11</f>
        <v>FY 2023-24</v>
      </c>
      <c r="L3" s="541" t="str">
        <f>'Revenue Assumptions'!G11</f>
        <v>FY 2024-25</v>
      </c>
      <c r="M3" s="541" t="str">
        <f>'Revenue Assumptions'!H11</f>
        <v>FY 2025-26</v>
      </c>
    </row>
    <row r="4" spans="1:13" s="532" customFormat="1" ht="18" customHeight="1" thickBot="1" x14ac:dyDescent="0.35">
      <c r="B4" s="535" t="s">
        <v>159</v>
      </c>
      <c r="C4" s="536">
        <f>Valuation_DCF!B28</f>
        <v>88205602.631831616</v>
      </c>
      <c r="D4" s="537">
        <v>1</v>
      </c>
      <c r="E4" s="538">
        <f>C4*D4</f>
        <v>88205602.631831616</v>
      </c>
      <c r="H4" s="540" t="s">
        <v>0</v>
      </c>
      <c r="I4" s="542">
        <f>('Income Sheet'!B8)/10000000</f>
        <v>3.6</v>
      </c>
      <c r="J4" s="543">
        <f>('Income Sheet'!C8)/10000000</f>
        <v>5.04</v>
      </c>
      <c r="K4" s="542">
        <f>('Income Sheet'!D8)/10000000</f>
        <v>6.048</v>
      </c>
      <c r="L4" s="542">
        <f>('Income Sheet'!E8)/10000000</f>
        <v>7.2576000000000001</v>
      </c>
      <c r="M4" s="544">
        <f>('Income Sheet'!F8)/10000000</f>
        <v>7.9833600000000002</v>
      </c>
    </row>
    <row r="5" spans="1:13" ht="18" customHeight="1" thickBot="1" x14ac:dyDescent="0.4">
      <c r="B5" s="564" t="s">
        <v>249</v>
      </c>
      <c r="C5" s="565"/>
      <c r="D5" s="443" t="s">
        <v>195</v>
      </c>
      <c r="E5" s="444">
        <f>E4</f>
        <v>88205602.631831616</v>
      </c>
      <c r="H5" s="540" t="s">
        <v>198</v>
      </c>
      <c r="I5" s="545">
        <f>('Income Sheet'!B28)/10000000</f>
        <v>1.4537812000000001</v>
      </c>
      <c r="J5" s="543">
        <f>('Income Sheet'!C28)/10000000</f>
        <v>2.4203462981818182</v>
      </c>
      <c r="K5" s="545">
        <f>('Income Sheet'!D28)/10000000</f>
        <v>3.0336443341818176</v>
      </c>
      <c r="L5" s="545">
        <f>('Income Sheet'!E28)/10000000</f>
        <v>3.8004142172727273</v>
      </c>
      <c r="M5" s="544">
        <f>('Income Sheet'!F28)/10000000</f>
        <v>4.1801532318218175</v>
      </c>
    </row>
    <row r="6" spans="1:13" ht="18" customHeight="1" thickBot="1" x14ac:dyDescent="0.35">
      <c r="B6" s="566"/>
      <c r="C6" s="567"/>
      <c r="D6" s="438" t="s">
        <v>201</v>
      </c>
      <c r="E6" s="530">
        <f>E5/10000000</f>
        <v>8.820560263183161</v>
      </c>
      <c r="H6" s="540" t="s">
        <v>117</v>
      </c>
      <c r="I6" s="546">
        <f>(Valuation_DCF!C16)/10000000</f>
        <v>1.2197811999999999</v>
      </c>
      <c r="J6" s="547">
        <f>(Valuation_DCF!D16)/10000000</f>
        <v>2.4293462981818181</v>
      </c>
      <c r="K6" s="546">
        <f>(Valuation_DCF!E16)/10000000</f>
        <v>3.0417443341818178</v>
      </c>
      <c r="L6" s="546">
        <f>(Valuation_DCF!F16)/10000000</f>
        <v>3.8077042172727271</v>
      </c>
      <c r="M6" s="548">
        <f>(Valuation_DCF!G16)/10000000</f>
        <v>4.186714231821818</v>
      </c>
    </row>
    <row r="7" spans="1:13" ht="18" customHeight="1" x14ac:dyDescent="0.35">
      <c r="B7" s="226"/>
    </row>
    <row r="8" spans="1:13" ht="18" customHeight="1" thickBot="1" x14ac:dyDescent="0.35"/>
    <row r="9" spans="1:13" ht="18" customHeight="1" thickBot="1" x14ac:dyDescent="0.4">
      <c r="B9" s="564" t="s">
        <v>222</v>
      </c>
      <c r="C9" s="565"/>
      <c r="D9" s="438" t="s">
        <v>195</v>
      </c>
      <c r="E9" s="531">
        <v>20000000</v>
      </c>
      <c r="H9" s="540" t="s">
        <v>199</v>
      </c>
      <c r="I9" s="550" t="str">
        <f>I3</f>
        <v>FY 2021-22</v>
      </c>
      <c r="J9" s="550" t="str">
        <f>J3</f>
        <v>FY 2022-23</v>
      </c>
      <c r="K9" s="550" t="str">
        <f>K3</f>
        <v>FY 2023-24</v>
      </c>
      <c r="L9" s="550" t="str">
        <f>L3</f>
        <v>FY 2024-25</v>
      </c>
      <c r="M9" s="550" t="str">
        <f>M3</f>
        <v>FY 2025-26</v>
      </c>
    </row>
    <row r="10" spans="1:13" ht="18" customHeight="1" thickBot="1" x14ac:dyDescent="0.35">
      <c r="B10" s="566"/>
      <c r="C10" s="567"/>
      <c r="D10" s="438" t="s">
        <v>201</v>
      </c>
      <c r="E10" s="530">
        <f>E9/10000000</f>
        <v>2</v>
      </c>
      <c r="H10" s="551" t="s">
        <v>48</v>
      </c>
      <c r="I10" s="552">
        <f>'Income Sheet'!B21</f>
        <v>0.54666666666666663</v>
      </c>
      <c r="J10" s="553">
        <f>'Income Sheet'!C21</f>
        <v>0.6464610389610389</v>
      </c>
      <c r="K10" s="552">
        <f>'Income Sheet'!D21</f>
        <v>0.67402837902837898</v>
      </c>
      <c r="L10" s="552">
        <f>'Income Sheet'!E21</f>
        <v>0.70270963604296943</v>
      </c>
      <c r="M10" s="554">
        <f>'Income Sheet'!F21</f>
        <v>0.70227598860174612</v>
      </c>
    </row>
    <row r="11" spans="1:13" ht="18" customHeight="1" x14ac:dyDescent="0.3">
      <c r="H11" s="551" t="s">
        <v>54</v>
      </c>
      <c r="I11" s="555">
        <f>'Income Sheet'!B29</f>
        <v>0.40382811111111111</v>
      </c>
      <c r="J11" s="556">
        <f>'Income Sheet'!C29</f>
        <v>0.48022744011544011</v>
      </c>
      <c r="K11" s="555">
        <f>'Income Sheet'!D29</f>
        <v>0.50159463197450693</v>
      </c>
      <c r="L11" s="555">
        <f>'Income Sheet'!E29</f>
        <v>0.52364613884379507</v>
      </c>
      <c r="M11" s="557">
        <f>'Income Sheet'!F29</f>
        <v>0.52360825915677334</v>
      </c>
    </row>
    <row r="12" spans="1:13" ht="18" customHeight="1" x14ac:dyDescent="0.3">
      <c r="H12" s="551" t="s">
        <v>200</v>
      </c>
      <c r="I12" s="558">
        <f>'Income Sheet'!B28/SUM('Income Sheet'!B10,'Income Sheet'!B15,'Income Sheet'!B16,'Income Sheet'!B17,Capex!C13)</f>
        <v>0.74476495901639339</v>
      </c>
      <c r="J12" s="559">
        <f>'Income Sheet'!C28/SUM('Income Sheet'!C10,'Income Sheet'!C15,'Income Sheet'!C16,'Income Sheet'!C17,Capex!D13)</f>
        <v>1.3462550581001405</v>
      </c>
      <c r="K12" s="558">
        <f>'Income Sheet'!D28/SUM('Income Sheet'!D10,'Income Sheet'!D15,'Income Sheet'!D16,'Income Sheet'!D17,Capex!E13)</f>
        <v>1.5263800816384778</v>
      </c>
      <c r="L12" s="558">
        <f>'Income Sheet'!E28/SUM('Income Sheet'!E10,'Income Sheet'!E15,'Income Sheet'!E16,'Income Sheet'!E17,Capex!F13)</f>
        <v>1.7484306153637676</v>
      </c>
      <c r="M12" s="560">
        <f>'Income Sheet'!F28/SUM('Income Sheet'!F10,'Income Sheet'!F15,'Income Sheet'!F16,'Income Sheet'!F17,Capex!G13)</f>
        <v>1.7469437109186008</v>
      </c>
    </row>
    <row r="13" spans="1:13" x14ac:dyDescent="0.3">
      <c r="K13" s="322"/>
    </row>
    <row r="14" spans="1:13" s="539" customFormat="1" ht="18.600000000000001" customHeight="1" x14ac:dyDescent="0.3"/>
    <row r="15" spans="1:13" s="539" customFormat="1" ht="18.600000000000001" customHeight="1" x14ac:dyDescent="0.3"/>
    <row r="16" spans="1:13" s="539" customFormat="1" ht="18.600000000000001" customHeight="1" x14ac:dyDescent="0.3"/>
    <row r="17" spans="3:7" s="539" customFormat="1" ht="18.600000000000001" customHeight="1" x14ac:dyDescent="0.3"/>
    <row r="18" spans="3:7" s="539" customFormat="1" ht="18.600000000000001" customHeight="1" x14ac:dyDescent="0.3">
      <c r="C18" s="549"/>
      <c r="D18" s="549"/>
      <c r="E18" s="549"/>
      <c r="F18" s="549"/>
      <c r="G18" s="549"/>
    </row>
    <row r="19" spans="3:7" s="539" customFormat="1" ht="18.600000000000001" customHeight="1" x14ac:dyDescent="0.3"/>
    <row r="20" spans="3:7" s="539" customFormat="1" ht="18.600000000000001" customHeight="1" x14ac:dyDescent="0.3"/>
    <row r="21" spans="3:7" s="539" customFormat="1" ht="18.600000000000001" customHeight="1" x14ac:dyDescent="0.3"/>
    <row r="22" spans="3:7" s="539" customFormat="1" ht="18.600000000000001" customHeight="1" x14ac:dyDescent="0.3"/>
    <row r="23" spans="3:7" s="539" customFormat="1" ht="18.600000000000001" customHeight="1" x14ac:dyDescent="0.3"/>
  </sheetData>
  <mergeCells count="2">
    <mergeCell ref="B9:C10"/>
    <mergeCell ref="B5:C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J16"/>
  <sheetViews>
    <sheetView showGridLines="0" zoomScale="120" zoomScaleNormal="120" workbookViewId="0">
      <selection activeCell="A4" sqref="A4"/>
    </sheetView>
  </sheetViews>
  <sheetFormatPr defaultRowHeight="14.4" x14ac:dyDescent="0.3"/>
  <cols>
    <col min="1" max="1" width="34.21875" bestFit="1" customWidth="1"/>
    <col min="2" max="2" width="1.33203125" customWidth="1"/>
    <col min="3" max="3" width="13.33203125" customWidth="1"/>
    <col min="4" max="4" width="14.33203125" bestFit="1" customWidth="1"/>
    <col min="5" max="5" width="13.44140625" bestFit="1" customWidth="1"/>
    <col min="6" max="7" width="14.44140625" bestFit="1" customWidth="1"/>
    <col min="10" max="10" width="12.5546875" bestFit="1" customWidth="1"/>
    <col min="11" max="11" width="34" customWidth="1"/>
    <col min="12" max="12" width="12.5546875" bestFit="1" customWidth="1"/>
  </cols>
  <sheetData>
    <row r="1" spans="1:10" s="94" customFormat="1" ht="15" x14ac:dyDescent="0.35">
      <c r="A1" s="92" t="s">
        <v>165</v>
      </c>
      <c r="B1" s="92"/>
      <c r="C1" s="92"/>
      <c r="D1" s="92"/>
      <c r="E1" s="92"/>
      <c r="F1" s="95"/>
      <c r="G1" s="95"/>
      <c r="H1" s="93"/>
    </row>
    <row r="3" spans="1:10" x14ac:dyDescent="0.3">
      <c r="A3" s="612" t="s">
        <v>163</v>
      </c>
      <c r="B3" s="613"/>
      <c r="C3" s="613" t="s">
        <v>178</v>
      </c>
      <c r="D3" s="613" t="s">
        <v>179</v>
      </c>
      <c r="E3" s="613" t="s">
        <v>180</v>
      </c>
      <c r="F3" s="613" t="s">
        <v>181</v>
      </c>
      <c r="G3" s="613" t="s">
        <v>182</v>
      </c>
    </row>
    <row r="4" spans="1:10" x14ac:dyDescent="0.3">
      <c r="A4" s="406" t="s">
        <v>227</v>
      </c>
      <c r="B4" s="406"/>
      <c r="C4" s="527">
        <v>700000</v>
      </c>
      <c r="D4" s="527">
        <f>C4*20%</f>
        <v>140000</v>
      </c>
      <c r="E4" s="527">
        <f>D4</f>
        <v>140000</v>
      </c>
      <c r="F4" s="527">
        <f t="shared" ref="F4:G4" si="0">E4</f>
        <v>140000</v>
      </c>
      <c r="G4" s="527">
        <f t="shared" si="0"/>
        <v>140000</v>
      </c>
    </row>
    <row r="5" spans="1:10" s="314" customFormat="1" x14ac:dyDescent="0.3">
      <c r="A5" s="407" t="s">
        <v>228</v>
      </c>
      <c r="B5" s="407"/>
      <c r="C5" s="527">
        <v>300000</v>
      </c>
      <c r="D5" s="527"/>
      <c r="E5" s="527"/>
      <c r="F5" s="527"/>
      <c r="G5" s="527"/>
    </row>
    <row r="6" spans="1:10" s="314" customFormat="1" x14ac:dyDescent="0.3">
      <c r="A6" s="407" t="s">
        <v>234</v>
      </c>
      <c r="B6" s="407"/>
      <c r="C6" s="527">
        <v>100000</v>
      </c>
      <c r="D6" s="527"/>
      <c r="E6" s="527"/>
      <c r="F6" s="527"/>
      <c r="G6" s="527"/>
    </row>
    <row r="7" spans="1:10" s="314" customFormat="1" x14ac:dyDescent="0.3">
      <c r="A7" s="407" t="s">
        <v>229</v>
      </c>
      <c r="B7" s="407"/>
      <c r="C7" s="527">
        <v>200000</v>
      </c>
      <c r="D7" s="527">
        <f>C7*10%</f>
        <v>20000</v>
      </c>
      <c r="E7" s="527">
        <f>D7</f>
        <v>20000</v>
      </c>
      <c r="F7" s="527">
        <f t="shared" ref="F7:G7" si="1">E7</f>
        <v>20000</v>
      </c>
      <c r="G7" s="527">
        <f t="shared" si="1"/>
        <v>20000</v>
      </c>
    </row>
    <row r="8" spans="1:10" s="314" customFormat="1" x14ac:dyDescent="0.3">
      <c r="A8" s="407" t="s">
        <v>230</v>
      </c>
      <c r="B8" s="407"/>
      <c r="C8" s="527">
        <v>200000</v>
      </c>
      <c r="D8" s="527"/>
      <c r="E8" s="527"/>
      <c r="F8" s="527"/>
      <c r="G8" s="527"/>
    </row>
    <row r="9" spans="1:10" s="314" customFormat="1" x14ac:dyDescent="0.3">
      <c r="A9" s="407" t="s">
        <v>231</v>
      </c>
      <c r="B9" s="407"/>
      <c r="C9" s="527">
        <v>400000</v>
      </c>
      <c r="D9" s="527"/>
      <c r="E9" s="527"/>
      <c r="F9" s="527"/>
      <c r="G9" s="527"/>
    </row>
    <row r="10" spans="1:10" s="314" customFormat="1" ht="15" x14ac:dyDescent="0.35">
      <c r="A10" s="408" t="s">
        <v>232</v>
      </c>
      <c r="B10" s="408"/>
      <c r="C10" s="527">
        <v>300000</v>
      </c>
      <c r="D10" s="527"/>
      <c r="E10" s="527"/>
      <c r="F10" s="527"/>
      <c r="G10" s="527"/>
    </row>
    <row r="11" spans="1:10" s="314" customFormat="1" ht="15" x14ac:dyDescent="0.35">
      <c r="A11" s="408" t="s">
        <v>233</v>
      </c>
      <c r="B11" s="408"/>
      <c r="C11" s="527">
        <v>1000000</v>
      </c>
      <c r="D11" s="527"/>
      <c r="E11" s="527"/>
      <c r="F11" s="527"/>
      <c r="G11" s="527"/>
    </row>
    <row r="12" spans="1:10" s="314" customFormat="1" ht="15" x14ac:dyDescent="0.35">
      <c r="A12" s="408"/>
      <c r="B12" s="408"/>
      <c r="C12" s="527"/>
      <c r="D12" s="527"/>
      <c r="E12" s="527"/>
      <c r="F12" s="527"/>
      <c r="G12" s="527"/>
    </row>
    <row r="13" spans="1:10" x14ac:dyDescent="0.3">
      <c r="A13" s="456" t="s">
        <v>3</v>
      </c>
      <c r="B13" s="312"/>
      <c r="C13" s="409">
        <f>SUM(C4:C12)</f>
        <v>3200000</v>
      </c>
      <c r="D13" s="409">
        <f t="shared" ref="D13:G13" si="2">SUM(D4:D12)</f>
        <v>160000</v>
      </c>
      <c r="E13" s="409">
        <f t="shared" si="2"/>
        <v>160000</v>
      </c>
      <c r="F13" s="409">
        <f t="shared" si="2"/>
        <v>160000</v>
      </c>
      <c r="G13" s="409">
        <f t="shared" si="2"/>
        <v>160000</v>
      </c>
      <c r="J13" s="225"/>
    </row>
    <row r="14" spans="1:10" x14ac:dyDescent="0.3">
      <c r="C14" s="225"/>
      <c r="J14" s="225"/>
    </row>
    <row r="15" spans="1:10" x14ac:dyDescent="0.3">
      <c r="C15" s="314"/>
    </row>
    <row r="16" spans="1:10" x14ac:dyDescent="0.3">
      <c r="C16" s="31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39997558519241921"/>
  </sheetPr>
  <dimension ref="A1:G30"/>
  <sheetViews>
    <sheetView showGridLines="0" zoomScale="120" zoomScaleNormal="120" workbookViewId="0">
      <selection activeCell="B24" sqref="B24"/>
    </sheetView>
  </sheetViews>
  <sheetFormatPr defaultRowHeight="14.4" x14ac:dyDescent="0.3"/>
  <cols>
    <col min="1" max="1" width="65.21875" bestFit="1" customWidth="1"/>
    <col min="2" max="2" width="12" customWidth="1"/>
  </cols>
  <sheetData>
    <row r="1" spans="1:7" s="94" customFormat="1" ht="15" x14ac:dyDescent="0.35">
      <c r="A1" s="92" t="s">
        <v>165</v>
      </c>
      <c r="B1" s="92"/>
      <c r="C1" s="92"/>
      <c r="D1" s="92"/>
      <c r="E1" s="95"/>
      <c r="F1" s="95"/>
      <c r="G1" s="93"/>
    </row>
    <row r="3" spans="1:7" ht="15" x14ac:dyDescent="0.35">
      <c r="A3" s="37" t="s">
        <v>129</v>
      </c>
      <c r="B3" s="56"/>
      <c r="C3" s="56"/>
      <c r="D3" s="57"/>
    </row>
    <row r="4" spans="1:7" ht="15" x14ac:dyDescent="0.35">
      <c r="A4" s="27"/>
      <c r="B4" s="56"/>
      <c r="C4" s="56"/>
      <c r="D4" s="57"/>
    </row>
    <row r="5" spans="1:7" ht="15" x14ac:dyDescent="0.35">
      <c r="A5" s="58" t="s">
        <v>130</v>
      </c>
      <c r="B5" s="59"/>
      <c r="C5" s="59"/>
      <c r="D5" s="59"/>
    </row>
    <row r="6" spans="1:7" ht="15" x14ac:dyDescent="0.35">
      <c r="A6" s="60" t="s">
        <v>131</v>
      </c>
      <c r="B6" s="61">
        <v>6.2799999999999995E-2</v>
      </c>
      <c r="C6" s="412" t="s">
        <v>184</v>
      </c>
      <c r="D6" s="61"/>
    </row>
    <row r="7" spans="1:7" ht="15" x14ac:dyDescent="0.35">
      <c r="A7" s="60" t="s">
        <v>132</v>
      </c>
      <c r="B7" s="63">
        <v>1</v>
      </c>
      <c r="C7" s="62"/>
      <c r="D7" s="61"/>
    </row>
    <row r="8" spans="1:7" ht="15" x14ac:dyDescent="0.35">
      <c r="A8" s="60" t="s">
        <v>133</v>
      </c>
      <c r="B8" s="63">
        <f>RM!D18</f>
        <v>0.16468125279463974</v>
      </c>
      <c r="C8" s="62"/>
      <c r="D8" s="64"/>
    </row>
    <row r="9" spans="1:7" ht="15" x14ac:dyDescent="0.35">
      <c r="A9" s="60" t="s">
        <v>134</v>
      </c>
      <c r="B9" s="61">
        <f>B8-B6</f>
        <v>0.10188125279463975</v>
      </c>
      <c r="C9" s="62"/>
      <c r="D9" s="65"/>
    </row>
    <row r="10" spans="1:7" ht="15" x14ac:dyDescent="0.35">
      <c r="A10" s="466" t="s">
        <v>135</v>
      </c>
      <c r="B10" s="467">
        <f>B6+B9*B7</f>
        <v>0.16468125279463974</v>
      </c>
      <c r="C10" s="468"/>
      <c r="D10" s="469"/>
      <c r="F10" s="314"/>
    </row>
    <row r="11" spans="1:7" ht="15" x14ac:dyDescent="0.35">
      <c r="A11" s="66" t="s">
        <v>136</v>
      </c>
      <c r="B11" s="67">
        <f>B10+B23</f>
        <v>0.25468125279463971</v>
      </c>
      <c r="C11" s="68"/>
      <c r="D11" s="67"/>
    </row>
    <row r="12" spans="1:7" ht="15" x14ac:dyDescent="0.35">
      <c r="A12" s="55"/>
      <c r="B12" s="63"/>
      <c r="C12" s="69"/>
      <c r="D12" s="68"/>
    </row>
    <row r="13" spans="1:7" ht="15" x14ac:dyDescent="0.35">
      <c r="A13" s="70" t="s">
        <v>137</v>
      </c>
      <c r="B13" s="61"/>
      <c r="C13" s="62"/>
      <c r="D13" s="62"/>
    </row>
    <row r="14" spans="1:7" ht="15" x14ac:dyDescent="0.35">
      <c r="A14" s="60" t="s">
        <v>138</v>
      </c>
      <c r="B14" s="63">
        <v>0.1</v>
      </c>
      <c r="C14" s="412" t="s">
        <v>139</v>
      </c>
      <c r="D14" s="65"/>
    </row>
    <row r="15" spans="1:7" ht="15" x14ac:dyDescent="0.35">
      <c r="A15" s="60" t="s">
        <v>140</v>
      </c>
      <c r="B15" s="63">
        <f>25.17%</f>
        <v>0.25170000000000003</v>
      </c>
      <c r="C15" s="62"/>
      <c r="D15" s="71"/>
    </row>
    <row r="16" spans="1:7" ht="15" x14ac:dyDescent="0.35">
      <c r="A16" s="60" t="s">
        <v>141</v>
      </c>
      <c r="B16" s="63">
        <f>B14*(1-B15)</f>
        <v>7.4829999999999994E-2</v>
      </c>
      <c r="C16" s="62"/>
      <c r="D16" s="71"/>
    </row>
    <row r="17" spans="1:6" ht="15" x14ac:dyDescent="0.35">
      <c r="A17" s="72"/>
      <c r="B17" s="73"/>
      <c r="C17" s="62"/>
      <c r="D17" s="62"/>
    </row>
    <row r="18" spans="1:6" ht="15" x14ac:dyDescent="0.35">
      <c r="A18" s="70" t="s">
        <v>142</v>
      </c>
      <c r="B18" s="63"/>
      <c r="C18" s="62"/>
      <c r="D18" s="62"/>
    </row>
    <row r="19" spans="1:6" ht="15" x14ac:dyDescent="0.35">
      <c r="A19" s="60" t="s">
        <v>143</v>
      </c>
      <c r="B19" s="104">
        <v>0</v>
      </c>
      <c r="C19" s="74"/>
      <c r="D19" s="65"/>
    </row>
    <row r="20" spans="1:6" ht="15" x14ac:dyDescent="0.35">
      <c r="A20" s="60" t="s">
        <v>144</v>
      </c>
      <c r="B20" s="104">
        <v>1</v>
      </c>
      <c r="C20" s="74"/>
      <c r="D20" s="65"/>
    </row>
    <row r="21" spans="1:6" ht="15" x14ac:dyDescent="0.35">
      <c r="A21" s="55"/>
      <c r="B21" s="63"/>
      <c r="C21" s="69"/>
      <c r="D21" s="68"/>
    </row>
    <row r="22" spans="1:6" ht="15" x14ac:dyDescent="0.35">
      <c r="A22" s="466" t="s">
        <v>145</v>
      </c>
      <c r="B22" s="467">
        <f>B10*B20+B16*B19</f>
        <v>0.16468125279463974</v>
      </c>
      <c r="C22" s="468"/>
      <c r="D22" s="469"/>
      <c r="F22" s="314"/>
    </row>
    <row r="23" spans="1:6" ht="15" x14ac:dyDescent="0.35">
      <c r="A23" s="60" t="s">
        <v>146</v>
      </c>
      <c r="B23" s="102">
        <v>0.09</v>
      </c>
      <c r="C23" s="62"/>
      <c r="D23" s="62"/>
    </row>
    <row r="24" spans="1:6" ht="15" x14ac:dyDescent="0.35">
      <c r="A24" s="466" t="s">
        <v>147</v>
      </c>
      <c r="B24" s="467">
        <f>B22+B23</f>
        <v>0.25468125279463971</v>
      </c>
      <c r="C24" s="468"/>
      <c r="D24" s="469"/>
      <c r="F24" s="314"/>
    </row>
    <row r="25" spans="1:6" ht="15" x14ac:dyDescent="0.35">
      <c r="A25" s="55"/>
      <c r="B25" s="63"/>
      <c r="C25" s="69"/>
      <c r="D25" s="68"/>
    </row>
    <row r="26" spans="1:6" ht="15" x14ac:dyDescent="0.35">
      <c r="A26" s="75" t="s">
        <v>148</v>
      </c>
      <c r="B26" s="103">
        <v>0.02</v>
      </c>
      <c r="C26" s="76" t="s">
        <v>149</v>
      </c>
      <c r="D26" s="77"/>
    </row>
    <row r="27" spans="1:6" ht="15" x14ac:dyDescent="0.35">
      <c r="A27" s="27"/>
      <c r="B27" s="27"/>
      <c r="C27" s="27"/>
      <c r="D27" s="56"/>
    </row>
    <row r="28" spans="1:6" ht="15" x14ac:dyDescent="0.35">
      <c r="A28" s="27"/>
      <c r="B28" s="56"/>
    </row>
    <row r="29" spans="1:6" ht="15" x14ac:dyDescent="0.35">
      <c r="A29" s="27"/>
      <c r="B29" s="56"/>
    </row>
    <row r="30" spans="1:6" ht="15" x14ac:dyDescent="0.35">
      <c r="A30" s="27"/>
      <c r="B30" s="5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39997558519241921"/>
  </sheetPr>
  <dimension ref="A1:G80"/>
  <sheetViews>
    <sheetView showGridLines="0" zoomScale="110" zoomScaleNormal="110" workbookViewId="0">
      <selection activeCell="K22" sqref="K22"/>
    </sheetView>
  </sheetViews>
  <sheetFormatPr defaultColWidth="8.88671875" defaultRowHeight="14.4" x14ac:dyDescent="0.3"/>
  <cols>
    <col min="1" max="1" width="39.109375" style="50" customWidth="1"/>
    <col min="2" max="2" width="33.21875" style="50" bestFit="1" customWidth="1"/>
    <col min="3" max="4" width="18.44140625" style="50" bestFit="1" customWidth="1"/>
    <col min="5" max="5" width="17.6640625" style="50" bestFit="1" customWidth="1"/>
    <col min="6" max="7" width="18.6640625" style="50" bestFit="1" customWidth="1"/>
    <col min="8" max="16384" width="8.88671875" style="50"/>
  </cols>
  <sheetData>
    <row r="1" spans="1:7" s="94" customFormat="1" ht="15" x14ac:dyDescent="0.35">
      <c r="A1" s="92" t="s">
        <v>165</v>
      </c>
      <c r="B1" s="92"/>
      <c r="C1" s="92"/>
      <c r="D1" s="92"/>
      <c r="E1" s="95"/>
      <c r="F1" s="95"/>
      <c r="G1" s="93"/>
    </row>
    <row r="2" spans="1:7" ht="15" x14ac:dyDescent="0.35">
      <c r="A2" s="43"/>
    </row>
    <row r="3" spans="1:7" ht="15" x14ac:dyDescent="0.35">
      <c r="A3" s="105" t="s">
        <v>112</v>
      </c>
    </row>
    <row r="4" spans="1:7" ht="15" x14ac:dyDescent="0.35">
      <c r="A4" s="43"/>
    </row>
    <row r="5" spans="1:7" ht="15" x14ac:dyDescent="0.35">
      <c r="A5" s="470" t="s">
        <v>113</v>
      </c>
      <c r="B5" s="470"/>
      <c r="C5" s="463" t="s">
        <v>178</v>
      </c>
      <c r="D5" s="463" t="s">
        <v>179</v>
      </c>
      <c r="E5" s="463" t="s">
        <v>180</v>
      </c>
      <c r="F5" s="463" t="s">
        <v>181</v>
      </c>
      <c r="G5" s="463" t="s">
        <v>182</v>
      </c>
    </row>
    <row r="6" spans="1:7" s="109" customFormat="1" ht="15" x14ac:dyDescent="0.35">
      <c r="A6" s="114"/>
      <c r="B6" s="114"/>
      <c r="C6" s="106"/>
      <c r="D6" s="107"/>
      <c r="E6" s="107"/>
      <c r="F6" s="107"/>
      <c r="G6" s="108"/>
    </row>
    <row r="7" spans="1:7" ht="15" x14ac:dyDescent="0.35">
      <c r="A7" s="53"/>
      <c r="B7" s="376"/>
      <c r="C7" s="386"/>
      <c r="D7" s="387"/>
      <c r="E7" s="387"/>
      <c r="F7" s="387"/>
      <c r="G7" s="388"/>
    </row>
    <row r="8" spans="1:7" ht="15" x14ac:dyDescent="0.35">
      <c r="A8" s="110" t="s">
        <v>47</v>
      </c>
      <c r="B8" s="377"/>
      <c r="C8" s="389">
        <f>'Income Sheet'!B20</f>
        <v>19680000</v>
      </c>
      <c r="D8" s="111">
        <f>'Income Sheet'!C20</f>
        <v>32581636.363636363</v>
      </c>
      <c r="E8" s="111">
        <f>'Income Sheet'!D20</f>
        <v>40765236.36363636</v>
      </c>
      <c r="F8" s="111">
        <f>'Income Sheet'!E20</f>
        <v>50999854.545454547</v>
      </c>
      <c r="G8" s="390">
        <f>'Income Sheet'!F20</f>
        <v>56065220.36363636</v>
      </c>
    </row>
    <row r="9" spans="1:7" ht="15" x14ac:dyDescent="0.35">
      <c r="A9" s="51"/>
      <c r="B9" s="376"/>
      <c r="C9" s="391"/>
      <c r="D9" s="86"/>
      <c r="E9" s="86"/>
      <c r="F9" s="86"/>
      <c r="G9" s="392"/>
    </row>
    <row r="10" spans="1:7" ht="15" x14ac:dyDescent="0.35">
      <c r="A10" s="52" t="s">
        <v>114</v>
      </c>
      <c r="B10" s="376"/>
      <c r="C10" s="391"/>
      <c r="D10" s="86"/>
      <c r="E10" s="86"/>
      <c r="F10" s="86"/>
      <c r="G10" s="392"/>
    </row>
    <row r="11" spans="1:7" ht="15" x14ac:dyDescent="0.35">
      <c r="A11" s="51" t="s">
        <v>81</v>
      </c>
      <c r="B11" s="376"/>
      <c r="C11" s="393">
        <f>'Balance Sheet'!B50</f>
        <v>0</v>
      </c>
      <c r="D11" s="88">
        <f>'Balance Sheet'!C50</f>
        <v>0</v>
      </c>
      <c r="E11" s="88">
        <f>'Balance Sheet'!D50</f>
        <v>0</v>
      </c>
      <c r="F11" s="88">
        <f>'Balance Sheet'!E50</f>
        <v>0</v>
      </c>
      <c r="G11" s="394">
        <f>'Balance Sheet'!F50</f>
        <v>0</v>
      </c>
    </row>
    <row r="12" spans="1:7" ht="15" x14ac:dyDescent="0.35">
      <c r="A12" s="51" t="s">
        <v>115</v>
      </c>
      <c r="B12" s="376"/>
      <c r="C12" s="391">
        <f>'Income Sheet'!B27</f>
        <v>4882188</v>
      </c>
      <c r="D12" s="86">
        <f>'Income Sheet'!C27</f>
        <v>8128173.3818181818</v>
      </c>
      <c r="E12" s="86">
        <f>'Income Sheet'!D27</f>
        <v>10187793.021818181</v>
      </c>
      <c r="F12" s="86">
        <f>'Income Sheet'!E27</f>
        <v>12762812.372727273</v>
      </c>
      <c r="G12" s="392">
        <f>'Income Sheet'!F27</f>
        <v>14038078.045418182</v>
      </c>
    </row>
    <row r="13" spans="1:7" ht="15" x14ac:dyDescent="0.35">
      <c r="A13" s="51" t="s">
        <v>116</v>
      </c>
      <c r="B13" s="376"/>
      <c r="C13" s="393">
        <f>Assumptions!B26</f>
        <v>2600000</v>
      </c>
      <c r="D13" s="88">
        <f>Assumptions!C26</f>
        <v>160000</v>
      </c>
      <c r="E13" s="88">
        <f>Assumptions!D26</f>
        <v>160000</v>
      </c>
      <c r="F13" s="88">
        <f>Assumptions!E26</f>
        <v>160000</v>
      </c>
      <c r="G13" s="394">
        <f>Assumptions!F26</f>
        <v>160000</v>
      </c>
    </row>
    <row r="14" spans="1:7" ht="15" x14ac:dyDescent="0.35">
      <c r="A14" s="51" t="s">
        <v>168</v>
      </c>
      <c r="B14" s="376"/>
      <c r="C14" s="393">
        <f>'Income Sheet'!B24</f>
        <v>0</v>
      </c>
      <c r="D14" s="88">
        <f>'Income Sheet'!C24</f>
        <v>0</v>
      </c>
      <c r="E14" s="88">
        <f>'Income Sheet'!D24</f>
        <v>0</v>
      </c>
      <c r="F14" s="88">
        <f>'Income Sheet'!E24</f>
        <v>0</v>
      </c>
      <c r="G14" s="394">
        <f>'Income Sheet'!F24</f>
        <v>0</v>
      </c>
    </row>
    <row r="15" spans="1:7" ht="15" x14ac:dyDescent="0.35">
      <c r="A15" s="53"/>
      <c r="B15" s="378"/>
      <c r="C15" s="395"/>
      <c r="D15" s="112"/>
      <c r="E15" s="112"/>
      <c r="F15" s="112"/>
      <c r="G15" s="396"/>
    </row>
    <row r="16" spans="1:7" ht="15" x14ac:dyDescent="0.35">
      <c r="A16" s="471" t="s">
        <v>117</v>
      </c>
      <c r="B16" s="472"/>
      <c r="C16" s="473">
        <f>C8-C11-C12-C13-C14</f>
        <v>12197812</v>
      </c>
      <c r="D16" s="474">
        <f t="shared" ref="D16:G16" si="0">D8-D11-D12-D13-D14</f>
        <v>24293462.981818181</v>
      </c>
      <c r="E16" s="474">
        <f t="shared" si="0"/>
        <v>30417443.341818176</v>
      </c>
      <c r="F16" s="474">
        <f t="shared" si="0"/>
        <v>38077042.172727272</v>
      </c>
      <c r="G16" s="475">
        <f t="shared" si="0"/>
        <v>41867142.318218179</v>
      </c>
    </row>
    <row r="17" spans="1:7" ht="15" x14ac:dyDescent="0.35">
      <c r="A17" s="43"/>
      <c r="C17" s="391"/>
      <c r="D17" s="86"/>
      <c r="E17" s="86"/>
      <c r="F17" s="86"/>
      <c r="G17" s="392"/>
    </row>
    <row r="18" spans="1:7" ht="15" x14ac:dyDescent="0.35">
      <c r="A18" s="478" t="s">
        <v>118</v>
      </c>
      <c r="B18" s="479"/>
      <c r="C18" s="480"/>
      <c r="D18" s="481"/>
      <c r="E18" s="481"/>
      <c r="F18" s="481"/>
      <c r="G18" s="482"/>
    </row>
    <row r="19" spans="1:7" ht="15" x14ac:dyDescent="0.35">
      <c r="A19" s="113" t="s">
        <v>119</v>
      </c>
      <c r="B19" s="379"/>
      <c r="C19" s="395">
        <v>1</v>
      </c>
      <c r="D19" s="112">
        <v>2</v>
      </c>
      <c r="E19" s="112">
        <v>3</v>
      </c>
      <c r="F19" s="112">
        <v>4</v>
      </c>
      <c r="G19" s="396">
        <v>5</v>
      </c>
    </row>
    <row r="20" spans="1:7" ht="15" x14ac:dyDescent="0.35">
      <c r="A20" s="53" t="s">
        <v>120</v>
      </c>
      <c r="B20" s="380">
        <f>'Key Valuation Assumption'!B24</f>
        <v>0.25468125279463971</v>
      </c>
      <c r="C20" s="391"/>
      <c r="D20" s="86"/>
      <c r="E20" s="86"/>
      <c r="F20" s="86"/>
      <c r="G20" s="392"/>
    </row>
    <row r="21" spans="1:7" ht="15" x14ac:dyDescent="0.35">
      <c r="A21" s="54" t="s">
        <v>121</v>
      </c>
      <c r="B21" s="381"/>
      <c r="C21" s="397">
        <f>(1+$B$20)^(-C19)</f>
        <v>0.79701517638255126</v>
      </c>
      <c r="D21" s="87">
        <f t="shared" ref="D21:G21" si="1">(1+$B$20)^(-D19)</f>
        <v>0.63523319138410916</v>
      </c>
      <c r="E21" s="87">
        <f t="shared" si="1"/>
        <v>0.50629049407505666</v>
      </c>
      <c r="F21" s="87">
        <f t="shared" si="1"/>
        <v>0.40352120743604031</v>
      </c>
      <c r="G21" s="398">
        <f t="shared" si="1"/>
        <v>0.32161252631873571</v>
      </c>
    </row>
    <row r="22" spans="1:7" ht="15" x14ac:dyDescent="0.35">
      <c r="A22" s="53" t="s">
        <v>122</v>
      </c>
      <c r="B22" s="382"/>
      <c r="C22" s="393">
        <f>C16</f>
        <v>12197812</v>
      </c>
      <c r="D22" s="88">
        <f t="shared" ref="D22:G22" si="2">D16</f>
        <v>24293462.981818181</v>
      </c>
      <c r="E22" s="88">
        <f t="shared" si="2"/>
        <v>30417443.341818176</v>
      </c>
      <c r="F22" s="88">
        <f t="shared" si="2"/>
        <v>38077042.172727272</v>
      </c>
      <c r="G22" s="394">
        <f t="shared" si="2"/>
        <v>41867142.318218179</v>
      </c>
    </row>
    <row r="23" spans="1:7" ht="15" x14ac:dyDescent="0.35">
      <c r="A23" s="53" t="s">
        <v>123</v>
      </c>
      <c r="B23" s="383"/>
      <c r="C23" s="397">
        <f>C21*C22</f>
        <v>9721841.2826611996</v>
      </c>
      <c r="D23" s="87">
        <f t="shared" ref="D23:G23" si="3">D21*D22</f>
        <v>15432014.019712079</v>
      </c>
      <c r="E23" s="87">
        <f t="shared" si="3"/>
        <v>15400062.418029167</v>
      </c>
      <c r="F23" s="87">
        <f t="shared" si="3"/>
        <v>15364894.033131937</v>
      </c>
      <c r="G23" s="398">
        <f t="shared" si="3"/>
        <v>13464997.410708198</v>
      </c>
    </row>
    <row r="24" spans="1:7" ht="15" x14ac:dyDescent="0.35">
      <c r="A24" s="476" t="s">
        <v>124</v>
      </c>
      <c r="B24" s="477"/>
      <c r="C24" s="391"/>
      <c r="D24" s="86"/>
      <c r="E24" s="86"/>
      <c r="F24" s="86"/>
      <c r="G24" s="392"/>
    </row>
    <row r="25" spans="1:7" ht="15" x14ac:dyDescent="0.35">
      <c r="A25" s="53" t="s">
        <v>125</v>
      </c>
      <c r="B25" s="380">
        <f>'Key Valuation Assumption'!B26</f>
        <v>0.02</v>
      </c>
      <c r="C25" s="399">
        <f>B20</f>
        <v>0.25468125279463971</v>
      </c>
      <c r="D25" s="86"/>
      <c r="E25" s="86"/>
      <c r="F25" s="86"/>
      <c r="G25" s="392"/>
    </row>
    <row r="26" spans="1:7" ht="15" x14ac:dyDescent="0.35">
      <c r="A26" s="53" t="s">
        <v>126</v>
      </c>
      <c r="B26" s="384"/>
      <c r="C26" s="391"/>
      <c r="D26" s="86"/>
      <c r="E26" s="86"/>
      <c r="F26" s="86"/>
      <c r="G26" s="483">
        <f>G23*(1+$B$25)/($C$25-$B$25)</f>
        <v>58523197.72189346</v>
      </c>
    </row>
    <row r="27" spans="1:7" ht="15" x14ac:dyDescent="0.35">
      <c r="A27" s="85" t="s">
        <v>127</v>
      </c>
      <c r="B27" s="385"/>
      <c r="C27" s="400"/>
      <c r="D27" s="401"/>
      <c r="E27" s="401"/>
      <c r="F27" s="401"/>
      <c r="G27" s="483">
        <f>G26*G21</f>
        <v>18821793.467589036</v>
      </c>
    </row>
    <row r="28" spans="1:7" ht="15.6" thickBot="1" x14ac:dyDescent="0.4">
      <c r="A28" s="291" t="s">
        <v>166</v>
      </c>
      <c r="B28" s="308">
        <f>SUM(C23:G23)+G27</f>
        <v>88205602.631831616</v>
      </c>
    </row>
    <row r="29" spans="1:7" ht="15" x14ac:dyDescent="0.35">
      <c r="A29" s="27"/>
    </row>
    <row r="30" spans="1:7" ht="15" x14ac:dyDescent="0.35">
      <c r="A30" s="27"/>
    </row>
    <row r="31" spans="1:7" ht="15" x14ac:dyDescent="0.35">
      <c r="A31" s="27"/>
    </row>
    <row r="32" spans="1:7" ht="15" x14ac:dyDescent="0.35">
      <c r="A32" s="27"/>
    </row>
    <row r="33" spans="1:1" ht="15" x14ac:dyDescent="0.35">
      <c r="A33" s="27"/>
    </row>
    <row r="34" spans="1:1" ht="15" x14ac:dyDescent="0.35">
      <c r="A34" s="27"/>
    </row>
    <row r="35" spans="1:1" ht="15" x14ac:dyDescent="0.35">
      <c r="A35" s="27"/>
    </row>
    <row r="36" spans="1:1" ht="15" x14ac:dyDescent="0.35">
      <c r="A36" s="27"/>
    </row>
    <row r="37" spans="1:1" ht="15" x14ac:dyDescent="0.35">
      <c r="A37" s="27"/>
    </row>
    <row r="38" spans="1:1" ht="15" x14ac:dyDescent="0.35">
      <c r="A38" s="27"/>
    </row>
    <row r="39" spans="1:1" ht="15" x14ac:dyDescent="0.35">
      <c r="A39" s="27"/>
    </row>
    <row r="40" spans="1:1" ht="15" x14ac:dyDescent="0.35">
      <c r="A40" s="27"/>
    </row>
    <row r="41" spans="1:1" ht="15" x14ac:dyDescent="0.35">
      <c r="A41" s="27"/>
    </row>
    <row r="42" spans="1:1" ht="15" x14ac:dyDescent="0.35">
      <c r="A42" s="27"/>
    </row>
    <row r="43" spans="1:1" ht="15" x14ac:dyDescent="0.35">
      <c r="A43" s="27"/>
    </row>
    <row r="44" spans="1:1" ht="15" x14ac:dyDescent="0.35">
      <c r="A44" s="27"/>
    </row>
    <row r="45" spans="1:1" ht="15" x14ac:dyDescent="0.35">
      <c r="A45" s="27"/>
    </row>
    <row r="46" spans="1:1" ht="15" x14ac:dyDescent="0.35">
      <c r="A46" s="27"/>
    </row>
    <row r="47" spans="1:1" ht="15" x14ac:dyDescent="0.35">
      <c r="A47" s="27"/>
    </row>
    <row r="48" spans="1:1" ht="15" x14ac:dyDescent="0.35">
      <c r="A48" s="27"/>
    </row>
    <row r="49" spans="1:1" ht="15" x14ac:dyDescent="0.35">
      <c r="A49" s="27"/>
    </row>
    <row r="50" spans="1:1" ht="15" x14ac:dyDescent="0.35">
      <c r="A50" s="27"/>
    </row>
    <row r="51" spans="1:1" ht="15" x14ac:dyDescent="0.35">
      <c r="A51" s="27"/>
    </row>
    <row r="52" spans="1:1" ht="15" x14ac:dyDescent="0.35">
      <c r="A52" s="27"/>
    </row>
    <row r="53" spans="1:1" ht="15" x14ac:dyDescent="0.35">
      <c r="A53" s="27"/>
    </row>
    <row r="54" spans="1:1" ht="15" x14ac:dyDescent="0.35">
      <c r="A54" s="27"/>
    </row>
    <row r="55" spans="1:1" ht="15" x14ac:dyDescent="0.35">
      <c r="A55" s="27"/>
    </row>
    <row r="56" spans="1:1" ht="15" x14ac:dyDescent="0.35">
      <c r="A56" s="27"/>
    </row>
    <row r="57" spans="1:1" ht="15" x14ac:dyDescent="0.35">
      <c r="A57" s="27"/>
    </row>
    <row r="58" spans="1:1" ht="15" x14ac:dyDescent="0.35">
      <c r="A58" s="27"/>
    </row>
    <row r="59" spans="1:1" ht="15" x14ac:dyDescent="0.35">
      <c r="A59" s="27"/>
    </row>
    <row r="60" spans="1:1" ht="15" x14ac:dyDescent="0.35">
      <c r="A60" s="27"/>
    </row>
    <row r="61" spans="1:1" ht="15" x14ac:dyDescent="0.35">
      <c r="A61" s="27"/>
    </row>
    <row r="62" spans="1:1" ht="15" x14ac:dyDescent="0.35">
      <c r="A62" s="27"/>
    </row>
    <row r="63" spans="1:1" ht="15" x14ac:dyDescent="0.35">
      <c r="A63" s="27"/>
    </row>
    <row r="64" spans="1:1" ht="15" x14ac:dyDescent="0.35">
      <c r="A64" s="27"/>
    </row>
    <row r="65" spans="1:1" ht="15" x14ac:dyDescent="0.35">
      <c r="A65" s="27"/>
    </row>
    <row r="66" spans="1:1" ht="15" x14ac:dyDescent="0.35">
      <c r="A66" s="27"/>
    </row>
    <row r="67" spans="1:1" ht="15" x14ac:dyDescent="0.35">
      <c r="A67" s="27"/>
    </row>
    <row r="68" spans="1:1" ht="15" x14ac:dyDescent="0.35">
      <c r="A68" s="27"/>
    </row>
    <row r="69" spans="1:1" ht="15" x14ac:dyDescent="0.35">
      <c r="A69" s="27"/>
    </row>
    <row r="70" spans="1:1" ht="15" x14ac:dyDescent="0.35">
      <c r="A70" s="27"/>
    </row>
    <row r="71" spans="1:1" ht="15" x14ac:dyDescent="0.35">
      <c r="A71" s="27"/>
    </row>
    <row r="72" spans="1:1" ht="15" x14ac:dyDescent="0.35">
      <c r="A72" s="27"/>
    </row>
    <row r="73" spans="1:1" ht="15" x14ac:dyDescent="0.35">
      <c r="A73" s="27"/>
    </row>
    <row r="74" spans="1:1" ht="15" x14ac:dyDescent="0.35">
      <c r="A74" s="27"/>
    </row>
    <row r="75" spans="1:1" ht="15" x14ac:dyDescent="0.35">
      <c r="A75" s="27"/>
    </row>
    <row r="76" spans="1:1" ht="15" x14ac:dyDescent="0.35">
      <c r="A76" s="27"/>
    </row>
    <row r="77" spans="1:1" ht="15" x14ac:dyDescent="0.35">
      <c r="A77" s="27"/>
    </row>
    <row r="78" spans="1:1" ht="15" x14ac:dyDescent="0.35">
      <c r="A78" s="27"/>
    </row>
    <row r="79" spans="1:1" ht="15" x14ac:dyDescent="0.35">
      <c r="A79" s="27"/>
    </row>
    <row r="80" spans="1:1" ht="15" x14ac:dyDescent="0.35">
      <c r="A80" s="2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39997558519241921"/>
  </sheetPr>
  <dimension ref="B2:D18"/>
  <sheetViews>
    <sheetView showGridLines="0" zoomScale="120" zoomScaleNormal="120" workbookViewId="0">
      <selection activeCell="B3" sqref="B3"/>
    </sheetView>
  </sheetViews>
  <sheetFormatPr defaultRowHeight="14.4" x14ac:dyDescent="0.3"/>
  <cols>
    <col min="2" max="2" width="40.21875" bestFit="1" customWidth="1"/>
    <col min="3" max="3" width="9.5546875" bestFit="1" customWidth="1"/>
    <col min="4" max="4" width="8.21875" customWidth="1"/>
  </cols>
  <sheetData>
    <row r="2" spans="2:4" ht="15" thickBot="1" x14ac:dyDescent="0.35"/>
    <row r="3" spans="2:4" ht="15.6" thickBot="1" x14ac:dyDescent="0.4">
      <c r="B3" s="484" t="s">
        <v>150</v>
      </c>
      <c r="C3" s="27"/>
      <c r="D3" s="27"/>
    </row>
    <row r="4" spans="2:4" ht="15.6" thickBot="1" x14ac:dyDescent="0.4">
      <c r="B4" s="27"/>
      <c r="C4" s="27"/>
      <c r="D4" s="27"/>
    </row>
    <row r="5" spans="2:4" ht="15.6" thickBot="1" x14ac:dyDescent="0.4">
      <c r="B5" s="441" t="s">
        <v>151</v>
      </c>
      <c r="C5" s="27"/>
      <c r="D5" s="27"/>
    </row>
    <row r="6" spans="2:4" ht="15" x14ac:dyDescent="0.35">
      <c r="B6" s="27"/>
      <c r="C6" s="27"/>
      <c r="D6" s="27"/>
    </row>
    <row r="7" spans="2:4" ht="15" x14ac:dyDescent="0.35">
      <c r="B7" s="78"/>
      <c r="C7" s="588" t="s">
        <v>152</v>
      </c>
      <c r="D7" s="589"/>
    </row>
    <row r="8" spans="2:4" ht="15" x14ac:dyDescent="0.35">
      <c r="B8" s="79" t="s">
        <v>128</v>
      </c>
      <c r="C8" s="79" t="s">
        <v>153</v>
      </c>
      <c r="D8" s="79" t="s">
        <v>154</v>
      </c>
    </row>
    <row r="9" spans="2:4" ht="15" x14ac:dyDescent="0.35">
      <c r="B9" s="26"/>
      <c r="C9" s="26"/>
      <c r="D9" s="80"/>
    </row>
    <row r="10" spans="2:4" ht="15" x14ac:dyDescent="0.35">
      <c r="B10" s="26" t="s">
        <v>155</v>
      </c>
      <c r="C10" s="81">
        <v>28946</v>
      </c>
      <c r="D10" s="82">
        <v>100</v>
      </c>
    </row>
    <row r="11" spans="2:4" ht="15" x14ac:dyDescent="0.35">
      <c r="B11" s="26"/>
      <c r="C11" s="26"/>
      <c r="D11" s="26"/>
    </row>
    <row r="12" spans="2:4" ht="15" x14ac:dyDescent="0.35">
      <c r="B12" s="26" t="s">
        <v>156</v>
      </c>
      <c r="C12" s="485">
        <v>44510</v>
      </c>
      <c r="D12" s="82">
        <v>60352.82</v>
      </c>
    </row>
    <row r="13" spans="2:4" ht="15" x14ac:dyDescent="0.35">
      <c r="B13" s="26"/>
      <c r="C13" s="26"/>
      <c r="D13" s="26"/>
    </row>
    <row r="14" spans="2:4" ht="15" x14ac:dyDescent="0.35">
      <c r="B14" s="26" t="s">
        <v>157</v>
      </c>
      <c r="C14" s="26"/>
      <c r="D14" s="82">
        <f>YEAR(C12)-YEAR(C10)</f>
        <v>42</v>
      </c>
    </row>
    <row r="15" spans="2:4" ht="15" x14ac:dyDescent="0.35">
      <c r="B15" s="26"/>
      <c r="C15" s="26"/>
      <c r="D15" s="26"/>
    </row>
    <row r="16" spans="2:4" ht="15" x14ac:dyDescent="0.35">
      <c r="B16" s="26" t="s">
        <v>158</v>
      </c>
      <c r="C16" s="26"/>
      <c r="D16" s="82">
        <f>D12/D10</f>
        <v>603.52819999999997</v>
      </c>
    </row>
    <row r="17" spans="2:4" ht="15" x14ac:dyDescent="0.35">
      <c r="B17" s="26"/>
      <c r="C17" s="26"/>
      <c r="D17" s="26"/>
    </row>
    <row r="18" spans="2:4" ht="15" x14ac:dyDescent="0.35">
      <c r="B18" s="83" t="s">
        <v>133</v>
      </c>
      <c r="C18" s="83"/>
      <c r="D18" s="84">
        <f>(D16)^(1/D14)-1</f>
        <v>0.16468125279463974</v>
      </c>
    </row>
  </sheetData>
  <mergeCells count="1">
    <mergeCell ref="C7:D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K31"/>
  <sheetViews>
    <sheetView showGridLines="0" workbookViewId="0"/>
  </sheetViews>
  <sheetFormatPr defaultRowHeight="14.4" x14ac:dyDescent="0.3"/>
  <cols>
    <col min="1" max="1" width="34.33203125" bestFit="1" customWidth="1"/>
    <col min="2" max="2" width="13.88671875" bestFit="1" customWidth="1"/>
    <col min="3" max="3" width="14.21875" customWidth="1"/>
    <col min="4" max="4" width="14.88671875" bestFit="1" customWidth="1"/>
    <col min="5" max="5" width="15.21875" bestFit="1" customWidth="1"/>
    <col min="6" max="6" width="15.88671875" bestFit="1" customWidth="1"/>
    <col min="11" max="11" width="15.33203125" bestFit="1" customWidth="1"/>
  </cols>
  <sheetData>
    <row r="1" spans="1:11" s="94" customFormat="1" ht="15" x14ac:dyDescent="0.35">
      <c r="A1" s="92" t="s">
        <v>165</v>
      </c>
      <c r="B1" s="92"/>
      <c r="C1" s="92"/>
      <c r="D1" s="92"/>
      <c r="E1" s="95"/>
      <c r="F1" s="95"/>
      <c r="G1" s="93"/>
    </row>
    <row r="2" spans="1:11" s="98" customFormat="1" ht="15" x14ac:dyDescent="0.35">
      <c r="A2" s="96"/>
      <c r="B2" s="96"/>
      <c r="C2" s="96"/>
      <c r="D2" s="96"/>
      <c r="E2" s="96"/>
      <c r="F2" s="97"/>
    </row>
    <row r="3" spans="1:11" ht="15" x14ac:dyDescent="0.35">
      <c r="A3" s="290" t="s">
        <v>39</v>
      </c>
      <c r="B3" s="29"/>
      <c r="C3" s="29"/>
      <c r="D3" s="29"/>
      <c r="E3" s="29"/>
      <c r="F3" s="28"/>
    </row>
    <row r="4" spans="1:11" ht="15" x14ac:dyDescent="0.35">
      <c r="A4" s="27"/>
      <c r="B4" s="27"/>
      <c r="C4" s="27"/>
      <c r="D4" s="27"/>
      <c r="E4" s="27"/>
      <c r="F4" s="30"/>
    </row>
    <row r="5" spans="1:11" s="446" customFormat="1" ht="20.399999999999999" customHeight="1" x14ac:dyDescent="0.35">
      <c r="A5" s="464" t="s">
        <v>128</v>
      </c>
      <c r="B5" s="465" t="s">
        <v>178</v>
      </c>
      <c r="C5" s="465" t="s">
        <v>179</v>
      </c>
      <c r="D5" s="465" t="s">
        <v>180</v>
      </c>
      <c r="E5" s="465" t="s">
        <v>181</v>
      </c>
      <c r="F5" s="465" t="s">
        <v>182</v>
      </c>
    </row>
    <row r="6" spans="1:11" ht="15" x14ac:dyDescent="0.35">
      <c r="A6" s="447" t="s">
        <v>40</v>
      </c>
      <c r="B6" s="119"/>
      <c r="C6" s="120"/>
      <c r="D6" s="120"/>
      <c r="E6" s="121"/>
      <c r="F6" s="122"/>
    </row>
    <row r="7" spans="1:11" ht="15" x14ac:dyDescent="0.35">
      <c r="A7" s="119" t="s">
        <v>196</v>
      </c>
      <c r="B7" s="341">
        <f>Assumptions!B9</f>
        <v>36000000</v>
      </c>
      <c r="C7" s="121">
        <f>Assumptions!C9</f>
        <v>50400000</v>
      </c>
      <c r="D7" s="121">
        <f>Assumptions!D9</f>
        <v>60480000</v>
      </c>
      <c r="E7" s="121">
        <f>Assumptions!E9</f>
        <v>72576000</v>
      </c>
      <c r="F7" s="123">
        <f>Assumptions!F9</f>
        <v>79833600</v>
      </c>
    </row>
    <row r="8" spans="1:11" ht="15" x14ac:dyDescent="0.35">
      <c r="A8" s="124" t="s">
        <v>0</v>
      </c>
      <c r="B8" s="342">
        <f t="shared" ref="B8:F8" si="0">B7</f>
        <v>36000000</v>
      </c>
      <c r="C8" s="32">
        <f t="shared" si="0"/>
        <v>50400000</v>
      </c>
      <c r="D8" s="32">
        <f t="shared" si="0"/>
        <v>60480000</v>
      </c>
      <c r="E8" s="32">
        <f t="shared" si="0"/>
        <v>72576000</v>
      </c>
      <c r="F8" s="125">
        <f t="shared" si="0"/>
        <v>79833600</v>
      </c>
    </row>
    <row r="9" spans="1:11" ht="15" x14ac:dyDescent="0.35">
      <c r="A9" s="119"/>
      <c r="B9" s="341"/>
      <c r="C9" s="121"/>
      <c r="D9" s="121"/>
      <c r="E9" s="121"/>
      <c r="F9" s="122"/>
    </row>
    <row r="10" spans="1:11" ht="15" x14ac:dyDescent="0.35">
      <c r="A10" s="119" t="s">
        <v>1</v>
      </c>
      <c r="B10" s="343">
        <f>Assumptions!B13</f>
        <v>12440000</v>
      </c>
      <c r="C10" s="126">
        <f>Assumptions!C13</f>
        <v>13084000</v>
      </c>
      <c r="D10" s="126">
        <f>Assumptions!D13</f>
        <v>13762400</v>
      </c>
      <c r="E10" s="126">
        <f>Assumptions!E13</f>
        <v>14477140</v>
      </c>
      <c r="F10" s="122">
        <f>Assumptions!F13</f>
        <v>15230279</v>
      </c>
    </row>
    <row r="11" spans="1:11" ht="15" x14ac:dyDescent="0.35">
      <c r="A11" s="119"/>
      <c r="B11" s="341"/>
      <c r="C11" s="121"/>
      <c r="D11" s="121"/>
      <c r="E11" s="126"/>
      <c r="F11" s="122"/>
    </row>
    <row r="12" spans="1:11" ht="15" x14ac:dyDescent="0.35">
      <c r="A12" s="119" t="s">
        <v>42</v>
      </c>
      <c r="B12" s="343">
        <f t="shared" ref="B12:F12" si="1">B8-B10</f>
        <v>23560000</v>
      </c>
      <c r="C12" s="126">
        <f t="shared" si="1"/>
        <v>37316000</v>
      </c>
      <c r="D12" s="126">
        <f t="shared" si="1"/>
        <v>46717600</v>
      </c>
      <c r="E12" s="126">
        <f t="shared" si="1"/>
        <v>58098860</v>
      </c>
      <c r="F12" s="122">
        <f t="shared" si="1"/>
        <v>64603321</v>
      </c>
      <c r="K12" s="225"/>
    </row>
    <row r="13" spans="1:11" ht="15" x14ac:dyDescent="0.35">
      <c r="A13" s="127" t="s">
        <v>43</v>
      </c>
      <c r="B13" s="127">
        <f t="shared" ref="B13:F13" si="2">B12/B8</f>
        <v>0.6544444444444445</v>
      </c>
      <c r="C13" s="128">
        <f t="shared" si="2"/>
        <v>0.74039682539682539</v>
      </c>
      <c r="D13" s="128">
        <f t="shared" si="2"/>
        <v>0.77244708994708999</v>
      </c>
      <c r="E13" s="128">
        <f t="shared" si="2"/>
        <v>0.80052441578483247</v>
      </c>
      <c r="F13" s="129">
        <f t="shared" si="2"/>
        <v>0.80922469987574153</v>
      </c>
    </row>
    <row r="14" spans="1:11" ht="15" x14ac:dyDescent="0.35">
      <c r="A14" s="127"/>
      <c r="B14" s="127"/>
      <c r="C14" s="128"/>
      <c r="D14" s="128"/>
      <c r="E14" s="128"/>
      <c r="F14" s="129"/>
    </row>
    <row r="15" spans="1:11" ht="15" x14ac:dyDescent="0.35">
      <c r="A15" s="119" t="s">
        <v>44</v>
      </c>
      <c r="B15" s="344">
        <f>Assumptions!B15</f>
        <v>1480000</v>
      </c>
      <c r="C15" s="130">
        <f>Assumptions!C15</f>
        <v>1500363.6363636365</v>
      </c>
      <c r="D15" s="130">
        <f>Assumptions!D15</f>
        <v>1741563.6363636365</v>
      </c>
      <c r="E15" s="130">
        <f>Assumptions!E15</f>
        <v>1508805.4545454548</v>
      </c>
      <c r="F15" s="131">
        <f>Assumptions!F15</f>
        <v>1598266.6363636369</v>
      </c>
    </row>
    <row r="16" spans="1:11" ht="15" x14ac:dyDescent="0.35">
      <c r="A16" s="119" t="s">
        <v>45</v>
      </c>
      <c r="B16" s="341">
        <f>Assumptions!B20</f>
        <v>2400000</v>
      </c>
      <c r="C16" s="121">
        <f>Assumptions!C20</f>
        <v>3234000</v>
      </c>
      <c r="D16" s="121">
        <f>Assumptions!D20</f>
        <v>4210800.0000000009</v>
      </c>
      <c r="E16" s="121">
        <f>Assumptions!E20</f>
        <v>5590200.0000000019</v>
      </c>
      <c r="F16" s="123">
        <f>Assumptions!F20</f>
        <v>6939834.0000000019</v>
      </c>
      <c r="K16" s="4"/>
    </row>
    <row r="17" spans="1:7" ht="15" x14ac:dyDescent="0.35">
      <c r="A17" s="119" t="s">
        <v>15</v>
      </c>
      <c r="B17" s="341">
        <f>Assumptions!B17</f>
        <v>0</v>
      </c>
      <c r="C17" s="121">
        <f>Assumptions!C17</f>
        <v>0</v>
      </c>
      <c r="D17" s="121">
        <f>Assumptions!D17</f>
        <v>0</v>
      </c>
      <c r="E17" s="121">
        <f>Assumptions!E17</f>
        <v>0</v>
      </c>
      <c r="F17" s="123">
        <f>Assumptions!F17</f>
        <v>0</v>
      </c>
      <c r="G17" s="31"/>
    </row>
    <row r="18" spans="1:7" ht="15" x14ac:dyDescent="0.35">
      <c r="A18" s="119" t="s">
        <v>46</v>
      </c>
      <c r="B18" s="341"/>
      <c r="C18" s="121"/>
      <c r="D18" s="121"/>
      <c r="E18" s="121"/>
      <c r="F18" s="123"/>
    </row>
    <row r="19" spans="1:7" ht="15" x14ac:dyDescent="0.35">
      <c r="A19" s="132" t="s">
        <v>11</v>
      </c>
      <c r="B19" s="345">
        <f>B15+B16+B17+B18</f>
        <v>3880000</v>
      </c>
      <c r="C19" s="33">
        <f t="shared" ref="C19:F19" si="3">C15+C16+C17+C18</f>
        <v>4734363.6363636367</v>
      </c>
      <c r="D19" s="33">
        <f t="shared" si="3"/>
        <v>5952363.6363636376</v>
      </c>
      <c r="E19" s="33">
        <f t="shared" si="3"/>
        <v>7099005.4545454569</v>
      </c>
      <c r="F19" s="346">
        <f t="shared" si="3"/>
        <v>8538100.6363636386</v>
      </c>
    </row>
    <row r="20" spans="1:7" ht="15" x14ac:dyDescent="0.35">
      <c r="A20" s="132" t="s">
        <v>47</v>
      </c>
      <c r="B20" s="347">
        <f t="shared" ref="B20:F20" si="4">B12-B19</f>
        <v>19680000</v>
      </c>
      <c r="C20" s="34">
        <f t="shared" si="4"/>
        <v>32581636.363636363</v>
      </c>
      <c r="D20" s="34">
        <f t="shared" si="4"/>
        <v>40765236.36363636</v>
      </c>
      <c r="E20" s="34">
        <f t="shared" si="4"/>
        <v>50999854.545454547</v>
      </c>
      <c r="F20" s="133">
        <f t="shared" si="4"/>
        <v>56065220.36363636</v>
      </c>
    </row>
    <row r="21" spans="1:7" ht="15" x14ac:dyDescent="0.35">
      <c r="A21" s="134" t="s">
        <v>48</v>
      </c>
      <c r="B21" s="127">
        <f t="shared" ref="B21:F21" si="5">B20/B8</f>
        <v>0.54666666666666663</v>
      </c>
      <c r="C21" s="128">
        <f t="shared" si="5"/>
        <v>0.6464610389610389</v>
      </c>
      <c r="D21" s="128">
        <f t="shared" si="5"/>
        <v>0.67402837902837898</v>
      </c>
      <c r="E21" s="128">
        <f t="shared" si="5"/>
        <v>0.70270963604296943</v>
      </c>
      <c r="F21" s="129">
        <f t="shared" si="5"/>
        <v>0.70227598860174612</v>
      </c>
    </row>
    <row r="22" spans="1:7" ht="15" x14ac:dyDescent="0.35">
      <c r="A22" s="119"/>
      <c r="B22" s="119"/>
      <c r="C22" s="120"/>
      <c r="D22" s="120"/>
      <c r="E22" s="120"/>
      <c r="F22" s="122"/>
    </row>
    <row r="23" spans="1:7" ht="15" x14ac:dyDescent="0.35">
      <c r="A23" s="119" t="s">
        <v>49</v>
      </c>
      <c r="B23" s="341">
        <f>Assumptions!B28</f>
        <v>260000</v>
      </c>
      <c r="C23" s="121">
        <f>Assumptions!C28</f>
        <v>250000</v>
      </c>
      <c r="D23" s="121">
        <f>Assumptions!D28</f>
        <v>241000</v>
      </c>
      <c r="E23" s="121">
        <f>Assumptions!E28</f>
        <v>232900</v>
      </c>
      <c r="F23" s="123">
        <f>Assumptions!F28</f>
        <v>225610</v>
      </c>
    </row>
    <row r="24" spans="1:7" ht="15" x14ac:dyDescent="0.35">
      <c r="A24" s="119" t="s">
        <v>50</v>
      </c>
      <c r="B24" s="341">
        <f>Assumptions!B35</f>
        <v>0</v>
      </c>
      <c r="C24" s="121">
        <f>Assumptions!C35</f>
        <v>0</v>
      </c>
      <c r="D24" s="121">
        <f>Assumptions!D35</f>
        <v>0</v>
      </c>
      <c r="E24" s="121">
        <f>Assumptions!E35</f>
        <v>0</v>
      </c>
      <c r="F24" s="123">
        <f>Assumptions!F35</f>
        <v>0</v>
      </c>
    </row>
    <row r="25" spans="1:7" ht="15" x14ac:dyDescent="0.35">
      <c r="A25" s="135" t="s">
        <v>51</v>
      </c>
      <c r="B25" s="348">
        <f t="shared" ref="B25:F25" si="6">B20-B23-B24</f>
        <v>19420000</v>
      </c>
      <c r="C25" s="35">
        <f t="shared" si="6"/>
        <v>32331636.363636363</v>
      </c>
      <c r="D25" s="35">
        <f t="shared" si="6"/>
        <v>40524236.36363636</v>
      </c>
      <c r="E25" s="35">
        <f t="shared" si="6"/>
        <v>50766954.545454547</v>
      </c>
      <c r="F25" s="349">
        <f t="shared" si="6"/>
        <v>55839610.36363636</v>
      </c>
    </row>
    <row r="26" spans="1:7" ht="15" x14ac:dyDescent="0.35">
      <c r="A26" s="136" t="s">
        <v>52</v>
      </c>
      <c r="B26" s="350">
        <f t="shared" ref="B26:F26" si="7">B25/B8</f>
        <v>0.53944444444444439</v>
      </c>
      <c r="C26" s="137">
        <f t="shared" si="7"/>
        <v>0.64150072150072146</v>
      </c>
      <c r="D26" s="137">
        <f t="shared" si="7"/>
        <v>0.67004359066859065</v>
      </c>
      <c r="E26" s="137">
        <f t="shared" si="7"/>
        <v>0.6995005862193362</v>
      </c>
      <c r="F26" s="138">
        <f t="shared" si="7"/>
        <v>0.69944998551532633</v>
      </c>
    </row>
    <row r="27" spans="1:7" ht="15" x14ac:dyDescent="0.35">
      <c r="A27" s="119" t="s">
        <v>53</v>
      </c>
      <c r="B27" s="351">
        <f>IF(B25&gt;0,B25*Assumptions!B57,0)</f>
        <v>4882188</v>
      </c>
      <c r="C27" s="139">
        <f>IF(C25&gt;0,C25*Assumptions!C57,0)</f>
        <v>8128173.3818181818</v>
      </c>
      <c r="D27" s="139">
        <f>IF(D25&gt;0,D25*Assumptions!D57,0)</f>
        <v>10187793.021818181</v>
      </c>
      <c r="E27" s="139">
        <f>IF(E25&gt;0,E25*Assumptions!E57,0)</f>
        <v>12762812.372727273</v>
      </c>
      <c r="F27" s="233">
        <f>IF(F25&gt;0,F25*Assumptions!F57,0)</f>
        <v>14038078.045418182</v>
      </c>
    </row>
    <row r="28" spans="1:7" ht="15" x14ac:dyDescent="0.35">
      <c r="A28" s="119" t="s">
        <v>221</v>
      </c>
      <c r="B28" s="341">
        <f t="shared" ref="B28:F28" si="8">B25-B27</f>
        <v>14537812</v>
      </c>
      <c r="C28" s="121">
        <f t="shared" si="8"/>
        <v>24203462.981818181</v>
      </c>
      <c r="D28" s="121">
        <f t="shared" si="8"/>
        <v>30336443.341818176</v>
      </c>
      <c r="E28" s="121">
        <f t="shared" si="8"/>
        <v>38004142.172727272</v>
      </c>
      <c r="F28" s="123">
        <f t="shared" si="8"/>
        <v>41801532.318218179</v>
      </c>
    </row>
    <row r="29" spans="1:7" ht="15" x14ac:dyDescent="0.35">
      <c r="A29" s="140" t="s">
        <v>54</v>
      </c>
      <c r="B29" s="350">
        <f t="shared" ref="B29:F29" si="9">B28/B8</f>
        <v>0.40382811111111111</v>
      </c>
      <c r="C29" s="137">
        <f t="shared" si="9"/>
        <v>0.48022744011544011</v>
      </c>
      <c r="D29" s="137">
        <f t="shared" si="9"/>
        <v>0.50159463197450693</v>
      </c>
      <c r="E29" s="137">
        <f t="shared" si="9"/>
        <v>0.52364613884379507</v>
      </c>
      <c r="F29" s="138">
        <f t="shared" si="9"/>
        <v>0.52360825915677334</v>
      </c>
    </row>
    <row r="30" spans="1:7" ht="15" x14ac:dyDescent="0.35">
      <c r="A30" s="141"/>
      <c r="B30" s="141"/>
      <c r="C30" s="142"/>
      <c r="D30" s="142"/>
      <c r="E30" s="142"/>
      <c r="F30" s="143"/>
    </row>
    <row r="31" spans="1:7" ht="15" x14ac:dyDescent="0.35">
      <c r="A31" s="29"/>
      <c r="B31" s="29"/>
      <c r="C31" s="29"/>
      <c r="D31" s="29"/>
      <c r="E31" s="29"/>
      <c r="F31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J102"/>
  <sheetViews>
    <sheetView showGridLines="0" workbookViewId="0"/>
  </sheetViews>
  <sheetFormatPr defaultColWidth="14.44140625" defaultRowHeight="14.4" x14ac:dyDescent="0.3"/>
  <cols>
    <col min="1" max="1" width="39.109375" customWidth="1"/>
    <col min="2" max="3" width="15.88671875" bestFit="1" customWidth="1"/>
    <col min="4" max="6" width="16.77734375" bestFit="1" customWidth="1"/>
    <col min="7" max="10" width="8.77734375" customWidth="1"/>
  </cols>
  <sheetData>
    <row r="1" spans="1:10" s="94" customFormat="1" ht="15" x14ac:dyDescent="0.35">
      <c r="A1" s="92" t="s">
        <v>165</v>
      </c>
      <c r="B1" s="92"/>
      <c r="C1" s="92"/>
      <c r="D1" s="92"/>
      <c r="E1" s="95"/>
      <c r="F1" s="95"/>
      <c r="G1" s="93"/>
    </row>
    <row r="2" spans="1:10" ht="15" x14ac:dyDescent="0.35">
      <c r="B2" s="37"/>
      <c r="C2" s="37"/>
      <c r="D2" s="37"/>
      <c r="E2" s="38"/>
      <c r="F2" s="38"/>
      <c r="G2" s="27"/>
      <c r="H2" s="27"/>
      <c r="I2" s="27"/>
      <c r="J2" s="27"/>
    </row>
    <row r="3" spans="1:10" ht="16.2" x14ac:dyDescent="0.35">
      <c r="A3" s="289" t="s">
        <v>55</v>
      </c>
      <c r="B3" s="37"/>
      <c r="C3" s="37"/>
      <c r="D3" s="37"/>
      <c r="E3" s="38"/>
      <c r="F3" s="38"/>
      <c r="G3" s="27"/>
      <c r="H3" s="27"/>
      <c r="I3" s="27"/>
      <c r="J3" s="27"/>
    </row>
    <row r="4" spans="1:10" ht="12.75" customHeight="1" x14ac:dyDescent="0.35">
      <c r="A4" s="27"/>
      <c r="B4" s="27"/>
      <c r="C4" s="27"/>
      <c r="D4" s="27"/>
      <c r="E4" s="36"/>
      <c r="F4" s="36"/>
      <c r="G4" s="27"/>
      <c r="H4" s="27"/>
      <c r="I4" s="27"/>
      <c r="J4" s="27"/>
    </row>
    <row r="5" spans="1:10" ht="17.399999999999999" customHeight="1" x14ac:dyDescent="0.35">
      <c r="A5" s="486" t="s">
        <v>128</v>
      </c>
      <c r="B5" s="487" t="s">
        <v>178</v>
      </c>
      <c r="C5" s="487" t="s">
        <v>179</v>
      </c>
      <c r="D5" s="487" t="s">
        <v>180</v>
      </c>
      <c r="E5" s="487" t="s">
        <v>181</v>
      </c>
      <c r="F5" s="487" t="s">
        <v>182</v>
      </c>
      <c r="G5" s="27"/>
      <c r="H5" s="27"/>
      <c r="I5" s="27"/>
      <c r="J5" s="27"/>
    </row>
    <row r="6" spans="1:10" ht="12.75" customHeight="1" x14ac:dyDescent="0.35">
      <c r="A6" s="175"/>
      <c r="B6" s="362"/>
      <c r="C6" s="176"/>
      <c r="D6" s="176"/>
      <c r="E6" s="176"/>
      <c r="F6" s="177"/>
      <c r="G6" s="27"/>
      <c r="H6" s="27"/>
      <c r="I6" s="27"/>
      <c r="J6" s="27"/>
    </row>
    <row r="7" spans="1:10" ht="12.75" customHeight="1" x14ac:dyDescent="0.35">
      <c r="A7" s="144" t="s">
        <v>56</v>
      </c>
      <c r="B7" s="144"/>
      <c r="C7" s="145"/>
      <c r="D7" s="145"/>
      <c r="E7" s="146"/>
      <c r="F7" s="147"/>
      <c r="G7" s="27"/>
      <c r="H7" s="27"/>
      <c r="I7" s="27"/>
      <c r="J7" s="27"/>
    </row>
    <row r="8" spans="1:10" ht="12.75" customHeight="1" x14ac:dyDescent="0.35">
      <c r="A8" s="148" t="s">
        <v>57</v>
      </c>
      <c r="B8" s="369">
        <v>0</v>
      </c>
      <c r="C8" s="165">
        <v>0</v>
      </c>
      <c r="D8" s="165">
        <v>0</v>
      </c>
      <c r="E8" s="165">
        <v>0</v>
      </c>
      <c r="F8" s="161">
        <v>0</v>
      </c>
      <c r="G8" s="39"/>
      <c r="H8" s="39"/>
      <c r="I8" s="39"/>
      <c r="J8" s="39"/>
    </row>
    <row r="9" spans="1:10" ht="12.75" customHeight="1" x14ac:dyDescent="0.35">
      <c r="A9" s="150" t="s">
        <v>58</v>
      </c>
      <c r="B9" s="363">
        <f>'Income Sheet'!B28</f>
        <v>14537812</v>
      </c>
      <c r="C9" s="151">
        <f>'Income Sheet'!C28+B9</f>
        <v>38741274.981818184</v>
      </c>
      <c r="D9" s="151">
        <f>'Income Sheet'!D28+C9</f>
        <v>69077718.323636353</v>
      </c>
      <c r="E9" s="151">
        <f>'Income Sheet'!E28+D9</f>
        <v>107081860.49636362</v>
      </c>
      <c r="F9" s="152">
        <f>'Income Sheet'!F28+E9</f>
        <v>148883392.81458181</v>
      </c>
      <c r="G9" s="27"/>
      <c r="H9" s="27"/>
      <c r="I9" s="27"/>
      <c r="J9" s="27"/>
    </row>
    <row r="10" spans="1:10" ht="12.75" customHeight="1" x14ac:dyDescent="0.35">
      <c r="A10" s="153" t="s">
        <v>59</v>
      </c>
      <c r="B10" s="364">
        <f t="shared" ref="B10" si="0">B8+B9</f>
        <v>14537812</v>
      </c>
      <c r="C10" s="40">
        <f>C9+C8</f>
        <v>38741274.981818184</v>
      </c>
      <c r="D10" s="40">
        <f t="shared" ref="D10:F10" si="1">D9+D8</f>
        <v>69077718.323636353</v>
      </c>
      <c r="E10" s="40">
        <f t="shared" si="1"/>
        <v>107081860.49636362</v>
      </c>
      <c r="F10" s="154">
        <f t="shared" si="1"/>
        <v>148883392.81458181</v>
      </c>
      <c r="G10" s="27"/>
      <c r="H10" s="27"/>
      <c r="I10" s="27"/>
      <c r="J10" s="27"/>
    </row>
    <row r="11" spans="1:10" ht="12.75" customHeight="1" x14ac:dyDescent="0.35">
      <c r="A11" s="155"/>
      <c r="B11" s="365"/>
      <c r="C11" s="156"/>
      <c r="D11" s="156"/>
      <c r="E11" s="156"/>
      <c r="F11" s="157"/>
      <c r="G11" s="27"/>
      <c r="H11" s="27"/>
      <c r="I11" s="27"/>
      <c r="J11" s="27"/>
    </row>
    <row r="12" spans="1:10" ht="12.75" customHeight="1" x14ac:dyDescent="0.35">
      <c r="A12" s="155" t="s">
        <v>60</v>
      </c>
      <c r="B12" s="365"/>
      <c r="C12" s="156"/>
      <c r="D12" s="156"/>
      <c r="E12" s="156"/>
      <c r="F12" s="152"/>
      <c r="G12" s="27"/>
      <c r="H12" s="27"/>
      <c r="I12" s="27"/>
      <c r="J12" s="27"/>
    </row>
    <row r="13" spans="1:10" ht="12.75" customHeight="1" x14ac:dyDescent="0.35">
      <c r="A13" s="150" t="s">
        <v>164</v>
      </c>
      <c r="B13" s="366">
        <f>Assumptions!B32</f>
        <v>0</v>
      </c>
      <c r="C13" s="230">
        <f>Assumptions!C32</f>
        <v>0</v>
      </c>
      <c r="D13" s="230">
        <f>Assumptions!D32</f>
        <v>0</v>
      </c>
      <c r="E13" s="230">
        <f>Assumptions!E32</f>
        <v>0</v>
      </c>
      <c r="F13" s="234">
        <f>Assumptions!F32</f>
        <v>0</v>
      </c>
      <c r="G13" s="27"/>
      <c r="H13" s="27"/>
      <c r="I13" s="27"/>
      <c r="J13" s="27"/>
    </row>
    <row r="14" spans="1:10" ht="12.75" customHeight="1" x14ac:dyDescent="0.35">
      <c r="A14" s="153" t="s">
        <v>59</v>
      </c>
      <c r="B14" s="364">
        <f>SUM(B13:B13)</f>
        <v>0</v>
      </c>
      <c r="C14" s="40">
        <f>SUM(C13:C13)</f>
        <v>0</v>
      </c>
      <c r="D14" s="40">
        <f>SUM(D13:D13)</f>
        <v>0</v>
      </c>
      <c r="E14" s="40">
        <f>SUM(E13:E13)</f>
        <v>0</v>
      </c>
      <c r="F14" s="154">
        <f>SUM(F13:F13)</f>
        <v>0</v>
      </c>
      <c r="G14" s="27"/>
      <c r="H14" s="27"/>
      <c r="I14" s="27"/>
      <c r="J14" s="27"/>
    </row>
    <row r="15" spans="1:10" ht="12.75" customHeight="1" x14ac:dyDescent="0.35">
      <c r="A15" s="158" t="s">
        <v>61</v>
      </c>
      <c r="B15" s="363"/>
      <c r="C15" s="151"/>
      <c r="D15" s="151"/>
      <c r="E15" s="151"/>
      <c r="F15" s="152"/>
      <c r="G15" s="27"/>
      <c r="H15" s="27"/>
      <c r="I15" s="27"/>
      <c r="J15" s="27"/>
    </row>
    <row r="16" spans="1:10" ht="12.75" customHeight="1" thickBot="1" x14ac:dyDescent="0.4">
      <c r="A16" s="159" t="s">
        <v>3</v>
      </c>
      <c r="B16" s="367">
        <f t="shared" ref="B16:F16" si="2">B14+B15</f>
        <v>0</v>
      </c>
      <c r="C16" s="41">
        <f>C14+C15</f>
        <v>0</v>
      </c>
      <c r="D16" s="41">
        <f t="shared" si="2"/>
        <v>0</v>
      </c>
      <c r="E16" s="41">
        <f t="shared" si="2"/>
        <v>0</v>
      </c>
      <c r="F16" s="160">
        <f t="shared" si="2"/>
        <v>0</v>
      </c>
      <c r="G16" s="27"/>
      <c r="H16" s="27"/>
      <c r="I16" s="27"/>
      <c r="J16" s="27"/>
    </row>
    <row r="17" spans="1:10" ht="12.75" customHeight="1" thickTop="1" x14ac:dyDescent="0.35">
      <c r="A17" s="155" t="s">
        <v>62</v>
      </c>
      <c r="B17" s="365"/>
      <c r="C17" s="156"/>
      <c r="D17" s="156"/>
      <c r="E17" s="156"/>
      <c r="F17" s="161"/>
      <c r="G17" s="27"/>
      <c r="H17" s="27"/>
      <c r="I17" s="27"/>
      <c r="J17" s="27"/>
    </row>
    <row r="18" spans="1:10" ht="12.75" customHeight="1" x14ac:dyDescent="0.35">
      <c r="A18" s="162" t="s">
        <v>63</v>
      </c>
      <c r="B18" s="368"/>
      <c r="C18" s="163"/>
      <c r="D18" s="163"/>
      <c r="E18" s="163"/>
      <c r="F18" s="161"/>
      <c r="G18" s="27"/>
      <c r="H18" s="27"/>
      <c r="I18" s="27"/>
      <c r="J18" s="27"/>
    </row>
    <row r="19" spans="1:10" ht="12.75" customHeight="1" x14ac:dyDescent="0.35">
      <c r="A19" s="155" t="s">
        <v>64</v>
      </c>
      <c r="B19" s="365"/>
      <c r="C19" s="156"/>
      <c r="D19" s="156"/>
      <c r="E19" s="156"/>
      <c r="F19" s="161"/>
      <c r="G19" s="27"/>
      <c r="H19" s="27"/>
      <c r="I19" s="27"/>
      <c r="J19" s="27"/>
    </row>
    <row r="20" spans="1:10" ht="12.75" customHeight="1" x14ac:dyDescent="0.35">
      <c r="A20" s="164" t="s">
        <v>65</v>
      </c>
      <c r="B20" s="369">
        <f>Assumptions!B24</f>
        <v>2340000</v>
      </c>
      <c r="C20" s="165">
        <f>Assumptions!C24</f>
        <v>2250000</v>
      </c>
      <c r="D20" s="165">
        <f>Assumptions!D24</f>
        <v>2169000</v>
      </c>
      <c r="E20" s="165">
        <f>Assumptions!E24</f>
        <v>2096100</v>
      </c>
      <c r="F20" s="161">
        <f>Assumptions!F24</f>
        <v>2030490</v>
      </c>
      <c r="G20" s="27"/>
      <c r="H20" s="27"/>
      <c r="I20" s="27"/>
      <c r="J20" s="27"/>
    </row>
    <row r="21" spans="1:10" ht="12.75" customHeight="1" x14ac:dyDescent="0.35">
      <c r="A21" s="158" t="s">
        <v>66</v>
      </c>
      <c r="B21" s="370"/>
      <c r="C21" s="166"/>
      <c r="D21" s="166"/>
      <c r="E21" s="166"/>
      <c r="F21" s="152"/>
      <c r="G21" s="27"/>
      <c r="H21" s="27"/>
      <c r="I21" s="27"/>
      <c r="J21" s="27"/>
    </row>
    <row r="22" spans="1:10" ht="12.75" customHeight="1" x14ac:dyDescent="0.35">
      <c r="A22" s="158" t="s">
        <v>67</v>
      </c>
      <c r="B22" s="370"/>
      <c r="C22" s="166"/>
      <c r="D22" s="166"/>
      <c r="E22" s="166"/>
      <c r="F22" s="167"/>
      <c r="G22" s="27"/>
      <c r="H22" s="27"/>
      <c r="I22" s="27"/>
      <c r="J22" s="27"/>
    </row>
    <row r="23" spans="1:10" ht="12.75" customHeight="1" x14ac:dyDescent="0.35">
      <c r="A23" s="153" t="s">
        <v>59</v>
      </c>
      <c r="B23" s="364">
        <f t="shared" ref="B23:F23" si="3">SUM(B20:B22)</f>
        <v>2340000</v>
      </c>
      <c r="C23" s="40">
        <f t="shared" si="3"/>
        <v>2250000</v>
      </c>
      <c r="D23" s="40">
        <f t="shared" si="3"/>
        <v>2169000</v>
      </c>
      <c r="E23" s="40">
        <f t="shared" si="3"/>
        <v>2096100</v>
      </c>
      <c r="F23" s="154">
        <f t="shared" si="3"/>
        <v>2030490</v>
      </c>
      <c r="G23" s="27"/>
      <c r="H23" s="27"/>
      <c r="I23" s="27"/>
      <c r="J23" s="27"/>
    </row>
    <row r="24" spans="1:10" ht="12.75" customHeight="1" x14ac:dyDescent="0.35">
      <c r="A24" s="164"/>
      <c r="B24" s="369"/>
      <c r="C24" s="165"/>
      <c r="D24" s="165"/>
      <c r="E24" s="165"/>
      <c r="F24" s="161"/>
      <c r="G24" s="27"/>
      <c r="H24" s="27"/>
      <c r="I24" s="27"/>
      <c r="J24" s="27"/>
    </row>
    <row r="25" spans="1:10" ht="12.75" customHeight="1" x14ac:dyDescent="0.35">
      <c r="A25" s="155" t="s">
        <v>68</v>
      </c>
      <c r="B25" s="365"/>
      <c r="C25" s="156"/>
      <c r="D25" s="156"/>
      <c r="E25" s="156"/>
      <c r="F25" s="152"/>
      <c r="G25" s="27"/>
      <c r="H25" s="27"/>
      <c r="I25" s="27"/>
      <c r="J25" s="27"/>
    </row>
    <row r="26" spans="1:10" ht="12.75" customHeight="1" x14ac:dyDescent="0.35">
      <c r="A26" s="150" t="s">
        <v>69</v>
      </c>
      <c r="B26" s="363">
        <f>'Cash Flow Statement'!B37</f>
        <v>16080000</v>
      </c>
      <c r="C26" s="151">
        <f>'Cash Flow Statement'!C37</f>
        <v>43569448.36363636</v>
      </c>
      <c r="D26" s="151">
        <f>'Cash Flow Statement'!D37</f>
        <v>75994011.345454544</v>
      </c>
      <c r="E26" s="151">
        <f>'Cash Flow Statement'!E37</f>
        <v>116590947.86909091</v>
      </c>
      <c r="F26" s="152">
        <f>'Cash Flow Statement'!F37</f>
        <v>159675474.61000001</v>
      </c>
      <c r="G26" s="42"/>
      <c r="H26" s="42"/>
      <c r="I26" s="42"/>
      <c r="J26" s="42"/>
    </row>
    <row r="27" spans="1:10" s="314" customFormat="1" ht="12.75" customHeight="1" x14ac:dyDescent="0.35">
      <c r="A27" s="150" t="s">
        <v>175</v>
      </c>
      <c r="B27" s="363">
        <f>'Cost Assumptions'!B4/12</f>
        <v>1000000</v>
      </c>
      <c r="C27" s="151">
        <f>'Cost Assumptions'!C4/12</f>
        <v>1050000</v>
      </c>
      <c r="D27" s="151">
        <f>'Cost Assumptions'!D4/12</f>
        <v>1102500</v>
      </c>
      <c r="E27" s="151">
        <f>'Cost Assumptions'!E4/12</f>
        <v>1157625</v>
      </c>
      <c r="F27" s="152">
        <f>'Cost Assumptions'!F4/12</f>
        <v>1215506.25</v>
      </c>
      <c r="G27" s="42"/>
      <c r="H27" s="42"/>
      <c r="I27" s="42"/>
      <c r="J27" s="42"/>
    </row>
    <row r="28" spans="1:10" ht="12.75" customHeight="1" x14ac:dyDescent="0.35">
      <c r="A28" s="158" t="s">
        <v>70</v>
      </c>
      <c r="B28" s="370">
        <f>Assumptions!B38</f>
        <v>0</v>
      </c>
      <c r="C28" s="166">
        <f>Assumptions!C38</f>
        <v>0</v>
      </c>
      <c r="D28" s="166">
        <f>Assumptions!D38</f>
        <v>0</v>
      </c>
      <c r="E28" s="166">
        <f>Assumptions!E38</f>
        <v>0</v>
      </c>
      <c r="F28" s="167">
        <f>Assumptions!F38</f>
        <v>0</v>
      </c>
      <c r="G28" s="27"/>
      <c r="H28" s="27"/>
      <c r="I28" s="27"/>
      <c r="J28" s="27"/>
    </row>
    <row r="29" spans="1:10" ht="12.75" customHeight="1" x14ac:dyDescent="0.35">
      <c r="A29" s="158" t="s">
        <v>29</v>
      </c>
      <c r="B29" s="371">
        <f>Assumptions!B41</f>
        <v>720000</v>
      </c>
      <c r="C29" s="229">
        <f>Assumptions!C41</f>
        <v>1008000</v>
      </c>
      <c r="D29" s="229">
        <f>Assumptions!D41</f>
        <v>1209600</v>
      </c>
      <c r="E29" s="229">
        <f>Assumptions!E41</f>
        <v>1451520</v>
      </c>
      <c r="F29" s="235">
        <f>Assumptions!F41</f>
        <v>1596672</v>
      </c>
      <c r="G29" s="27"/>
      <c r="H29" s="27"/>
      <c r="I29" s="27"/>
      <c r="J29" s="27"/>
    </row>
    <row r="30" spans="1:10" ht="12.75" customHeight="1" x14ac:dyDescent="0.35">
      <c r="A30" s="153" t="s">
        <v>59</v>
      </c>
      <c r="B30" s="364">
        <f>SUM(B26:B29)</f>
        <v>17800000</v>
      </c>
      <c r="C30" s="40">
        <f>SUM(C26:C29)</f>
        <v>45627448.36363636</v>
      </c>
      <c r="D30" s="40">
        <f>SUM(D26:D29)</f>
        <v>78306111.345454544</v>
      </c>
      <c r="E30" s="40">
        <f>SUM(E26:E29)</f>
        <v>119200092.86909091</v>
      </c>
      <c r="F30" s="154">
        <f>SUM(F26:F29)</f>
        <v>162487652.86000001</v>
      </c>
      <c r="G30" s="27"/>
      <c r="H30" s="27"/>
      <c r="I30" s="27"/>
      <c r="J30" s="27"/>
    </row>
    <row r="31" spans="1:10" ht="12.75" customHeight="1" x14ac:dyDescent="0.35">
      <c r="A31" s="155"/>
      <c r="B31" s="365"/>
      <c r="C31" s="156"/>
      <c r="D31" s="156"/>
      <c r="E31" s="156"/>
      <c r="F31" s="157"/>
      <c r="G31" s="27"/>
      <c r="H31" s="27"/>
      <c r="I31" s="27"/>
      <c r="J31" s="27"/>
    </row>
    <row r="32" spans="1:10" ht="12.75" customHeight="1" x14ac:dyDescent="0.35">
      <c r="A32" s="155" t="s">
        <v>71</v>
      </c>
      <c r="B32" s="365"/>
      <c r="C32" s="156"/>
      <c r="D32" s="156"/>
      <c r="E32" s="156"/>
      <c r="F32" s="152"/>
      <c r="G32" s="27"/>
      <c r="H32" s="27"/>
      <c r="I32" s="27"/>
      <c r="J32" s="27"/>
    </row>
    <row r="33" spans="1:10" ht="12.75" customHeight="1" x14ac:dyDescent="0.35">
      <c r="A33" s="155" t="s">
        <v>168</v>
      </c>
      <c r="B33" s="365">
        <f>Assumptions!B35</f>
        <v>0</v>
      </c>
      <c r="C33" s="156">
        <f>Assumptions!C35</f>
        <v>0</v>
      </c>
      <c r="D33" s="156">
        <f>Assumptions!D35</f>
        <v>0</v>
      </c>
      <c r="E33" s="156">
        <f>Assumptions!E35</f>
        <v>0</v>
      </c>
      <c r="F33" s="157">
        <f>Assumptions!F35</f>
        <v>0</v>
      </c>
      <c r="G33" s="27"/>
      <c r="H33" s="27"/>
      <c r="I33" s="27"/>
      <c r="J33" s="27"/>
    </row>
    <row r="34" spans="1:10" ht="12.75" customHeight="1" x14ac:dyDescent="0.35">
      <c r="A34" s="150" t="s">
        <v>72</v>
      </c>
      <c r="B34" s="363">
        <f>Assumptions!B48</f>
        <v>0</v>
      </c>
      <c r="C34" s="151">
        <f>Assumptions!C48</f>
        <v>0</v>
      </c>
      <c r="D34" s="151">
        <f>Assumptions!D48</f>
        <v>0</v>
      </c>
      <c r="E34" s="151">
        <f>Assumptions!E48</f>
        <v>0</v>
      </c>
      <c r="F34" s="152">
        <f>Assumptions!F48</f>
        <v>0</v>
      </c>
      <c r="G34" s="27"/>
      <c r="H34" s="27"/>
      <c r="I34" s="27"/>
      <c r="J34" s="27"/>
    </row>
    <row r="35" spans="1:10" ht="12.75" customHeight="1" x14ac:dyDescent="0.35">
      <c r="A35" s="158" t="s">
        <v>35</v>
      </c>
      <c r="B35" s="370">
        <f>Assumptions!B51</f>
        <v>0</v>
      </c>
      <c r="C35" s="166">
        <f>Assumptions!C51</f>
        <v>0</v>
      </c>
      <c r="D35" s="166">
        <f>Assumptions!D51</f>
        <v>0</v>
      </c>
      <c r="E35" s="166">
        <f>Assumptions!E51</f>
        <v>0</v>
      </c>
      <c r="F35" s="167">
        <f>Assumptions!F51</f>
        <v>0</v>
      </c>
      <c r="G35" s="27"/>
      <c r="H35" s="27"/>
      <c r="I35" s="27"/>
      <c r="J35" s="27"/>
    </row>
    <row r="36" spans="1:10" ht="12.75" customHeight="1" x14ac:dyDescent="0.35">
      <c r="A36" s="158" t="s">
        <v>73</v>
      </c>
      <c r="B36" s="343">
        <f>Assumptions!B53</f>
        <v>720000</v>
      </c>
      <c r="C36" s="126">
        <f>Assumptions!C53</f>
        <v>1008000</v>
      </c>
      <c r="D36" s="126">
        <f>Assumptions!D53</f>
        <v>1209600</v>
      </c>
      <c r="E36" s="126">
        <f>Assumptions!E53</f>
        <v>1451520</v>
      </c>
      <c r="F36" s="122">
        <f>Assumptions!F53</f>
        <v>1596672</v>
      </c>
      <c r="G36" s="27"/>
      <c r="H36" s="27"/>
      <c r="I36" s="27"/>
      <c r="J36" s="27"/>
    </row>
    <row r="37" spans="1:10" ht="12.75" customHeight="1" x14ac:dyDescent="0.35">
      <c r="A37" s="150" t="s">
        <v>74</v>
      </c>
      <c r="B37" s="363">
        <f>'Income Sheet'!B27</f>
        <v>4882188</v>
      </c>
      <c r="C37" s="151">
        <f>'Income Sheet'!C27</f>
        <v>8128173.3818181818</v>
      </c>
      <c r="D37" s="151">
        <f>'Income Sheet'!D27</f>
        <v>10187793.021818181</v>
      </c>
      <c r="E37" s="151">
        <f>'Income Sheet'!E27</f>
        <v>12762812.372727273</v>
      </c>
      <c r="F37" s="152">
        <f>'Income Sheet'!F27</f>
        <v>14038078.045418182</v>
      </c>
      <c r="G37" s="43"/>
      <c r="H37" s="43"/>
      <c r="I37" s="43"/>
      <c r="J37" s="43"/>
    </row>
    <row r="38" spans="1:10" ht="12.75" customHeight="1" x14ac:dyDescent="0.35">
      <c r="A38" s="168" t="s">
        <v>59</v>
      </c>
      <c r="B38" s="372">
        <f>SUM(B33:B37)</f>
        <v>5602188</v>
      </c>
      <c r="C38" s="44">
        <f>SUM(C33:C37)</f>
        <v>9136173.3818181828</v>
      </c>
      <c r="D38" s="44">
        <f t="shared" ref="D38:F38" si="4">SUM(D33:D37)</f>
        <v>11397393.021818181</v>
      </c>
      <c r="E38" s="44">
        <f t="shared" si="4"/>
        <v>14214332.372727273</v>
      </c>
      <c r="F38" s="169">
        <f t="shared" si="4"/>
        <v>15634750.045418182</v>
      </c>
      <c r="G38" s="27"/>
      <c r="H38" s="27"/>
      <c r="I38" s="27"/>
      <c r="J38" s="27"/>
    </row>
    <row r="39" spans="1:10" ht="12.75" customHeight="1" x14ac:dyDescent="0.35">
      <c r="A39" s="153"/>
      <c r="B39" s="364"/>
      <c r="C39" s="40"/>
      <c r="D39" s="40"/>
      <c r="E39" s="40"/>
      <c r="F39" s="154"/>
      <c r="G39" s="27"/>
      <c r="H39" s="27"/>
      <c r="I39" s="27"/>
      <c r="J39" s="27"/>
    </row>
    <row r="40" spans="1:10" ht="12.75" customHeight="1" x14ac:dyDescent="0.35">
      <c r="A40" s="168" t="s">
        <v>75</v>
      </c>
      <c r="B40" s="372">
        <f t="shared" ref="B40:F40" si="5">B30-B38</f>
        <v>12197812</v>
      </c>
      <c r="C40" s="44">
        <f t="shared" si="5"/>
        <v>36491274.981818177</v>
      </c>
      <c r="D40" s="44">
        <f t="shared" si="5"/>
        <v>66908718.32363636</v>
      </c>
      <c r="E40" s="44">
        <f t="shared" si="5"/>
        <v>104985760.49636364</v>
      </c>
      <c r="F40" s="169">
        <f t="shared" si="5"/>
        <v>146852902.81458184</v>
      </c>
      <c r="G40" s="27"/>
      <c r="H40" s="27"/>
      <c r="I40" s="27"/>
      <c r="J40" s="27"/>
    </row>
    <row r="41" spans="1:10" ht="12.75" customHeight="1" x14ac:dyDescent="0.35">
      <c r="A41" s="155"/>
      <c r="B41" s="365"/>
      <c r="C41" s="156"/>
      <c r="D41" s="156"/>
      <c r="E41" s="156"/>
      <c r="F41" s="122"/>
      <c r="G41" s="27"/>
      <c r="H41" s="27"/>
      <c r="I41" s="27"/>
      <c r="J41" s="27"/>
    </row>
    <row r="42" spans="1:10" ht="12.75" customHeight="1" thickBot="1" x14ac:dyDescent="0.4">
      <c r="A42" s="159" t="s">
        <v>76</v>
      </c>
      <c r="B42" s="367">
        <f>B23+B30</f>
        <v>20140000</v>
      </c>
      <c r="C42" s="41">
        <f>C23+C30</f>
        <v>47877448.36363636</v>
      </c>
      <c r="D42" s="41">
        <f>D23+D30</f>
        <v>80475111.345454544</v>
      </c>
      <c r="E42" s="41">
        <f>E23+E30</f>
        <v>121296192.86909091</v>
      </c>
      <c r="F42" s="160">
        <f>F23+F30</f>
        <v>164518142.86000001</v>
      </c>
      <c r="G42" s="27"/>
      <c r="H42" s="27"/>
      <c r="I42" s="27"/>
      <c r="J42" s="27"/>
    </row>
    <row r="43" spans="1:10" ht="12.75" customHeight="1" thickTop="1" x14ac:dyDescent="0.35">
      <c r="A43" s="155"/>
      <c r="B43" s="365"/>
      <c r="C43" s="156"/>
      <c r="D43" s="156"/>
      <c r="E43" s="156"/>
      <c r="F43" s="157"/>
      <c r="G43" s="27"/>
      <c r="H43" s="27"/>
      <c r="I43" s="27"/>
      <c r="J43" s="27"/>
    </row>
    <row r="44" spans="1:10" ht="12.75" customHeight="1" x14ac:dyDescent="0.35">
      <c r="A44" s="164"/>
      <c r="B44" s="369"/>
      <c r="C44" s="165"/>
      <c r="D44" s="165"/>
      <c r="E44" s="165"/>
      <c r="F44" s="161"/>
      <c r="G44" s="27"/>
      <c r="H44" s="27"/>
      <c r="I44" s="27"/>
      <c r="J44" s="27"/>
    </row>
    <row r="45" spans="1:10" ht="12.75" customHeight="1" x14ac:dyDescent="0.35">
      <c r="A45" s="170" t="s">
        <v>77</v>
      </c>
      <c r="B45" s="373"/>
      <c r="C45" s="171"/>
      <c r="D45" s="171"/>
      <c r="E45" s="165"/>
      <c r="F45" s="161"/>
      <c r="G45" s="27"/>
      <c r="H45" s="27"/>
      <c r="I45" s="27"/>
      <c r="J45" s="27"/>
    </row>
    <row r="46" spans="1:10" ht="12.75" customHeight="1" x14ac:dyDescent="0.35">
      <c r="A46" s="172" t="s">
        <v>78</v>
      </c>
      <c r="B46" s="363">
        <f>SUM(B28:B29)</f>
        <v>720000</v>
      </c>
      <c r="C46" s="151">
        <f>SUM(C28:C29)</f>
        <v>1008000</v>
      </c>
      <c r="D46" s="151">
        <f>SUM(D28:D29)</f>
        <v>1209600</v>
      </c>
      <c r="E46" s="151">
        <f>SUM(E28:E29)</f>
        <v>1451520</v>
      </c>
      <c r="F46" s="152">
        <f>SUM(F28:F29)</f>
        <v>1596672</v>
      </c>
      <c r="G46" s="27"/>
      <c r="H46" s="27"/>
      <c r="I46" s="27"/>
      <c r="J46" s="27"/>
    </row>
    <row r="47" spans="1:10" ht="12.75" customHeight="1" x14ac:dyDescent="0.35">
      <c r="A47" s="172" t="s">
        <v>79</v>
      </c>
      <c r="B47" s="363">
        <f t="shared" ref="B47:F47" si="6">SUM(B35:B36)</f>
        <v>720000</v>
      </c>
      <c r="C47" s="151">
        <f t="shared" si="6"/>
        <v>1008000</v>
      </c>
      <c r="D47" s="151">
        <f t="shared" si="6"/>
        <v>1209600</v>
      </c>
      <c r="E47" s="151">
        <f t="shared" si="6"/>
        <v>1451520</v>
      </c>
      <c r="F47" s="152">
        <f t="shared" si="6"/>
        <v>1596672</v>
      </c>
      <c r="G47" s="27"/>
      <c r="H47" s="27"/>
      <c r="I47" s="27"/>
      <c r="J47" s="27"/>
    </row>
    <row r="48" spans="1:10" ht="12.75" customHeight="1" x14ac:dyDescent="0.35">
      <c r="A48" s="173" t="s">
        <v>80</v>
      </c>
      <c r="B48" s="364">
        <f t="shared" ref="B48:F48" si="7">B46-B47</f>
        <v>0</v>
      </c>
      <c r="C48" s="40">
        <f t="shared" si="7"/>
        <v>0</v>
      </c>
      <c r="D48" s="40">
        <f t="shared" si="7"/>
        <v>0</v>
      </c>
      <c r="E48" s="40">
        <f t="shared" si="7"/>
        <v>0</v>
      </c>
      <c r="F48" s="154">
        <f t="shared" si="7"/>
        <v>0</v>
      </c>
      <c r="G48" s="27"/>
      <c r="H48" s="27"/>
      <c r="I48" s="27"/>
      <c r="J48" s="27"/>
    </row>
    <row r="49" spans="1:10" ht="12.75" customHeight="1" x14ac:dyDescent="0.35">
      <c r="A49" s="164"/>
      <c r="B49" s="369"/>
      <c r="C49" s="165"/>
      <c r="D49" s="165"/>
      <c r="E49" s="165"/>
      <c r="F49" s="161"/>
      <c r="G49" s="27"/>
      <c r="H49" s="27"/>
      <c r="I49" s="27"/>
      <c r="J49" s="27"/>
    </row>
    <row r="50" spans="1:10" ht="12.75" customHeight="1" x14ac:dyDescent="0.35">
      <c r="A50" s="164" t="s">
        <v>81</v>
      </c>
      <c r="B50" s="365">
        <f t="shared" ref="B50:F50" si="8">B48</f>
        <v>0</v>
      </c>
      <c r="C50" s="156">
        <f t="shared" si="8"/>
        <v>0</v>
      </c>
      <c r="D50" s="156">
        <f t="shared" si="8"/>
        <v>0</v>
      </c>
      <c r="E50" s="156">
        <f t="shared" si="8"/>
        <v>0</v>
      </c>
      <c r="F50" s="157">
        <f t="shared" si="8"/>
        <v>0</v>
      </c>
      <c r="G50" s="27"/>
      <c r="H50" s="27"/>
      <c r="I50" s="27"/>
      <c r="J50" s="27"/>
    </row>
    <row r="51" spans="1:10" ht="12.75" customHeight="1" x14ac:dyDescent="0.35">
      <c r="A51" s="174" t="s">
        <v>82</v>
      </c>
      <c r="B51" s="374">
        <f>B10+B16+B38-B23-B30</f>
        <v>0</v>
      </c>
      <c r="C51" s="231">
        <f>C10+C38+C16-C23-C30</f>
        <v>0</v>
      </c>
      <c r="D51" s="231">
        <f>D10+D38+D16-D23-D30</f>
        <v>0</v>
      </c>
      <c r="E51" s="231">
        <f>E10+E38+E16-E23-E30</f>
        <v>0</v>
      </c>
      <c r="F51" s="232">
        <f>F10+F38+F16-F23-F30</f>
        <v>0</v>
      </c>
      <c r="G51" s="27"/>
      <c r="H51" s="27"/>
      <c r="I51" s="27"/>
      <c r="J51" s="27"/>
    </row>
    <row r="52" spans="1:10" ht="12.75" customHeight="1" x14ac:dyDescent="0.35">
      <c r="A52" s="27"/>
      <c r="B52" s="45"/>
      <c r="C52" s="45"/>
      <c r="D52" s="45"/>
      <c r="E52" s="45"/>
      <c r="F52" s="45"/>
      <c r="G52" s="27"/>
      <c r="H52" s="27"/>
      <c r="I52" s="27"/>
      <c r="J52" s="27"/>
    </row>
    <row r="53" spans="1:10" ht="12.75" customHeight="1" x14ac:dyDescent="0.35">
      <c r="A53" s="27"/>
      <c r="B53" s="45"/>
      <c r="C53" s="45"/>
      <c r="D53" s="45"/>
      <c r="E53" s="45"/>
      <c r="F53" s="45"/>
      <c r="G53" s="27"/>
      <c r="H53" s="27"/>
      <c r="I53" s="27"/>
      <c r="J53" s="27"/>
    </row>
    <row r="54" spans="1:10" ht="12.75" customHeight="1" x14ac:dyDescent="0.35">
      <c r="A54" s="27"/>
      <c r="B54" s="45"/>
      <c r="C54" s="45"/>
      <c r="D54" s="45"/>
      <c r="E54" s="45"/>
      <c r="F54" s="45"/>
      <c r="G54" s="27"/>
      <c r="H54" s="27"/>
      <c r="I54" s="27"/>
      <c r="J54" s="27"/>
    </row>
    <row r="55" spans="1:10" ht="12.75" customHeight="1" x14ac:dyDescent="0.35">
      <c r="A55" s="27"/>
      <c r="B55" s="27"/>
      <c r="C55" s="27"/>
      <c r="D55" s="27"/>
      <c r="E55" s="45"/>
      <c r="F55" s="45"/>
      <c r="G55" s="27"/>
      <c r="H55" s="27"/>
      <c r="I55" s="27"/>
      <c r="J55" s="27"/>
    </row>
    <row r="56" spans="1:10" ht="12.75" customHeight="1" x14ac:dyDescent="0.35">
      <c r="A56" s="27"/>
      <c r="B56" s="27"/>
      <c r="C56" s="27"/>
      <c r="D56" s="27"/>
      <c r="E56" s="45"/>
      <c r="F56" s="45"/>
      <c r="G56" s="27"/>
      <c r="H56" s="27"/>
      <c r="I56" s="27"/>
      <c r="J56" s="27"/>
    </row>
    <row r="57" spans="1:10" ht="12.75" customHeight="1" x14ac:dyDescent="0.35">
      <c r="A57" s="27"/>
      <c r="B57" s="27"/>
      <c r="C57" s="27"/>
      <c r="D57" s="27"/>
      <c r="E57" s="45"/>
      <c r="F57" s="45"/>
      <c r="G57" s="27"/>
      <c r="H57" s="27"/>
      <c r="I57" s="27"/>
      <c r="J57" s="27"/>
    </row>
    <row r="58" spans="1:10" ht="12.75" customHeight="1" x14ac:dyDescent="0.35">
      <c r="A58" s="27"/>
      <c r="B58" s="27"/>
      <c r="C58" s="27"/>
      <c r="D58" s="27"/>
      <c r="E58" s="45"/>
      <c r="F58" s="45"/>
      <c r="G58" s="27"/>
      <c r="H58" s="27"/>
      <c r="I58" s="27"/>
      <c r="J58" s="27"/>
    </row>
    <row r="59" spans="1:10" ht="12.75" customHeight="1" x14ac:dyDescent="0.35">
      <c r="A59" s="27"/>
      <c r="B59" s="27"/>
      <c r="C59" s="27"/>
      <c r="D59" s="27"/>
      <c r="E59" s="45"/>
      <c r="F59" s="45"/>
      <c r="G59" s="27"/>
      <c r="H59" s="27"/>
      <c r="I59" s="27"/>
      <c r="J59" s="27"/>
    </row>
    <row r="60" spans="1:10" ht="12.75" customHeight="1" x14ac:dyDescent="0.35">
      <c r="A60" s="27"/>
      <c r="B60" s="27"/>
      <c r="C60" s="27"/>
      <c r="D60" s="27"/>
      <c r="E60" s="45"/>
      <c r="F60" s="45"/>
      <c r="G60" s="27"/>
      <c r="H60" s="27"/>
      <c r="I60" s="27"/>
      <c r="J60" s="27"/>
    </row>
    <row r="61" spans="1:10" ht="12.75" customHeight="1" x14ac:dyDescent="0.35">
      <c r="A61" s="27"/>
      <c r="B61" s="27"/>
      <c r="C61" s="27"/>
      <c r="D61" s="27"/>
      <c r="E61" s="45"/>
      <c r="F61" s="45"/>
      <c r="G61" s="27"/>
      <c r="H61" s="27"/>
      <c r="I61" s="27"/>
      <c r="J61" s="27"/>
    </row>
    <row r="62" spans="1:10" ht="12.75" customHeight="1" x14ac:dyDescent="0.35">
      <c r="A62" s="27"/>
      <c r="B62" s="27"/>
      <c r="C62" s="27"/>
      <c r="D62" s="27"/>
      <c r="E62" s="45"/>
      <c r="F62" s="45"/>
      <c r="G62" s="27"/>
      <c r="H62" s="27"/>
      <c r="I62" s="27"/>
      <c r="J62" s="27"/>
    </row>
    <row r="63" spans="1:10" ht="12.75" customHeight="1" x14ac:dyDescent="0.35">
      <c r="A63" s="27"/>
      <c r="B63" s="27"/>
      <c r="C63" s="27"/>
      <c r="D63" s="27"/>
      <c r="E63" s="45"/>
      <c r="F63" s="45"/>
      <c r="G63" s="27"/>
      <c r="H63" s="27"/>
      <c r="I63" s="27"/>
      <c r="J63" s="27"/>
    </row>
    <row r="64" spans="1:10" ht="12.75" customHeight="1" x14ac:dyDescent="0.35">
      <c r="A64" s="27"/>
      <c r="B64" s="27"/>
      <c r="C64" s="27"/>
      <c r="D64" s="27"/>
      <c r="E64" s="45"/>
      <c r="F64" s="45"/>
      <c r="G64" s="27"/>
      <c r="H64" s="27"/>
      <c r="I64" s="27"/>
      <c r="J64" s="27"/>
    </row>
    <row r="65" spans="1:10" ht="12.75" customHeight="1" x14ac:dyDescent="0.35">
      <c r="A65" s="27"/>
      <c r="B65" s="27"/>
      <c r="C65" s="27"/>
      <c r="D65" s="27"/>
      <c r="E65" s="45"/>
      <c r="F65" s="45"/>
      <c r="G65" s="27"/>
      <c r="H65" s="27"/>
      <c r="I65" s="27"/>
      <c r="J65" s="27"/>
    </row>
    <row r="66" spans="1:10" ht="12.75" customHeight="1" x14ac:dyDescent="0.35">
      <c r="A66" s="27"/>
      <c r="B66" s="27"/>
      <c r="C66" s="27"/>
      <c r="D66" s="27"/>
      <c r="E66" s="45"/>
      <c r="F66" s="45"/>
      <c r="G66" s="27"/>
      <c r="H66" s="27"/>
      <c r="I66" s="27"/>
      <c r="J66" s="27"/>
    </row>
    <row r="67" spans="1:10" ht="12.75" customHeight="1" x14ac:dyDescent="0.35">
      <c r="A67" s="27"/>
      <c r="B67" s="27"/>
      <c r="C67" s="27"/>
      <c r="D67" s="27"/>
      <c r="E67" s="45"/>
      <c r="F67" s="45"/>
      <c r="G67" s="27"/>
      <c r="H67" s="27"/>
      <c r="I67" s="27"/>
      <c r="J67" s="27"/>
    </row>
    <row r="68" spans="1:10" ht="12.75" customHeight="1" x14ac:dyDescent="0.35">
      <c r="A68" s="27"/>
      <c r="B68" s="27"/>
      <c r="C68" s="27"/>
      <c r="D68" s="27"/>
      <c r="E68" s="45"/>
      <c r="F68" s="45"/>
      <c r="G68" s="27"/>
      <c r="H68" s="27"/>
      <c r="I68" s="27"/>
      <c r="J68" s="27"/>
    </row>
    <row r="69" spans="1:10" ht="12.75" customHeight="1" x14ac:dyDescent="0.35">
      <c r="A69" s="27"/>
      <c r="B69" s="27"/>
      <c r="C69" s="27"/>
      <c r="D69" s="27"/>
      <c r="E69" s="45"/>
      <c r="F69" s="45"/>
      <c r="G69" s="27"/>
      <c r="H69" s="27"/>
      <c r="I69" s="27"/>
      <c r="J69" s="27"/>
    </row>
    <row r="70" spans="1:10" ht="12.75" customHeight="1" x14ac:dyDescent="0.35">
      <c r="A70" s="27"/>
      <c r="B70" s="27"/>
      <c r="C70" s="27"/>
      <c r="D70" s="27"/>
      <c r="E70" s="45"/>
      <c r="F70" s="45"/>
      <c r="G70" s="27"/>
      <c r="H70" s="27"/>
      <c r="I70" s="27"/>
      <c r="J70" s="27"/>
    </row>
    <row r="71" spans="1:10" ht="12.75" customHeight="1" x14ac:dyDescent="0.35">
      <c r="A71" s="27"/>
      <c r="B71" s="27"/>
      <c r="C71" s="27"/>
      <c r="D71" s="27"/>
      <c r="E71" s="45"/>
      <c r="F71" s="45"/>
      <c r="G71" s="27"/>
      <c r="H71" s="27"/>
      <c r="I71" s="27"/>
      <c r="J71" s="27"/>
    </row>
    <row r="72" spans="1:10" ht="12.75" customHeight="1" x14ac:dyDescent="0.35">
      <c r="A72" s="27"/>
      <c r="B72" s="27"/>
      <c r="C72" s="27"/>
      <c r="D72" s="27"/>
      <c r="E72" s="45"/>
      <c r="F72" s="45"/>
      <c r="G72" s="27"/>
      <c r="H72" s="27"/>
      <c r="I72" s="27"/>
      <c r="J72" s="27"/>
    </row>
    <row r="73" spans="1:10" ht="12.75" customHeight="1" x14ac:dyDescent="0.35">
      <c r="A73" s="27"/>
      <c r="B73" s="27"/>
      <c r="C73" s="27"/>
      <c r="D73" s="27"/>
      <c r="E73" s="27"/>
      <c r="F73" s="27"/>
      <c r="G73" s="27"/>
      <c r="H73" s="27"/>
      <c r="I73" s="27"/>
      <c r="J73" s="27"/>
    </row>
    <row r="74" spans="1:10" ht="12.75" customHeight="1" x14ac:dyDescent="0.35">
      <c r="A74" s="27"/>
      <c r="B74" s="27"/>
      <c r="C74" s="27"/>
      <c r="D74" s="27"/>
      <c r="E74" s="27"/>
      <c r="F74" s="27"/>
      <c r="G74" s="27"/>
      <c r="H74" s="27"/>
      <c r="I74" s="27"/>
      <c r="J74" s="27"/>
    </row>
    <row r="75" spans="1:10" ht="12.75" customHeight="1" x14ac:dyDescent="0.35">
      <c r="A75" s="27"/>
      <c r="B75" s="27"/>
      <c r="C75" s="27"/>
      <c r="D75" s="27"/>
      <c r="E75" s="27"/>
      <c r="F75" s="27"/>
      <c r="G75" s="27"/>
      <c r="H75" s="27"/>
      <c r="I75" s="27"/>
      <c r="J75" s="27"/>
    </row>
    <row r="76" spans="1:10" ht="12.75" customHeight="1" x14ac:dyDescent="0.35">
      <c r="A76" s="27"/>
      <c r="B76" s="27"/>
      <c r="C76" s="27"/>
      <c r="D76" s="27"/>
      <c r="E76" s="27"/>
      <c r="F76" s="27"/>
      <c r="G76" s="27"/>
      <c r="H76" s="27"/>
      <c r="I76" s="27"/>
      <c r="J76" s="27"/>
    </row>
    <row r="77" spans="1:10" ht="12.75" customHeight="1" x14ac:dyDescent="0.35">
      <c r="A77" s="27"/>
      <c r="B77" s="27"/>
      <c r="C77" s="27"/>
      <c r="D77" s="27"/>
      <c r="E77" s="27"/>
      <c r="F77" s="27"/>
      <c r="G77" s="27"/>
      <c r="H77" s="27"/>
      <c r="I77" s="27"/>
      <c r="J77" s="27"/>
    </row>
    <row r="78" spans="1:10" ht="12.75" customHeight="1" x14ac:dyDescent="0.35">
      <c r="A78" s="27"/>
      <c r="B78" s="27"/>
      <c r="C78" s="27"/>
      <c r="D78" s="27"/>
      <c r="E78" s="27"/>
      <c r="F78" s="27"/>
      <c r="G78" s="27"/>
      <c r="H78" s="27"/>
      <c r="I78" s="27"/>
      <c r="J78" s="27"/>
    </row>
    <row r="79" spans="1:10" ht="12.75" customHeight="1" x14ac:dyDescent="0.35">
      <c r="A79" s="27"/>
      <c r="B79" s="27"/>
      <c r="C79" s="27"/>
      <c r="D79" s="27"/>
      <c r="E79" s="27"/>
      <c r="F79" s="27"/>
      <c r="G79" s="27"/>
      <c r="H79" s="27"/>
      <c r="I79" s="27"/>
      <c r="J79" s="27"/>
    </row>
    <row r="80" spans="1:10" ht="12.75" customHeight="1" x14ac:dyDescent="0.35">
      <c r="A80" s="27"/>
      <c r="B80" s="27"/>
      <c r="C80" s="27"/>
      <c r="D80" s="27"/>
      <c r="E80" s="27"/>
      <c r="F80" s="27"/>
      <c r="G80" s="27"/>
      <c r="H80" s="27"/>
      <c r="I80" s="27"/>
      <c r="J80" s="27"/>
    </row>
    <row r="81" spans="1:10" ht="12.75" customHeight="1" x14ac:dyDescent="0.35">
      <c r="A81" s="27"/>
      <c r="B81" s="27"/>
      <c r="C81" s="27"/>
      <c r="D81" s="27"/>
      <c r="E81" s="27"/>
      <c r="F81" s="27"/>
      <c r="G81" s="27"/>
      <c r="H81" s="27"/>
      <c r="I81" s="27"/>
      <c r="J81" s="27"/>
    </row>
    <row r="82" spans="1:10" ht="12.75" customHeight="1" x14ac:dyDescent="0.35">
      <c r="A82" s="27"/>
      <c r="B82" s="27"/>
      <c r="C82" s="27"/>
      <c r="D82" s="27"/>
      <c r="E82" s="27"/>
      <c r="F82" s="27"/>
      <c r="G82" s="27"/>
      <c r="H82" s="27"/>
      <c r="I82" s="27"/>
      <c r="J82" s="27"/>
    </row>
    <row r="83" spans="1:10" ht="12.75" customHeight="1" x14ac:dyDescent="0.35">
      <c r="A83" s="27"/>
      <c r="B83" s="27"/>
      <c r="C83" s="27"/>
      <c r="D83" s="27"/>
      <c r="E83" s="27"/>
      <c r="F83" s="27"/>
      <c r="G83" s="27"/>
      <c r="H83" s="27"/>
      <c r="I83" s="27"/>
      <c r="J83" s="27"/>
    </row>
    <row r="84" spans="1:10" ht="12.75" customHeight="1" x14ac:dyDescent="0.35">
      <c r="A84" s="27"/>
      <c r="B84" s="27"/>
      <c r="C84" s="27"/>
      <c r="D84" s="27"/>
      <c r="E84" s="27"/>
      <c r="F84" s="27"/>
      <c r="G84" s="27"/>
      <c r="H84" s="27"/>
      <c r="I84" s="27"/>
      <c r="J84" s="27"/>
    </row>
    <row r="85" spans="1:10" ht="12.75" customHeight="1" x14ac:dyDescent="0.35">
      <c r="A85" s="27"/>
      <c r="B85" s="27"/>
      <c r="C85" s="27"/>
      <c r="D85" s="27"/>
      <c r="E85" s="27"/>
      <c r="F85" s="27"/>
      <c r="G85" s="27"/>
      <c r="H85" s="27"/>
      <c r="I85" s="27"/>
      <c r="J85" s="27"/>
    </row>
    <row r="86" spans="1:10" ht="12.75" customHeight="1" x14ac:dyDescent="0.35">
      <c r="A86" s="27"/>
      <c r="B86" s="27"/>
      <c r="C86" s="27"/>
      <c r="D86" s="27"/>
      <c r="E86" s="27"/>
      <c r="F86" s="27"/>
      <c r="G86" s="27"/>
      <c r="H86" s="27"/>
      <c r="I86" s="27"/>
      <c r="J86" s="27"/>
    </row>
    <row r="87" spans="1:10" ht="12.75" customHeight="1" x14ac:dyDescent="0.35">
      <c r="A87" s="27"/>
      <c r="B87" s="27"/>
      <c r="C87" s="27"/>
      <c r="D87" s="27"/>
      <c r="E87" s="27"/>
      <c r="F87" s="27"/>
      <c r="G87" s="27"/>
      <c r="H87" s="27"/>
      <c r="I87" s="27"/>
      <c r="J87" s="27"/>
    </row>
    <row r="88" spans="1:10" ht="12.75" customHeight="1" x14ac:dyDescent="0.35">
      <c r="A88" s="27"/>
      <c r="B88" s="27"/>
      <c r="C88" s="27"/>
      <c r="D88" s="27"/>
      <c r="E88" s="27"/>
      <c r="F88" s="27"/>
      <c r="G88" s="27"/>
      <c r="H88" s="27"/>
      <c r="I88" s="27"/>
      <c r="J88" s="27"/>
    </row>
    <row r="89" spans="1:10" ht="12.75" customHeight="1" x14ac:dyDescent="0.35">
      <c r="A89" s="27"/>
      <c r="B89" s="27"/>
      <c r="C89" s="27"/>
      <c r="D89" s="27"/>
      <c r="E89" s="27"/>
      <c r="F89" s="27"/>
      <c r="G89" s="27"/>
      <c r="H89" s="27"/>
      <c r="I89" s="27"/>
      <c r="J89" s="27"/>
    </row>
    <row r="90" spans="1:10" ht="12.75" customHeight="1" x14ac:dyDescent="0.35">
      <c r="A90" s="27"/>
      <c r="B90" s="27"/>
      <c r="C90" s="27"/>
      <c r="D90" s="27"/>
      <c r="E90" s="27"/>
      <c r="F90" s="27"/>
      <c r="G90" s="27"/>
      <c r="H90" s="27"/>
      <c r="I90" s="27"/>
      <c r="J90" s="27"/>
    </row>
    <row r="91" spans="1:10" ht="12.75" customHeight="1" x14ac:dyDescent="0.35">
      <c r="A91" s="27"/>
      <c r="B91" s="27"/>
      <c r="C91" s="27"/>
      <c r="D91" s="27"/>
      <c r="E91" s="27"/>
      <c r="F91" s="27"/>
      <c r="G91" s="27"/>
      <c r="H91" s="27"/>
      <c r="I91" s="27"/>
      <c r="J91" s="27"/>
    </row>
    <row r="92" spans="1:10" ht="12.75" customHeight="1" x14ac:dyDescent="0.35">
      <c r="A92" s="27"/>
      <c r="B92" s="27"/>
      <c r="C92" s="27"/>
      <c r="D92" s="27"/>
      <c r="E92" s="27"/>
      <c r="F92" s="27"/>
      <c r="G92" s="27"/>
      <c r="H92" s="27"/>
      <c r="I92" s="27"/>
      <c r="J92" s="27"/>
    </row>
    <row r="93" spans="1:10" ht="12.75" customHeight="1" x14ac:dyDescent="0.35">
      <c r="A93" s="27"/>
      <c r="B93" s="27"/>
      <c r="C93" s="27"/>
      <c r="D93" s="27"/>
      <c r="E93" s="27"/>
      <c r="F93" s="27"/>
      <c r="G93" s="27"/>
      <c r="H93" s="27"/>
      <c r="I93" s="27"/>
      <c r="J93" s="27"/>
    </row>
    <row r="94" spans="1:10" ht="12.75" customHeight="1" x14ac:dyDescent="0.35">
      <c r="A94" s="27"/>
      <c r="B94" s="27"/>
      <c r="C94" s="27"/>
      <c r="D94" s="27"/>
      <c r="E94" s="27"/>
      <c r="F94" s="27"/>
      <c r="G94" s="27"/>
      <c r="H94" s="27"/>
      <c r="I94" s="27"/>
      <c r="J94" s="27"/>
    </row>
    <row r="95" spans="1:10" ht="12.75" customHeight="1" x14ac:dyDescent="0.35">
      <c r="A95" s="27"/>
      <c r="B95" s="27"/>
      <c r="C95" s="27"/>
      <c r="D95" s="27"/>
      <c r="E95" s="27"/>
      <c r="F95" s="27"/>
      <c r="G95" s="27"/>
      <c r="H95" s="27"/>
      <c r="I95" s="27"/>
      <c r="J95" s="27"/>
    </row>
    <row r="96" spans="1:10" ht="12.75" customHeight="1" x14ac:dyDescent="0.35">
      <c r="A96" s="27"/>
      <c r="B96" s="27"/>
      <c r="C96" s="27"/>
      <c r="D96" s="27"/>
      <c r="E96" s="27"/>
      <c r="F96" s="27"/>
      <c r="G96" s="27"/>
      <c r="H96" s="27"/>
      <c r="I96" s="27"/>
      <c r="J96" s="27"/>
    </row>
    <row r="97" spans="1:10" ht="12.75" customHeight="1" x14ac:dyDescent="0.35">
      <c r="A97" s="27"/>
      <c r="B97" s="27"/>
      <c r="C97" s="27"/>
      <c r="D97" s="27"/>
      <c r="E97" s="27"/>
      <c r="F97" s="27"/>
      <c r="G97" s="27"/>
      <c r="H97" s="27"/>
      <c r="I97" s="27"/>
      <c r="J97" s="27"/>
    </row>
    <row r="98" spans="1:10" ht="12.75" customHeight="1" x14ac:dyDescent="0.35">
      <c r="A98" s="27"/>
      <c r="B98" s="27"/>
      <c r="C98" s="27"/>
      <c r="D98" s="27"/>
      <c r="E98" s="27"/>
      <c r="F98" s="27"/>
      <c r="G98" s="27"/>
      <c r="H98" s="27"/>
      <c r="I98" s="27"/>
      <c r="J98" s="27"/>
    </row>
    <row r="99" spans="1:10" ht="12.75" customHeight="1" x14ac:dyDescent="0.35">
      <c r="A99" s="27"/>
      <c r="B99" s="27"/>
      <c r="C99" s="27"/>
      <c r="D99" s="27"/>
      <c r="E99" s="27"/>
      <c r="F99" s="27"/>
      <c r="G99" s="27"/>
      <c r="H99" s="27"/>
      <c r="I99" s="27"/>
      <c r="J99" s="27"/>
    </row>
    <row r="100" spans="1:10" ht="12.75" customHeight="1" x14ac:dyDescent="0.35">
      <c r="A100" s="27"/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 ht="12.75" customHeight="1" x14ac:dyDescent="0.35">
      <c r="A101" s="27"/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 ht="12.75" customHeight="1" x14ac:dyDescent="0.35">
      <c r="A102" s="27"/>
      <c r="B102" s="27"/>
      <c r="C102" s="27"/>
      <c r="D102" s="27"/>
      <c r="E102" s="27"/>
      <c r="F102" s="27"/>
      <c r="G102" s="27"/>
      <c r="H102" s="27"/>
      <c r="I102" s="27"/>
      <c r="J102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G41"/>
  <sheetViews>
    <sheetView showGridLines="0" workbookViewId="0"/>
  </sheetViews>
  <sheetFormatPr defaultRowHeight="14.4" x14ac:dyDescent="0.3"/>
  <cols>
    <col min="1" max="1" width="58.109375" bestFit="1" customWidth="1"/>
    <col min="2" max="2" width="16.6640625" customWidth="1"/>
    <col min="3" max="3" width="14.88671875" bestFit="1" customWidth="1"/>
    <col min="4" max="4" width="16" bestFit="1" customWidth="1"/>
    <col min="5" max="5" width="16.6640625" bestFit="1" customWidth="1"/>
    <col min="6" max="6" width="17.109375" customWidth="1"/>
  </cols>
  <sheetData>
    <row r="1" spans="1:7" s="94" customFormat="1" ht="15" x14ac:dyDescent="0.35">
      <c r="A1" s="92" t="s">
        <v>165</v>
      </c>
      <c r="B1" s="92"/>
      <c r="C1" s="92"/>
      <c r="D1" s="92"/>
      <c r="E1" s="95"/>
      <c r="F1" s="95"/>
      <c r="G1" s="93"/>
    </row>
    <row r="2" spans="1:7" s="98" customFormat="1" ht="15" x14ac:dyDescent="0.35">
      <c r="A2" s="96"/>
      <c r="B2" s="96"/>
      <c r="C2" s="96"/>
      <c r="D2" s="96"/>
      <c r="E2" s="99"/>
      <c r="F2" s="99"/>
      <c r="G2" s="97"/>
    </row>
    <row r="3" spans="1:7" s="98" customFormat="1" ht="15" x14ac:dyDescent="0.35">
      <c r="A3" s="287" t="s">
        <v>83</v>
      </c>
      <c r="B3" s="96"/>
      <c r="C3" s="96"/>
      <c r="D3" s="96"/>
      <c r="E3" s="99"/>
      <c r="F3" s="99"/>
      <c r="G3" s="97"/>
    </row>
    <row r="4" spans="1:7" ht="15" x14ac:dyDescent="0.35">
      <c r="B4" s="46"/>
      <c r="C4" s="46"/>
      <c r="D4" s="46"/>
      <c r="E4" s="30"/>
      <c r="F4" s="30"/>
      <c r="G4" s="27"/>
    </row>
    <row r="5" spans="1:7" ht="16.8" customHeight="1" x14ac:dyDescent="0.35">
      <c r="A5" s="486" t="s">
        <v>128</v>
      </c>
      <c r="B5" s="487" t="s">
        <v>178</v>
      </c>
      <c r="C5" s="487" t="s">
        <v>179</v>
      </c>
      <c r="D5" s="487" t="s">
        <v>180</v>
      </c>
      <c r="E5" s="487" t="s">
        <v>181</v>
      </c>
      <c r="F5" s="487" t="s">
        <v>182</v>
      </c>
      <c r="G5" s="27"/>
    </row>
    <row r="6" spans="1:7" ht="15" x14ac:dyDescent="0.35">
      <c r="A6" s="178" t="s">
        <v>84</v>
      </c>
      <c r="B6" s="352">
        <f>'Income Sheet'!B28</f>
        <v>14537812</v>
      </c>
      <c r="C6" s="179">
        <f>'Income Sheet'!C28</f>
        <v>24203462.981818181</v>
      </c>
      <c r="D6" s="179">
        <f>'Income Sheet'!D28</f>
        <v>30336443.341818176</v>
      </c>
      <c r="E6" s="179">
        <f>'Income Sheet'!E28</f>
        <v>38004142.172727272</v>
      </c>
      <c r="F6" s="180">
        <f>'Income Sheet'!F28</f>
        <v>41801532.318218179</v>
      </c>
      <c r="G6" s="27"/>
    </row>
    <row r="7" spans="1:7" ht="15" x14ac:dyDescent="0.35">
      <c r="A7" s="178" t="s">
        <v>85</v>
      </c>
      <c r="B7" s="353"/>
      <c r="C7" s="181"/>
      <c r="D7" s="181"/>
      <c r="E7" s="181"/>
      <c r="F7" s="182"/>
      <c r="G7" s="27"/>
    </row>
    <row r="8" spans="1:7" ht="15" x14ac:dyDescent="0.35">
      <c r="A8" s="183" t="s">
        <v>86</v>
      </c>
      <c r="B8" s="354"/>
      <c r="C8" s="184"/>
      <c r="D8" s="184"/>
      <c r="E8" s="184"/>
      <c r="F8" s="185"/>
      <c r="G8" s="27"/>
    </row>
    <row r="9" spans="1:7" ht="15" x14ac:dyDescent="0.35">
      <c r="A9" s="183" t="s">
        <v>87</v>
      </c>
      <c r="B9" s="354">
        <f>'Balance Sheet'!B15</f>
        <v>0</v>
      </c>
      <c r="C9" s="184">
        <f>'Balance Sheet'!C15</f>
        <v>0</v>
      </c>
      <c r="D9" s="184">
        <f>'Balance Sheet'!D15</f>
        <v>0</v>
      </c>
      <c r="E9" s="184">
        <f>'Balance Sheet'!E15</f>
        <v>0</v>
      </c>
      <c r="F9" s="185">
        <f>'Balance Sheet'!F15</f>
        <v>0</v>
      </c>
      <c r="G9" s="27"/>
    </row>
    <row r="10" spans="1:7" ht="15" x14ac:dyDescent="0.35">
      <c r="A10" s="183" t="s">
        <v>88</v>
      </c>
      <c r="B10" s="354">
        <f>'Income Sheet'!B23</f>
        <v>260000</v>
      </c>
      <c r="C10" s="184">
        <f>'Income Sheet'!C23</f>
        <v>250000</v>
      </c>
      <c r="D10" s="184">
        <f>'Income Sheet'!D23</f>
        <v>241000</v>
      </c>
      <c r="E10" s="184">
        <f>'Income Sheet'!E23</f>
        <v>232900</v>
      </c>
      <c r="F10" s="185">
        <f>'Income Sheet'!F23</f>
        <v>225610</v>
      </c>
      <c r="G10" s="27"/>
    </row>
    <row r="11" spans="1:7" ht="15" x14ac:dyDescent="0.35">
      <c r="A11" s="183" t="s">
        <v>89</v>
      </c>
      <c r="B11" s="354">
        <f>'Income Sheet'!B24</f>
        <v>0</v>
      </c>
      <c r="C11" s="184"/>
      <c r="D11" s="184"/>
      <c r="E11" s="184"/>
      <c r="F11" s="185"/>
      <c r="G11" s="27"/>
    </row>
    <row r="12" spans="1:7" ht="15" x14ac:dyDescent="0.35">
      <c r="A12" s="183" t="s">
        <v>90</v>
      </c>
      <c r="B12" s="354">
        <v>0</v>
      </c>
      <c r="C12" s="184">
        <v>0</v>
      </c>
      <c r="D12" s="184">
        <v>0</v>
      </c>
      <c r="E12" s="184">
        <v>0</v>
      </c>
      <c r="F12" s="185">
        <v>0</v>
      </c>
      <c r="G12" s="27"/>
    </row>
    <row r="13" spans="1:7" ht="15" x14ac:dyDescent="0.35">
      <c r="A13" s="183" t="s">
        <v>91</v>
      </c>
      <c r="B13" s="354">
        <f>'Balance Sheet'!B37</f>
        <v>4882188</v>
      </c>
      <c r="C13" s="184">
        <f>'Balance Sheet'!C37</f>
        <v>8128173.3818181818</v>
      </c>
      <c r="D13" s="184">
        <f>'Balance Sheet'!D37</f>
        <v>10187793.021818181</v>
      </c>
      <c r="E13" s="184">
        <f>'Balance Sheet'!E37</f>
        <v>12762812.372727273</v>
      </c>
      <c r="F13" s="185">
        <f>'Balance Sheet'!F37</f>
        <v>14038078.045418182</v>
      </c>
      <c r="G13" s="27"/>
    </row>
    <row r="14" spans="1:7" ht="15" x14ac:dyDescent="0.35">
      <c r="A14" s="186" t="s">
        <v>92</v>
      </c>
      <c r="B14" s="355">
        <f>B6+SUM(B9:B13)</f>
        <v>19680000</v>
      </c>
      <c r="C14" s="47">
        <f t="shared" ref="C14:F14" si="0">C6+SUM(C9:C13)</f>
        <v>32581636.363636363</v>
      </c>
      <c r="D14" s="47">
        <f t="shared" si="0"/>
        <v>40765236.36363636</v>
      </c>
      <c r="E14" s="47">
        <f>E6+SUM(E9:E13)</f>
        <v>50999854.545454547</v>
      </c>
      <c r="F14" s="187">
        <f t="shared" si="0"/>
        <v>56065220.36363636</v>
      </c>
      <c r="G14" s="27"/>
    </row>
    <row r="15" spans="1:7" ht="15" x14ac:dyDescent="0.35">
      <c r="A15" s="188" t="s">
        <v>93</v>
      </c>
      <c r="B15" s="356"/>
      <c r="C15" s="189"/>
      <c r="D15" s="189"/>
      <c r="E15" s="189"/>
      <c r="F15" s="190"/>
      <c r="G15" s="27"/>
    </row>
    <row r="16" spans="1:7" ht="15" x14ac:dyDescent="0.35">
      <c r="A16" s="183" t="s">
        <v>70</v>
      </c>
      <c r="B16" s="354">
        <f>-'Balance Sheet'!B28</f>
        <v>0</v>
      </c>
      <c r="C16" s="184">
        <f>'Balance Sheet'!B28-'Balance Sheet'!C28</f>
        <v>0</v>
      </c>
      <c r="D16" s="184">
        <f>'Balance Sheet'!C28-'Balance Sheet'!D28</f>
        <v>0</v>
      </c>
      <c r="E16" s="184">
        <f>'Balance Sheet'!D28-'Balance Sheet'!E28</f>
        <v>0</v>
      </c>
      <c r="F16" s="185">
        <f>'Balance Sheet'!E28-'Balance Sheet'!F28</f>
        <v>0</v>
      </c>
      <c r="G16" s="27"/>
    </row>
    <row r="17" spans="1:7" s="314" customFormat="1" ht="15" x14ac:dyDescent="0.35">
      <c r="A17" s="183" t="s">
        <v>176</v>
      </c>
      <c r="B17" s="354">
        <f>-'Balance Sheet'!B27</f>
        <v>-1000000</v>
      </c>
      <c r="C17" s="184">
        <f>-('Balance Sheet'!C27-'Balance Sheet'!B27)</f>
        <v>-50000</v>
      </c>
      <c r="D17" s="184">
        <f>-('Balance Sheet'!D27-'Balance Sheet'!C27)</f>
        <v>-52500</v>
      </c>
      <c r="E17" s="184">
        <f>-('Balance Sheet'!E27-'Balance Sheet'!D27)</f>
        <v>-55125</v>
      </c>
      <c r="F17" s="185">
        <f>-('Balance Sheet'!F27-'Balance Sheet'!E27)</f>
        <v>-57881.25</v>
      </c>
      <c r="G17" s="27"/>
    </row>
    <row r="18" spans="1:7" ht="15" x14ac:dyDescent="0.35">
      <c r="A18" s="158" t="s">
        <v>29</v>
      </c>
      <c r="B18" s="357">
        <f>-'Balance Sheet'!B29</f>
        <v>-720000</v>
      </c>
      <c r="C18" s="184">
        <f>'Balance Sheet'!B29-'Balance Sheet'!C29</f>
        <v>-288000</v>
      </c>
      <c r="D18" s="184">
        <f>'Balance Sheet'!C29-'Balance Sheet'!D29</f>
        <v>-201600</v>
      </c>
      <c r="E18" s="184">
        <f>'Balance Sheet'!D29-'Balance Sheet'!E29</f>
        <v>-241920</v>
      </c>
      <c r="F18" s="185">
        <f>'Balance Sheet'!E29-'Balance Sheet'!F29</f>
        <v>-145152</v>
      </c>
      <c r="G18" s="27"/>
    </row>
    <row r="19" spans="1:7" ht="15" x14ac:dyDescent="0.35">
      <c r="A19" s="158" t="s">
        <v>94</v>
      </c>
      <c r="B19" s="354"/>
      <c r="C19" s="184">
        <f t="shared" ref="C19:F19" si="1">-B13</f>
        <v>-4882188</v>
      </c>
      <c r="D19" s="184">
        <f t="shared" si="1"/>
        <v>-8128173.3818181818</v>
      </c>
      <c r="E19" s="184">
        <f t="shared" si="1"/>
        <v>-10187793.021818181</v>
      </c>
      <c r="F19" s="185">
        <f t="shared" si="1"/>
        <v>-12762812.372727273</v>
      </c>
      <c r="G19" s="27"/>
    </row>
    <row r="20" spans="1:7" ht="15" x14ac:dyDescent="0.35">
      <c r="A20" s="183" t="s">
        <v>95</v>
      </c>
      <c r="B20" s="354">
        <f>SUM('Balance Sheet'!B34:B36)</f>
        <v>720000</v>
      </c>
      <c r="C20" s="184">
        <f>SUM('Balance Sheet'!C34:C36)-SUM('Balance Sheet'!B34:B36)</f>
        <v>288000</v>
      </c>
      <c r="D20" s="184">
        <f>SUM('Balance Sheet'!D34:D36)-SUM('Balance Sheet'!C34:C36)</f>
        <v>201600</v>
      </c>
      <c r="E20" s="184">
        <f>SUM('Balance Sheet'!E34:E36)-SUM('Balance Sheet'!D34:D36)</f>
        <v>241920</v>
      </c>
      <c r="F20" s="185">
        <f>SUM('Balance Sheet'!F34:F36)-SUM('Balance Sheet'!E34:E36)</f>
        <v>145152</v>
      </c>
      <c r="G20" s="27"/>
    </row>
    <row r="21" spans="1:7" ht="15" x14ac:dyDescent="0.35">
      <c r="A21" s="191" t="s">
        <v>96</v>
      </c>
      <c r="B21" s="358">
        <f t="shared" ref="B21:F21" si="2">SUM(B14:B20)</f>
        <v>18680000</v>
      </c>
      <c r="C21" s="48">
        <f t="shared" si="2"/>
        <v>27649448.363636363</v>
      </c>
      <c r="D21" s="48">
        <f t="shared" si="2"/>
        <v>32584562.981818177</v>
      </c>
      <c r="E21" s="48">
        <f t="shared" si="2"/>
        <v>40756936.523636363</v>
      </c>
      <c r="F21" s="192">
        <f t="shared" si="2"/>
        <v>43244526.740909085</v>
      </c>
      <c r="G21" s="27"/>
    </row>
    <row r="22" spans="1:7" ht="15" x14ac:dyDescent="0.35">
      <c r="A22" s="183"/>
      <c r="B22" s="354"/>
      <c r="C22" s="184"/>
      <c r="D22" s="184"/>
      <c r="E22" s="184"/>
      <c r="F22" s="185"/>
      <c r="G22" s="27"/>
    </row>
    <row r="23" spans="1:7" ht="15" x14ac:dyDescent="0.35">
      <c r="A23" s="178" t="s">
        <v>97</v>
      </c>
      <c r="B23" s="353"/>
      <c r="C23" s="181"/>
      <c r="D23" s="181"/>
      <c r="E23" s="181"/>
      <c r="F23" s="182"/>
      <c r="G23" s="27"/>
    </row>
    <row r="24" spans="1:7" ht="15" x14ac:dyDescent="0.35">
      <c r="A24" s="183" t="s">
        <v>98</v>
      </c>
      <c r="B24" s="354">
        <f>-Assumptions!B26</f>
        <v>-2600000</v>
      </c>
      <c r="C24" s="184">
        <f>-Assumptions!C26</f>
        <v>-160000</v>
      </c>
      <c r="D24" s="184">
        <f>-Assumptions!D26</f>
        <v>-160000</v>
      </c>
      <c r="E24" s="184">
        <f>-Assumptions!E26</f>
        <v>-160000</v>
      </c>
      <c r="F24" s="185">
        <f>-Assumptions!F26</f>
        <v>-160000</v>
      </c>
      <c r="G24" s="27"/>
    </row>
    <row r="25" spans="1:7" ht="15" x14ac:dyDescent="0.35">
      <c r="A25" s="183" t="s">
        <v>99</v>
      </c>
      <c r="B25" s="354">
        <f>'Balance Sheet'!B22</f>
        <v>0</v>
      </c>
      <c r="C25" s="184">
        <f>'Balance Sheet'!B22-'Balance Sheet'!C22</f>
        <v>0</v>
      </c>
      <c r="D25" s="184">
        <f>'Balance Sheet'!C22-'Balance Sheet'!D22</f>
        <v>0</v>
      </c>
      <c r="E25" s="184">
        <f>'Balance Sheet'!D22-'Balance Sheet'!E22</f>
        <v>0</v>
      </c>
      <c r="F25" s="185">
        <f>'Balance Sheet'!E22-'Balance Sheet'!F22</f>
        <v>0</v>
      </c>
      <c r="G25" s="27"/>
    </row>
    <row r="26" spans="1:7" ht="15" x14ac:dyDescent="0.35">
      <c r="A26" s="183" t="s">
        <v>100</v>
      </c>
      <c r="B26" s="354">
        <v>0</v>
      </c>
      <c r="C26" s="184">
        <v>0</v>
      </c>
      <c r="D26" s="184">
        <v>0</v>
      </c>
      <c r="E26" s="184">
        <v>0</v>
      </c>
      <c r="F26" s="185">
        <v>0</v>
      </c>
      <c r="G26" s="27"/>
    </row>
    <row r="27" spans="1:7" ht="15" x14ac:dyDescent="0.35">
      <c r="A27" s="186" t="s">
        <v>101</v>
      </c>
      <c r="B27" s="355">
        <f t="shared" ref="B27:F27" si="3">B24+B25+B26</f>
        <v>-2600000</v>
      </c>
      <c r="C27" s="47">
        <f t="shared" si="3"/>
        <v>-160000</v>
      </c>
      <c r="D27" s="47">
        <f t="shared" si="3"/>
        <v>-160000</v>
      </c>
      <c r="E27" s="47">
        <f t="shared" si="3"/>
        <v>-160000</v>
      </c>
      <c r="F27" s="187">
        <f t="shared" si="3"/>
        <v>-160000</v>
      </c>
      <c r="G27" s="27"/>
    </row>
    <row r="28" spans="1:7" ht="15" x14ac:dyDescent="0.35">
      <c r="A28" s="183"/>
      <c r="B28" s="354"/>
      <c r="C28" s="184"/>
      <c r="D28" s="184"/>
      <c r="E28" s="184"/>
      <c r="F28" s="185"/>
      <c r="G28" s="27"/>
    </row>
    <row r="29" spans="1:7" ht="15" x14ac:dyDescent="0.35">
      <c r="A29" s="178" t="s">
        <v>102</v>
      </c>
      <c r="B29" s="353"/>
      <c r="C29" s="181"/>
      <c r="D29" s="181"/>
      <c r="E29" s="181"/>
      <c r="F29" s="182"/>
      <c r="G29" s="27"/>
    </row>
    <row r="30" spans="1:7" ht="15" x14ac:dyDescent="0.35">
      <c r="A30" s="183" t="s">
        <v>103</v>
      </c>
      <c r="B30" s="359">
        <f>'Balance Sheet'!B8</f>
        <v>0</v>
      </c>
      <c r="C30" s="149"/>
      <c r="D30" s="149"/>
      <c r="E30" s="149"/>
      <c r="F30" s="309"/>
      <c r="G30" s="27"/>
    </row>
    <row r="31" spans="1:7" ht="15" x14ac:dyDescent="0.35">
      <c r="A31" s="183" t="s">
        <v>104</v>
      </c>
      <c r="B31" s="354"/>
      <c r="C31" s="184"/>
      <c r="D31" s="184"/>
      <c r="E31" s="184"/>
      <c r="F31" s="185"/>
      <c r="G31" s="27"/>
    </row>
    <row r="32" spans="1:7" ht="15" x14ac:dyDescent="0.35">
      <c r="A32" s="183" t="s">
        <v>105</v>
      </c>
      <c r="B32" s="354"/>
      <c r="C32" s="184"/>
      <c r="D32" s="184"/>
      <c r="E32" s="184"/>
      <c r="F32" s="185"/>
      <c r="G32" s="27"/>
    </row>
    <row r="33" spans="1:7" ht="15" x14ac:dyDescent="0.35">
      <c r="A33" s="186" t="s">
        <v>106</v>
      </c>
      <c r="B33" s="355">
        <f t="shared" ref="B33:F33" si="4">SUM(B30:B32)</f>
        <v>0</v>
      </c>
      <c r="C33" s="47">
        <f t="shared" si="4"/>
        <v>0</v>
      </c>
      <c r="D33" s="47">
        <f t="shared" si="4"/>
        <v>0</v>
      </c>
      <c r="E33" s="47">
        <f t="shared" si="4"/>
        <v>0</v>
      </c>
      <c r="F33" s="187">
        <f t="shared" si="4"/>
        <v>0</v>
      </c>
      <c r="G33" s="27"/>
    </row>
    <row r="34" spans="1:7" ht="15" x14ac:dyDescent="0.35">
      <c r="A34" s="183" t="s">
        <v>107</v>
      </c>
      <c r="B34" s="354">
        <v>0</v>
      </c>
      <c r="C34" s="184">
        <v>0</v>
      </c>
      <c r="D34" s="184">
        <v>0</v>
      </c>
      <c r="E34" s="184">
        <v>0</v>
      </c>
      <c r="F34" s="185">
        <v>0</v>
      </c>
      <c r="G34" s="27"/>
    </row>
    <row r="35" spans="1:7" ht="15" x14ac:dyDescent="0.35">
      <c r="A35" s="186" t="s">
        <v>108</v>
      </c>
      <c r="B35" s="355">
        <f>B33+B27+B21</f>
        <v>16080000</v>
      </c>
      <c r="C35" s="47">
        <f t="shared" ref="C35:F35" si="5">C33+C27+C21</f>
        <v>27489448.363636363</v>
      </c>
      <c r="D35" s="47">
        <f t="shared" si="5"/>
        <v>32424562.981818177</v>
      </c>
      <c r="E35" s="47">
        <f t="shared" si="5"/>
        <v>40596936.523636363</v>
      </c>
      <c r="F35" s="187">
        <f t="shared" si="5"/>
        <v>43084526.740909085</v>
      </c>
      <c r="G35" s="27"/>
    </row>
    <row r="36" spans="1:7" ht="15" x14ac:dyDescent="0.35">
      <c r="A36" s="183" t="s">
        <v>109</v>
      </c>
      <c r="B36" s="354">
        <v>0</v>
      </c>
      <c r="C36" s="184">
        <f t="shared" ref="C36:F36" si="6">B37</f>
        <v>16080000</v>
      </c>
      <c r="D36" s="184">
        <f t="shared" si="6"/>
        <v>43569448.36363636</v>
      </c>
      <c r="E36" s="184">
        <f t="shared" si="6"/>
        <v>75994011.345454544</v>
      </c>
      <c r="F36" s="185">
        <f t="shared" si="6"/>
        <v>116590947.86909091</v>
      </c>
      <c r="G36" s="27"/>
    </row>
    <row r="37" spans="1:7" ht="15.6" thickBot="1" x14ac:dyDescent="0.4">
      <c r="A37" s="193" t="s">
        <v>110</v>
      </c>
      <c r="B37" s="360">
        <f t="shared" ref="B37:F37" si="7">B35+B36</f>
        <v>16080000</v>
      </c>
      <c r="C37" s="49">
        <f t="shared" si="7"/>
        <v>43569448.36363636</v>
      </c>
      <c r="D37" s="49">
        <f t="shared" si="7"/>
        <v>75994011.345454544</v>
      </c>
      <c r="E37" s="49">
        <f t="shared" si="7"/>
        <v>116590947.86909091</v>
      </c>
      <c r="F37" s="194">
        <f t="shared" si="7"/>
        <v>159675474.61000001</v>
      </c>
      <c r="G37" s="27"/>
    </row>
    <row r="38" spans="1:7" ht="15.6" thickTop="1" x14ac:dyDescent="0.35">
      <c r="A38" s="195" t="s">
        <v>111</v>
      </c>
      <c r="B38" s="361">
        <f>'Balance Sheet'!B26</f>
        <v>16080000</v>
      </c>
      <c r="C38" s="196">
        <f>'Balance Sheet'!C26</f>
        <v>43569448.36363636</v>
      </c>
      <c r="D38" s="196">
        <f>'Balance Sheet'!D26</f>
        <v>75994011.345454544</v>
      </c>
      <c r="E38" s="196">
        <f>'Balance Sheet'!E26</f>
        <v>116590947.86909091</v>
      </c>
      <c r="F38" s="197">
        <f>'Balance Sheet'!F26</f>
        <v>159675474.61000001</v>
      </c>
      <c r="G38" s="27"/>
    </row>
    <row r="39" spans="1:7" ht="15" x14ac:dyDescent="0.35">
      <c r="A39" s="27"/>
      <c r="B39" s="30"/>
      <c r="C39" s="30"/>
      <c r="D39" s="30"/>
      <c r="E39" s="30"/>
      <c r="F39" s="30"/>
      <c r="G39" s="27"/>
    </row>
    <row r="40" spans="1:7" ht="15" x14ac:dyDescent="0.35">
      <c r="A40" s="27"/>
      <c r="B40" s="27"/>
      <c r="C40" s="27"/>
      <c r="D40" s="27"/>
      <c r="E40" s="45"/>
      <c r="F40" s="45"/>
      <c r="G40" s="27"/>
    </row>
    <row r="41" spans="1:7" ht="15" x14ac:dyDescent="0.35">
      <c r="A41" s="27"/>
      <c r="B41" s="27"/>
      <c r="C41" s="27"/>
      <c r="D41" s="27"/>
      <c r="E41" s="45"/>
      <c r="F41" s="45"/>
      <c r="G41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L57"/>
  <sheetViews>
    <sheetView showGridLines="0" workbookViewId="0">
      <pane xSplit="1" ySplit="3" topLeftCell="B5" activePane="bottomRight" state="frozen"/>
      <selection activeCell="A3" sqref="A3"/>
      <selection pane="topRight" activeCell="A3" sqref="A3"/>
      <selection pane="bottomLeft" activeCell="A3" sqref="A3"/>
      <selection pane="bottomRight"/>
    </sheetView>
  </sheetViews>
  <sheetFormatPr defaultColWidth="8.77734375" defaultRowHeight="14.4" x14ac:dyDescent="0.35"/>
  <cols>
    <col min="1" max="1" width="47.77734375" style="5" customWidth="1"/>
    <col min="2" max="2" width="18.5546875" style="5" bestFit="1" customWidth="1"/>
    <col min="3" max="6" width="19.5546875" style="5" bestFit="1" customWidth="1"/>
    <col min="7" max="16384" width="8.77734375" style="5"/>
  </cols>
  <sheetData>
    <row r="1" spans="1:12" s="94" customFormat="1" ht="15" x14ac:dyDescent="0.35">
      <c r="A1" s="92" t="s">
        <v>165</v>
      </c>
      <c r="B1" s="92"/>
      <c r="C1" s="92"/>
      <c r="D1" s="92"/>
      <c r="E1" s="95"/>
      <c r="F1" s="95"/>
      <c r="G1" s="93"/>
    </row>
    <row r="2" spans="1:12" x14ac:dyDescent="0.35">
      <c r="B2" s="6"/>
      <c r="C2" s="6"/>
      <c r="D2" s="6"/>
      <c r="E2" s="7"/>
      <c r="F2" s="7"/>
    </row>
    <row r="3" spans="1:12" x14ac:dyDescent="0.35">
      <c r="A3" s="288" t="s">
        <v>8</v>
      </c>
      <c r="D3" s="6"/>
      <c r="E3" s="8"/>
      <c r="F3" s="8"/>
    </row>
    <row r="4" spans="1:12" x14ac:dyDescent="0.35">
      <c r="A4" s="9"/>
      <c r="B4" s="6"/>
      <c r="C4" s="6"/>
      <c r="D4" s="6"/>
      <c r="E4" s="7"/>
      <c r="F4" s="7"/>
    </row>
    <row r="5" spans="1:12" ht="15" x14ac:dyDescent="0.35">
      <c r="A5" s="609" t="s">
        <v>9</v>
      </c>
      <c r="B5" s="610" t="s">
        <v>178</v>
      </c>
      <c r="C5" s="610" t="s">
        <v>179</v>
      </c>
      <c r="D5" s="610" t="s">
        <v>180</v>
      </c>
      <c r="E5" s="610" t="s">
        <v>181</v>
      </c>
      <c r="F5" s="610" t="s">
        <v>182</v>
      </c>
    </row>
    <row r="6" spans="1:12" s="100" customFormat="1" x14ac:dyDescent="0.35">
      <c r="A6" s="506" t="s">
        <v>10</v>
      </c>
      <c r="B6" s="198"/>
      <c r="C6" s="198"/>
      <c r="D6" s="198"/>
      <c r="E6" s="199"/>
      <c r="F6" s="241"/>
      <c r="K6" s="5"/>
      <c r="L6" s="5"/>
    </row>
    <row r="7" spans="1:12" s="100" customFormat="1" x14ac:dyDescent="0.35">
      <c r="A7" s="242" t="s">
        <v>41</v>
      </c>
      <c r="B7" s="325">
        <f>'Revenue Assumptions'!D16</f>
        <v>36000000</v>
      </c>
      <c r="C7" s="325">
        <f>'Revenue Assumptions'!E16</f>
        <v>50400000</v>
      </c>
      <c r="D7" s="325">
        <f>'Revenue Assumptions'!F16</f>
        <v>60480000</v>
      </c>
      <c r="E7" s="325">
        <f>'Revenue Assumptions'!G16</f>
        <v>72576000</v>
      </c>
      <c r="F7" s="439">
        <f>'Revenue Assumptions'!H16</f>
        <v>79833600</v>
      </c>
      <c r="K7" s="5"/>
      <c r="L7" s="5"/>
    </row>
    <row r="8" spans="1:12" x14ac:dyDescent="0.35">
      <c r="A8" s="294" t="s">
        <v>197</v>
      </c>
      <c r="B8" s="325">
        <v>0</v>
      </c>
      <c r="C8" s="325">
        <v>0</v>
      </c>
      <c r="D8" s="325">
        <v>0</v>
      </c>
      <c r="E8" s="325">
        <v>0</v>
      </c>
      <c r="F8" s="439">
        <v>0</v>
      </c>
    </row>
    <row r="9" spans="1:12" ht="15" customHeight="1" x14ac:dyDescent="0.35">
      <c r="A9" s="240" t="s">
        <v>196</v>
      </c>
      <c r="B9" s="323">
        <f>SUM(B7:B8)</f>
        <v>36000000</v>
      </c>
      <c r="C9" s="293">
        <f>SUM(C7:C8)</f>
        <v>50400000</v>
      </c>
      <c r="D9" s="293">
        <f>SUM(D7:D8)</f>
        <v>60480000</v>
      </c>
      <c r="E9" s="293">
        <f>SUM(E7:E8)</f>
        <v>72576000</v>
      </c>
      <c r="F9" s="324">
        <f>SUM(F7:F8)</f>
        <v>79833600</v>
      </c>
    </row>
    <row r="10" spans="1:12" ht="15" customHeight="1" x14ac:dyDescent="0.35">
      <c r="A10" s="9"/>
      <c r="B10" s="9"/>
      <c r="C10" s="11"/>
      <c r="D10" s="11"/>
      <c r="E10" s="11"/>
      <c r="F10" s="243"/>
    </row>
    <row r="11" spans="1:12" ht="15" customHeight="1" x14ac:dyDescent="0.35">
      <c r="A11" s="506" t="s">
        <v>1</v>
      </c>
      <c r="B11" s="247"/>
      <c r="C11" s="201"/>
      <c r="D11" s="201"/>
      <c r="E11" s="201"/>
      <c r="F11" s="244"/>
    </row>
    <row r="12" spans="1:12" x14ac:dyDescent="0.35">
      <c r="A12" s="9" t="s">
        <v>12</v>
      </c>
      <c r="B12" s="325">
        <f>'Cost Assumptions'!B10</f>
        <v>12440000</v>
      </c>
      <c r="C12" s="223">
        <f>'Cost Assumptions'!C10</f>
        <v>13084000</v>
      </c>
      <c r="D12" s="223">
        <f>'Cost Assumptions'!D10</f>
        <v>13762400</v>
      </c>
      <c r="E12" s="223">
        <f>'Cost Assumptions'!E10</f>
        <v>14477140</v>
      </c>
      <c r="F12" s="295">
        <f>'Cost Assumptions'!F10</f>
        <v>15230279</v>
      </c>
    </row>
    <row r="13" spans="1:12" s="13" customFormat="1" x14ac:dyDescent="0.35">
      <c r="A13" s="245" t="s">
        <v>13</v>
      </c>
      <c r="B13" s="326">
        <f>B12</f>
        <v>12440000</v>
      </c>
      <c r="C13" s="299">
        <f t="shared" ref="C13:F13" si="0">C12</f>
        <v>13084000</v>
      </c>
      <c r="D13" s="299">
        <f t="shared" si="0"/>
        <v>13762400</v>
      </c>
      <c r="E13" s="299">
        <f t="shared" si="0"/>
        <v>14477140</v>
      </c>
      <c r="F13" s="300">
        <f t="shared" si="0"/>
        <v>15230279</v>
      </c>
      <c r="K13" s="5"/>
      <c r="L13" s="5"/>
    </row>
    <row r="14" spans="1:12" x14ac:dyDescent="0.35">
      <c r="A14" s="9"/>
      <c r="B14" s="327"/>
      <c r="C14" s="202"/>
      <c r="D14" s="203"/>
      <c r="E14" s="203"/>
      <c r="F14" s="246"/>
    </row>
    <row r="15" spans="1:12" x14ac:dyDescent="0.35">
      <c r="A15" s="9" t="s">
        <v>14</v>
      </c>
      <c r="B15" s="325">
        <f>'Cost Assumptions'!B23</f>
        <v>1480000</v>
      </c>
      <c r="C15" s="223">
        <f>'Cost Assumptions'!C23</f>
        <v>1500363.6363636365</v>
      </c>
      <c r="D15" s="223">
        <f>'Cost Assumptions'!D23</f>
        <v>1741563.6363636365</v>
      </c>
      <c r="E15" s="223">
        <f>'Cost Assumptions'!E23</f>
        <v>1508805.4545454548</v>
      </c>
      <c r="F15" s="295">
        <f>'Cost Assumptions'!F23</f>
        <v>1598266.6363636369</v>
      </c>
    </row>
    <row r="16" spans="1:12" x14ac:dyDescent="0.35">
      <c r="A16" s="247"/>
      <c r="B16" s="328"/>
      <c r="C16" s="204"/>
      <c r="D16" s="204"/>
      <c r="E16" s="204"/>
      <c r="F16" s="248"/>
    </row>
    <row r="17" spans="1:12" x14ac:dyDescent="0.35">
      <c r="A17" s="247" t="s">
        <v>15</v>
      </c>
      <c r="B17" s="329">
        <f>'Other Expenses'!B9</f>
        <v>0</v>
      </c>
      <c r="C17" s="224">
        <f>'Other Expenses'!C9</f>
        <v>0</v>
      </c>
      <c r="D17" s="224">
        <f>'Other Expenses'!D9</f>
        <v>0</v>
      </c>
      <c r="E17" s="224">
        <f>'Other Expenses'!E9</f>
        <v>0</v>
      </c>
      <c r="F17" s="296">
        <f>'Other Expenses'!F9</f>
        <v>0</v>
      </c>
    </row>
    <row r="18" spans="1:12" x14ac:dyDescent="0.35">
      <c r="A18" s="9"/>
      <c r="B18" s="327"/>
      <c r="C18" s="202"/>
      <c r="D18" s="89"/>
      <c r="E18" s="89"/>
      <c r="F18" s="249"/>
    </row>
    <row r="19" spans="1:12" s="10" customFormat="1" x14ac:dyDescent="0.35">
      <c r="A19" s="505" t="s">
        <v>17</v>
      </c>
      <c r="B19" s="328"/>
      <c r="C19" s="90"/>
      <c r="D19" s="90"/>
      <c r="E19" s="90"/>
      <c r="F19" s="250"/>
      <c r="K19" s="5"/>
      <c r="L19" s="5"/>
    </row>
    <row r="20" spans="1:12" s="10" customFormat="1" x14ac:dyDescent="0.35">
      <c r="A20" s="251" t="s">
        <v>5</v>
      </c>
      <c r="B20" s="330">
        <f>Salary!C23</f>
        <v>2400000</v>
      </c>
      <c r="C20" s="330">
        <f>Salary!D23</f>
        <v>3234000</v>
      </c>
      <c r="D20" s="330">
        <f>Salary!E23</f>
        <v>4210800.0000000009</v>
      </c>
      <c r="E20" s="330">
        <f>Salary!F23</f>
        <v>5590200.0000000019</v>
      </c>
      <c r="F20" s="330">
        <f>Salary!G23</f>
        <v>6939834.0000000019</v>
      </c>
      <c r="K20" s="5"/>
      <c r="L20" s="5"/>
    </row>
    <row r="21" spans="1:12" x14ac:dyDescent="0.35">
      <c r="A21" s="247"/>
      <c r="B21" s="247"/>
      <c r="C21" s="15"/>
      <c r="D21" s="205"/>
      <c r="E21" s="14"/>
      <c r="F21" s="252"/>
    </row>
    <row r="22" spans="1:12" x14ac:dyDescent="0.35">
      <c r="A22" s="253" t="s">
        <v>18</v>
      </c>
      <c r="B22" s="331"/>
      <c r="C22" s="15"/>
      <c r="D22" s="205"/>
      <c r="E22" s="205"/>
      <c r="F22" s="254"/>
    </row>
    <row r="23" spans="1:12" s="16" customFormat="1" x14ac:dyDescent="0.35">
      <c r="A23" s="255" t="s">
        <v>19</v>
      </c>
      <c r="B23" s="332">
        <f>B9/B24</f>
        <v>15.384615384615385</v>
      </c>
      <c r="C23" s="206">
        <f>C9/C24</f>
        <v>22.4</v>
      </c>
      <c r="D23" s="206">
        <f>D9/D24</f>
        <v>27.883817427385893</v>
      </c>
      <c r="E23" s="206">
        <f>E9/E24</f>
        <v>34.624302275654784</v>
      </c>
      <c r="F23" s="256">
        <f>F9/F24</f>
        <v>39.317406143344712</v>
      </c>
    </row>
    <row r="24" spans="1:12" s="10" customFormat="1" x14ac:dyDescent="0.35">
      <c r="A24" s="257" t="s">
        <v>20</v>
      </c>
      <c r="B24" s="333">
        <f t="shared" ref="B24:E24" si="1">B29</f>
        <v>2340000</v>
      </c>
      <c r="C24" s="207">
        <f t="shared" si="1"/>
        <v>2250000</v>
      </c>
      <c r="D24" s="207">
        <f t="shared" si="1"/>
        <v>2169000</v>
      </c>
      <c r="E24" s="207">
        <f t="shared" si="1"/>
        <v>2096100</v>
      </c>
      <c r="F24" s="258">
        <f t="shared" ref="F24" si="2">F29</f>
        <v>2030490</v>
      </c>
    </row>
    <row r="25" spans="1:12" s="10" customFormat="1" x14ac:dyDescent="0.35">
      <c r="A25" s="259" t="s">
        <v>21</v>
      </c>
      <c r="B25" s="334"/>
      <c r="C25" s="17">
        <f t="shared" ref="C25:F25" si="3">B29</f>
        <v>2340000</v>
      </c>
      <c r="D25" s="17">
        <f t="shared" si="3"/>
        <v>2250000</v>
      </c>
      <c r="E25" s="17">
        <f t="shared" si="3"/>
        <v>2169000</v>
      </c>
      <c r="F25" s="260">
        <f t="shared" si="3"/>
        <v>2096100</v>
      </c>
    </row>
    <row r="26" spans="1:12" s="10" customFormat="1" x14ac:dyDescent="0.35">
      <c r="A26" s="259" t="s">
        <v>22</v>
      </c>
      <c r="B26" s="334">
        <f>Capex!C13-Capex!C5-Capex!C10</f>
        <v>2600000</v>
      </c>
      <c r="C26" s="17">
        <f>Capex!D13-Capex!D5-Capex!D10</f>
        <v>160000</v>
      </c>
      <c r="D26" s="17">
        <f>Capex!E13-Capex!E5-Capex!E10</f>
        <v>160000</v>
      </c>
      <c r="E26" s="17">
        <f>Capex!F13-Capex!F5-Capex!F10</f>
        <v>160000</v>
      </c>
      <c r="F26" s="260">
        <f>Capex!G13-Capex!G5-Capex!G10</f>
        <v>160000</v>
      </c>
    </row>
    <row r="27" spans="1:12" s="10" customFormat="1" x14ac:dyDescent="0.35">
      <c r="A27" s="259" t="s">
        <v>11</v>
      </c>
      <c r="B27" s="335">
        <f t="shared" ref="B27:E27" si="4">B25+B26</f>
        <v>2600000</v>
      </c>
      <c r="C27" s="18">
        <f t="shared" si="4"/>
        <v>2500000</v>
      </c>
      <c r="D27" s="18">
        <f t="shared" si="4"/>
        <v>2410000</v>
      </c>
      <c r="E27" s="18">
        <f t="shared" si="4"/>
        <v>2329000</v>
      </c>
      <c r="F27" s="261">
        <f t="shared" ref="F27" si="5">F25+F26</f>
        <v>2256100</v>
      </c>
    </row>
    <row r="28" spans="1:12" s="10" customFormat="1" x14ac:dyDescent="0.35">
      <c r="A28" s="259" t="s">
        <v>23</v>
      </c>
      <c r="B28" s="336">
        <f t="shared" ref="B28:E28" si="6">B27*B30</f>
        <v>260000</v>
      </c>
      <c r="C28" s="19">
        <f t="shared" si="6"/>
        <v>250000</v>
      </c>
      <c r="D28" s="19">
        <f t="shared" si="6"/>
        <v>241000</v>
      </c>
      <c r="E28" s="19">
        <f t="shared" si="6"/>
        <v>232900</v>
      </c>
      <c r="F28" s="262">
        <f t="shared" ref="F28" si="7">F27*F30</f>
        <v>225610</v>
      </c>
    </row>
    <row r="29" spans="1:12" s="10" customFormat="1" x14ac:dyDescent="0.35">
      <c r="A29" s="259" t="s">
        <v>24</v>
      </c>
      <c r="B29" s="335">
        <f t="shared" ref="B29:E29" si="8">B27-B28</f>
        <v>2340000</v>
      </c>
      <c r="C29" s="20">
        <f t="shared" si="8"/>
        <v>2250000</v>
      </c>
      <c r="D29" s="20">
        <f t="shared" si="8"/>
        <v>2169000</v>
      </c>
      <c r="E29" s="20">
        <f t="shared" si="8"/>
        <v>2096100</v>
      </c>
      <c r="F29" s="263">
        <f t="shared" ref="F29" si="9">F27-F28</f>
        <v>2030490</v>
      </c>
    </row>
    <row r="30" spans="1:12" s="10" customFormat="1" x14ac:dyDescent="0.35">
      <c r="A30" s="259" t="s">
        <v>25</v>
      </c>
      <c r="B30" s="512">
        <v>0.1</v>
      </c>
      <c r="C30" s="512">
        <v>0.1</v>
      </c>
      <c r="D30" s="512">
        <v>0.1</v>
      </c>
      <c r="E30" s="512">
        <v>0.1</v>
      </c>
      <c r="F30" s="515">
        <v>0.1</v>
      </c>
    </row>
    <row r="31" spans="1:12" s="10" customFormat="1" x14ac:dyDescent="0.35">
      <c r="A31" s="259"/>
      <c r="B31" s="513"/>
      <c r="C31" s="208"/>
      <c r="D31" s="208"/>
      <c r="E31" s="208"/>
      <c r="F31" s="264"/>
    </row>
    <row r="32" spans="1:12" s="10" customFormat="1" ht="15" x14ac:dyDescent="0.35">
      <c r="A32" s="150" t="s">
        <v>167</v>
      </c>
      <c r="B32" s="514">
        <v>0</v>
      </c>
      <c r="C32" s="514">
        <v>0</v>
      </c>
      <c r="D32" s="514">
        <v>0</v>
      </c>
      <c r="E32" s="514">
        <v>0</v>
      </c>
      <c r="F32" s="516">
        <v>0</v>
      </c>
    </row>
    <row r="33" spans="1:6" x14ac:dyDescent="0.35">
      <c r="A33" s="265"/>
      <c r="B33" s="209"/>
      <c r="C33" s="209"/>
      <c r="D33" s="210"/>
      <c r="E33" s="210"/>
      <c r="F33" s="266"/>
    </row>
    <row r="34" spans="1:6" x14ac:dyDescent="0.35">
      <c r="A34" s="267" t="s">
        <v>26</v>
      </c>
      <c r="B34" s="301">
        <v>0</v>
      </c>
      <c r="C34" s="301">
        <v>0.1</v>
      </c>
      <c r="D34" s="301">
        <v>0.1</v>
      </c>
      <c r="E34" s="301">
        <v>0.1</v>
      </c>
      <c r="F34" s="517">
        <v>0.1</v>
      </c>
    </row>
    <row r="35" spans="1:6" x14ac:dyDescent="0.35">
      <c r="A35" s="267" t="s">
        <v>27</v>
      </c>
      <c r="B35" s="216">
        <f>B32*B34</f>
        <v>0</v>
      </c>
      <c r="C35" s="216">
        <f t="shared" ref="C35:F35" si="10">C32*C34</f>
        <v>0</v>
      </c>
      <c r="D35" s="216">
        <f t="shared" si="10"/>
        <v>0</v>
      </c>
      <c r="E35" s="216">
        <f t="shared" si="10"/>
        <v>0</v>
      </c>
      <c r="F35" s="281">
        <f t="shared" si="10"/>
        <v>0</v>
      </c>
    </row>
    <row r="36" spans="1:6" x14ac:dyDescent="0.35">
      <c r="A36" s="265"/>
      <c r="B36" s="265"/>
      <c r="C36" s="209"/>
      <c r="D36" s="211"/>
      <c r="E36" s="211"/>
      <c r="F36" s="268"/>
    </row>
    <row r="37" spans="1:6" x14ac:dyDescent="0.35">
      <c r="A37" s="269"/>
      <c r="B37" s="269"/>
      <c r="C37" s="212"/>
      <c r="D37" s="213"/>
      <c r="E37" s="213"/>
      <c r="F37" s="270"/>
    </row>
    <row r="38" spans="1:6" x14ac:dyDescent="0.35">
      <c r="A38" s="271" t="s">
        <v>28</v>
      </c>
      <c r="B38" s="340">
        <v>0</v>
      </c>
      <c r="C38" s="216">
        <v>0</v>
      </c>
      <c r="D38" s="216">
        <v>0</v>
      </c>
      <c r="E38" s="216">
        <v>0</v>
      </c>
      <c r="F38" s="281">
        <v>0</v>
      </c>
    </row>
    <row r="39" spans="1:6" x14ac:dyDescent="0.35">
      <c r="A39" s="272"/>
      <c r="B39" s="272"/>
      <c r="C39" s="21"/>
      <c r="D39" s="21"/>
      <c r="E39" s="21"/>
      <c r="F39" s="273"/>
    </row>
    <row r="40" spans="1:6" x14ac:dyDescent="0.35">
      <c r="A40" s="272"/>
      <c r="B40" s="272"/>
      <c r="C40" s="21"/>
      <c r="D40" s="21"/>
      <c r="E40" s="214"/>
      <c r="F40" s="274"/>
    </row>
    <row r="41" spans="1:6" x14ac:dyDescent="0.35">
      <c r="A41" s="272" t="s">
        <v>29</v>
      </c>
      <c r="B41" s="22">
        <f>B9*B42</f>
        <v>720000</v>
      </c>
      <c r="C41" s="22">
        <f>C9*C42</f>
        <v>1008000</v>
      </c>
      <c r="D41" s="22">
        <f>D9*D42</f>
        <v>1209600</v>
      </c>
      <c r="E41" s="22">
        <f>E9*E42</f>
        <v>1451520</v>
      </c>
      <c r="F41" s="275">
        <f>F9*F42</f>
        <v>1596672</v>
      </c>
    </row>
    <row r="42" spans="1:6" x14ac:dyDescent="0.35">
      <c r="A42" s="272" t="s">
        <v>16</v>
      </c>
      <c r="B42" s="510">
        <v>0.02</v>
      </c>
      <c r="C42" s="510">
        <v>0.02</v>
      </c>
      <c r="D42" s="510">
        <v>0.02</v>
      </c>
      <c r="E42" s="510">
        <v>0.02</v>
      </c>
      <c r="F42" s="511">
        <v>0.02</v>
      </c>
    </row>
    <row r="43" spans="1:6" x14ac:dyDescent="0.35">
      <c r="A43" s="269"/>
      <c r="B43" s="269"/>
      <c r="C43" s="23"/>
      <c r="D43" s="25"/>
      <c r="E43" s="25"/>
      <c r="F43" s="276"/>
    </row>
    <row r="44" spans="1:6" x14ac:dyDescent="0.35">
      <c r="A44" s="271" t="s">
        <v>30</v>
      </c>
      <c r="B44" s="337">
        <v>0</v>
      </c>
      <c r="C44" s="91">
        <f>C45*C9</f>
        <v>0</v>
      </c>
      <c r="D44" s="91">
        <f>D45*D9</f>
        <v>0</v>
      </c>
      <c r="E44" s="91">
        <f>E45*E9</f>
        <v>0</v>
      </c>
      <c r="F44" s="277">
        <f>F45*F9</f>
        <v>0</v>
      </c>
    </row>
    <row r="45" spans="1:6" x14ac:dyDescent="0.35">
      <c r="A45" s="278" t="s">
        <v>31</v>
      </c>
      <c r="B45" s="338">
        <v>0</v>
      </c>
      <c r="C45" s="12">
        <v>0</v>
      </c>
      <c r="D45" s="12">
        <v>0</v>
      </c>
      <c r="E45" s="12">
        <v>0</v>
      </c>
      <c r="F45" s="279">
        <v>0</v>
      </c>
    </row>
    <row r="46" spans="1:6" x14ac:dyDescent="0.35">
      <c r="A46" s="278"/>
      <c r="B46" s="278"/>
      <c r="C46" s="215"/>
      <c r="D46" s="215"/>
      <c r="E46" s="215"/>
      <c r="F46" s="280"/>
    </row>
    <row r="47" spans="1:6" x14ac:dyDescent="0.35">
      <c r="A47" s="267" t="s">
        <v>32</v>
      </c>
      <c r="B47" s="338">
        <v>0</v>
      </c>
      <c r="C47" s="12">
        <v>0</v>
      </c>
      <c r="D47" s="12">
        <v>0</v>
      </c>
      <c r="E47" s="12">
        <v>0</v>
      </c>
      <c r="F47" s="279">
        <v>0</v>
      </c>
    </row>
    <row r="48" spans="1:6" x14ac:dyDescent="0.35">
      <c r="A48" s="267" t="s">
        <v>33</v>
      </c>
      <c r="B48" s="340">
        <f t="shared" ref="B48:E48" si="11">B47*B44</f>
        <v>0</v>
      </c>
      <c r="C48" s="216">
        <f t="shared" si="11"/>
        <v>0</v>
      </c>
      <c r="D48" s="216">
        <f t="shared" si="11"/>
        <v>0</v>
      </c>
      <c r="E48" s="216">
        <f t="shared" si="11"/>
        <v>0</v>
      </c>
      <c r="F48" s="281">
        <f t="shared" ref="F48" si="12">F47*F44</f>
        <v>0</v>
      </c>
    </row>
    <row r="49" spans="1:6" x14ac:dyDescent="0.35">
      <c r="A49" s="269"/>
      <c r="B49" s="269"/>
      <c r="C49" s="24"/>
      <c r="D49" s="217"/>
      <c r="E49" s="218"/>
      <c r="F49" s="282"/>
    </row>
    <row r="50" spans="1:6" x14ac:dyDescent="0.35">
      <c r="A50" s="271" t="s">
        <v>34</v>
      </c>
      <c r="B50" s="9"/>
      <c r="C50" s="219"/>
      <c r="D50" s="220"/>
      <c r="E50" s="220"/>
      <c r="F50" s="283"/>
    </row>
    <row r="51" spans="1:6" x14ac:dyDescent="0.35">
      <c r="A51" s="247" t="s">
        <v>35</v>
      </c>
      <c r="B51" s="340">
        <v>0</v>
      </c>
      <c r="C51" s="216">
        <v>0</v>
      </c>
      <c r="D51" s="216">
        <v>0</v>
      </c>
      <c r="E51" s="216">
        <v>0</v>
      </c>
      <c r="F51" s="281">
        <v>0</v>
      </c>
    </row>
    <row r="52" spans="1:6" x14ac:dyDescent="0.35">
      <c r="A52" s="272"/>
      <c r="B52" s="272"/>
      <c r="C52" s="25"/>
      <c r="D52" s="214"/>
      <c r="E52" s="214"/>
      <c r="F52" s="274"/>
    </row>
    <row r="53" spans="1:6" x14ac:dyDescent="0.35">
      <c r="A53" s="272" t="s">
        <v>36</v>
      </c>
      <c r="B53" s="339">
        <f>B54*B9</f>
        <v>720000</v>
      </c>
      <c r="C53" s="22">
        <f>C54*C9</f>
        <v>1008000</v>
      </c>
      <c r="D53" s="22">
        <f>D54*D9</f>
        <v>1209600</v>
      </c>
      <c r="E53" s="22">
        <f>E54*E9</f>
        <v>1451520</v>
      </c>
      <c r="F53" s="275">
        <f>F54*F9</f>
        <v>1596672</v>
      </c>
    </row>
    <row r="54" spans="1:6" x14ac:dyDescent="0.35">
      <c r="A54" s="272" t="s">
        <v>16</v>
      </c>
      <c r="B54" s="510">
        <v>0.02</v>
      </c>
      <c r="C54" s="510">
        <v>0.02</v>
      </c>
      <c r="D54" s="510">
        <v>0.02</v>
      </c>
      <c r="E54" s="510">
        <v>0.02</v>
      </c>
      <c r="F54" s="511">
        <v>0.02</v>
      </c>
    </row>
    <row r="55" spans="1:6" x14ac:dyDescent="0.35">
      <c r="A55" s="269"/>
      <c r="B55" s="269"/>
      <c r="C55" s="212"/>
      <c r="D55" s="213"/>
      <c r="E55" s="221"/>
      <c r="F55" s="284"/>
    </row>
    <row r="56" spans="1:6" x14ac:dyDescent="0.35">
      <c r="A56" s="271" t="s">
        <v>37</v>
      </c>
      <c r="B56" s="9"/>
      <c r="C56" s="200"/>
      <c r="D56" s="213"/>
      <c r="E56" s="222"/>
      <c r="F56" s="285"/>
    </row>
    <row r="57" spans="1:6" x14ac:dyDescent="0.35">
      <c r="A57" s="286" t="s">
        <v>38</v>
      </c>
      <c r="B57" s="507">
        <v>0.25140000000000001</v>
      </c>
      <c r="C57" s="508">
        <v>0.25140000000000001</v>
      </c>
      <c r="D57" s="508">
        <v>0.25140000000000001</v>
      </c>
      <c r="E57" s="508">
        <v>0.25140000000000001</v>
      </c>
      <c r="F57" s="509">
        <v>0.25140000000000001</v>
      </c>
    </row>
  </sheetData>
  <phoneticPr fontId="9" type="noConversion"/>
  <pageMargins left="0.7" right="0.7" top="0.75" bottom="0.75" header="0.3" footer="0.3"/>
  <pageSetup orientation="portrait" r:id="rId1"/>
  <ignoredErrors>
    <ignoredError sqref="B9:F19 B33:F33 B36:F37 B43:F50 B55:F56 D54:F54 D41:F41 B52:F53 B39:F40 B31:F31 B27:F29 B21:F25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M29"/>
  <sheetViews>
    <sheetView showGridLines="0" zoomScale="110" zoomScaleNormal="110" workbookViewId="0"/>
  </sheetViews>
  <sheetFormatPr defaultRowHeight="14.4" x14ac:dyDescent="0.3"/>
  <cols>
    <col min="1" max="1" width="7.6640625" style="314" customWidth="1"/>
    <col min="2" max="2" width="19.33203125" customWidth="1"/>
    <col min="3" max="3" width="15.109375" customWidth="1"/>
    <col min="4" max="4" width="15.77734375" style="314" bestFit="1" customWidth="1"/>
    <col min="5" max="8" width="15.77734375" bestFit="1" customWidth="1"/>
    <col min="9" max="9" width="17.44140625" bestFit="1" customWidth="1"/>
    <col min="12" max="14" width="11.5546875" bestFit="1" customWidth="1"/>
  </cols>
  <sheetData>
    <row r="1" spans="1:9" s="94" customFormat="1" ht="15" x14ac:dyDescent="0.35">
      <c r="A1" s="92" t="s">
        <v>165</v>
      </c>
      <c r="C1" s="92"/>
      <c r="D1" s="410"/>
      <c r="E1" s="92"/>
      <c r="F1" s="92"/>
      <c r="G1" s="95"/>
      <c r="H1" s="95"/>
      <c r="I1" s="93"/>
    </row>
    <row r="2" spans="1:9" s="98" customFormat="1" ht="15.6" thickBot="1" x14ac:dyDescent="0.4">
      <c r="B2" s="577"/>
      <c r="C2" s="577"/>
      <c r="D2" s="413"/>
      <c r="E2" s="96"/>
      <c r="F2" s="96"/>
      <c r="G2" s="99"/>
      <c r="H2" s="99"/>
      <c r="I2" s="97"/>
    </row>
    <row r="3" spans="1:9" s="314" customFormat="1" ht="15" thickBot="1" x14ac:dyDescent="0.35">
      <c r="B3" s="598" t="s">
        <v>185</v>
      </c>
      <c r="C3" s="599"/>
      <c r="D3" s="432">
        <v>2</v>
      </c>
      <c r="E3" s="568" t="s">
        <v>189</v>
      </c>
      <c r="F3" s="569"/>
      <c r="G3" s="570"/>
    </row>
    <row r="4" spans="1:9" s="314" customFormat="1" ht="15" thickBot="1" x14ac:dyDescent="0.35">
      <c r="B4" s="596"/>
      <c r="C4" s="597"/>
      <c r="D4" s="417"/>
      <c r="E4" s="417"/>
      <c r="F4" s="417"/>
      <c r="G4" s="418"/>
    </row>
    <row r="5" spans="1:9" s="314" customFormat="1" ht="15" thickBot="1" x14ac:dyDescent="0.35">
      <c r="B5" s="603" t="s">
        <v>192</v>
      </c>
      <c r="C5" s="604"/>
      <c r="D5" s="605" t="str">
        <f t="shared" ref="D5:G5" si="0">E11</f>
        <v>FY 2022-23</v>
      </c>
      <c r="E5" s="605" t="str">
        <f t="shared" si="0"/>
        <v>FY 2023-24</v>
      </c>
      <c r="F5" s="605" t="str">
        <f t="shared" si="0"/>
        <v>FY 2024-25</v>
      </c>
      <c r="G5" s="606" t="str">
        <f t="shared" si="0"/>
        <v>FY 2025-26</v>
      </c>
    </row>
    <row r="6" spans="1:9" s="314" customFormat="1" x14ac:dyDescent="0.3">
      <c r="B6" s="590" t="s">
        <v>186</v>
      </c>
      <c r="C6" s="591"/>
      <c r="D6" s="426">
        <v>0.8</v>
      </c>
      <c r="E6" s="426">
        <v>0.6</v>
      </c>
      <c r="F6" s="426">
        <v>0.4</v>
      </c>
      <c r="G6" s="427">
        <v>0.2</v>
      </c>
    </row>
    <row r="7" spans="1:9" s="314" customFormat="1" x14ac:dyDescent="0.3">
      <c r="B7" s="592" t="s">
        <v>187</v>
      </c>
      <c r="C7" s="593"/>
      <c r="D7" s="428">
        <v>0.4</v>
      </c>
      <c r="E7" s="428">
        <v>0.2</v>
      </c>
      <c r="F7" s="428">
        <v>0.2</v>
      </c>
      <c r="G7" s="429">
        <v>0.1</v>
      </c>
    </row>
    <row r="8" spans="1:9" s="314" customFormat="1" ht="15" thickBot="1" x14ac:dyDescent="0.35">
      <c r="B8" s="594" t="s">
        <v>188</v>
      </c>
      <c r="C8" s="595"/>
      <c r="D8" s="430">
        <v>0.2</v>
      </c>
      <c r="E8" s="430">
        <v>0.1</v>
      </c>
      <c r="F8" s="430">
        <v>0.1</v>
      </c>
      <c r="G8" s="431">
        <v>0.05</v>
      </c>
    </row>
    <row r="9" spans="1:9" s="314" customFormat="1" x14ac:dyDescent="0.3">
      <c r="C9" s="415"/>
      <c r="D9" s="415"/>
      <c r="E9" s="415"/>
      <c r="F9" s="415"/>
      <c r="G9" s="416"/>
    </row>
    <row r="10" spans="1:9" s="314" customFormat="1" ht="15" thickBot="1" x14ac:dyDescent="0.35"/>
    <row r="11" spans="1:9" ht="15" thickBot="1" x14ac:dyDescent="0.35">
      <c r="B11" s="607" t="s">
        <v>206</v>
      </c>
      <c r="C11" s="608"/>
      <c r="D11" s="605" t="s">
        <v>178</v>
      </c>
      <c r="E11" s="605" t="s">
        <v>179</v>
      </c>
      <c r="F11" s="605" t="s">
        <v>180</v>
      </c>
      <c r="G11" s="605" t="s">
        <v>181</v>
      </c>
      <c r="H11" s="606" t="s">
        <v>182</v>
      </c>
      <c r="I11" s="292"/>
    </row>
    <row r="12" spans="1:9" s="101" customFormat="1" ht="16.2" hidden="1" thickBot="1" x14ac:dyDescent="0.35">
      <c r="B12" s="581"/>
      <c r="C12" s="582"/>
      <c r="D12" s="419"/>
      <c r="E12" s="419"/>
      <c r="F12" s="419"/>
      <c r="G12" s="419"/>
      <c r="H12" s="420"/>
      <c r="I12" s="297"/>
    </row>
    <row r="13" spans="1:9" s="442" customFormat="1" ht="15" thickBot="1" x14ac:dyDescent="0.35">
      <c r="B13" s="571" t="s">
        <v>190</v>
      </c>
      <c r="C13" s="572"/>
      <c r="D13" s="448"/>
      <c r="E13" s="448">
        <f>CHOOSE($D$3,D6,D7,D8)</f>
        <v>0.4</v>
      </c>
      <c r="F13" s="448">
        <f>CHOOSE($D$3,E6,E7,E8)</f>
        <v>0.2</v>
      </c>
      <c r="G13" s="448">
        <f>CHOOSE($D$3,F6,F7,F8)</f>
        <v>0.2</v>
      </c>
      <c r="H13" s="449">
        <f>CHOOSE($D$3,G6,G7,G8)</f>
        <v>0.1</v>
      </c>
    </row>
    <row r="14" spans="1:9" s="314" customFormat="1" x14ac:dyDescent="0.3">
      <c r="B14" s="461" t="s">
        <v>224</v>
      </c>
      <c r="C14" s="462"/>
      <c r="D14" s="528">
        <f>3000000*12</f>
        <v>36000000</v>
      </c>
      <c r="E14" s="528">
        <f>D14*(1+D7)</f>
        <v>50400000</v>
      </c>
      <c r="F14" s="528">
        <f>E14*(1+E7)</f>
        <v>60480000</v>
      </c>
      <c r="G14" s="528">
        <f>F14*(1+F7)</f>
        <v>72576000</v>
      </c>
      <c r="H14" s="529">
        <f>G14*(1+G7)</f>
        <v>79833600</v>
      </c>
    </row>
    <row r="15" spans="1:9" s="314" customFormat="1" ht="15" thickBot="1" x14ac:dyDescent="0.35">
      <c r="B15" s="436"/>
      <c r="C15" s="437"/>
      <c r="D15" s="528"/>
      <c r="E15" s="528"/>
      <c r="F15" s="528"/>
      <c r="G15" s="528"/>
      <c r="H15" s="529"/>
    </row>
    <row r="16" spans="1:9" ht="15" thickBot="1" x14ac:dyDescent="0.35">
      <c r="B16" s="584" t="s">
        <v>174</v>
      </c>
      <c r="C16" s="585"/>
      <c r="D16" s="433">
        <f>SUM(D14:D15)</f>
        <v>36000000</v>
      </c>
      <c r="E16" s="433">
        <f>SUM(E14:E15)</f>
        <v>50400000</v>
      </c>
      <c r="F16" s="433">
        <f>SUM(F14:F15)</f>
        <v>60480000</v>
      </c>
      <c r="G16" s="433">
        <f>SUM(G14:G15)</f>
        <v>72576000</v>
      </c>
      <c r="H16" s="433">
        <f>SUM(H14:H15)</f>
        <v>79833600</v>
      </c>
    </row>
    <row r="17" spans="2:13" x14ac:dyDescent="0.3">
      <c r="B17" s="583"/>
      <c r="C17" s="583"/>
      <c r="D17" s="411"/>
      <c r="E17" s="225"/>
      <c r="F17" s="225"/>
      <c r="G17" s="225"/>
      <c r="H17" s="225"/>
      <c r="I17" s="225"/>
    </row>
    <row r="18" spans="2:13" s="314" customFormat="1" x14ac:dyDescent="0.3">
      <c r="B18" s="411"/>
      <c r="C18" s="411"/>
      <c r="D18" s="435"/>
      <c r="E18" s="225"/>
      <c r="F18" s="225"/>
      <c r="G18" s="225"/>
      <c r="H18" s="225"/>
      <c r="I18" s="225"/>
    </row>
    <row r="19" spans="2:13" s="314" customFormat="1" x14ac:dyDescent="0.3">
      <c r="B19" s="411"/>
      <c r="C19" s="411"/>
      <c r="D19" s="411"/>
    </row>
    <row r="20" spans="2:13" ht="21.6" hidden="1" thickBot="1" x14ac:dyDescent="0.35">
      <c r="B20" s="578" t="s">
        <v>191</v>
      </c>
      <c r="C20" s="579"/>
      <c r="D20" s="580"/>
      <c r="E20" s="414"/>
    </row>
    <row r="21" spans="2:13" ht="15" hidden="1" thickBot="1" x14ac:dyDescent="0.35">
      <c r="E21" s="583"/>
      <c r="F21" s="583"/>
      <c r="M21" s="314"/>
    </row>
    <row r="22" spans="2:13" ht="15" hidden="1" thickBot="1" x14ac:dyDescent="0.35">
      <c r="B22" s="586" t="s">
        <v>177</v>
      </c>
      <c r="C22" s="587"/>
      <c r="D22" s="421" t="e">
        <f>#REF!</f>
        <v>#REF!</v>
      </c>
      <c r="E22" s="422" t="s">
        <v>178</v>
      </c>
      <c r="F22" s="422" t="s">
        <v>179</v>
      </c>
      <c r="G22" s="422" t="s">
        <v>180</v>
      </c>
      <c r="H22" s="422" t="s">
        <v>181</v>
      </c>
      <c r="I22" s="423" t="s">
        <v>182</v>
      </c>
    </row>
    <row r="23" spans="2:13" s="442" customFormat="1" ht="15" hidden="1" thickBot="1" x14ac:dyDescent="0.35">
      <c r="B23" s="571" t="s">
        <v>190</v>
      </c>
      <c r="C23" s="572"/>
      <c r="D23" s="448"/>
      <c r="E23" s="448">
        <f>CHOOSE($D$3,C6,C7,C8)</f>
        <v>0</v>
      </c>
      <c r="F23" s="448">
        <f>CHOOSE($D$3,D6,D7,D8)</f>
        <v>0.4</v>
      </c>
      <c r="G23" s="448">
        <f>CHOOSE($D$3,E6,E7,E8)</f>
        <v>0.2</v>
      </c>
      <c r="H23" s="448">
        <f>CHOOSE($D$3,F6,F7,F8)</f>
        <v>0.2</v>
      </c>
      <c r="I23" s="449">
        <f>CHOOSE($D$3,G6,G7,G8)</f>
        <v>0.1</v>
      </c>
    </row>
    <row r="24" spans="2:13" hidden="1" x14ac:dyDescent="0.3">
      <c r="B24" s="575" t="s">
        <v>202</v>
      </c>
      <c r="C24" s="576"/>
      <c r="D24" s="424"/>
      <c r="E24" s="424"/>
      <c r="F24" s="424"/>
      <c r="G24" s="424"/>
      <c r="H24" s="424"/>
      <c r="I24" s="425"/>
    </row>
    <row r="25" spans="2:13" s="314" customFormat="1" hidden="1" x14ac:dyDescent="0.3">
      <c r="B25" s="575" t="s">
        <v>203</v>
      </c>
      <c r="C25" s="576"/>
      <c r="D25" s="424"/>
      <c r="E25" s="424"/>
      <c r="F25" s="424"/>
      <c r="G25" s="424"/>
      <c r="H25" s="424"/>
      <c r="I25" s="425"/>
    </row>
    <row r="26" spans="2:13" hidden="1" x14ac:dyDescent="0.3">
      <c r="B26" s="575" t="s">
        <v>204</v>
      </c>
      <c r="C26" s="576"/>
      <c r="D26" s="424"/>
      <c r="E26" s="424"/>
      <c r="F26" s="424"/>
      <c r="G26" s="424"/>
      <c r="H26" s="424"/>
      <c r="I26" s="425"/>
      <c r="L26" s="225"/>
      <c r="M26" s="225"/>
    </row>
    <row r="27" spans="2:13" s="314" customFormat="1" ht="15" hidden="1" thickBot="1" x14ac:dyDescent="0.35">
      <c r="B27" s="575" t="s">
        <v>205</v>
      </c>
      <c r="C27" s="576"/>
      <c r="D27" s="424"/>
      <c r="E27" s="424"/>
      <c r="F27" s="424"/>
      <c r="G27" s="424"/>
      <c r="H27" s="424"/>
      <c r="I27" s="425"/>
      <c r="L27" s="225"/>
      <c r="M27" s="225"/>
    </row>
    <row r="28" spans="2:13" ht="15" hidden="1" customHeight="1" thickBot="1" x14ac:dyDescent="0.35">
      <c r="B28" s="573" t="s">
        <v>0</v>
      </c>
      <c r="C28" s="574"/>
      <c r="D28" s="434" t="e">
        <f>#REF!</f>
        <v>#REF!</v>
      </c>
      <c r="E28" s="434">
        <f t="shared" ref="E28:I28" si="1">D16</f>
        <v>36000000</v>
      </c>
      <c r="F28" s="434">
        <f t="shared" si="1"/>
        <v>50400000</v>
      </c>
      <c r="G28" s="434">
        <f t="shared" si="1"/>
        <v>60480000</v>
      </c>
      <c r="H28" s="434">
        <f t="shared" si="1"/>
        <v>72576000</v>
      </c>
      <c r="I28" s="434">
        <f t="shared" si="1"/>
        <v>79833600</v>
      </c>
      <c r="L28" s="225"/>
      <c r="M28" s="225"/>
    </row>
    <row r="29" spans="2:13" x14ac:dyDescent="0.3">
      <c r="B29" s="236"/>
      <c r="C29" s="236"/>
      <c r="D29" s="236"/>
      <c r="E29" s="620"/>
      <c r="F29" s="620"/>
      <c r="G29" s="620"/>
      <c r="H29" s="620"/>
      <c r="I29" s="237"/>
    </row>
  </sheetData>
  <mergeCells count="22">
    <mergeCell ref="B3:C3"/>
    <mergeCell ref="B5:C5"/>
    <mergeCell ref="B6:C6"/>
    <mergeCell ref="B7:C7"/>
    <mergeCell ref="B8:C8"/>
    <mergeCell ref="B4:C4"/>
    <mergeCell ref="E3:G3"/>
    <mergeCell ref="B23:C23"/>
    <mergeCell ref="B28:C28"/>
    <mergeCell ref="B27:C27"/>
    <mergeCell ref="B2:C2"/>
    <mergeCell ref="B24:C24"/>
    <mergeCell ref="B26:C26"/>
    <mergeCell ref="B20:D20"/>
    <mergeCell ref="B11:C11"/>
    <mergeCell ref="B12:C12"/>
    <mergeCell ref="E21:F21"/>
    <mergeCell ref="B25:C25"/>
    <mergeCell ref="B16:C16"/>
    <mergeCell ref="B13:C13"/>
    <mergeCell ref="B17:C17"/>
    <mergeCell ref="B22:C22"/>
  </mergeCells>
  <phoneticPr fontId="9" type="noConversion"/>
  <dataValidations count="1">
    <dataValidation type="list" allowBlank="1" showInputMessage="1" showErrorMessage="1" sqref="D3" xr:uid="{B4D57351-3E5B-4F30-B4A5-239A2B56BFD4}">
      <formula1>"1,2,3"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XFD29"/>
  <sheetViews>
    <sheetView showGridLines="0" zoomScale="110" zoomScaleNormal="110" workbookViewId="0"/>
  </sheetViews>
  <sheetFormatPr defaultRowHeight="15" x14ac:dyDescent="0.35"/>
  <cols>
    <col min="1" max="1" width="45.21875" style="2" bestFit="1" customWidth="1"/>
    <col min="2" max="2" width="15.77734375" bestFit="1" customWidth="1"/>
    <col min="3" max="3" width="15.88671875" bestFit="1" customWidth="1"/>
    <col min="4" max="6" width="16.77734375" bestFit="1" customWidth="1"/>
    <col min="9" max="9" width="10" bestFit="1" customWidth="1"/>
  </cols>
  <sheetData>
    <row r="1" spans="1:12 16384:16384" s="94" customFormat="1" x14ac:dyDescent="0.35">
      <c r="A1" s="92" t="s">
        <v>165</v>
      </c>
      <c r="B1" s="92"/>
      <c r="C1" s="92"/>
      <c r="D1" s="92"/>
      <c r="E1" s="95"/>
      <c r="F1" s="95"/>
      <c r="G1" s="93"/>
    </row>
    <row r="2" spans="1:12 16384:16384" ht="14.4" x14ac:dyDescent="0.3">
      <c r="A2" s="1"/>
    </row>
    <row r="3" spans="1:12 16384:16384" x14ac:dyDescent="0.35">
      <c r="A3" s="600" t="s">
        <v>1</v>
      </c>
      <c r="B3" s="602" t="s">
        <v>178</v>
      </c>
      <c r="C3" s="602" t="s">
        <v>179</v>
      </c>
      <c r="D3" s="602" t="s">
        <v>180</v>
      </c>
      <c r="E3" s="602" t="s">
        <v>181</v>
      </c>
      <c r="F3" s="602" t="s">
        <v>182</v>
      </c>
    </row>
    <row r="4" spans="1:12 16384:16384" ht="14.4" x14ac:dyDescent="0.3">
      <c r="A4" s="304" t="s">
        <v>225</v>
      </c>
      <c r="B4" s="518">
        <f>1000000*12</f>
        <v>12000000</v>
      </c>
      <c r="C4" s="519">
        <f>B4*1.05</f>
        <v>12600000</v>
      </c>
      <c r="D4" s="519">
        <f t="shared" ref="D4:F4" si="0">C4*1.05</f>
        <v>13230000</v>
      </c>
      <c r="E4" s="519">
        <f t="shared" si="0"/>
        <v>13891500</v>
      </c>
      <c r="F4" s="520">
        <f t="shared" si="0"/>
        <v>14586075</v>
      </c>
      <c r="H4" s="442"/>
      <c r="XFD4" s="445">
        <f>9122431+92384909.2-14881581</f>
        <v>86625759.200000003</v>
      </c>
    </row>
    <row r="5" spans="1:12 16384:16384" s="314" customFormat="1" x14ac:dyDescent="0.35">
      <c r="A5" s="318" t="s">
        <v>2</v>
      </c>
      <c r="B5" s="319">
        <v>0.15</v>
      </c>
      <c r="C5" s="320"/>
      <c r="D5" s="320"/>
      <c r="E5" s="320"/>
      <c r="F5" s="321"/>
      <c r="I5"/>
      <c r="J5"/>
      <c r="K5"/>
      <c r="L5"/>
    </row>
    <row r="6" spans="1:12 16384:16384" s="314" customFormat="1" ht="14.4" x14ac:dyDescent="0.3">
      <c r="A6" s="304" t="s">
        <v>207</v>
      </c>
      <c r="B6" s="521">
        <f>20000*12</f>
        <v>240000</v>
      </c>
      <c r="C6" s="519">
        <f>B6*1.1</f>
        <v>264000</v>
      </c>
      <c r="D6" s="519">
        <f t="shared" ref="D6:F6" si="1">C6*1.1</f>
        <v>290400</v>
      </c>
      <c r="E6" s="519">
        <f t="shared" si="1"/>
        <v>319440</v>
      </c>
      <c r="F6" s="520">
        <f t="shared" si="1"/>
        <v>351384</v>
      </c>
    </row>
    <row r="7" spans="1:12 16384:16384" s="314" customFormat="1" x14ac:dyDescent="0.35">
      <c r="A7" s="318" t="s">
        <v>2</v>
      </c>
      <c r="B7" s="319">
        <v>0.1</v>
      </c>
      <c r="C7" s="320"/>
      <c r="D7" s="320"/>
      <c r="E7" s="320"/>
      <c r="F7" s="321"/>
    </row>
    <row r="8" spans="1:12 16384:16384" s="314" customFormat="1" ht="14.4" x14ac:dyDescent="0.3">
      <c r="A8" s="304" t="s">
        <v>247</v>
      </c>
      <c r="B8" s="521">
        <v>200000</v>
      </c>
      <c r="C8" s="519">
        <f>B8*1.1</f>
        <v>220000.00000000003</v>
      </c>
      <c r="D8" s="519">
        <f t="shared" ref="D8:F8" si="2">C8*1.1</f>
        <v>242000.00000000006</v>
      </c>
      <c r="E8" s="519">
        <f t="shared" si="2"/>
        <v>266200.00000000006</v>
      </c>
      <c r="F8" s="520">
        <f t="shared" si="2"/>
        <v>292820.00000000012</v>
      </c>
    </row>
    <row r="9" spans="1:12 16384:16384" s="314" customFormat="1" x14ac:dyDescent="0.35">
      <c r="A9" s="318" t="s">
        <v>2</v>
      </c>
      <c r="B9" s="319">
        <v>0.1</v>
      </c>
      <c r="C9" s="320"/>
      <c r="D9" s="320"/>
      <c r="E9" s="320"/>
      <c r="F9" s="321"/>
    </row>
    <row r="10" spans="1:12 16384:16384" s="115" customFormat="1" x14ac:dyDescent="0.35">
      <c r="A10" s="315" t="s">
        <v>3</v>
      </c>
      <c r="B10" s="409">
        <f>SUM(B4,B6,B8)</f>
        <v>12440000</v>
      </c>
      <c r="C10" s="409">
        <f t="shared" ref="C10:F10" si="3">SUM(C4,C6,C8)</f>
        <v>13084000</v>
      </c>
      <c r="D10" s="409">
        <f t="shared" si="3"/>
        <v>13762400</v>
      </c>
      <c r="E10" s="409">
        <f t="shared" si="3"/>
        <v>14477140</v>
      </c>
      <c r="F10" s="409">
        <f t="shared" si="3"/>
        <v>15230279</v>
      </c>
      <c r="I10"/>
      <c r="J10"/>
      <c r="K10"/>
      <c r="L10"/>
    </row>
    <row r="11" spans="1:12 16384:16384" x14ac:dyDescent="0.35">
      <c r="A11" s="118"/>
      <c r="B11" s="402"/>
      <c r="C11" s="116"/>
      <c r="D11" s="116"/>
      <c r="E11" s="116"/>
      <c r="F11" s="117"/>
    </row>
    <row r="12" spans="1:12 16384:16384" x14ac:dyDescent="0.35">
      <c r="A12" s="600" t="s">
        <v>194</v>
      </c>
      <c r="B12" s="601" t="s">
        <v>178</v>
      </c>
      <c r="C12" s="601" t="s">
        <v>179</v>
      </c>
      <c r="D12" s="601" t="s">
        <v>180</v>
      </c>
      <c r="E12" s="601" t="s">
        <v>181</v>
      </c>
      <c r="F12" s="601" t="s">
        <v>182</v>
      </c>
    </row>
    <row r="13" spans="1:12 16384:16384" x14ac:dyDescent="0.35">
      <c r="A13" s="306" t="s">
        <v>236</v>
      </c>
      <c r="B13" s="521">
        <v>200000</v>
      </c>
      <c r="C13" s="519">
        <f>B13*1.5</f>
        <v>300000</v>
      </c>
      <c r="D13" s="519">
        <f>C13*1.5</f>
        <v>450000</v>
      </c>
      <c r="E13" s="519">
        <f>B13*50%</f>
        <v>100000</v>
      </c>
      <c r="F13" s="520">
        <f>E13</f>
        <v>100000</v>
      </c>
    </row>
    <row r="14" spans="1:12 16384:16384" x14ac:dyDescent="0.35">
      <c r="A14" s="307" t="s">
        <v>2</v>
      </c>
      <c r="B14" s="316">
        <f>B13/'Revenue Assumptions'!D16</f>
        <v>5.5555555555555558E-3</v>
      </c>
      <c r="C14" s="298"/>
      <c r="D14" s="298"/>
      <c r="E14" s="298"/>
      <c r="F14" s="313"/>
    </row>
    <row r="15" spans="1:12 16384:16384" s="314" customFormat="1" x14ac:dyDescent="0.35">
      <c r="A15" s="375" t="s">
        <v>246</v>
      </c>
      <c r="B15" s="522">
        <f>50000*12</f>
        <v>600000</v>
      </c>
      <c r="C15" s="519">
        <f>B15*(1+C16)</f>
        <v>660000</v>
      </c>
      <c r="D15" s="519">
        <f t="shared" ref="D15:F15" si="4">C15*(1+D16)</f>
        <v>726000.00000000012</v>
      </c>
      <c r="E15" s="519">
        <f t="shared" si="4"/>
        <v>798600.00000000023</v>
      </c>
      <c r="F15" s="520">
        <f t="shared" si="4"/>
        <v>878460.00000000035</v>
      </c>
      <c r="H15" s="404"/>
      <c r="I15" s="403"/>
      <c r="J15" s="405"/>
    </row>
    <row r="16" spans="1:12 16384:16384" s="314" customFormat="1" x14ac:dyDescent="0.35">
      <c r="A16" s="307" t="s">
        <v>218</v>
      </c>
      <c r="B16" s="316"/>
      <c r="C16" s="503">
        <v>0.1</v>
      </c>
      <c r="D16" s="503">
        <v>0.1</v>
      </c>
      <c r="E16" s="503">
        <v>0.1</v>
      </c>
      <c r="F16" s="504">
        <v>0.1</v>
      </c>
      <c r="H16" s="404"/>
      <c r="I16" s="403"/>
      <c r="J16" s="405"/>
    </row>
    <row r="17" spans="1:10" s="314" customFormat="1" x14ac:dyDescent="0.35">
      <c r="A17" s="375" t="s">
        <v>226</v>
      </c>
      <c r="B17" s="522">
        <f>20000*12</f>
        <v>240000</v>
      </c>
      <c r="C17" s="519">
        <f>B17*(1+C18)</f>
        <v>252000</v>
      </c>
      <c r="D17" s="519">
        <f t="shared" ref="D17" si="5">C17*(1+D18)</f>
        <v>264600</v>
      </c>
      <c r="E17" s="519">
        <f t="shared" ref="E17" si="6">D17*(1+E18)</f>
        <v>277830</v>
      </c>
      <c r="F17" s="520">
        <f t="shared" ref="F17" si="7">E17*(1+F18)</f>
        <v>291721.5</v>
      </c>
      <c r="H17" s="404"/>
      <c r="I17" s="403"/>
      <c r="J17" s="405"/>
    </row>
    <row r="18" spans="1:10" s="314" customFormat="1" x14ac:dyDescent="0.35">
      <c r="A18" s="307" t="s">
        <v>2</v>
      </c>
      <c r="B18" s="316">
        <v>0.1</v>
      </c>
      <c r="C18" s="503">
        <v>0.05</v>
      </c>
      <c r="D18" s="503">
        <v>0.05</v>
      </c>
      <c r="E18" s="503">
        <v>0.05</v>
      </c>
      <c r="F18" s="504">
        <v>0.05</v>
      </c>
      <c r="H18" s="404"/>
      <c r="I18" s="403"/>
      <c r="J18" s="405"/>
    </row>
    <row r="19" spans="1:10" s="314" customFormat="1" x14ac:dyDescent="0.35">
      <c r="A19" s="375" t="s">
        <v>235</v>
      </c>
      <c r="B19" s="522">
        <f>20000*12</f>
        <v>240000</v>
      </c>
      <c r="C19" s="519">
        <f>B19*(1+C20)</f>
        <v>252000</v>
      </c>
      <c r="D19" s="519">
        <f t="shared" ref="D19" si="8">C19*(1+D20)</f>
        <v>264600</v>
      </c>
      <c r="E19" s="519">
        <f t="shared" ref="E19" si="9">D19*(1+E20)</f>
        <v>277830</v>
      </c>
      <c r="F19" s="520">
        <f t="shared" ref="F19" si="10">E19*(1+F20)</f>
        <v>291721.5</v>
      </c>
      <c r="H19" s="404"/>
      <c r="I19" s="403"/>
      <c r="J19" s="405"/>
    </row>
    <row r="20" spans="1:10" s="314" customFormat="1" x14ac:dyDescent="0.35">
      <c r="A20" s="307" t="s">
        <v>2</v>
      </c>
      <c r="B20" s="316">
        <v>0.1</v>
      </c>
      <c r="C20" s="503">
        <v>0.05</v>
      </c>
      <c r="D20" s="503">
        <v>0.05</v>
      </c>
      <c r="E20" s="503">
        <v>0.05</v>
      </c>
      <c r="F20" s="504">
        <v>0.05</v>
      </c>
      <c r="H20" s="404"/>
      <c r="I20" s="403"/>
      <c r="J20" s="405"/>
    </row>
    <row r="21" spans="1:10" s="314" customFormat="1" x14ac:dyDescent="0.35">
      <c r="A21" s="375" t="s">
        <v>237</v>
      </c>
      <c r="B21" s="522">
        <v>200000</v>
      </c>
      <c r="C21" s="519">
        <f>$B$21*Salary!D27/Salary!$C$26</f>
        <v>36363.63636363636</v>
      </c>
      <c r="D21" s="519">
        <f>$B$21*Salary!E27/Salary!$C$26</f>
        <v>36363.63636363636</v>
      </c>
      <c r="E21" s="519">
        <f>$B$21*Salary!F27/Salary!$C$26</f>
        <v>54545.454545454544</v>
      </c>
      <c r="F21" s="520">
        <f>$B$21*Salary!G27/Salary!$C$26</f>
        <v>36363.63636363636</v>
      </c>
      <c r="H21" s="404"/>
      <c r="I21" s="403"/>
      <c r="J21" s="405"/>
    </row>
    <row r="22" spans="1:10" s="314" customFormat="1" x14ac:dyDescent="0.35">
      <c r="A22" s="307" t="s">
        <v>218</v>
      </c>
      <c r="B22" s="316"/>
      <c r="C22" s="503"/>
      <c r="D22" s="503"/>
      <c r="E22" s="503"/>
      <c r="F22" s="504"/>
      <c r="H22" s="404"/>
      <c r="I22" s="403"/>
      <c r="J22" s="405"/>
    </row>
    <row r="23" spans="1:10" x14ac:dyDescent="0.35">
      <c r="A23" s="317" t="s">
        <v>3</v>
      </c>
      <c r="B23" s="409">
        <f>SUM(B13,B15,B17,B19,B21)</f>
        <v>1480000</v>
      </c>
      <c r="C23" s="409">
        <f t="shared" ref="C23:F23" si="11">SUM(C13,C15,C17,C19,C21)</f>
        <v>1500363.6363636365</v>
      </c>
      <c r="D23" s="409">
        <f t="shared" si="11"/>
        <v>1741563.6363636365</v>
      </c>
      <c r="E23" s="409">
        <f t="shared" si="11"/>
        <v>1508805.4545454548</v>
      </c>
      <c r="F23" s="409">
        <f t="shared" si="11"/>
        <v>1598266.6363636369</v>
      </c>
    </row>
    <row r="24" spans="1:10" thickBot="1" x14ac:dyDescent="0.35">
      <c r="A24" s="314" t="s">
        <v>183</v>
      </c>
    </row>
    <row r="25" spans="1:10" ht="16.8" customHeight="1" thickBot="1" x14ac:dyDescent="0.35">
      <c r="A25" s="440" t="s">
        <v>193</v>
      </c>
      <c r="B25" s="523">
        <f>SUM(B23,B10)</f>
        <v>13920000</v>
      </c>
      <c r="C25" s="524">
        <f>SUM(C23,C10)</f>
        <v>14584363.636363637</v>
      </c>
      <c r="D25" s="524">
        <f>SUM(D23,D10)</f>
        <v>15503963.636363637</v>
      </c>
      <c r="E25" s="524">
        <f>SUM(E23,E10)</f>
        <v>15985945.454545455</v>
      </c>
      <c r="F25" s="525">
        <f>SUM(F23,F10)</f>
        <v>16828545.636363637</v>
      </c>
    </row>
    <row r="27" spans="1:10" ht="14.4" x14ac:dyDescent="0.3">
      <c r="A27"/>
      <c r="B27" s="314"/>
    </row>
    <row r="28" spans="1:10" ht="14.4" x14ac:dyDescent="0.3">
      <c r="A28"/>
      <c r="B28" s="314"/>
    </row>
    <row r="29" spans="1:10" ht="14.4" x14ac:dyDescent="0.3">
      <c r="A2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39997558519241921"/>
  </sheetPr>
  <dimension ref="A1:G16"/>
  <sheetViews>
    <sheetView showGridLines="0" zoomScale="120" zoomScaleNormal="120" workbookViewId="0"/>
  </sheetViews>
  <sheetFormatPr defaultRowHeight="14.4" x14ac:dyDescent="0.3"/>
  <cols>
    <col min="1" max="1" width="34.33203125" bestFit="1" customWidth="1"/>
    <col min="2" max="3" width="15.33203125" bestFit="1" customWidth="1"/>
    <col min="4" max="4" width="14.77734375" bestFit="1" customWidth="1"/>
    <col min="5" max="6" width="15.33203125" bestFit="1" customWidth="1"/>
  </cols>
  <sheetData>
    <row r="1" spans="1:7" s="94" customFormat="1" ht="15" x14ac:dyDescent="0.35">
      <c r="A1" s="92" t="s">
        <v>165</v>
      </c>
      <c r="B1" s="92"/>
      <c r="C1" s="92"/>
      <c r="D1" s="92"/>
      <c r="E1" s="95"/>
      <c r="F1" s="95"/>
      <c r="G1" s="93"/>
    </row>
    <row r="3" spans="1:7" x14ac:dyDescent="0.3">
      <c r="A3" s="611" t="s">
        <v>15</v>
      </c>
      <c r="B3" s="610" t="s">
        <v>178</v>
      </c>
      <c r="C3" s="610" t="s">
        <v>179</v>
      </c>
      <c r="D3" s="610" t="s">
        <v>180</v>
      </c>
      <c r="E3" s="610" t="s">
        <v>181</v>
      </c>
      <c r="F3" s="610" t="s">
        <v>182</v>
      </c>
    </row>
    <row r="4" spans="1:7" s="101" customFormat="1" ht="15" x14ac:dyDescent="0.35">
      <c r="A4" s="305" t="s">
        <v>219</v>
      </c>
      <c r="B4" s="239">
        <f>B5*'Revenue Assumptions'!D16</f>
        <v>0</v>
      </c>
      <c r="C4" s="239">
        <f>B4*(1+C5)</f>
        <v>0</v>
      </c>
      <c r="D4" s="239">
        <f t="shared" ref="D4:F4" si="0">C4*(1+D5)</f>
        <v>0</v>
      </c>
      <c r="E4" s="239">
        <f t="shared" si="0"/>
        <v>0</v>
      </c>
      <c r="F4" s="239">
        <f t="shared" si="0"/>
        <v>0</v>
      </c>
    </row>
    <row r="5" spans="1:7" s="459" customFormat="1" ht="15" x14ac:dyDescent="0.35">
      <c r="A5" s="457" t="s">
        <v>2</v>
      </c>
      <c r="B5" s="458">
        <v>0</v>
      </c>
      <c r="C5" s="458">
        <v>0</v>
      </c>
      <c r="D5" s="458">
        <v>0</v>
      </c>
      <c r="E5" s="458">
        <v>0</v>
      </c>
      <c r="F5" s="458">
        <v>0</v>
      </c>
    </row>
    <row r="6" spans="1:7" s="101" customFormat="1" ht="15" x14ac:dyDescent="0.35">
      <c r="A6" s="305" t="s">
        <v>220</v>
      </c>
      <c r="B6" s="239">
        <f>'Revenue Assumptions'!E18*$B$5</f>
        <v>0</v>
      </c>
      <c r="C6" s="239">
        <f>'Revenue Assumptions'!F18*$B$5</f>
        <v>0</v>
      </c>
      <c r="D6" s="239">
        <f>'Revenue Assumptions'!G18*$B$5</f>
        <v>0</v>
      </c>
      <c r="E6" s="239">
        <f>'Revenue Assumptions'!H18*$B$5</f>
        <v>0</v>
      </c>
      <c r="F6" s="239">
        <f>'Revenue Assumptions'!I18*$B$5</f>
        <v>0</v>
      </c>
    </row>
    <row r="7" spans="1:7" s="459" customFormat="1" ht="15" x14ac:dyDescent="0.35">
      <c r="A7" s="457" t="s">
        <v>2</v>
      </c>
      <c r="B7" s="458">
        <v>0</v>
      </c>
      <c r="C7" s="458">
        <v>0</v>
      </c>
      <c r="D7" s="458">
        <v>0</v>
      </c>
      <c r="E7" s="458">
        <v>0</v>
      </c>
      <c r="F7" s="458">
        <v>0</v>
      </c>
    </row>
    <row r="8" spans="1:7" s="101" customFormat="1" ht="15" x14ac:dyDescent="0.35">
      <c r="A8" s="228"/>
      <c r="B8" s="238"/>
      <c r="C8" s="239"/>
      <c r="D8" s="239"/>
      <c r="E8" s="239"/>
      <c r="F8" s="239"/>
    </row>
    <row r="9" spans="1:7" s="101" customFormat="1" ht="15" x14ac:dyDescent="0.35">
      <c r="A9" s="310" t="s">
        <v>3</v>
      </c>
      <c r="B9" s="311">
        <f>SUM(B4,B6)</f>
        <v>0</v>
      </c>
      <c r="C9" s="311">
        <f t="shared" ref="C9:F9" si="1">SUM(C4,C6)</f>
        <v>0</v>
      </c>
      <c r="D9" s="311">
        <f t="shared" si="1"/>
        <v>0</v>
      </c>
      <c r="E9" s="311">
        <f t="shared" si="1"/>
        <v>0</v>
      </c>
      <c r="F9" s="311">
        <f t="shared" si="1"/>
        <v>0</v>
      </c>
    </row>
    <row r="12" spans="1:7" ht="15" x14ac:dyDescent="0.35">
      <c r="A12" s="27"/>
      <c r="B12" s="27"/>
    </row>
    <row r="13" spans="1:7" ht="15" x14ac:dyDescent="0.35">
      <c r="A13" s="27"/>
      <c r="B13" s="28"/>
    </row>
    <row r="16" spans="1:7" ht="15" x14ac:dyDescent="0.35">
      <c r="A16" s="27"/>
      <c r="B16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H45"/>
  <sheetViews>
    <sheetView showGridLines="0" zoomScale="110" zoomScaleNormal="110" workbookViewId="0"/>
  </sheetViews>
  <sheetFormatPr defaultRowHeight="14.4" x14ac:dyDescent="0.3"/>
  <cols>
    <col min="1" max="1" width="34.5546875" customWidth="1"/>
    <col min="2" max="2" width="19.5546875" style="492" customWidth="1"/>
    <col min="3" max="5" width="14.109375" bestFit="1" customWidth="1"/>
    <col min="6" max="6" width="17.33203125" bestFit="1" customWidth="1"/>
    <col min="7" max="7" width="14.109375" bestFit="1" customWidth="1"/>
    <col min="8" max="10" width="12.88671875" bestFit="1" customWidth="1"/>
  </cols>
  <sheetData>
    <row r="1" spans="1:7" s="94" customFormat="1" ht="16.8" thickBot="1" x14ac:dyDescent="0.4">
      <c r="A1" s="92" t="s">
        <v>165</v>
      </c>
      <c r="B1" s="92"/>
      <c r="C1" s="92"/>
      <c r="D1" s="92"/>
      <c r="E1" s="95"/>
      <c r="F1" s="496" t="s">
        <v>210</v>
      </c>
      <c r="G1" s="495">
        <v>0.1</v>
      </c>
    </row>
    <row r="3" spans="1:7" x14ac:dyDescent="0.3">
      <c r="A3" s="488" t="s">
        <v>7</v>
      </c>
      <c r="B3" s="489" t="s">
        <v>6</v>
      </c>
      <c r="C3" s="302" t="s">
        <v>169</v>
      </c>
      <c r="D3" s="302" t="s">
        <v>170</v>
      </c>
      <c r="E3" s="302" t="s">
        <v>171</v>
      </c>
      <c r="F3" s="302" t="s">
        <v>172</v>
      </c>
      <c r="G3" s="302" t="s">
        <v>173</v>
      </c>
    </row>
    <row r="4" spans="1:7" x14ac:dyDescent="0.3">
      <c r="A4" s="452" t="s">
        <v>238</v>
      </c>
      <c r="B4" s="494" t="s">
        <v>208</v>
      </c>
      <c r="C4" s="490">
        <v>1</v>
      </c>
      <c r="D4" s="490">
        <v>1</v>
      </c>
      <c r="E4" s="490">
        <v>1</v>
      </c>
      <c r="F4" s="490">
        <v>1</v>
      </c>
      <c r="G4" s="490">
        <v>1</v>
      </c>
    </row>
    <row r="5" spans="1:7" x14ac:dyDescent="0.3">
      <c r="A5" s="453"/>
      <c r="B5" s="494" t="s">
        <v>209</v>
      </c>
      <c r="C5" s="491">
        <f>25000*12</f>
        <v>300000</v>
      </c>
      <c r="D5" s="491">
        <f>Table1[[#This Row],[Year 1]]*1.1</f>
        <v>330000</v>
      </c>
      <c r="E5" s="491">
        <f>Table1[[#This Row],[Year 2]]*1.1</f>
        <v>363000.00000000006</v>
      </c>
      <c r="F5" s="491">
        <f>Table1[[#This Row],[Year 3]]*1.1</f>
        <v>399300.00000000012</v>
      </c>
      <c r="G5" s="491">
        <f>Table1[[#This Row],[Year 4]]*1.1</f>
        <v>439230.00000000017</v>
      </c>
    </row>
    <row r="6" spans="1:7" x14ac:dyDescent="0.3">
      <c r="A6" s="455"/>
      <c r="B6" s="3" t="s">
        <v>4</v>
      </c>
      <c r="C6" s="493">
        <f>C4*C5</f>
        <v>300000</v>
      </c>
      <c r="D6" s="493">
        <f t="shared" ref="D6:G6" si="0">D4*D5</f>
        <v>330000</v>
      </c>
      <c r="E6" s="493">
        <f t="shared" si="0"/>
        <v>363000.00000000006</v>
      </c>
      <c r="F6" s="493">
        <f t="shared" si="0"/>
        <v>399300.00000000012</v>
      </c>
      <c r="G6" s="493">
        <f t="shared" si="0"/>
        <v>439230.00000000017</v>
      </c>
    </row>
    <row r="7" spans="1:7" s="314" customFormat="1" x14ac:dyDescent="0.3">
      <c r="A7" s="453" t="s">
        <v>239</v>
      </c>
      <c r="B7" s="494" t="s">
        <v>208</v>
      </c>
      <c r="C7" s="225">
        <v>4</v>
      </c>
      <c r="D7" s="225">
        <v>5</v>
      </c>
      <c r="E7" s="225">
        <v>6</v>
      </c>
      <c r="F7" s="225">
        <v>7</v>
      </c>
      <c r="G7" s="225">
        <v>8</v>
      </c>
    </row>
    <row r="8" spans="1:7" s="314" customFormat="1" x14ac:dyDescent="0.3">
      <c r="A8" s="460"/>
      <c r="B8" s="494" t="s">
        <v>209</v>
      </c>
      <c r="C8" s="491">
        <f>15000*12</f>
        <v>180000</v>
      </c>
      <c r="D8" s="491">
        <f>Table1[[#This Row],[Year 1]]*1.1</f>
        <v>198000.00000000003</v>
      </c>
      <c r="E8" s="491">
        <f>Table1[[#This Row],[Year 2]]*1.1</f>
        <v>217800.00000000006</v>
      </c>
      <c r="F8" s="491">
        <f>Table1[[#This Row],[Year 3]]*1.1</f>
        <v>239580.00000000009</v>
      </c>
      <c r="G8" s="491">
        <f>Table1[[#This Row],[Year 4]]*1.1</f>
        <v>263538.00000000012</v>
      </c>
    </row>
    <row r="9" spans="1:7" x14ac:dyDescent="0.3">
      <c r="A9" s="455"/>
      <c r="B9" s="3" t="s">
        <v>4</v>
      </c>
      <c r="C9" s="493">
        <f>C7*C8</f>
        <v>720000</v>
      </c>
      <c r="D9" s="493">
        <f t="shared" ref="D9" si="1">D7*D8</f>
        <v>990000.00000000012</v>
      </c>
      <c r="E9" s="493">
        <f t="shared" ref="E9" si="2">E7*E8</f>
        <v>1306800.0000000005</v>
      </c>
      <c r="F9" s="493">
        <f t="shared" ref="F9" si="3">F7*F8</f>
        <v>1677060.0000000007</v>
      </c>
      <c r="G9" s="493">
        <f t="shared" ref="G9" si="4">G7*G8</f>
        <v>2108304.0000000009</v>
      </c>
    </row>
    <row r="10" spans="1:7" s="314" customFormat="1" x14ac:dyDescent="0.3">
      <c r="A10" s="453" t="s">
        <v>240</v>
      </c>
      <c r="B10" s="494" t="s">
        <v>208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</row>
    <row r="11" spans="1:7" s="314" customFormat="1" x14ac:dyDescent="0.3">
      <c r="A11" s="453"/>
      <c r="B11" s="494" t="s">
        <v>209</v>
      </c>
      <c r="C11" s="491">
        <f>30000*12</f>
        <v>360000</v>
      </c>
      <c r="D11" s="491">
        <f>Table1[[#This Row],[Year 1]]*1.1</f>
        <v>396000.00000000006</v>
      </c>
      <c r="E11" s="491">
        <f>Table1[[#This Row],[Year 2]]*1.1</f>
        <v>435600.00000000012</v>
      </c>
      <c r="F11" s="491">
        <f>Table1[[#This Row],[Year 3]]*1.1</f>
        <v>479160.00000000017</v>
      </c>
      <c r="G11" s="491">
        <f>Table1[[#This Row],[Year 4]]*1.1</f>
        <v>527076.00000000023</v>
      </c>
    </row>
    <row r="12" spans="1:7" x14ac:dyDescent="0.3">
      <c r="A12" s="455"/>
      <c r="B12" s="3" t="str">
        <f>+B9</f>
        <v>Annual  Salary</v>
      </c>
      <c r="C12" s="493">
        <f>C10*C11</f>
        <v>720000</v>
      </c>
      <c r="D12" s="493">
        <f t="shared" ref="D12" si="5">D10*D11</f>
        <v>1188000.0000000002</v>
      </c>
      <c r="E12" s="493">
        <f t="shared" ref="E12" si="6">E10*E11</f>
        <v>1742400.0000000005</v>
      </c>
      <c r="F12" s="493">
        <f t="shared" ref="F12" si="7">F10*F11</f>
        <v>2395800.0000000009</v>
      </c>
      <c r="G12" s="493">
        <f t="shared" ref="G12" si="8">G10*G11</f>
        <v>3162456.0000000014</v>
      </c>
    </row>
    <row r="13" spans="1:7" s="314" customFormat="1" x14ac:dyDescent="0.3">
      <c r="A13" s="454" t="s">
        <v>241</v>
      </c>
      <c r="B13" s="494" t="s">
        <v>208</v>
      </c>
      <c r="C13" s="4">
        <v>1</v>
      </c>
      <c r="D13" s="4">
        <v>1</v>
      </c>
      <c r="E13" s="4">
        <v>1</v>
      </c>
      <c r="F13" s="4">
        <v>2</v>
      </c>
      <c r="G13" s="4">
        <v>2</v>
      </c>
    </row>
    <row r="14" spans="1:7" s="314" customFormat="1" x14ac:dyDescent="0.3">
      <c r="A14" s="292"/>
      <c r="B14" s="494" t="s">
        <v>209</v>
      </c>
      <c r="C14" s="491">
        <f>15000*12</f>
        <v>180000</v>
      </c>
      <c r="D14" s="491">
        <f>Table1[[#This Row],[Year 1]]*1.1</f>
        <v>198000.00000000003</v>
      </c>
      <c r="E14" s="491">
        <f>Table1[[#This Row],[Year 2]]*1.1</f>
        <v>217800.00000000006</v>
      </c>
      <c r="F14" s="491">
        <f>Table1[[#This Row],[Year 3]]*1.1</f>
        <v>239580.00000000009</v>
      </c>
      <c r="G14" s="491">
        <f>Table1[[#This Row],[Year 4]]*1.1</f>
        <v>263538.00000000012</v>
      </c>
    </row>
    <row r="15" spans="1:7" x14ac:dyDescent="0.3">
      <c r="A15" s="455"/>
      <c r="B15" s="3" t="str">
        <f>+B12</f>
        <v>Annual  Salary</v>
      </c>
      <c r="C15" s="493">
        <f>C13*C14</f>
        <v>180000</v>
      </c>
      <c r="D15" s="493">
        <f t="shared" ref="D15" si="9">D13*D14</f>
        <v>198000.00000000003</v>
      </c>
      <c r="E15" s="493">
        <f t="shared" ref="E15" si="10">E13*E14</f>
        <v>217800.00000000006</v>
      </c>
      <c r="F15" s="493">
        <f t="shared" ref="F15" si="11">F13*F14</f>
        <v>479160.00000000017</v>
      </c>
      <c r="G15" s="493">
        <f t="shared" ref="G15" si="12">G13*G14</f>
        <v>527076.00000000023</v>
      </c>
    </row>
    <row r="16" spans="1:7" s="314" customFormat="1" x14ac:dyDescent="0.3">
      <c r="A16" s="455" t="s">
        <v>242</v>
      </c>
      <c r="B16" s="617" t="s">
        <v>208</v>
      </c>
      <c r="C16" s="616">
        <v>2</v>
      </c>
      <c r="D16" s="616">
        <v>2</v>
      </c>
      <c r="E16" s="616">
        <v>2</v>
      </c>
      <c r="F16" s="616">
        <v>2</v>
      </c>
      <c r="G16" s="616">
        <v>2</v>
      </c>
    </row>
    <row r="17" spans="1:7" s="314" customFormat="1" x14ac:dyDescent="0.3">
      <c r="A17" s="455"/>
      <c r="B17" s="617" t="s">
        <v>209</v>
      </c>
      <c r="C17" s="618">
        <f>10000*12</f>
        <v>120000</v>
      </c>
      <c r="D17" s="618">
        <f>Table1[[#This Row],[Year 1]]*1.1</f>
        <v>132000</v>
      </c>
      <c r="E17" s="618">
        <f>Table1[[#This Row],[Year 2]]*1.1</f>
        <v>145200</v>
      </c>
      <c r="F17" s="618">
        <f>Table1[[#This Row],[Year 3]]*1.1</f>
        <v>159720</v>
      </c>
      <c r="G17" s="618">
        <f>Table1[[#This Row],[Year 4]]*1.1</f>
        <v>175692</v>
      </c>
    </row>
    <row r="18" spans="1:7" s="314" customFormat="1" x14ac:dyDescent="0.3">
      <c r="A18" s="614"/>
      <c r="B18" s="615" t="str">
        <f>+B15</f>
        <v>Annual  Salary</v>
      </c>
      <c r="C18" s="619">
        <f>C16*C17</f>
        <v>240000</v>
      </c>
      <c r="D18" s="619">
        <f t="shared" ref="D18:G18" si="13">D16*D17</f>
        <v>264000</v>
      </c>
      <c r="E18" s="619">
        <f t="shared" si="13"/>
        <v>290400</v>
      </c>
      <c r="F18" s="619">
        <f t="shared" si="13"/>
        <v>319440</v>
      </c>
      <c r="G18" s="619">
        <f t="shared" si="13"/>
        <v>351384</v>
      </c>
    </row>
    <row r="19" spans="1:7" s="314" customFormat="1" x14ac:dyDescent="0.3">
      <c r="A19" s="455" t="s">
        <v>243</v>
      </c>
      <c r="B19" s="617" t="s">
        <v>208</v>
      </c>
      <c r="C19" s="616">
        <v>1</v>
      </c>
      <c r="D19" s="616">
        <v>1</v>
      </c>
      <c r="E19" s="616">
        <v>1</v>
      </c>
      <c r="F19" s="616">
        <v>1</v>
      </c>
      <c r="G19" s="616">
        <v>1</v>
      </c>
    </row>
    <row r="20" spans="1:7" s="314" customFormat="1" x14ac:dyDescent="0.3">
      <c r="A20" s="455"/>
      <c r="B20" s="617" t="s">
        <v>209</v>
      </c>
      <c r="C20" s="618">
        <f>20000*12</f>
        <v>240000</v>
      </c>
      <c r="D20" s="618">
        <f>Table1[[#This Row],[Year 1]]*1.1</f>
        <v>264000</v>
      </c>
      <c r="E20" s="618">
        <f>Table1[[#This Row],[Year 2]]*1.1</f>
        <v>290400</v>
      </c>
      <c r="F20" s="618">
        <f>Table1[[#This Row],[Year 3]]*1.1</f>
        <v>319440</v>
      </c>
      <c r="G20" s="618">
        <f>Table1[[#This Row],[Year 4]]*1.1</f>
        <v>351384</v>
      </c>
    </row>
    <row r="21" spans="1:7" s="314" customFormat="1" x14ac:dyDescent="0.3">
      <c r="A21" s="614"/>
      <c r="B21" s="615" t="str">
        <f>+B18</f>
        <v>Annual  Salary</v>
      </c>
      <c r="C21" s="619">
        <f>C19*C20</f>
        <v>240000</v>
      </c>
      <c r="D21" s="619">
        <f t="shared" ref="D21:G21" si="14">D19*D20</f>
        <v>264000</v>
      </c>
      <c r="E21" s="619">
        <f t="shared" si="14"/>
        <v>290400</v>
      </c>
      <c r="F21" s="619">
        <f t="shared" si="14"/>
        <v>319440</v>
      </c>
      <c r="G21" s="619">
        <f t="shared" si="14"/>
        <v>351384</v>
      </c>
    </row>
    <row r="22" spans="1:7" s="314" customFormat="1" x14ac:dyDescent="0.3">
      <c r="A22" s="501" t="s">
        <v>217</v>
      </c>
      <c r="B22" s="502" t="s">
        <v>211</v>
      </c>
      <c r="C22" s="501" t="s">
        <v>212</v>
      </c>
      <c r="D22" s="501" t="s">
        <v>213</v>
      </c>
      <c r="E22" s="501" t="s">
        <v>214</v>
      </c>
      <c r="F22" s="501" t="s">
        <v>215</v>
      </c>
      <c r="G22" s="501" t="s">
        <v>216</v>
      </c>
    </row>
    <row r="23" spans="1:7" x14ac:dyDescent="0.3">
      <c r="A23" s="303" t="s">
        <v>5</v>
      </c>
      <c r="B23" s="303"/>
      <c r="C23" s="526">
        <f>SUM(C6,C9,C12,C15,C18,C21)</f>
        <v>2400000</v>
      </c>
      <c r="D23" s="526">
        <f t="shared" ref="D23:G23" si="15">SUM(D6,D9,D12,D15,D18,D21)</f>
        <v>3234000</v>
      </c>
      <c r="E23" s="526">
        <f t="shared" si="15"/>
        <v>4210800.0000000009</v>
      </c>
      <c r="F23" s="526">
        <f t="shared" si="15"/>
        <v>5590200.0000000019</v>
      </c>
      <c r="G23" s="526">
        <f t="shared" si="15"/>
        <v>6939834.0000000019</v>
      </c>
    </row>
    <row r="25" spans="1:7" x14ac:dyDescent="0.3">
      <c r="C25" s="314"/>
    </row>
    <row r="26" spans="1:7" s="442" customFormat="1" x14ac:dyDescent="0.3">
      <c r="B26" s="497" t="s">
        <v>244</v>
      </c>
      <c r="C26" s="498">
        <f>SUM(C4,C7,C10,C13,C16,C19)</f>
        <v>11</v>
      </c>
      <c r="D26" s="498">
        <f t="shared" ref="D26:G26" si="16">SUM(D4,D7,D10,D13,D16,D19)</f>
        <v>13</v>
      </c>
      <c r="E26" s="498">
        <f t="shared" si="16"/>
        <v>15</v>
      </c>
      <c r="F26" s="498">
        <f t="shared" si="16"/>
        <v>18</v>
      </c>
      <c r="G26" s="498">
        <f t="shared" si="16"/>
        <v>20</v>
      </c>
    </row>
    <row r="27" spans="1:7" s="442" customFormat="1" x14ac:dyDescent="0.3">
      <c r="B27" s="499" t="s">
        <v>245</v>
      </c>
      <c r="C27" s="500"/>
      <c r="D27" s="500">
        <f>D26-C26</f>
        <v>2</v>
      </c>
      <c r="E27" s="500">
        <f t="shared" ref="E27:G27" si="17">E26-D26</f>
        <v>2</v>
      </c>
      <c r="F27" s="500">
        <f t="shared" si="17"/>
        <v>3</v>
      </c>
      <c r="G27" s="500">
        <f t="shared" si="17"/>
        <v>2</v>
      </c>
    </row>
    <row r="31" spans="1:7" hidden="1" x14ac:dyDescent="0.3"/>
    <row r="45" spans="8:8" x14ac:dyDescent="0.3">
      <c r="H45" s="4"/>
    </row>
  </sheetData>
  <phoneticPr fontId="9" type="noConversion"/>
  <pageMargins left="0.7" right="0.7" top="0.75" bottom="0.75" header="0.3" footer="0.3"/>
  <pageSetup orientation="portrait" r:id="rId1"/>
  <ignoredErrors>
    <ignoredError sqref="C2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Income Sheet</vt:lpstr>
      <vt:lpstr>Balance Sheet</vt:lpstr>
      <vt:lpstr>Cash Flow Statement</vt:lpstr>
      <vt:lpstr>Assumptions</vt:lpstr>
      <vt:lpstr>Revenue Assumptions</vt:lpstr>
      <vt:lpstr>Cost Assumptions</vt:lpstr>
      <vt:lpstr>Other Expenses</vt:lpstr>
      <vt:lpstr>Salary</vt:lpstr>
      <vt:lpstr>Capex</vt:lpstr>
      <vt:lpstr>Key Valuation Assumption</vt:lpstr>
      <vt:lpstr>Valuation_DCF</vt:lpstr>
      <vt:lpstr>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Gaurav</cp:lastModifiedBy>
  <dcterms:created xsi:type="dcterms:W3CDTF">2020-11-03T06:29:30Z</dcterms:created>
  <dcterms:modified xsi:type="dcterms:W3CDTF">2021-11-10T18:43:19Z</dcterms:modified>
</cp:coreProperties>
</file>