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90" yWindow="-90" windowWidth="21840" windowHeight="13740" activeTab="1"/>
  </bookViews>
  <sheets>
    <sheet name="Factory cost+ Ind. landing COST" sheetId="1" r:id="rId1"/>
    <sheet name="Online sales cost calculation" sheetId="2" r:id="rId2"/>
    <sheet name="Telecom Industry Scop &amp; oppor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2"/>
  <c r="G16"/>
  <c r="E16"/>
  <c r="F13"/>
  <c r="F12"/>
  <c r="F11"/>
  <c r="F10"/>
  <c r="F9"/>
  <c r="F8"/>
  <c r="F7"/>
  <c r="F6"/>
  <c r="F5"/>
  <c r="F4"/>
  <c r="B26" i="1"/>
  <c r="K24"/>
  <c r="L24" s="1"/>
  <c r="B28" s="1"/>
  <c r="J24"/>
  <c r="L13" i="2"/>
  <c r="K13"/>
  <c r="H13"/>
  <c r="I13" s="1"/>
  <c r="C13"/>
  <c r="L12"/>
  <c r="K12"/>
  <c r="H12"/>
  <c r="I12" s="1"/>
  <c r="M12" s="1"/>
  <c r="C12"/>
  <c r="L11"/>
  <c r="K11"/>
  <c r="H11"/>
  <c r="I11" s="1"/>
  <c r="C11"/>
  <c r="L10"/>
  <c r="K10"/>
  <c r="H10"/>
  <c r="I10" s="1"/>
  <c r="O10" s="1"/>
  <c r="C10"/>
  <c r="L9"/>
  <c r="K9"/>
  <c r="H9"/>
  <c r="I9" s="1"/>
  <c r="C9"/>
  <c r="L8"/>
  <c r="K8"/>
  <c r="H8"/>
  <c r="I8" s="1"/>
  <c r="M8" s="1"/>
  <c r="C8"/>
  <c r="L7"/>
  <c r="K7"/>
  <c r="H7"/>
  <c r="I7" s="1"/>
  <c r="C7"/>
  <c r="L6"/>
  <c r="K6"/>
  <c r="H6"/>
  <c r="I6" s="1"/>
  <c r="O6" s="1"/>
  <c r="C6"/>
  <c r="L5"/>
  <c r="K5"/>
  <c r="H5"/>
  <c r="I5" s="1"/>
  <c r="C5"/>
  <c r="L4"/>
  <c r="L16" s="1"/>
  <c r="K4"/>
  <c r="K16" s="1"/>
  <c r="H4"/>
  <c r="H16" s="1"/>
  <c r="C4"/>
  <c r="C15" s="1"/>
  <c r="B4" i="1"/>
  <c r="K2"/>
  <c r="L2" s="1"/>
  <c r="B6" s="1"/>
  <c r="J2"/>
  <c r="C16" i="2" l="1"/>
  <c r="I4"/>
  <c r="I16" s="1"/>
  <c r="B7" i="1"/>
  <c r="B8" s="1"/>
  <c r="B9" s="1"/>
  <c r="B29"/>
  <c r="B30" s="1"/>
  <c r="B31" s="1"/>
  <c r="P5" i="2"/>
  <c r="M5"/>
  <c r="N5"/>
  <c r="J5"/>
  <c r="O5"/>
  <c r="P13"/>
  <c r="M13"/>
  <c r="N13"/>
  <c r="J13"/>
  <c r="O13"/>
  <c r="N11"/>
  <c r="J11"/>
  <c r="O11"/>
  <c r="P11"/>
  <c r="M11"/>
  <c r="P9"/>
  <c r="M9"/>
  <c r="N9"/>
  <c r="J9"/>
  <c r="O9"/>
  <c r="N7"/>
  <c r="J7"/>
  <c r="O7"/>
  <c r="P7"/>
  <c r="M7"/>
  <c r="J6"/>
  <c r="N6"/>
  <c r="P8"/>
  <c r="J10"/>
  <c r="N10"/>
  <c r="P12"/>
  <c r="O4"/>
  <c r="M6"/>
  <c r="O8"/>
  <c r="M10"/>
  <c r="O12"/>
  <c r="P6"/>
  <c r="J8"/>
  <c r="N8"/>
  <c r="P10"/>
  <c r="J12"/>
  <c r="N12"/>
  <c r="N4" l="1"/>
  <c r="P4"/>
  <c r="R12"/>
  <c r="S12" s="1"/>
  <c r="T12" s="1"/>
  <c r="R6"/>
  <c r="S6" s="1"/>
  <c r="T6" s="1"/>
  <c r="O16"/>
  <c r="P16"/>
  <c r="R8"/>
  <c r="R9"/>
  <c r="S9" s="1"/>
  <c r="T9" s="1"/>
  <c r="R13"/>
  <c r="S13" s="1"/>
  <c r="T13" s="1"/>
  <c r="R7"/>
  <c r="S7" s="1"/>
  <c r="T7" s="1"/>
  <c r="R5"/>
  <c r="S5" s="1"/>
  <c r="T5" s="1"/>
  <c r="R10"/>
  <c r="S10" s="1"/>
  <c r="T10" s="1"/>
  <c r="M4"/>
  <c r="M16" s="1"/>
  <c r="R11"/>
  <c r="S11" s="1"/>
  <c r="T11" s="1"/>
  <c r="J4"/>
  <c r="J16" s="1"/>
  <c r="B32" i="1"/>
  <c r="B34" s="1"/>
  <c r="B10"/>
  <c r="B12" s="1"/>
  <c r="R4" i="2" l="1"/>
  <c r="S4" s="1"/>
  <c r="N16"/>
  <c r="R16"/>
  <c r="S8"/>
  <c r="B35" i="1"/>
  <c r="B36" s="1"/>
  <c r="B13"/>
  <c r="B14" s="1"/>
  <c r="S16" i="2" l="1"/>
  <c r="T4"/>
  <c r="T8"/>
  <c r="B38" i="1"/>
  <c r="B39" s="1"/>
  <c r="B15"/>
  <c r="B16" s="1"/>
  <c r="T16" i="2" l="1"/>
</calcChain>
</file>

<file path=xl/sharedStrings.xml><?xml version="1.0" encoding="utf-8"?>
<sst xmlns="http://schemas.openxmlformats.org/spreadsheetml/2006/main" count="145" uniqueCount="114">
  <si>
    <t>Every Red Component is Dynamic</t>
  </si>
  <si>
    <t>Size Box</t>
  </si>
  <si>
    <t>L (cm)</t>
  </si>
  <si>
    <t>W (cm)</t>
  </si>
  <si>
    <t>H (cm)</t>
  </si>
  <si>
    <t>Actual Weight Kg</t>
  </si>
  <si>
    <t>Qty Box</t>
  </si>
  <si>
    <t>Volumetric Weight Kg</t>
  </si>
  <si>
    <t>Chargeable Weight Box Kg</t>
  </si>
  <si>
    <t>Chargeable weight Per Pcs Kg</t>
  </si>
  <si>
    <t>Freight Per KG</t>
  </si>
  <si>
    <t>INR - USD</t>
  </si>
  <si>
    <t>Ex Factory</t>
  </si>
  <si>
    <t>FOB Cost</t>
  </si>
  <si>
    <t>Freight Air</t>
  </si>
  <si>
    <t>Total</t>
  </si>
  <si>
    <t>Import Duty</t>
  </si>
  <si>
    <t>CNF + Duty</t>
  </si>
  <si>
    <t>GST</t>
  </si>
  <si>
    <t>CHA</t>
  </si>
  <si>
    <t>Importer's Margin</t>
  </si>
  <si>
    <t>Cost w/o Additional GST</t>
  </si>
  <si>
    <t>Additional GST</t>
  </si>
  <si>
    <t>Total Transfer Price</t>
  </si>
  <si>
    <t>Note:</t>
  </si>
  <si>
    <t>All Certification &amp; Legal Cost will be Charged Saperately</t>
  </si>
  <si>
    <t xml:space="preserve">Portal costing </t>
  </si>
  <si>
    <t xml:space="preserve">Product Marketing &amp; Promotion cost </t>
  </si>
  <si>
    <t xml:space="preserve">Ops/sales and service cost </t>
  </si>
  <si>
    <t xml:space="preserve">Product landing cost </t>
  </si>
  <si>
    <t>Product PnL</t>
  </si>
  <si>
    <t>Product Category</t>
  </si>
  <si>
    <t>Name</t>
  </si>
  <si>
    <t>MRP</t>
  </si>
  <si>
    <t>MOQ</t>
  </si>
  <si>
    <t xml:space="preserve">MOP ( end customer prices ) </t>
  </si>
  <si>
    <t>Portal NLC's (gst paid)</t>
  </si>
  <si>
    <t xml:space="preserve">Portal Basic </t>
  </si>
  <si>
    <t>Portal Marketing Budget 10%</t>
  </si>
  <si>
    <t>Creatives  &amp; Video Cost 1L Amortized over 5K</t>
  </si>
  <si>
    <t>Marketing (FB, Insta,etc) 1L over 5K</t>
  </si>
  <si>
    <t>Sales Cost 5%</t>
  </si>
  <si>
    <t>Freight Cost 3%</t>
  </si>
  <si>
    <t>Product Returns 1%</t>
  </si>
  <si>
    <t>Rejection / Service 1%</t>
  </si>
  <si>
    <t>Product Cost {Tentative}</t>
  </si>
  <si>
    <t xml:space="preserve">Total Exp cost to brand </t>
  </si>
  <si>
    <t xml:space="preserve">Brand NM in val </t>
  </si>
  <si>
    <t>SmartWatches</t>
  </si>
  <si>
    <t>1.69" - Non BT Call (Square)</t>
  </si>
  <si>
    <t>1.75" - BT Call (Square)</t>
  </si>
  <si>
    <t>1.3" - BT Call (Round)</t>
  </si>
  <si>
    <t>Headphone</t>
  </si>
  <si>
    <t>Over the Ear Headphon</t>
  </si>
  <si>
    <t>Game/KIDS HEADPHONE</t>
  </si>
  <si>
    <t>ANC Headphone</t>
  </si>
  <si>
    <t>TWS</t>
  </si>
  <si>
    <t>TWS Earbuds Gaming (Normal)</t>
  </si>
  <si>
    <t>TWS Earbuds ANC</t>
  </si>
  <si>
    <t>Neckband</t>
  </si>
  <si>
    <t>Neckband (Normal)</t>
  </si>
  <si>
    <t>Neckband (ANC)</t>
  </si>
  <si>
    <t>$ Convert into rupees with 77 INR</t>
  </si>
  <si>
    <t xml:space="preserve">Before Diwali need 8 IDS in the market </t>
  </si>
  <si>
    <t xml:space="preserve">Atleast each ID Exist with stock </t>
  </si>
  <si>
    <t xml:space="preserve">Funds Require for 2 Quarter </t>
  </si>
  <si>
    <t xml:space="preserve">Frist shipment Air Lifting </t>
  </si>
  <si>
    <t xml:space="preserve">Sea shipment next shipment </t>
  </si>
  <si>
    <t>Final calculation as per market response on product Sale quantity for Diwali</t>
  </si>
  <si>
    <t>India landing Cost $</t>
  </si>
  <si>
    <t>Ex Factory SKD material</t>
  </si>
  <si>
    <t>Make in India charge</t>
  </si>
  <si>
    <t>Make in India cost on Products</t>
  </si>
  <si>
    <t>Costing Sheet - Amazon Flipkart - Online Sales  1st &amp; 2'nd quarter Sales plan</t>
  </si>
  <si>
    <t>Brand GM ( sell price - landded cost }</t>
  </si>
  <si>
    <t>Sale value</t>
  </si>
  <si>
    <t>-&gt; Mobile phone</t>
  </si>
  <si>
    <t>-&gt; Accessories Telecom</t>
  </si>
  <si>
    <t>-&gt; Tablet</t>
  </si>
  <si>
    <t>Just for reference *****</t>
  </si>
  <si>
    <t>URTECHKLIKWORLD PRIVATE LIMITED
RZ 109, OLD A 294 MAHIPALPUR EXTN, HIGHWAY PROPERTIES
District SOUTH State DELHI PIN 110037</t>
  </si>
  <si>
    <t xml:space="preserve">Business Transaction and Business Target which we have to achieve </t>
  </si>
  <si>
    <t xml:space="preserve">Products Planning, Roadmap Preparation, </t>
  </si>
  <si>
    <t xml:space="preserve">Execution and Deadline </t>
  </si>
  <si>
    <t>Telecomunications and Electronic Industry  =&gt;&gt; Business opportertunies and scope to cover</t>
  </si>
  <si>
    <r>
      <t>Gross revenue of the telecom sector stood at </t>
    </r>
    <r>
      <rPr>
        <b/>
        <sz val="12"/>
        <color rgb="FF202124"/>
        <rFont val="Arial"/>
        <family val="2"/>
      </rPr>
      <t>Rs 121,527 crore (US$ 17.39 billion) in FY20 (April-September 2019</t>
    </r>
  </si>
  <si>
    <t>Telecom Services Market Report Scope</t>
  </si>
  <si>
    <t> Report Attribute</t>
  </si>
  <si>
    <t>Details</t>
  </si>
  <si>
    <t>Market size value in 2021</t>
  </si>
  <si>
    <t>USD 1,707.96 billion</t>
  </si>
  <si>
    <t>Revenue forecast in 2028</t>
  </si>
  <si>
    <t>USD 2,467.01 billion</t>
  </si>
  <si>
    <t>Growth Rate</t>
  </si>
  <si>
    <t>CAGR of 5.4% from 2021 to 2028</t>
  </si>
  <si>
    <t>Base year for estimation</t>
  </si>
  <si>
    <t>Historical period</t>
  </si>
  <si>
    <t>2017 - 2019</t>
  </si>
  <si>
    <t>Forecast period</t>
  </si>
  <si>
    <t>2021 - 2028</t>
  </si>
  <si>
    <t>Quantitative units</t>
  </si>
  <si>
    <t>Revenue in USD billion and CAGR from 2021 to 2028</t>
  </si>
  <si>
    <t>Report coverage</t>
  </si>
  <si>
    <t>Revenue forecast, company ranking, competitive landscape, growth factors, and trends</t>
  </si>
  <si>
    <t>Segments covered</t>
  </si>
  <si>
    <t>Service type, transmission, end-use, region</t>
  </si>
  <si>
    <t>Regional scope</t>
  </si>
  <si>
    <t>North America; Europe; Asia Pacific; Latin America; MEA</t>
  </si>
  <si>
    <t>Each ID (ProductsModels)5000</t>
  </si>
  <si>
    <t>Product strategy (Products purchase cost, Products sales, Time require for making products along with collections of money from the market)</t>
  </si>
  <si>
    <t>Product roadmap for sales and manufacturing</t>
  </si>
  <si>
    <t>revenue on transactions bring in business In terms of market development</t>
  </si>
  <si>
    <t>This week we start work process to make execution from Delhi office with deadline</t>
  </si>
  <si>
    <t>This week at your convenient time</t>
  </si>
</sst>
</file>

<file path=xl/styles.xml><?xml version="1.0" encoding="utf-8"?>
<styleSheet xmlns="http://schemas.openxmlformats.org/spreadsheetml/2006/main">
  <numFmts count="1">
    <numFmt numFmtId="164" formatCode="0;[Red]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00610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2"/>
      <color rgb="FF202124"/>
      <name val="Arial"/>
      <family val="2"/>
    </font>
    <font>
      <sz val="14"/>
      <color rgb="FF351249"/>
      <name val="Itcfranklingothicstd-demi"/>
    </font>
    <font>
      <b/>
      <sz val="11"/>
      <color rgb="FFFFFFFF"/>
      <name val="Itcfranklingothicstd-book"/>
    </font>
    <font>
      <sz val="11"/>
      <color rgb="FF333333"/>
      <name val="Itcfranklingothicstd-book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51049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7F69A4"/>
      </right>
      <top/>
      <bottom/>
      <diagonal/>
    </border>
    <border>
      <left/>
      <right style="medium">
        <color rgb="FFB09AD5"/>
      </right>
      <top/>
      <bottom/>
      <diagonal/>
    </border>
    <border>
      <left style="medium">
        <color rgb="FFB09AD5"/>
      </left>
      <right/>
      <top/>
      <bottom/>
      <diagonal/>
    </border>
    <border>
      <left style="medium">
        <color rgb="FF7F69A4"/>
      </left>
      <right/>
      <top/>
      <bottom/>
      <diagonal/>
    </border>
    <border>
      <left/>
      <right style="medium">
        <color rgb="FFB09AD5"/>
      </right>
      <top/>
      <bottom style="medium">
        <color indexed="64"/>
      </bottom>
      <diagonal/>
    </border>
    <border>
      <left style="medium">
        <color rgb="FFB09AD5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15" borderId="0" applyNumberFormat="0" applyBorder="0" applyAlignment="0" applyProtection="0"/>
  </cellStyleXfs>
  <cellXfs count="138">
    <xf numFmtId="0" fontId="0" fillId="0" borderId="0" xfId="0"/>
    <xf numFmtId="0" fontId="0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" fontId="0" fillId="2" borderId="1" xfId="0" applyNumberFormat="1" applyFont="1" applyFill="1" applyBorder="1"/>
    <xf numFmtId="1" fontId="0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0" fontId="0" fillId="2" borderId="10" xfId="0" applyFont="1" applyFill="1" applyBorder="1"/>
    <xf numFmtId="1" fontId="0" fillId="2" borderId="1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9" fontId="9" fillId="2" borderId="1" xfId="0" applyNumberFormat="1" applyFont="1" applyFill="1" applyBorder="1"/>
    <xf numFmtId="0" fontId="10" fillId="2" borderId="1" xfId="0" applyFont="1" applyFill="1" applyBorder="1"/>
    <xf numFmtId="0" fontId="10" fillId="0" borderId="1" xfId="0" applyFont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164" fontId="9" fillId="2" borderId="1" xfId="0" applyNumberFormat="1" applyFont="1" applyFill="1" applyBorder="1"/>
    <xf numFmtId="0" fontId="11" fillId="14" borderId="1" xfId="0" applyFont="1" applyFill="1" applyBorder="1" applyAlignment="1"/>
    <xf numFmtId="0" fontId="2" fillId="4" borderId="6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wrapText="1"/>
    </xf>
    <xf numFmtId="0" fontId="17" fillId="17" borderId="26" xfId="0" applyFont="1" applyFill="1" applyBorder="1" applyAlignment="1">
      <alignment horizontal="center" wrapText="1"/>
    </xf>
    <xf numFmtId="0" fontId="17" fillId="17" borderId="29" xfId="0" applyFont="1" applyFill="1" applyBorder="1" applyAlignment="1">
      <alignment horizontal="center" wrapText="1"/>
    </xf>
    <xf numFmtId="0" fontId="17" fillId="17" borderId="15" xfId="0" applyFont="1" applyFill="1" applyBorder="1" applyAlignment="1">
      <alignment horizontal="center" wrapText="1"/>
    </xf>
    <xf numFmtId="0" fontId="17" fillId="17" borderId="16" xfId="0" applyFont="1" applyFill="1" applyBorder="1" applyAlignment="1">
      <alignment horizontal="center" wrapText="1"/>
    </xf>
    <xf numFmtId="0" fontId="14" fillId="0" borderId="17" xfId="0" applyFont="1" applyBorder="1"/>
    <xf numFmtId="0" fontId="19" fillId="0" borderId="12" xfId="0" applyFont="1" applyBorder="1"/>
    <xf numFmtId="0" fontId="20" fillId="0" borderId="13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0" xfId="0" applyFont="1" applyBorder="1"/>
    <xf numFmtId="0" fontId="19" fillId="0" borderId="16" xfId="0" applyFont="1" applyBorder="1"/>
    <xf numFmtId="0" fontId="19" fillId="0" borderId="18" xfId="0" applyFont="1" applyBorder="1"/>
    <xf numFmtId="0" fontId="19" fillId="0" borderId="19" xfId="0" applyFont="1" applyBorder="1"/>
    <xf numFmtId="0" fontId="6" fillId="0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8" fillId="18" borderId="28" xfId="0" applyFont="1" applyFill="1" applyBorder="1" applyAlignment="1">
      <alignment horizontal="center" wrapText="1"/>
    </xf>
    <xf numFmtId="0" fontId="18" fillId="18" borderId="0" xfId="0" applyFont="1" applyFill="1" applyBorder="1" applyAlignment="1">
      <alignment horizontal="center" wrapText="1"/>
    </xf>
    <xf numFmtId="0" fontId="18" fillId="18" borderId="16" xfId="0" applyFont="1" applyFill="1" applyBorder="1" applyAlignment="1">
      <alignment horizontal="center" wrapText="1"/>
    </xf>
    <xf numFmtId="0" fontId="18" fillId="18" borderId="15" xfId="0" applyFont="1" applyFill="1" applyBorder="1" applyAlignment="1">
      <alignment horizontal="center" wrapText="1"/>
    </xf>
    <xf numFmtId="0" fontId="18" fillId="18" borderId="27" xfId="0" applyFont="1" applyFill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18" xfId="0" applyFont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0" fontId="18" fillId="0" borderId="28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8" fillId="0" borderId="15" xfId="0" applyFont="1" applyBorder="1" applyAlignment="1">
      <alignment horizontal="center" wrapText="1"/>
    </xf>
    <xf numFmtId="0" fontId="18" fillId="0" borderId="27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18" fillId="0" borderId="30" xfId="0" applyFont="1" applyBorder="1" applyAlignment="1">
      <alignment horizontal="center" wrapText="1"/>
    </xf>
    <xf numFmtId="0" fontId="0" fillId="19" borderId="23" xfId="0" applyFill="1" applyBorder="1" applyAlignment="1">
      <alignment horizontal="left"/>
    </xf>
    <xf numFmtId="0" fontId="2" fillId="0" borderId="10" xfId="0" applyFont="1" applyBorder="1"/>
    <xf numFmtId="0" fontId="21" fillId="2" borderId="1" xfId="1" applyFont="1" applyFill="1" applyBorder="1" applyAlignment="1">
      <alignment horizontal="left" vertical="top" wrapText="1"/>
    </xf>
    <xf numFmtId="0" fontId="21" fillId="2" borderId="1" xfId="1" applyFont="1" applyFill="1" applyBorder="1" applyAlignment="1"/>
    <xf numFmtId="0" fontId="0" fillId="0" borderId="19" xfId="0" applyBorder="1"/>
    <xf numFmtId="0" fontId="2" fillId="2" borderId="10" xfId="0" applyFont="1" applyFill="1" applyBorder="1"/>
    <xf numFmtId="0" fontId="0" fillId="19" borderId="12" xfId="0" applyFill="1" applyBorder="1" applyAlignment="1">
      <alignment horizontal="left" wrapText="1"/>
    </xf>
    <xf numFmtId="0" fontId="0" fillId="19" borderId="13" xfId="0" applyFill="1" applyBorder="1" applyAlignment="1">
      <alignment horizontal="left"/>
    </xf>
    <xf numFmtId="0" fontId="0" fillId="19" borderId="32" xfId="0" applyFill="1" applyBorder="1" applyAlignment="1">
      <alignment horizontal="left"/>
    </xf>
    <xf numFmtId="0" fontId="0" fillId="19" borderId="15" xfId="0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0" fontId="21" fillId="2" borderId="35" xfId="1" applyFont="1" applyFill="1" applyBorder="1"/>
    <xf numFmtId="0" fontId="21" fillId="2" borderId="36" xfId="1" applyFont="1" applyFill="1" applyBorder="1" applyAlignment="1"/>
    <xf numFmtId="0" fontId="21" fillId="2" borderId="36" xfId="1" applyFont="1" applyFill="1" applyBorder="1" applyAlignment="1">
      <alignment horizontal="left" vertical="top" wrapText="1"/>
    </xf>
    <xf numFmtId="0" fontId="21" fillId="13" borderId="15" xfId="1" applyFont="1" applyFill="1" applyBorder="1"/>
    <xf numFmtId="0" fontId="21" fillId="13" borderId="1" xfId="1" applyFont="1" applyFill="1" applyBorder="1" applyAlignment="1"/>
    <xf numFmtId="0" fontId="21" fillId="13" borderId="17" xfId="1" applyFont="1" applyFill="1" applyBorder="1"/>
    <xf numFmtId="0" fontId="21" fillId="13" borderId="36" xfId="1" applyFont="1" applyFill="1" applyBorder="1" applyAlignment="1"/>
    <xf numFmtId="0" fontId="21" fillId="13" borderId="13" xfId="1" applyFont="1" applyFill="1" applyBorder="1"/>
    <xf numFmtId="0" fontId="2" fillId="13" borderId="33" xfId="0" applyFont="1" applyFill="1" applyBorder="1"/>
    <xf numFmtId="0" fontId="2" fillId="13" borderId="34" xfId="0" applyFont="1" applyFill="1" applyBorder="1"/>
    <xf numFmtId="0" fontId="21" fillId="13" borderId="0" xfId="1" applyFont="1" applyFill="1" applyBorder="1"/>
    <xf numFmtId="0" fontId="2" fillId="13" borderId="1" xfId="0" applyFont="1" applyFill="1" applyBorder="1"/>
    <xf numFmtId="0" fontId="21" fillId="13" borderId="35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workbookViewId="0">
      <selection activeCell="F28" sqref="F28:N40"/>
    </sheetView>
  </sheetViews>
  <sheetFormatPr defaultRowHeight="15"/>
  <cols>
    <col min="1" max="1" width="51.5703125" bestFit="1" customWidth="1"/>
  </cols>
  <sheetData>
    <row r="1" spans="1:1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2"/>
    </row>
    <row r="2" spans="1:15">
      <c r="A2" s="3"/>
      <c r="B2" s="3"/>
      <c r="C2" s="3"/>
      <c r="D2" s="3"/>
      <c r="E2" s="42">
        <v>40</v>
      </c>
      <c r="F2" s="42">
        <v>40</v>
      </c>
      <c r="G2" s="42">
        <v>30</v>
      </c>
      <c r="H2" s="42">
        <v>10</v>
      </c>
      <c r="I2" s="43">
        <v>100</v>
      </c>
      <c r="J2" s="5">
        <f>(E2*F2*G2)/5000</f>
        <v>9.6</v>
      </c>
      <c r="K2" s="5">
        <f>MAX(H2,J2)</f>
        <v>10</v>
      </c>
      <c r="L2" s="5">
        <f>K2/I2</f>
        <v>0.1</v>
      </c>
      <c r="M2" s="43">
        <v>300</v>
      </c>
      <c r="N2" s="43">
        <v>77</v>
      </c>
      <c r="O2" s="2"/>
    </row>
    <row r="3" spans="1:15">
      <c r="A3" s="3"/>
      <c r="B3" s="4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</row>
    <row r="4" spans="1:15">
      <c r="A4" s="3" t="s">
        <v>12</v>
      </c>
      <c r="B4" s="4">
        <f>C4*N2</f>
        <v>924</v>
      </c>
      <c r="C4" s="40">
        <v>12</v>
      </c>
      <c r="D4" s="4"/>
      <c r="E4" s="4"/>
      <c r="F4" s="69" t="s">
        <v>79</v>
      </c>
      <c r="G4" s="70"/>
      <c r="H4" s="70"/>
      <c r="I4" s="70"/>
      <c r="J4" s="70"/>
      <c r="K4" s="70"/>
      <c r="L4" s="70"/>
      <c r="M4" s="70"/>
      <c r="N4" s="71"/>
      <c r="O4" s="2"/>
    </row>
    <row r="5" spans="1:15">
      <c r="A5" s="3" t="s">
        <v>13</v>
      </c>
      <c r="B5" s="4">
        <v>0</v>
      </c>
      <c r="C5" s="40">
        <v>0</v>
      </c>
      <c r="D5" s="4"/>
      <c r="E5" s="4"/>
      <c r="F5" s="72"/>
      <c r="G5" s="73"/>
      <c r="H5" s="73"/>
      <c r="I5" s="73"/>
      <c r="J5" s="73"/>
      <c r="K5" s="73"/>
      <c r="L5" s="73"/>
      <c r="M5" s="73"/>
      <c r="N5" s="74"/>
      <c r="O5" s="2"/>
    </row>
    <row r="6" spans="1:15">
      <c r="A6" s="3" t="s">
        <v>14</v>
      </c>
      <c r="B6" s="4">
        <f>L2*M2</f>
        <v>30</v>
      </c>
      <c r="C6" s="40"/>
      <c r="D6" s="4"/>
      <c r="E6" s="4"/>
      <c r="F6" s="72"/>
      <c r="G6" s="73"/>
      <c r="H6" s="73"/>
      <c r="I6" s="73"/>
      <c r="J6" s="73"/>
      <c r="K6" s="73"/>
      <c r="L6" s="73"/>
      <c r="M6" s="73"/>
      <c r="N6" s="74"/>
      <c r="O6" s="2"/>
    </row>
    <row r="7" spans="1:15">
      <c r="A7" s="3" t="s">
        <v>15</v>
      </c>
      <c r="B7" s="44">
        <f>SUM(B4:B6)</f>
        <v>954</v>
      </c>
      <c r="C7" s="40"/>
      <c r="D7" s="4"/>
      <c r="E7" s="4"/>
      <c r="F7" s="72"/>
      <c r="G7" s="73"/>
      <c r="H7" s="73"/>
      <c r="I7" s="73"/>
      <c r="J7" s="73"/>
      <c r="K7" s="73"/>
      <c r="L7" s="73"/>
      <c r="M7" s="73"/>
      <c r="N7" s="74"/>
      <c r="O7" s="2"/>
    </row>
    <row r="8" spans="1:15">
      <c r="A8" s="3" t="s">
        <v>16</v>
      </c>
      <c r="B8" s="4">
        <f>(B7*1.01)*C8</f>
        <v>163.80180000000001</v>
      </c>
      <c r="C8" s="41">
        <v>0.17</v>
      </c>
      <c r="D8" s="4"/>
      <c r="E8" s="4"/>
      <c r="F8" s="72"/>
      <c r="G8" s="73"/>
      <c r="H8" s="73"/>
      <c r="I8" s="73"/>
      <c r="J8" s="73"/>
      <c r="K8" s="73"/>
      <c r="L8" s="73"/>
      <c r="M8" s="73"/>
      <c r="N8" s="74"/>
      <c r="O8" s="2"/>
    </row>
    <row r="9" spans="1:15">
      <c r="A9" s="3" t="s">
        <v>17</v>
      </c>
      <c r="B9" s="45">
        <f>SUM(B7+B8)</f>
        <v>1117.8018</v>
      </c>
      <c r="C9" s="40"/>
      <c r="D9" s="4"/>
      <c r="E9" s="4"/>
      <c r="F9" s="72"/>
      <c r="G9" s="73"/>
      <c r="H9" s="73"/>
      <c r="I9" s="73"/>
      <c r="J9" s="73"/>
      <c r="K9" s="73"/>
      <c r="L9" s="73"/>
      <c r="M9" s="73"/>
      <c r="N9" s="74"/>
      <c r="O9" s="2"/>
    </row>
    <row r="10" spans="1:15">
      <c r="A10" s="3" t="s">
        <v>18</v>
      </c>
      <c r="B10" s="4">
        <f>B9*C10</f>
        <v>201.20432399999999</v>
      </c>
      <c r="C10" s="41">
        <v>0.18</v>
      </c>
      <c r="D10" s="4"/>
      <c r="E10" s="4"/>
      <c r="F10" s="72"/>
      <c r="G10" s="73"/>
      <c r="H10" s="73"/>
      <c r="I10" s="73"/>
      <c r="J10" s="73"/>
      <c r="K10" s="73"/>
      <c r="L10" s="73"/>
      <c r="M10" s="73"/>
      <c r="N10" s="74"/>
      <c r="O10" s="2"/>
    </row>
    <row r="11" spans="1:15">
      <c r="A11" s="3" t="s">
        <v>19</v>
      </c>
      <c r="B11" s="4">
        <v>20</v>
      </c>
      <c r="C11" s="40">
        <v>20</v>
      </c>
      <c r="D11" s="4"/>
      <c r="E11" s="4"/>
      <c r="F11" s="72"/>
      <c r="G11" s="73"/>
      <c r="H11" s="73"/>
      <c r="I11" s="73"/>
      <c r="J11" s="73"/>
      <c r="K11" s="73"/>
      <c r="L11" s="73"/>
      <c r="M11" s="73"/>
      <c r="N11" s="74"/>
      <c r="O11" s="2"/>
    </row>
    <row r="12" spans="1:15">
      <c r="A12" s="3" t="s">
        <v>15</v>
      </c>
      <c r="B12" s="46">
        <f>SUM(B9:B11)</f>
        <v>1339.006124</v>
      </c>
      <c r="C12" s="40"/>
      <c r="D12" s="4"/>
      <c r="E12" s="4"/>
      <c r="F12" s="72"/>
      <c r="G12" s="73"/>
      <c r="H12" s="73"/>
      <c r="I12" s="73"/>
      <c r="J12" s="73"/>
      <c r="K12" s="73"/>
      <c r="L12" s="73"/>
      <c r="M12" s="73"/>
      <c r="N12" s="74"/>
      <c r="O12" s="2"/>
    </row>
    <row r="13" spans="1:15">
      <c r="A13" s="3" t="s">
        <v>20</v>
      </c>
      <c r="B13" s="4">
        <f>B12*C13</f>
        <v>26.780122479999999</v>
      </c>
      <c r="C13" s="41">
        <v>0.02</v>
      </c>
      <c r="D13" s="4"/>
      <c r="E13" s="4"/>
      <c r="F13" s="72"/>
      <c r="G13" s="73"/>
      <c r="H13" s="73"/>
      <c r="I13" s="73"/>
      <c r="J13" s="73"/>
      <c r="K13" s="73"/>
      <c r="L13" s="73"/>
      <c r="M13" s="73"/>
      <c r="N13" s="74"/>
      <c r="O13" s="2"/>
    </row>
    <row r="14" spans="1:15">
      <c r="A14" s="3" t="s">
        <v>21</v>
      </c>
      <c r="B14" s="48">
        <f>SUM(B12:B13)</f>
        <v>1365.78624648</v>
      </c>
      <c r="C14" s="40"/>
      <c r="D14" s="4"/>
      <c r="E14" s="4"/>
      <c r="F14" s="72"/>
      <c r="G14" s="73"/>
      <c r="H14" s="73"/>
      <c r="I14" s="73"/>
      <c r="J14" s="73"/>
      <c r="K14" s="73"/>
      <c r="L14" s="73"/>
      <c r="M14" s="73"/>
      <c r="N14" s="74"/>
      <c r="O14" s="2"/>
    </row>
    <row r="15" spans="1:15">
      <c r="A15" s="3" t="s">
        <v>22</v>
      </c>
      <c r="B15" s="4">
        <f>(B14-B9)*C15</f>
        <v>44.637200366400016</v>
      </c>
      <c r="C15" s="41">
        <v>0.18</v>
      </c>
      <c r="D15" s="4"/>
      <c r="E15" s="4"/>
      <c r="F15" s="72"/>
      <c r="G15" s="73"/>
      <c r="H15" s="73"/>
      <c r="I15" s="73"/>
      <c r="J15" s="73"/>
      <c r="K15" s="73"/>
      <c r="L15" s="73"/>
      <c r="M15" s="73"/>
      <c r="N15" s="74"/>
      <c r="O15" s="2"/>
    </row>
    <row r="16" spans="1:15">
      <c r="A16" s="3" t="s">
        <v>23</v>
      </c>
      <c r="B16" s="47">
        <f>SUM(B14:B15)</f>
        <v>1410.4234468464001</v>
      </c>
      <c r="C16" s="4"/>
      <c r="D16" s="4"/>
      <c r="E16" s="4"/>
      <c r="F16" s="75"/>
      <c r="G16" s="76"/>
      <c r="H16" s="76"/>
      <c r="I16" s="76"/>
      <c r="J16" s="76"/>
      <c r="K16" s="76"/>
      <c r="L16" s="76"/>
      <c r="M16" s="76"/>
      <c r="N16" s="77"/>
      <c r="O16" s="2"/>
    </row>
    <row r="17" spans="1:15">
      <c r="A17" s="3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</row>
    <row r="18" spans="1:15">
      <c r="A18" s="3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</row>
    <row r="19" spans="1:15">
      <c r="A19" s="3" t="s">
        <v>24</v>
      </c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</row>
    <row r="20" spans="1:15">
      <c r="A20" s="3" t="s">
        <v>25</v>
      </c>
      <c r="B20" s="4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</row>
    <row r="23" spans="1:15">
      <c r="A23" s="3" t="s">
        <v>0</v>
      </c>
      <c r="B23" s="3"/>
      <c r="C23" s="3"/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5" t="s">
        <v>6</v>
      </c>
      <c r="J23" s="5" t="s">
        <v>7</v>
      </c>
      <c r="K23" s="5" t="s">
        <v>8</v>
      </c>
      <c r="L23" s="5" t="s">
        <v>9</v>
      </c>
      <c r="M23" s="5" t="s">
        <v>10</v>
      </c>
      <c r="N23" s="5" t="s">
        <v>11</v>
      </c>
      <c r="O23" s="2"/>
    </row>
    <row r="24" spans="1:15">
      <c r="A24" s="3"/>
      <c r="B24" s="3"/>
      <c r="C24" s="3"/>
      <c r="D24" s="3"/>
      <c r="E24" s="42">
        <v>40</v>
      </c>
      <c r="F24" s="42">
        <v>40</v>
      </c>
      <c r="G24" s="42">
        <v>30</v>
      </c>
      <c r="H24" s="42">
        <v>10</v>
      </c>
      <c r="I24" s="43">
        <v>100</v>
      </c>
      <c r="J24" s="5">
        <f>(E24*F24*G24)/5000</f>
        <v>9.6</v>
      </c>
      <c r="K24" s="5">
        <f>MAX(H24,J24)</f>
        <v>10</v>
      </c>
      <c r="L24" s="5">
        <f>K24/I24</f>
        <v>0.1</v>
      </c>
      <c r="M24" s="43">
        <v>300</v>
      </c>
      <c r="N24" s="43">
        <v>77</v>
      </c>
      <c r="O24" s="2"/>
    </row>
    <row r="25" spans="1:15" ht="18.75">
      <c r="A25" s="50" t="s">
        <v>72</v>
      </c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</row>
    <row r="26" spans="1:15">
      <c r="A26" s="3" t="s">
        <v>70</v>
      </c>
      <c r="B26" s="4">
        <f>C26*N24</f>
        <v>770</v>
      </c>
      <c r="C26" s="40">
        <v>10</v>
      </c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</row>
    <row r="27" spans="1:15">
      <c r="A27" s="3" t="s">
        <v>13</v>
      </c>
      <c r="B27" s="4">
        <v>0</v>
      </c>
      <c r="C27" s="40">
        <v>0</v>
      </c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</row>
    <row r="28" spans="1:15">
      <c r="A28" s="3" t="s">
        <v>14</v>
      </c>
      <c r="B28" s="4">
        <f>L24*M24</f>
        <v>30</v>
      </c>
      <c r="C28" s="40"/>
      <c r="D28" s="4"/>
      <c r="E28" s="4"/>
      <c r="F28" s="69" t="s">
        <v>79</v>
      </c>
      <c r="G28" s="70"/>
      <c r="H28" s="70"/>
      <c r="I28" s="70"/>
      <c r="J28" s="70"/>
      <c r="K28" s="70"/>
      <c r="L28" s="70"/>
      <c r="M28" s="70"/>
      <c r="N28" s="71"/>
      <c r="O28" s="2"/>
    </row>
    <row r="29" spans="1:15">
      <c r="A29" s="3" t="s">
        <v>15</v>
      </c>
      <c r="B29" s="44">
        <f>SUM(B26:B28)</f>
        <v>800</v>
      </c>
      <c r="C29" s="40"/>
      <c r="D29" s="4"/>
      <c r="E29" s="4"/>
      <c r="F29" s="72"/>
      <c r="G29" s="73"/>
      <c r="H29" s="73"/>
      <c r="I29" s="73"/>
      <c r="J29" s="73"/>
      <c r="K29" s="73"/>
      <c r="L29" s="73"/>
      <c r="M29" s="73"/>
      <c r="N29" s="74"/>
      <c r="O29" s="2"/>
    </row>
    <row r="30" spans="1:15">
      <c r="A30" s="3" t="s">
        <v>16</v>
      </c>
      <c r="B30" s="4">
        <f>(B29*1.01)*C30</f>
        <v>0</v>
      </c>
      <c r="C30" s="41">
        <v>0</v>
      </c>
      <c r="D30" s="4"/>
      <c r="E30" s="4"/>
      <c r="F30" s="72"/>
      <c r="G30" s="73"/>
      <c r="H30" s="73"/>
      <c r="I30" s="73"/>
      <c r="J30" s="73"/>
      <c r="K30" s="73"/>
      <c r="L30" s="73"/>
      <c r="M30" s="73"/>
      <c r="N30" s="74"/>
      <c r="O30" s="2"/>
    </row>
    <row r="31" spans="1:15">
      <c r="A31" s="3" t="s">
        <v>17</v>
      </c>
      <c r="B31" s="45">
        <f>SUM(B29+B30)</f>
        <v>800</v>
      </c>
      <c r="C31" s="40"/>
      <c r="D31" s="4"/>
      <c r="E31" s="4"/>
      <c r="F31" s="72"/>
      <c r="G31" s="73"/>
      <c r="H31" s="73"/>
      <c r="I31" s="73"/>
      <c r="J31" s="73"/>
      <c r="K31" s="73"/>
      <c r="L31" s="73"/>
      <c r="M31" s="73"/>
      <c r="N31" s="74"/>
      <c r="O31" s="2"/>
    </row>
    <row r="32" spans="1:15">
      <c r="A32" s="3" t="s">
        <v>18</v>
      </c>
      <c r="B32" s="4">
        <f>B31*C32</f>
        <v>144</v>
      </c>
      <c r="C32" s="41">
        <v>0.18</v>
      </c>
      <c r="D32" s="4"/>
      <c r="E32" s="4"/>
      <c r="F32" s="72"/>
      <c r="G32" s="73"/>
      <c r="H32" s="73"/>
      <c r="I32" s="73"/>
      <c r="J32" s="73"/>
      <c r="K32" s="73"/>
      <c r="L32" s="73"/>
      <c r="M32" s="73"/>
      <c r="N32" s="74"/>
      <c r="O32" s="2"/>
    </row>
    <row r="33" spans="1:15">
      <c r="A33" s="3" t="s">
        <v>19</v>
      </c>
      <c r="B33" s="4">
        <v>20</v>
      </c>
      <c r="C33" s="40">
        <v>20</v>
      </c>
      <c r="D33" s="4"/>
      <c r="E33" s="4"/>
      <c r="F33" s="72"/>
      <c r="G33" s="73"/>
      <c r="H33" s="73"/>
      <c r="I33" s="73"/>
      <c r="J33" s="73"/>
      <c r="K33" s="73"/>
      <c r="L33" s="73"/>
      <c r="M33" s="73"/>
      <c r="N33" s="74"/>
      <c r="O33" s="2"/>
    </row>
    <row r="34" spans="1:15">
      <c r="A34" s="3" t="s">
        <v>15</v>
      </c>
      <c r="B34" s="46">
        <f>SUM(B31:B33)</f>
        <v>964</v>
      </c>
      <c r="C34" s="40"/>
      <c r="D34" s="4"/>
      <c r="E34" s="4"/>
      <c r="F34" s="72"/>
      <c r="G34" s="73"/>
      <c r="H34" s="73"/>
      <c r="I34" s="73"/>
      <c r="J34" s="73"/>
      <c r="K34" s="73"/>
      <c r="L34" s="73"/>
      <c r="M34" s="73"/>
      <c r="N34" s="74"/>
      <c r="O34" s="2"/>
    </row>
    <row r="35" spans="1:15">
      <c r="A35" s="3" t="s">
        <v>20</v>
      </c>
      <c r="B35" s="4">
        <f>B34*C35</f>
        <v>96.4</v>
      </c>
      <c r="C35" s="41">
        <v>0.1</v>
      </c>
      <c r="D35" s="4"/>
      <c r="E35" s="4"/>
      <c r="F35" s="72"/>
      <c r="G35" s="73"/>
      <c r="H35" s="73"/>
      <c r="I35" s="73"/>
      <c r="J35" s="73"/>
      <c r="K35" s="73"/>
      <c r="L35" s="73"/>
      <c r="M35" s="73"/>
      <c r="N35" s="74"/>
      <c r="O35" s="2"/>
    </row>
    <row r="36" spans="1:15">
      <c r="A36" s="3" t="s">
        <v>21</v>
      </c>
      <c r="B36" s="48">
        <f>SUM(B34:B35)</f>
        <v>1060.4000000000001</v>
      </c>
      <c r="C36" s="40"/>
      <c r="D36" s="4"/>
      <c r="E36" s="4"/>
      <c r="F36" s="72"/>
      <c r="G36" s="73"/>
      <c r="H36" s="73"/>
      <c r="I36" s="73"/>
      <c r="J36" s="73"/>
      <c r="K36" s="73"/>
      <c r="L36" s="73"/>
      <c r="M36" s="73"/>
      <c r="N36" s="74"/>
      <c r="O36" s="2"/>
    </row>
    <row r="37" spans="1:15">
      <c r="A37" s="3" t="s">
        <v>71</v>
      </c>
      <c r="B37" s="4">
        <v>100</v>
      </c>
      <c r="C37" s="49">
        <v>100</v>
      </c>
      <c r="D37" s="4"/>
      <c r="E37" s="4"/>
      <c r="F37" s="72"/>
      <c r="G37" s="73"/>
      <c r="H37" s="73"/>
      <c r="I37" s="73"/>
      <c r="J37" s="73"/>
      <c r="K37" s="73"/>
      <c r="L37" s="73"/>
      <c r="M37" s="73"/>
      <c r="N37" s="74"/>
      <c r="O37" s="2"/>
    </row>
    <row r="38" spans="1:15">
      <c r="A38" s="3" t="s">
        <v>22</v>
      </c>
      <c r="B38" s="4">
        <f>(B36-B31)*C38</f>
        <v>46.872000000000014</v>
      </c>
      <c r="C38" s="41">
        <v>0.18</v>
      </c>
      <c r="D38" s="4"/>
      <c r="E38" s="4"/>
      <c r="F38" s="72"/>
      <c r="G38" s="73"/>
      <c r="H38" s="73"/>
      <c r="I38" s="73"/>
      <c r="J38" s="73"/>
      <c r="K38" s="73"/>
      <c r="L38" s="73"/>
      <c r="M38" s="73"/>
      <c r="N38" s="74"/>
      <c r="O38" s="2"/>
    </row>
    <row r="39" spans="1:15">
      <c r="A39" s="3" t="s">
        <v>23</v>
      </c>
      <c r="B39" s="47">
        <f>SUM(B36+B37+B38)</f>
        <v>1207.2720000000002</v>
      </c>
      <c r="C39" s="4"/>
      <c r="D39" s="4"/>
      <c r="E39" s="4"/>
      <c r="F39" s="72"/>
      <c r="G39" s="73"/>
      <c r="H39" s="73"/>
      <c r="I39" s="73"/>
      <c r="J39" s="73"/>
      <c r="K39" s="73"/>
      <c r="L39" s="73"/>
      <c r="M39" s="73"/>
      <c r="N39" s="74"/>
      <c r="O39" s="2"/>
    </row>
    <row r="40" spans="1:15">
      <c r="A40" s="3"/>
      <c r="B40" s="4"/>
      <c r="C40" s="4"/>
      <c r="D40" s="4"/>
      <c r="E40" s="4"/>
      <c r="F40" s="75"/>
      <c r="G40" s="76"/>
      <c r="H40" s="76"/>
      <c r="I40" s="76"/>
      <c r="J40" s="76"/>
      <c r="K40" s="76"/>
      <c r="L40" s="76"/>
      <c r="M40" s="76"/>
      <c r="N40" s="77"/>
      <c r="O40" s="2"/>
    </row>
    <row r="41" spans="1:15">
      <c r="A41" s="3"/>
      <c r="B41" s="4"/>
      <c r="C41" s="4"/>
      <c r="D41" s="4"/>
      <c r="E41" s="4"/>
      <c r="F41" s="4"/>
      <c r="G41" s="4"/>
      <c r="H41" s="4"/>
      <c r="I41" s="2"/>
      <c r="J41" s="2"/>
      <c r="K41" s="2"/>
      <c r="L41" s="2"/>
      <c r="M41" s="2"/>
      <c r="N41" s="2"/>
      <c r="O41" s="2"/>
    </row>
    <row r="42" spans="1:15">
      <c r="A42" s="3" t="s">
        <v>24</v>
      </c>
      <c r="B42" s="4"/>
      <c r="C42" s="4"/>
      <c r="D42" s="4"/>
      <c r="E42" s="4"/>
      <c r="F42" s="4"/>
      <c r="G42" s="4"/>
      <c r="H42" s="4"/>
      <c r="I42" s="2"/>
      <c r="J42" s="2"/>
      <c r="K42" s="2"/>
      <c r="L42" s="2"/>
      <c r="M42" s="2"/>
      <c r="N42" s="2"/>
      <c r="O42" s="2"/>
    </row>
    <row r="43" spans="1:15">
      <c r="A43" s="3" t="s">
        <v>25</v>
      </c>
      <c r="B43" s="4"/>
      <c r="C43" s="4"/>
      <c r="D43" s="4"/>
      <c r="E43" s="4"/>
      <c r="F43" s="4"/>
      <c r="G43" s="4"/>
      <c r="H43" s="4"/>
      <c r="I43" s="2"/>
      <c r="J43" s="2"/>
      <c r="K43" s="2"/>
      <c r="L43" s="2"/>
      <c r="M43" s="2"/>
      <c r="N43" s="2"/>
      <c r="O43" s="2"/>
    </row>
  </sheetData>
  <mergeCells count="2">
    <mergeCell ref="F4:N16"/>
    <mergeCell ref="F28:N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tabSelected="1" workbookViewId="0">
      <selection activeCell="G21" sqref="G21"/>
    </sheetView>
  </sheetViews>
  <sheetFormatPr defaultRowHeight="15"/>
  <cols>
    <col min="1" max="1" width="13.7109375" customWidth="1"/>
    <col min="2" max="2" width="23.42578125" customWidth="1"/>
    <col min="3" max="3" width="15.5703125" customWidth="1"/>
    <col min="5" max="5" width="10" bestFit="1" customWidth="1"/>
    <col min="6" max="6" width="10.140625" customWidth="1"/>
    <col min="7" max="7" width="12.140625" customWidth="1"/>
    <col min="12" max="12" width="8.28515625" bestFit="1" customWidth="1"/>
    <col min="17" max="17" width="11.7109375" customWidth="1"/>
    <col min="18" max="18" width="9.28515625" customWidth="1"/>
    <col min="19" max="20" width="9.7109375" bestFit="1" customWidth="1"/>
  </cols>
  <sheetData>
    <row r="1" spans="1:20" ht="24" thickBot="1">
      <c r="A1" s="6"/>
      <c r="B1" s="81" t="s">
        <v>73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48" thickBot="1">
      <c r="A2" s="7"/>
      <c r="B2" s="8"/>
      <c r="C2" s="8"/>
      <c r="D2" s="8"/>
      <c r="E2" s="8"/>
      <c r="F2" s="8"/>
      <c r="G2" s="82" t="s">
        <v>26</v>
      </c>
      <c r="H2" s="83"/>
      <c r="I2" s="84"/>
      <c r="J2" s="85" t="s">
        <v>27</v>
      </c>
      <c r="K2" s="86"/>
      <c r="L2" s="87"/>
      <c r="M2" s="88" t="s">
        <v>28</v>
      </c>
      <c r="N2" s="89"/>
      <c r="O2" s="89"/>
      <c r="P2" s="90"/>
      <c r="Q2" s="67" t="s">
        <v>29</v>
      </c>
      <c r="R2" s="91" t="s">
        <v>30</v>
      </c>
      <c r="S2" s="92"/>
      <c r="T2" s="93"/>
    </row>
    <row r="3" spans="1:20" ht="90">
      <c r="A3" s="68" t="s">
        <v>31</v>
      </c>
      <c r="B3" s="9" t="s">
        <v>32</v>
      </c>
      <c r="C3" s="9" t="s">
        <v>69</v>
      </c>
      <c r="D3" s="9" t="s">
        <v>33</v>
      </c>
      <c r="E3" s="9" t="s">
        <v>34</v>
      </c>
      <c r="F3" s="51" t="s">
        <v>75</v>
      </c>
      <c r="G3" s="10" t="s">
        <v>35</v>
      </c>
      <c r="H3" s="10" t="s">
        <v>36</v>
      </c>
      <c r="I3" s="10" t="s">
        <v>37</v>
      </c>
      <c r="J3" s="11" t="s">
        <v>38</v>
      </c>
      <c r="K3" s="11" t="s">
        <v>39</v>
      </c>
      <c r="L3" s="11" t="s">
        <v>40</v>
      </c>
      <c r="M3" s="12" t="s">
        <v>41</v>
      </c>
      <c r="N3" s="12" t="s">
        <v>42</v>
      </c>
      <c r="O3" s="12" t="s">
        <v>43</v>
      </c>
      <c r="P3" s="12" t="s">
        <v>44</v>
      </c>
      <c r="Q3" s="13" t="s">
        <v>45</v>
      </c>
      <c r="R3" s="14" t="s">
        <v>46</v>
      </c>
      <c r="S3" s="14" t="s">
        <v>74</v>
      </c>
      <c r="T3" s="14" t="s">
        <v>47</v>
      </c>
    </row>
    <row r="4" spans="1:20">
      <c r="A4" s="94" t="s">
        <v>48</v>
      </c>
      <c r="B4" s="15" t="s">
        <v>49</v>
      </c>
      <c r="C4" s="15">
        <f t="shared" ref="C4:C13" si="0">Q4/77</f>
        <v>11.688311688311689</v>
      </c>
      <c r="D4" s="15">
        <v>4999</v>
      </c>
      <c r="E4" s="16">
        <v>5000</v>
      </c>
      <c r="F4" s="16">
        <f>G4*E4</f>
        <v>11495000</v>
      </c>
      <c r="G4" s="17">
        <v>2299</v>
      </c>
      <c r="H4" s="18">
        <f>G4*0.82</f>
        <v>1885.1799999999998</v>
      </c>
      <c r="I4" s="18">
        <f>H4/1.18</f>
        <v>1597.6101694915253</v>
      </c>
      <c r="J4" s="19">
        <f>I4*10%</f>
        <v>159.76101694915255</v>
      </c>
      <c r="K4" s="19">
        <f>100000/5000</f>
        <v>20</v>
      </c>
      <c r="L4" s="19">
        <f>100000/5000</f>
        <v>20</v>
      </c>
      <c r="M4" s="20">
        <f>I4*5%</f>
        <v>79.880508474576274</v>
      </c>
      <c r="N4" s="20">
        <f>I4*3%</f>
        <v>47.928305084745759</v>
      </c>
      <c r="O4" s="20">
        <f>I4*1%</f>
        <v>15.976101694915254</v>
      </c>
      <c r="P4" s="20">
        <f>I4*1%</f>
        <v>15.976101694915254</v>
      </c>
      <c r="Q4" s="21">
        <v>900</v>
      </c>
      <c r="R4" s="22">
        <f>SUM(J4:P4)</f>
        <v>359.5220338983051</v>
      </c>
      <c r="S4" s="23">
        <f>Q4-R4</f>
        <v>540.47796610169485</v>
      </c>
      <c r="T4" s="23">
        <f>S4-R4</f>
        <v>180.95593220338975</v>
      </c>
    </row>
    <row r="5" spans="1:20">
      <c r="A5" s="94"/>
      <c r="B5" s="15" t="s">
        <v>50</v>
      </c>
      <c r="C5" s="15">
        <f t="shared" si="0"/>
        <v>16.883116883116884</v>
      </c>
      <c r="D5" s="15">
        <v>5999</v>
      </c>
      <c r="E5" s="16">
        <v>5000</v>
      </c>
      <c r="F5" s="16">
        <f t="shared" ref="F5:F13" si="1">G5*E5</f>
        <v>14995000</v>
      </c>
      <c r="G5" s="17">
        <v>2999</v>
      </c>
      <c r="H5" s="18">
        <f t="shared" ref="H5:H13" si="2">G5*0.82</f>
        <v>2459.1799999999998</v>
      </c>
      <c r="I5" s="18">
        <f t="shared" ref="I5" si="3">H5/1.18</f>
        <v>2084.0508474576272</v>
      </c>
      <c r="J5" s="19">
        <f t="shared" ref="J5:J13" si="4">I5*10%</f>
        <v>208.40508474576274</v>
      </c>
      <c r="K5" s="19">
        <f t="shared" ref="K5:L13" si="5">100000/5000</f>
        <v>20</v>
      </c>
      <c r="L5" s="19">
        <f t="shared" si="5"/>
        <v>20</v>
      </c>
      <c r="M5" s="20">
        <f t="shared" ref="M5:M13" si="6">I5*5%</f>
        <v>104.20254237288137</v>
      </c>
      <c r="N5" s="20">
        <f t="shared" ref="N5:N13" si="7">I5*3%</f>
        <v>62.521525423728818</v>
      </c>
      <c r="O5" s="20">
        <f>I5*1%</f>
        <v>20.840508474576271</v>
      </c>
      <c r="P5" s="20">
        <f>I5*1%</f>
        <v>20.840508474576271</v>
      </c>
      <c r="Q5" s="21">
        <v>1300</v>
      </c>
      <c r="R5" s="22">
        <f t="shared" ref="R5:R13" si="8">SUM(J5:P5)</f>
        <v>456.81016949152547</v>
      </c>
      <c r="S5" s="23">
        <f t="shared" ref="S5:S13" si="9">Q5-R5</f>
        <v>843.18983050847453</v>
      </c>
      <c r="T5" s="23">
        <f t="shared" ref="T5:T13" si="10">S5-R5</f>
        <v>386.37966101694906</v>
      </c>
    </row>
    <row r="6" spans="1:20">
      <c r="A6" s="94"/>
      <c r="B6" s="15" t="s">
        <v>51</v>
      </c>
      <c r="C6" s="15">
        <f t="shared" si="0"/>
        <v>20.779220779220779</v>
      </c>
      <c r="D6" s="15">
        <v>8999</v>
      </c>
      <c r="E6" s="16">
        <v>5000</v>
      </c>
      <c r="F6" s="16">
        <f t="shared" si="1"/>
        <v>17995000</v>
      </c>
      <c r="G6" s="17">
        <v>3599</v>
      </c>
      <c r="H6" s="18">
        <f t="shared" si="2"/>
        <v>2951.18</v>
      </c>
      <c r="I6" s="18">
        <f>H6/1.18</f>
        <v>2501</v>
      </c>
      <c r="J6" s="19">
        <f t="shared" si="4"/>
        <v>250.10000000000002</v>
      </c>
      <c r="K6" s="19">
        <f t="shared" si="5"/>
        <v>20</v>
      </c>
      <c r="L6" s="19">
        <f t="shared" si="5"/>
        <v>20</v>
      </c>
      <c r="M6" s="20">
        <f t="shared" si="6"/>
        <v>125.05000000000001</v>
      </c>
      <c r="N6" s="20">
        <f t="shared" si="7"/>
        <v>75.03</v>
      </c>
      <c r="O6" s="20">
        <f>I6*1%</f>
        <v>25.01</v>
      </c>
      <c r="P6" s="20">
        <f>I6*1%</f>
        <v>25.01</v>
      </c>
      <c r="Q6" s="21">
        <v>1600</v>
      </c>
      <c r="R6" s="22">
        <f t="shared" si="8"/>
        <v>540.20000000000005</v>
      </c>
      <c r="S6" s="23">
        <f t="shared" si="9"/>
        <v>1059.8</v>
      </c>
      <c r="T6" s="23">
        <f t="shared" si="10"/>
        <v>519.59999999999991</v>
      </c>
    </row>
    <row r="7" spans="1:20">
      <c r="A7" s="78" t="s">
        <v>52</v>
      </c>
      <c r="B7" s="15" t="s">
        <v>53</v>
      </c>
      <c r="C7" s="15">
        <f t="shared" si="0"/>
        <v>14.61038961038961</v>
      </c>
      <c r="D7" s="15">
        <v>5999</v>
      </c>
      <c r="E7" s="16">
        <v>5000</v>
      </c>
      <c r="F7" s="16">
        <f t="shared" si="1"/>
        <v>12495000</v>
      </c>
      <c r="G7" s="17">
        <v>2499</v>
      </c>
      <c r="H7" s="18">
        <f t="shared" si="2"/>
        <v>2049.1799999999998</v>
      </c>
      <c r="I7" s="18">
        <f t="shared" ref="I7:I13" si="11">H7/1.18</f>
        <v>1736.593220338983</v>
      </c>
      <c r="J7" s="19">
        <f t="shared" si="4"/>
        <v>173.65932203389832</v>
      </c>
      <c r="K7" s="19">
        <f t="shared" si="5"/>
        <v>20</v>
      </c>
      <c r="L7" s="19">
        <f t="shared" si="5"/>
        <v>20</v>
      </c>
      <c r="M7" s="20">
        <f t="shared" si="6"/>
        <v>86.82966101694916</v>
      </c>
      <c r="N7" s="20">
        <f t="shared" si="7"/>
        <v>52.097796610169489</v>
      </c>
      <c r="O7" s="20">
        <f t="shared" ref="O7:O13" si="12">I7*1%</f>
        <v>17.365932203389828</v>
      </c>
      <c r="P7" s="20">
        <f t="shared" ref="P7:P13" si="13">I7*1%</f>
        <v>17.365932203389828</v>
      </c>
      <c r="Q7" s="24">
        <v>1125</v>
      </c>
      <c r="R7" s="22">
        <f t="shared" si="8"/>
        <v>387.31864406779664</v>
      </c>
      <c r="S7" s="23">
        <f t="shared" si="9"/>
        <v>737.68135593220336</v>
      </c>
      <c r="T7" s="23">
        <f t="shared" si="10"/>
        <v>350.36271186440672</v>
      </c>
    </row>
    <row r="8" spans="1:20">
      <c r="A8" s="79"/>
      <c r="B8" s="15" t="s">
        <v>54</v>
      </c>
      <c r="C8" s="15">
        <f t="shared" si="0"/>
        <v>7.1428571428571432</v>
      </c>
      <c r="D8" s="15">
        <v>1999</v>
      </c>
      <c r="E8" s="16">
        <v>5000</v>
      </c>
      <c r="F8" s="16">
        <f t="shared" si="1"/>
        <v>5995000</v>
      </c>
      <c r="G8" s="17">
        <v>1199</v>
      </c>
      <c r="H8" s="18">
        <f t="shared" si="2"/>
        <v>983.18</v>
      </c>
      <c r="I8" s="18">
        <f t="shared" si="11"/>
        <v>833.20338983050851</v>
      </c>
      <c r="J8" s="19">
        <f t="shared" si="4"/>
        <v>83.32033898305086</v>
      </c>
      <c r="K8" s="19">
        <f t="shared" si="5"/>
        <v>20</v>
      </c>
      <c r="L8" s="19">
        <f t="shared" si="5"/>
        <v>20</v>
      </c>
      <c r="M8" s="20">
        <f t="shared" si="6"/>
        <v>41.66016949152543</v>
      </c>
      <c r="N8" s="20">
        <f t="shared" si="7"/>
        <v>24.996101694915254</v>
      </c>
      <c r="O8" s="20">
        <f t="shared" si="12"/>
        <v>8.3320338983050846</v>
      </c>
      <c r="P8" s="20">
        <f t="shared" si="13"/>
        <v>8.3320338983050846</v>
      </c>
      <c r="Q8" s="24">
        <v>550</v>
      </c>
      <c r="R8" s="22">
        <f t="shared" si="8"/>
        <v>206.64067796610175</v>
      </c>
      <c r="S8" s="23">
        <f t="shared" si="9"/>
        <v>343.35932203389825</v>
      </c>
      <c r="T8" s="23">
        <f t="shared" si="10"/>
        <v>136.7186440677965</v>
      </c>
    </row>
    <row r="9" spans="1:20">
      <c r="A9" s="80"/>
      <c r="B9" s="15" t="s">
        <v>55</v>
      </c>
      <c r="C9" s="15">
        <f t="shared" si="0"/>
        <v>28.571428571428573</v>
      </c>
      <c r="D9" s="15">
        <v>6999</v>
      </c>
      <c r="E9" s="16">
        <v>5000</v>
      </c>
      <c r="F9" s="16">
        <f t="shared" si="1"/>
        <v>24995000</v>
      </c>
      <c r="G9" s="17">
        <v>4999</v>
      </c>
      <c r="H9" s="18">
        <f t="shared" si="2"/>
        <v>4099.1799999999994</v>
      </c>
      <c r="I9" s="18">
        <f t="shared" si="11"/>
        <v>3473.881355932203</v>
      </c>
      <c r="J9" s="19">
        <f t="shared" si="4"/>
        <v>347.38813559322034</v>
      </c>
      <c r="K9" s="19">
        <f t="shared" si="5"/>
        <v>20</v>
      </c>
      <c r="L9" s="19">
        <f t="shared" si="5"/>
        <v>20</v>
      </c>
      <c r="M9" s="20">
        <f t="shared" si="6"/>
        <v>173.69406779661017</v>
      </c>
      <c r="N9" s="20">
        <f t="shared" si="7"/>
        <v>104.21644067796609</v>
      </c>
      <c r="O9" s="20">
        <f t="shared" si="12"/>
        <v>34.738813559322033</v>
      </c>
      <c r="P9" s="20">
        <f t="shared" si="13"/>
        <v>34.738813559322033</v>
      </c>
      <c r="Q9" s="24">
        <v>2200</v>
      </c>
      <c r="R9" s="22">
        <f t="shared" si="8"/>
        <v>734.77627118644068</v>
      </c>
      <c r="S9" s="23">
        <f t="shared" si="9"/>
        <v>1465.2237288135593</v>
      </c>
      <c r="T9" s="23">
        <f t="shared" si="10"/>
        <v>730.44745762711864</v>
      </c>
    </row>
    <row r="10" spans="1:20">
      <c r="A10" s="25" t="s">
        <v>56</v>
      </c>
      <c r="B10" s="15" t="s">
        <v>57</v>
      </c>
      <c r="C10" s="15">
        <f t="shared" si="0"/>
        <v>7.7922077922077921</v>
      </c>
      <c r="D10" s="15">
        <v>1999</v>
      </c>
      <c r="E10" s="16">
        <v>5000</v>
      </c>
      <c r="F10" s="16">
        <f t="shared" si="1"/>
        <v>6495000</v>
      </c>
      <c r="G10" s="17">
        <v>1299</v>
      </c>
      <c r="H10" s="18">
        <f t="shared" si="2"/>
        <v>1065.1799999999998</v>
      </c>
      <c r="I10" s="18">
        <f t="shared" si="11"/>
        <v>902.69491525423723</v>
      </c>
      <c r="J10" s="19">
        <f t="shared" si="4"/>
        <v>90.269491525423732</v>
      </c>
      <c r="K10" s="19">
        <f t="shared" si="5"/>
        <v>20</v>
      </c>
      <c r="L10" s="19">
        <f t="shared" si="5"/>
        <v>20</v>
      </c>
      <c r="M10" s="20">
        <f t="shared" si="6"/>
        <v>45.134745762711866</v>
      </c>
      <c r="N10" s="20">
        <f t="shared" si="7"/>
        <v>27.080847457627115</v>
      </c>
      <c r="O10" s="20">
        <f t="shared" si="12"/>
        <v>9.0269491525423717</v>
      </c>
      <c r="P10" s="20">
        <f t="shared" si="13"/>
        <v>9.0269491525423717</v>
      </c>
      <c r="Q10" s="26">
        <v>600</v>
      </c>
      <c r="R10" s="22">
        <f t="shared" si="8"/>
        <v>220.53898305084749</v>
      </c>
      <c r="S10" s="23">
        <f t="shared" si="9"/>
        <v>379.46101694915251</v>
      </c>
      <c r="T10" s="23">
        <f t="shared" si="10"/>
        <v>158.92203389830502</v>
      </c>
    </row>
    <row r="11" spans="1:20">
      <c r="A11" s="27"/>
      <c r="B11" s="15" t="s">
        <v>58</v>
      </c>
      <c r="C11" s="15">
        <f t="shared" si="0"/>
        <v>14.285714285714286</v>
      </c>
      <c r="D11" s="15">
        <v>2999</v>
      </c>
      <c r="E11" s="16">
        <v>5000</v>
      </c>
      <c r="F11" s="16">
        <f t="shared" si="1"/>
        <v>10995000</v>
      </c>
      <c r="G11" s="17">
        <v>2199</v>
      </c>
      <c r="H11" s="18">
        <f t="shared" si="2"/>
        <v>1803.1799999999998</v>
      </c>
      <c r="I11" s="18">
        <f t="shared" si="11"/>
        <v>1528.1186440677966</v>
      </c>
      <c r="J11" s="19">
        <f t="shared" si="4"/>
        <v>152.81186440677968</v>
      </c>
      <c r="K11" s="19">
        <f t="shared" si="5"/>
        <v>20</v>
      </c>
      <c r="L11" s="19">
        <f t="shared" si="5"/>
        <v>20</v>
      </c>
      <c r="M11" s="20">
        <f t="shared" si="6"/>
        <v>76.405932203389838</v>
      </c>
      <c r="N11" s="20">
        <f t="shared" si="7"/>
        <v>45.843559322033897</v>
      </c>
      <c r="O11" s="20">
        <f t="shared" si="12"/>
        <v>15.281186440677967</v>
      </c>
      <c r="P11" s="20">
        <f t="shared" si="13"/>
        <v>15.281186440677967</v>
      </c>
      <c r="Q11" s="26">
        <v>1100</v>
      </c>
      <c r="R11" s="22">
        <f t="shared" si="8"/>
        <v>345.62372881355935</v>
      </c>
      <c r="S11" s="23">
        <f t="shared" si="9"/>
        <v>754.37627118644059</v>
      </c>
      <c r="T11" s="23">
        <f t="shared" si="10"/>
        <v>408.75254237288124</v>
      </c>
    </row>
    <row r="12" spans="1:20">
      <c r="A12" s="28" t="s">
        <v>59</v>
      </c>
      <c r="B12" s="15" t="s">
        <v>60</v>
      </c>
      <c r="C12" s="15">
        <f t="shared" si="0"/>
        <v>7.1428571428571432</v>
      </c>
      <c r="D12" s="15">
        <v>1499</v>
      </c>
      <c r="E12" s="16">
        <v>5000</v>
      </c>
      <c r="F12" s="16">
        <f t="shared" si="1"/>
        <v>4495000</v>
      </c>
      <c r="G12" s="17">
        <v>899</v>
      </c>
      <c r="H12" s="18">
        <f t="shared" si="2"/>
        <v>737.18</v>
      </c>
      <c r="I12" s="18">
        <f t="shared" si="11"/>
        <v>624.72881355932202</v>
      </c>
      <c r="J12" s="19">
        <f t="shared" si="4"/>
        <v>62.472881355932202</v>
      </c>
      <c r="K12" s="19">
        <f t="shared" si="5"/>
        <v>20</v>
      </c>
      <c r="L12" s="19">
        <f t="shared" si="5"/>
        <v>20</v>
      </c>
      <c r="M12" s="20">
        <f t="shared" si="6"/>
        <v>31.236440677966101</v>
      </c>
      <c r="N12" s="20">
        <f t="shared" si="7"/>
        <v>18.741864406779658</v>
      </c>
      <c r="O12" s="20">
        <f t="shared" si="12"/>
        <v>6.2472881355932204</v>
      </c>
      <c r="P12" s="20">
        <f t="shared" si="13"/>
        <v>6.2472881355932204</v>
      </c>
      <c r="Q12" s="26">
        <v>550</v>
      </c>
      <c r="R12" s="22">
        <f t="shared" si="8"/>
        <v>164.94576271186438</v>
      </c>
      <c r="S12" s="23">
        <f t="shared" si="9"/>
        <v>385.0542372881356</v>
      </c>
      <c r="T12" s="23">
        <f t="shared" si="10"/>
        <v>220.10847457627122</v>
      </c>
    </row>
    <row r="13" spans="1:20">
      <c r="A13" s="29"/>
      <c r="B13" s="15" t="s">
        <v>61</v>
      </c>
      <c r="C13" s="15">
        <f t="shared" si="0"/>
        <v>9.7402597402597397</v>
      </c>
      <c r="D13" s="15">
        <v>2499</v>
      </c>
      <c r="E13" s="16">
        <v>5000</v>
      </c>
      <c r="F13" s="16">
        <f t="shared" si="1"/>
        <v>7495000</v>
      </c>
      <c r="G13" s="17">
        <v>1499</v>
      </c>
      <c r="H13" s="18">
        <f t="shared" si="2"/>
        <v>1229.1799999999998</v>
      </c>
      <c r="I13" s="18">
        <f t="shared" si="11"/>
        <v>1041.6779661016949</v>
      </c>
      <c r="J13" s="19">
        <f t="shared" si="4"/>
        <v>104.16779661016949</v>
      </c>
      <c r="K13" s="19">
        <f t="shared" si="5"/>
        <v>20</v>
      </c>
      <c r="L13" s="19">
        <f t="shared" si="5"/>
        <v>20</v>
      </c>
      <c r="M13" s="20">
        <f t="shared" si="6"/>
        <v>52.083898305084745</v>
      </c>
      <c r="N13" s="20">
        <f t="shared" si="7"/>
        <v>31.250338983050845</v>
      </c>
      <c r="O13" s="20">
        <f t="shared" si="12"/>
        <v>10.41677966101695</v>
      </c>
      <c r="P13" s="20">
        <f t="shared" si="13"/>
        <v>10.41677966101695</v>
      </c>
      <c r="Q13" s="26">
        <v>750</v>
      </c>
      <c r="R13" s="22">
        <f t="shared" si="8"/>
        <v>248.33559322033901</v>
      </c>
      <c r="S13" s="23">
        <f t="shared" si="9"/>
        <v>501.66440677966102</v>
      </c>
      <c r="T13" s="23">
        <f t="shared" si="10"/>
        <v>253.32881355932201</v>
      </c>
    </row>
    <row r="14" spans="1:20">
      <c r="A14" s="30"/>
      <c r="B14" s="31"/>
      <c r="C14" s="31"/>
      <c r="D14" s="31"/>
      <c r="E14" s="31"/>
      <c r="F14" s="31"/>
      <c r="G14" s="32"/>
      <c r="H14" s="1"/>
      <c r="I14" s="33"/>
      <c r="J14" s="34"/>
      <c r="K14" s="1"/>
      <c r="L14" s="1"/>
      <c r="M14" s="34"/>
      <c r="N14" s="34"/>
      <c r="O14" s="34"/>
      <c r="P14" s="34"/>
      <c r="Q14" s="31"/>
      <c r="R14" s="32"/>
      <c r="S14" s="32"/>
      <c r="T14" s="35"/>
    </row>
    <row r="15" spans="1:20">
      <c r="A15" s="79" t="s">
        <v>108</v>
      </c>
      <c r="B15" s="95"/>
      <c r="C15" s="5">
        <f>SUM(C4:C13)*5000</f>
        <v>693181.81818181823</v>
      </c>
      <c r="D15" s="31"/>
      <c r="E15" s="31"/>
      <c r="F15" s="31"/>
      <c r="G15" s="32"/>
      <c r="H15" s="36"/>
      <c r="I15" s="37"/>
      <c r="J15" s="37"/>
      <c r="K15" s="36"/>
      <c r="L15" s="36"/>
      <c r="M15" s="37"/>
      <c r="N15" s="37"/>
      <c r="O15" s="37"/>
      <c r="P15" s="37"/>
      <c r="Q15" s="38"/>
      <c r="R15" s="32"/>
      <c r="S15" s="32"/>
      <c r="T15" s="32"/>
    </row>
    <row r="16" spans="1:20" ht="15.75" thickBot="1">
      <c r="A16" s="79" t="s">
        <v>62</v>
      </c>
      <c r="B16" s="95"/>
      <c r="C16" s="115">
        <f>C15*77</f>
        <v>53375000.000000007</v>
      </c>
      <c r="D16" s="115"/>
      <c r="E16" s="115">
        <f>SUM(E4:E13)</f>
        <v>50000</v>
      </c>
      <c r="F16" s="115"/>
      <c r="G16" s="115">
        <f>SUM(G4:G13)*5000</f>
        <v>117450000</v>
      </c>
      <c r="H16" s="119">
        <f>SUM(H4:H4)*5000</f>
        <v>9425900</v>
      </c>
      <c r="I16" s="119">
        <f>SUM(I4:I4)*5000</f>
        <v>7988050.8474576268</v>
      </c>
      <c r="J16" s="119">
        <f>SUM(J4:J4)*5000</f>
        <v>798805.08474576275</v>
      </c>
      <c r="K16" s="3">
        <f>SUM(K4:K4)*5000</f>
        <v>100000</v>
      </c>
      <c r="L16" s="3">
        <f t="shared" ref="L16:T16" si="14">SUM(L4:L13)*5000</f>
        <v>1000000</v>
      </c>
      <c r="M16" s="39">
        <f t="shared" si="14"/>
        <v>4080889.8305084752</v>
      </c>
      <c r="N16" s="39">
        <f t="shared" si="14"/>
        <v>2448533.8983050846</v>
      </c>
      <c r="O16" s="39">
        <f t="shared" si="14"/>
        <v>816177.96610169497</v>
      </c>
      <c r="P16" s="39">
        <f t="shared" si="14"/>
        <v>816177.96610169497</v>
      </c>
      <c r="Q16" s="39">
        <f t="shared" si="14"/>
        <v>53375000</v>
      </c>
      <c r="R16" s="39">
        <f t="shared" si="14"/>
        <v>18323559.322033901</v>
      </c>
      <c r="S16" s="39">
        <f t="shared" si="14"/>
        <v>35051440.677966096</v>
      </c>
      <c r="T16" s="39">
        <f t="shared" si="14"/>
        <v>16727881.355932202</v>
      </c>
    </row>
    <row r="17" spans="1:17">
      <c r="A17" s="120" t="s">
        <v>80</v>
      </c>
      <c r="B17" s="121"/>
      <c r="C17" s="121"/>
      <c r="D17" s="121"/>
      <c r="E17" s="121"/>
      <c r="F17" s="122"/>
      <c r="G17" s="132" t="s">
        <v>63</v>
      </c>
      <c r="H17" s="133"/>
      <c r="I17" s="133"/>
      <c r="J17" s="134"/>
      <c r="K17" s="5"/>
      <c r="L17" s="5"/>
      <c r="M17" s="5"/>
      <c r="N17" s="5"/>
      <c r="O17" s="5"/>
      <c r="P17" s="5"/>
      <c r="Q17" s="5"/>
    </row>
    <row r="18" spans="1:17" ht="15" customHeight="1">
      <c r="A18" s="123"/>
      <c r="B18" s="124"/>
      <c r="C18" s="124"/>
      <c r="D18" s="124"/>
      <c r="E18" s="124"/>
      <c r="F18" s="114"/>
      <c r="G18" s="135" t="s">
        <v>64</v>
      </c>
      <c r="H18" s="136"/>
      <c r="I18" s="136"/>
      <c r="J18" s="137"/>
    </row>
    <row r="19" spans="1:17">
      <c r="A19" s="123"/>
      <c r="B19" s="124"/>
      <c r="C19" s="124"/>
      <c r="D19" s="124"/>
      <c r="E19" s="124"/>
      <c r="F19" s="114"/>
      <c r="G19" s="135" t="s">
        <v>65</v>
      </c>
      <c r="H19" s="136"/>
      <c r="I19" s="136"/>
      <c r="J19" s="137"/>
    </row>
    <row r="20" spans="1:17">
      <c r="A20" s="123"/>
      <c r="B20" s="124"/>
      <c r="C20" s="124"/>
      <c r="D20" s="124"/>
      <c r="E20" s="124"/>
      <c r="F20" s="114"/>
      <c r="G20" s="115"/>
      <c r="H20" s="115"/>
      <c r="I20" s="115"/>
      <c r="J20" s="125"/>
    </row>
    <row r="21" spans="1:17">
      <c r="A21" s="128" t="s">
        <v>66</v>
      </c>
      <c r="B21" s="129"/>
      <c r="C21" s="129"/>
      <c r="D21" s="129"/>
      <c r="E21" s="129"/>
      <c r="F21" s="129"/>
      <c r="G21" s="117"/>
      <c r="H21" s="116"/>
      <c r="I21" s="116"/>
      <c r="J21" s="125"/>
    </row>
    <row r="22" spans="1:17">
      <c r="A22" s="128" t="s">
        <v>67</v>
      </c>
      <c r="B22" s="129"/>
      <c r="C22" s="129"/>
      <c r="D22" s="129"/>
      <c r="E22" s="129"/>
      <c r="F22" s="129"/>
      <c r="G22" s="117"/>
      <c r="H22" s="116"/>
      <c r="I22" s="116"/>
      <c r="J22" s="125"/>
    </row>
    <row r="23" spans="1:17" ht="15.75" thickBot="1">
      <c r="A23" s="130" t="s">
        <v>68</v>
      </c>
      <c r="B23" s="131"/>
      <c r="C23" s="131"/>
      <c r="D23" s="131"/>
      <c r="E23" s="131"/>
      <c r="F23" s="131"/>
      <c r="G23" s="126"/>
      <c r="H23" s="127"/>
      <c r="I23" s="127"/>
      <c r="J23" s="118"/>
    </row>
    <row r="27" spans="1:17" ht="15" customHeight="1"/>
  </sheetData>
  <mergeCells count="10">
    <mergeCell ref="A17:F20"/>
    <mergeCell ref="A7:A9"/>
    <mergeCell ref="B1:T1"/>
    <mergeCell ref="G2:I2"/>
    <mergeCell ref="J2:L2"/>
    <mergeCell ref="M2:P2"/>
    <mergeCell ref="R2:T2"/>
    <mergeCell ref="A4:A6"/>
    <mergeCell ref="A15:B15"/>
    <mergeCell ref="A16:B1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N1" sqref="N1:N12"/>
    </sheetView>
  </sheetViews>
  <sheetFormatPr defaultRowHeight="15"/>
  <sheetData>
    <row r="1" spans="1:14">
      <c r="A1" s="58"/>
      <c r="B1" s="59" t="s">
        <v>84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N1" t="s">
        <v>78</v>
      </c>
    </row>
    <row r="2" spans="1:14">
      <c r="A2" s="62"/>
      <c r="B2" s="63" t="s">
        <v>78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t="s">
        <v>76</v>
      </c>
    </row>
    <row r="3" spans="1:14">
      <c r="A3" s="62"/>
      <c r="B3" s="63" t="s">
        <v>76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t="s">
        <v>77</v>
      </c>
    </row>
    <row r="4" spans="1:14">
      <c r="A4" s="62"/>
      <c r="B4" s="63" t="s">
        <v>77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4"/>
    </row>
    <row r="5" spans="1:14">
      <c r="A5" s="62"/>
      <c r="B5" s="63"/>
      <c r="C5" s="63" t="s">
        <v>81</v>
      </c>
      <c r="D5" s="63"/>
      <c r="E5" s="63"/>
      <c r="F5" s="63"/>
      <c r="G5" s="63"/>
      <c r="H5" s="63"/>
      <c r="I5" s="63"/>
      <c r="J5" s="63"/>
      <c r="K5" s="63"/>
      <c r="L5" s="63"/>
      <c r="M5" s="64"/>
      <c r="N5" t="s">
        <v>109</v>
      </c>
    </row>
    <row r="6" spans="1:14">
      <c r="A6" s="62"/>
      <c r="B6" s="63"/>
      <c r="C6" s="63" t="s">
        <v>82</v>
      </c>
      <c r="D6" s="63"/>
      <c r="E6" s="63"/>
      <c r="F6" s="63"/>
      <c r="G6" s="63"/>
      <c r="H6" s="63"/>
      <c r="I6" s="63"/>
      <c r="J6" s="63"/>
      <c r="K6" s="63"/>
      <c r="L6" s="63"/>
      <c r="M6" s="64"/>
      <c r="N6" t="s">
        <v>110</v>
      </c>
    </row>
    <row r="7" spans="1:14">
      <c r="A7" s="62"/>
      <c r="B7" s="63"/>
      <c r="C7" s="63" t="s">
        <v>83</v>
      </c>
      <c r="D7" s="63"/>
      <c r="E7" s="63"/>
      <c r="F7" s="63"/>
      <c r="G7" s="63"/>
      <c r="H7" s="63"/>
      <c r="I7" s="63"/>
      <c r="J7" s="63"/>
      <c r="K7" s="63"/>
      <c r="L7" s="63"/>
      <c r="M7" s="64"/>
      <c r="N7" t="s">
        <v>111</v>
      </c>
    </row>
    <row r="8" spans="1:14" ht="16.5" thickBot="1">
      <c r="A8" s="57" t="s">
        <v>85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6"/>
    </row>
    <row r="9" spans="1:14" ht="27.75" customHeight="1">
      <c r="C9" s="107" t="s">
        <v>86</v>
      </c>
      <c r="D9" s="108"/>
      <c r="E9" s="108"/>
      <c r="F9" s="108"/>
      <c r="G9" s="108"/>
      <c r="H9" s="108"/>
      <c r="I9" s="108"/>
      <c r="J9" s="109"/>
    </row>
    <row r="10" spans="1:14" ht="27.75" customHeight="1">
      <c r="C10" s="55" t="s">
        <v>87</v>
      </c>
      <c r="D10" s="52"/>
      <c r="E10" s="52"/>
      <c r="F10" s="53"/>
      <c r="G10" s="54" t="s">
        <v>88</v>
      </c>
      <c r="H10" s="52"/>
      <c r="I10" s="52"/>
      <c r="J10" s="56"/>
      <c r="N10" t="s">
        <v>112</v>
      </c>
    </row>
    <row r="11" spans="1:14" ht="27.75" customHeight="1">
      <c r="C11" s="99" t="s">
        <v>89</v>
      </c>
      <c r="D11" s="97"/>
      <c r="E11" s="97"/>
      <c r="F11" s="100"/>
      <c r="G11" s="96" t="s">
        <v>90</v>
      </c>
      <c r="H11" s="97"/>
      <c r="I11" s="97"/>
      <c r="J11" s="98"/>
    </row>
    <row r="12" spans="1:14" ht="27.75" customHeight="1">
      <c r="C12" s="110" t="s">
        <v>91</v>
      </c>
      <c r="D12" s="105"/>
      <c r="E12" s="105"/>
      <c r="F12" s="111"/>
      <c r="G12" s="104" t="s">
        <v>92</v>
      </c>
      <c r="H12" s="105"/>
      <c r="I12" s="105"/>
      <c r="J12" s="106"/>
      <c r="N12" t="s">
        <v>113</v>
      </c>
    </row>
    <row r="13" spans="1:14" ht="27.75" customHeight="1">
      <c r="C13" s="99" t="s">
        <v>93</v>
      </c>
      <c r="D13" s="97"/>
      <c r="E13" s="97"/>
      <c r="F13" s="100"/>
      <c r="G13" s="96" t="s">
        <v>94</v>
      </c>
      <c r="H13" s="97"/>
      <c r="I13" s="97"/>
      <c r="J13" s="98"/>
    </row>
    <row r="14" spans="1:14" ht="27.75" customHeight="1">
      <c r="C14" s="110" t="s">
        <v>95</v>
      </c>
      <c r="D14" s="105"/>
      <c r="E14" s="105"/>
      <c r="F14" s="111"/>
      <c r="G14" s="104">
        <v>2020</v>
      </c>
      <c r="H14" s="105"/>
      <c r="I14" s="105"/>
      <c r="J14" s="106"/>
    </row>
    <row r="15" spans="1:14" ht="27.75" customHeight="1">
      <c r="C15" s="99" t="s">
        <v>96</v>
      </c>
      <c r="D15" s="97"/>
      <c r="E15" s="97"/>
      <c r="F15" s="100"/>
      <c r="G15" s="96" t="s">
        <v>97</v>
      </c>
      <c r="H15" s="97"/>
      <c r="I15" s="97"/>
      <c r="J15" s="98"/>
    </row>
    <row r="16" spans="1:14" ht="27.75" customHeight="1">
      <c r="C16" s="110" t="s">
        <v>98</v>
      </c>
      <c r="D16" s="105"/>
      <c r="E16" s="105"/>
      <c r="F16" s="111"/>
      <c r="G16" s="104" t="s">
        <v>99</v>
      </c>
      <c r="H16" s="105"/>
      <c r="I16" s="105"/>
      <c r="J16" s="106"/>
    </row>
    <row r="17" spans="3:10" ht="27.75" customHeight="1">
      <c r="C17" s="99" t="s">
        <v>100</v>
      </c>
      <c r="D17" s="97"/>
      <c r="E17" s="97"/>
      <c r="F17" s="100"/>
      <c r="G17" s="96" t="s">
        <v>101</v>
      </c>
      <c r="H17" s="97"/>
      <c r="I17" s="97"/>
      <c r="J17" s="98"/>
    </row>
    <row r="18" spans="3:10" ht="27.75" customHeight="1">
      <c r="C18" s="110" t="s">
        <v>102</v>
      </c>
      <c r="D18" s="105"/>
      <c r="E18" s="105"/>
      <c r="F18" s="111"/>
      <c r="G18" s="104" t="s">
        <v>103</v>
      </c>
      <c r="H18" s="105"/>
      <c r="I18" s="105"/>
      <c r="J18" s="106"/>
    </row>
    <row r="19" spans="3:10" ht="27.75" customHeight="1">
      <c r="C19" s="99" t="s">
        <v>104</v>
      </c>
      <c r="D19" s="97"/>
      <c r="E19" s="97"/>
      <c r="F19" s="100"/>
      <c r="G19" s="96" t="s">
        <v>105</v>
      </c>
      <c r="H19" s="97"/>
      <c r="I19" s="97"/>
      <c r="J19" s="98"/>
    </row>
    <row r="20" spans="3:10" ht="27.75" customHeight="1" thickBot="1">
      <c r="C20" s="112" t="s">
        <v>106</v>
      </c>
      <c r="D20" s="102"/>
      <c r="E20" s="102"/>
      <c r="F20" s="113"/>
      <c r="G20" s="101" t="s">
        <v>107</v>
      </c>
      <c r="H20" s="102"/>
      <c r="I20" s="102"/>
      <c r="J20" s="103"/>
    </row>
    <row r="21" spans="3:10" ht="30" customHeight="1"/>
    <row r="22" spans="3:10" ht="33" customHeight="1"/>
    <row r="23" spans="3:10" ht="33" customHeight="1"/>
    <row r="24" spans="3:10" ht="33" customHeight="1"/>
    <row r="25" spans="3:10" ht="33" customHeight="1"/>
    <row r="26" spans="3:10" ht="33" customHeight="1"/>
  </sheetData>
  <mergeCells count="21">
    <mergeCell ref="G20:J20"/>
    <mergeCell ref="G16:J16"/>
    <mergeCell ref="C9:J9"/>
    <mergeCell ref="C12:F12"/>
    <mergeCell ref="C14:F14"/>
    <mergeCell ref="G14:J14"/>
    <mergeCell ref="G12:J12"/>
    <mergeCell ref="C18:F18"/>
    <mergeCell ref="C19:F19"/>
    <mergeCell ref="G17:J17"/>
    <mergeCell ref="G18:J18"/>
    <mergeCell ref="G19:J19"/>
    <mergeCell ref="C15:F15"/>
    <mergeCell ref="C16:F16"/>
    <mergeCell ref="C17:F17"/>
    <mergeCell ref="C20:F20"/>
    <mergeCell ref="G13:J13"/>
    <mergeCell ref="G11:J11"/>
    <mergeCell ref="C11:F11"/>
    <mergeCell ref="C13:F13"/>
    <mergeCell ref="G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Factory cost+ Ind. landing COST</vt:lpstr>
      <vt:lpstr>Online sales cost calculation</vt:lpstr>
      <vt:lpstr>Telecom Industry Scop &amp; oppor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2022-06-19T14:37:07Z</dcterms:modified>
</cp:coreProperties>
</file>